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ndaroethler/Documents/GitHub/Kelp-meta-analysis/"/>
    </mc:Choice>
  </mc:AlternateContent>
  <xr:revisionPtr revIDLastSave="0" documentId="13_ncr:1_{DD9A7757-4027-D947-897C-CF5B6F46620C}" xr6:coauthVersionLast="47" xr6:coauthVersionMax="47" xr10:uidLastSave="{00000000-0000-0000-0000-000000000000}"/>
  <bookViews>
    <workbookView xWindow="-50100" yWindow="500" windowWidth="49780" windowHeight="21100" xr2:uid="{DDE65EB8-A49A-804B-90E5-AB946CC770A3}"/>
  </bookViews>
  <sheets>
    <sheet name="Data" sheetId="1" r:id="rId1"/>
  </sheets>
  <definedNames>
    <definedName name="_xlnm._FilterDatabase" localSheetId="0" hidden="1">Data!$A$1:$AC$7097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7097" i="1" l="1"/>
  <c r="Y7096" i="1"/>
  <c r="Y7095" i="1"/>
  <c r="Y7094" i="1"/>
  <c r="Y7093" i="1"/>
  <c r="Y7092" i="1"/>
  <c r="Y7091" i="1"/>
  <c r="Y7090" i="1"/>
  <c r="Y7089" i="1"/>
  <c r="Y7088" i="1"/>
  <c r="Y7087" i="1"/>
  <c r="Y7086" i="1"/>
  <c r="Y7085" i="1"/>
  <c r="Y7084" i="1"/>
  <c r="Y7083" i="1"/>
  <c r="Y7082" i="1"/>
  <c r="Y7081" i="1"/>
  <c r="Y7080" i="1"/>
  <c r="Y7079" i="1"/>
  <c r="Y7078" i="1"/>
  <c r="Y7077" i="1"/>
  <c r="Y7076" i="1"/>
  <c r="Y7075" i="1"/>
  <c r="Y7074" i="1"/>
  <c r="Y7073" i="1"/>
  <c r="Y7072" i="1"/>
  <c r="Y7071" i="1"/>
  <c r="Y7070" i="1"/>
  <c r="Y7069" i="1"/>
  <c r="Y7068" i="1"/>
  <c r="Q7091" i="1" l="1"/>
  <c r="Q7090" i="1"/>
  <c r="Q7089" i="1"/>
  <c r="Q7088" i="1"/>
  <c r="Q7081" i="1"/>
  <c r="Q7080" i="1"/>
  <c r="Q7079" i="1"/>
  <c r="Q7078" i="1"/>
  <c r="Q7068" i="1"/>
  <c r="Q7069" i="1"/>
  <c r="Q7070" i="1"/>
  <c r="Q7071" i="1"/>
  <c r="Z7067" i="1"/>
  <c r="Y7067" i="1" s="1"/>
  <c r="Z7066" i="1"/>
  <c r="Y7066" i="1" s="1"/>
  <c r="Z7065" i="1"/>
  <c r="Y7065" i="1" s="1"/>
  <c r="Z7064" i="1"/>
  <c r="Y7064" i="1" s="1"/>
  <c r="Z7063" i="1"/>
  <c r="Y7063" i="1" s="1"/>
  <c r="Z7062" i="1"/>
  <c r="Y7062" i="1" s="1"/>
  <c r="Q6843" i="1"/>
  <c r="Q6844" i="1"/>
  <c r="Q6845" i="1"/>
  <c r="Q6846" i="1"/>
  <c r="Q6847" i="1"/>
  <c r="Q6848" i="1"/>
  <c r="Q6849" i="1"/>
  <c r="Y6840" i="1"/>
  <c r="Y6841" i="1"/>
  <c r="Y6842" i="1"/>
  <c r="Y6839" i="1"/>
  <c r="Q6842" i="1"/>
  <c r="Q6841" i="1"/>
  <c r="Q6840" i="1"/>
  <c r="Q6839" i="1"/>
  <c r="Y6456" i="1"/>
  <c r="Z6455" i="1"/>
  <c r="Y6455" i="1" s="1"/>
  <c r="Z6454" i="1"/>
  <c r="Y6454" i="1" s="1"/>
  <c r="Z6453" i="1"/>
  <c r="Y6453" i="1" s="1"/>
  <c r="Y6467" i="1"/>
  <c r="Y6468" i="1"/>
  <c r="Y6469" i="1"/>
  <c r="Z6477" i="1"/>
  <c r="Y6477" i="1" s="1"/>
  <c r="Z6476" i="1"/>
  <c r="Y6476" i="1" s="1"/>
  <c r="Z6475" i="1"/>
  <c r="Y6475" i="1" s="1"/>
  <c r="Z6474" i="1"/>
  <c r="Y6474" i="1" s="1"/>
  <c r="Z6473" i="1"/>
  <c r="Y6473" i="1" s="1"/>
  <c r="Z6472" i="1"/>
  <c r="Y6472" i="1" s="1"/>
  <c r="Z6471" i="1"/>
  <c r="Y6471" i="1" s="1"/>
  <c r="Z6470" i="1"/>
  <c r="Y6470" i="1" s="1"/>
  <c r="Y6458" i="1"/>
  <c r="Y6459" i="1"/>
  <c r="Y6460" i="1"/>
  <c r="Y6457" i="1"/>
  <c r="Z6466" i="1"/>
  <c r="Y6466" i="1" s="1"/>
  <c r="Z6465" i="1"/>
  <c r="Y6465" i="1" s="1"/>
  <c r="Z6464" i="1"/>
  <c r="Y6464" i="1" s="1"/>
  <c r="Z6463" i="1"/>
  <c r="Y6463" i="1" s="1"/>
  <c r="Z6462" i="1"/>
  <c r="Y6462" i="1" s="1"/>
  <c r="Z6461" i="1"/>
  <c r="Y6461" i="1" s="1"/>
  <c r="Y6838" i="1"/>
  <c r="Y6837" i="1"/>
  <c r="Y6836" i="1"/>
  <c r="Y6835" i="1"/>
  <c r="Y6833" i="1"/>
  <c r="Y6834" i="1"/>
  <c r="Y6832" i="1"/>
  <c r="Y6831" i="1"/>
  <c r="Z6830" i="1"/>
  <c r="Y6830" i="1" s="1"/>
  <c r="Z6829" i="1"/>
  <c r="Y6829" i="1" s="1"/>
  <c r="Z6828" i="1"/>
  <c r="Y6828" i="1" s="1"/>
  <c r="Z6827" i="1"/>
  <c r="Y6827" i="1" s="1"/>
  <c r="Z6826" i="1"/>
  <c r="Y6826" i="1" s="1"/>
  <c r="Z6825" i="1"/>
  <c r="Y6825" i="1" s="1"/>
  <c r="Z6824" i="1"/>
  <c r="Y6824" i="1" s="1"/>
  <c r="Z6823" i="1"/>
  <c r="Y6823" i="1" s="1"/>
  <c r="Z6822" i="1"/>
  <c r="Y6822" i="1" s="1"/>
  <c r="Z6821" i="1"/>
  <c r="Y6821" i="1" s="1"/>
  <c r="Z6820" i="1"/>
  <c r="Y6820" i="1" s="1"/>
  <c r="Z6819" i="1"/>
  <c r="Y6819" i="1" s="1"/>
  <c r="Z6818" i="1"/>
  <c r="Y6818" i="1" s="1"/>
  <c r="Z6817" i="1"/>
  <c r="Y6817" i="1" s="1"/>
  <c r="Z6816" i="1"/>
  <c r="Y6816" i="1" s="1"/>
  <c r="Z6815" i="1"/>
  <c r="Y6815" i="1" s="1"/>
  <c r="Z6814" i="1"/>
  <c r="Y6814" i="1" s="1"/>
  <c r="Z6813" i="1"/>
  <c r="Y6813" i="1" s="1"/>
  <c r="Z6812" i="1"/>
  <c r="Y6812" i="1" s="1"/>
  <c r="Z6810" i="1"/>
  <c r="Y6810" i="1" s="1"/>
  <c r="Z6811" i="1"/>
  <c r="Y6811" i="1" s="1"/>
  <c r="Z6809" i="1"/>
  <c r="Y6809" i="1" s="1"/>
  <c r="Z6808" i="1"/>
  <c r="Y6808" i="1" s="1"/>
  <c r="Z6807" i="1"/>
  <c r="Y6807" i="1" s="1"/>
  <c r="Z6806" i="1"/>
  <c r="Y6806" i="1" s="1"/>
  <c r="Z6805" i="1"/>
  <c r="Y6805" i="1" s="1"/>
  <c r="Z6804" i="1"/>
  <c r="Y6804" i="1" s="1"/>
  <c r="Z6803" i="1"/>
  <c r="Y6803" i="1" s="1"/>
  <c r="Z6802" i="1"/>
  <c r="Y6802" i="1" s="1"/>
  <c r="Z6801" i="1"/>
  <c r="Y6801" i="1" s="1"/>
  <c r="Z6800" i="1"/>
  <c r="Y6800" i="1" s="1"/>
  <c r="Z6799" i="1"/>
  <c r="Y6799" i="1" s="1"/>
  <c r="Z6798" i="1"/>
  <c r="Y6798" i="1" s="1"/>
  <c r="Z6797" i="1"/>
  <c r="Y6797" i="1" s="1"/>
  <c r="Z6796" i="1"/>
  <c r="Y6796" i="1" s="1"/>
  <c r="Z6795" i="1"/>
  <c r="Y6795" i="1" s="1"/>
  <c r="Z6794" i="1"/>
  <c r="Y6794" i="1" s="1"/>
  <c r="Z6793" i="1"/>
  <c r="Y6793" i="1" s="1"/>
  <c r="Z6792" i="1"/>
  <c r="Y6792" i="1" s="1"/>
  <c r="Z6791" i="1"/>
  <c r="Y6791" i="1" s="1"/>
  <c r="Z6790" i="1"/>
  <c r="Y6790" i="1" s="1"/>
  <c r="Z6789" i="1"/>
  <c r="Y6789" i="1" s="1"/>
  <c r="Z6788" i="1"/>
  <c r="Y6788" i="1" s="1"/>
  <c r="Z6787" i="1"/>
  <c r="Y6787" i="1" s="1"/>
  <c r="Z6786" i="1"/>
  <c r="Y6786" i="1" s="1"/>
  <c r="Z6785" i="1"/>
  <c r="Y6785" i="1" s="1"/>
  <c r="Z6784" i="1"/>
  <c r="Y6784" i="1" s="1"/>
  <c r="Z6783" i="1"/>
  <c r="Y6783" i="1" s="1"/>
  <c r="Z6782" i="1"/>
  <c r="Y6782" i="1" s="1"/>
  <c r="Z6781" i="1"/>
  <c r="Y6781" i="1" s="1"/>
  <c r="Z6780" i="1"/>
  <c r="Y6780" i="1" s="1"/>
  <c r="Z6779" i="1"/>
  <c r="Y6779" i="1" s="1"/>
  <c r="Z6775" i="1"/>
  <c r="Y6775" i="1" s="1"/>
  <c r="Z6778" i="1"/>
  <c r="Y6778" i="1" s="1"/>
  <c r="Z6777" i="1"/>
  <c r="Y6777" i="1" s="1"/>
  <c r="Z6776" i="1"/>
  <c r="Y6776" i="1" s="1"/>
  <c r="Z6774" i="1"/>
  <c r="Y6774" i="1" s="1"/>
  <c r="Z6773" i="1"/>
  <c r="Y6773" i="1" s="1"/>
  <c r="Z6772" i="1"/>
  <c r="Y6772" i="1" s="1"/>
  <c r="Z6771" i="1"/>
  <c r="Y6771" i="1" s="1"/>
  <c r="Z6770" i="1"/>
  <c r="Y6770" i="1" s="1"/>
  <c r="Z6769" i="1"/>
  <c r="Y6769" i="1" s="1"/>
  <c r="Z6768" i="1"/>
  <c r="Y6768" i="1" s="1"/>
  <c r="Z6767" i="1"/>
  <c r="Y6767" i="1" s="1"/>
  <c r="Z6766" i="1"/>
  <c r="Y6766" i="1" s="1"/>
  <c r="Z6765" i="1"/>
  <c r="Y6765" i="1" s="1"/>
  <c r="Z6764" i="1"/>
  <c r="Y6764" i="1" s="1"/>
  <c r="Z6763" i="1"/>
  <c r="Y6763" i="1" s="1"/>
  <c r="Z6762" i="1"/>
  <c r="Y6762" i="1" s="1"/>
  <c r="Z6761" i="1"/>
  <c r="Y6761" i="1" s="1"/>
  <c r="Z6760" i="1"/>
  <c r="Y6760" i="1" s="1"/>
  <c r="Z6759" i="1"/>
  <c r="Y6759" i="1" s="1"/>
  <c r="Z6758" i="1"/>
  <c r="Y6758" i="1" s="1"/>
  <c r="Z6757" i="1"/>
  <c r="Y6757" i="1" s="1"/>
  <c r="Z6756" i="1"/>
  <c r="Y6756" i="1" s="1"/>
  <c r="Z6755" i="1"/>
  <c r="Y6755" i="1" s="1"/>
  <c r="Z6754" i="1"/>
  <c r="Y6754" i="1" s="1"/>
  <c r="Z6753" i="1"/>
  <c r="Y6753" i="1" s="1"/>
  <c r="Z6752" i="1"/>
  <c r="Y6752" i="1" s="1"/>
  <c r="Z6751" i="1"/>
  <c r="Y6751" i="1" s="1"/>
  <c r="Z6750" i="1"/>
  <c r="Y6750" i="1" s="1"/>
  <c r="Z6749" i="1"/>
  <c r="Y6749" i="1" s="1"/>
  <c r="Z6748" i="1"/>
  <c r="Y6748" i="1" s="1"/>
  <c r="Z6747" i="1"/>
  <c r="Y6747" i="1" s="1"/>
  <c r="Z6730" i="1"/>
  <c r="Z6723" i="1"/>
  <c r="Z6746" i="1"/>
  <c r="Y6746" i="1" s="1"/>
  <c r="Z6745" i="1"/>
  <c r="Y6745" i="1" s="1"/>
  <c r="Z6744" i="1"/>
  <c r="Y6744" i="1" s="1"/>
  <c r="Z6743" i="1"/>
  <c r="Y6743" i="1" s="1"/>
  <c r="Z6742" i="1"/>
  <c r="Y6742" i="1" s="1"/>
  <c r="Z6741" i="1"/>
  <c r="Y6741" i="1" s="1"/>
  <c r="Z6740" i="1"/>
  <c r="Y6740" i="1" s="1"/>
  <c r="Z6739" i="1"/>
  <c r="Y6739" i="1" s="1"/>
  <c r="Z6738" i="1"/>
  <c r="Y6738" i="1" s="1"/>
  <c r="Z6737" i="1"/>
  <c r="Y6737" i="1" s="1"/>
  <c r="Z6736" i="1"/>
  <c r="Y6736" i="1" s="1"/>
  <c r="Z6735" i="1"/>
  <c r="Y6735" i="1" s="1"/>
  <c r="Z6734" i="1"/>
  <c r="Y6734" i="1" s="1"/>
  <c r="Z6733" i="1"/>
  <c r="Y6733" i="1" s="1"/>
  <c r="Z6732" i="1"/>
  <c r="Y6732" i="1" s="1"/>
  <c r="Z6731" i="1"/>
  <c r="Y6731" i="1" s="1"/>
  <c r="Z6729" i="1"/>
  <c r="Y6729" i="1" s="1"/>
  <c r="Z6728" i="1"/>
  <c r="Y6728" i="1" s="1"/>
  <c r="Z6727" i="1"/>
  <c r="Y6727" i="1" s="1"/>
  <c r="Z6726" i="1"/>
  <c r="Y6726" i="1" s="1"/>
  <c r="Z6725" i="1"/>
  <c r="Y6725" i="1" s="1"/>
  <c r="Z6724" i="1"/>
  <c r="Y6724" i="1" s="1"/>
  <c r="Z6722" i="1"/>
  <c r="Y6722" i="1" s="1"/>
  <c r="Z6721" i="1"/>
  <c r="Y6721" i="1" s="1"/>
  <c r="Z6720" i="1"/>
  <c r="Y6720" i="1" s="1"/>
  <c r="Z6719" i="1"/>
  <c r="Y6719" i="1" s="1"/>
  <c r="Z6718" i="1"/>
  <c r="Y6718" i="1" s="1"/>
  <c r="Z6717" i="1"/>
  <c r="Y6717" i="1" s="1"/>
  <c r="Z6716" i="1"/>
  <c r="Y6716" i="1" s="1"/>
  <c r="Z6715" i="1"/>
  <c r="Y6715" i="1" s="1"/>
  <c r="Z6714" i="1"/>
  <c r="Y6714" i="1" s="1"/>
  <c r="Z6713" i="1"/>
  <c r="Y6713" i="1" s="1"/>
  <c r="Z6712" i="1"/>
  <c r="Y6712" i="1" s="1"/>
  <c r="Z6711" i="1"/>
  <c r="Y6711" i="1" s="1"/>
  <c r="Z6709" i="1"/>
  <c r="Y6709" i="1" s="1"/>
  <c r="Z6710" i="1"/>
  <c r="Y6710" i="1" s="1"/>
  <c r="Z6699" i="1"/>
  <c r="Y6699" i="1" s="1"/>
  <c r="Z6708" i="1"/>
  <c r="Y6708" i="1" s="1"/>
  <c r="Z6707" i="1"/>
  <c r="Y6707" i="1" s="1"/>
  <c r="Z6706" i="1"/>
  <c r="Y6706" i="1" s="1"/>
  <c r="Z6705" i="1"/>
  <c r="Y6705" i="1" s="1"/>
  <c r="Z6704" i="1"/>
  <c r="Y6704" i="1" s="1"/>
  <c r="Z6703" i="1"/>
  <c r="Y6703" i="1" s="1"/>
  <c r="Z6702" i="1"/>
  <c r="Y6702" i="1" s="1"/>
  <c r="Z6701" i="1"/>
  <c r="Y6701" i="1" s="1"/>
  <c r="Z6700" i="1"/>
  <c r="Y6700" i="1" s="1"/>
  <c r="Y6698" i="1"/>
  <c r="Y6697" i="1"/>
  <c r="Y6696" i="1"/>
  <c r="Y6695" i="1"/>
  <c r="Y6694" i="1"/>
  <c r="Y6693" i="1"/>
  <c r="Y6692" i="1"/>
  <c r="Y6691" i="1"/>
  <c r="Y6690" i="1"/>
  <c r="Y6689" i="1"/>
  <c r="Y6688" i="1"/>
  <c r="Y6687" i="1"/>
  <c r="Y6686" i="1"/>
  <c r="Y6685" i="1"/>
  <c r="Y6684" i="1"/>
  <c r="Y6683" i="1"/>
  <c r="Y6682" i="1"/>
  <c r="Y6681" i="1"/>
  <c r="Y6680" i="1"/>
  <c r="Y6679" i="1"/>
  <c r="Y6678" i="1"/>
  <c r="Y6677" i="1"/>
  <c r="Y6675" i="1"/>
  <c r="Y6676" i="1"/>
  <c r="Y6674" i="1"/>
  <c r="Y6673" i="1"/>
  <c r="Y6672" i="1"/>
  <c r="Y6671" i="1"/>
  <c r="Y6670" i="1"/>
  <c r="Y6669" i="1"/>
  <c r="Y6668" i="1"/>
  <c r="Y6667" i="1"/>
  <c r="Y6666" i="1"/>
  <c r="Y6665" i="1"/>
  <c r="Y6664" i="1"/>
  <c r="Y6663" i="1"/>
  <c r="Y6662" i="1"/>
  <c r="Y6661" i="1"/>
  <c r="Y6660" i="1"/>
  <c r="Y6659" i="1"/>
  <c r="Y6658" i="1"/>
  <c r="Y6657" i="1"/>
  <c r="Y6656" i="1"/>
  <c r="Y6655" i="1"/>
  <c r="Y6654" i="1"/>
  <c r="Y6653" i="1"/>
  <c r="Y6652" i="1"/>
  <c r="Y6651" i="1"/>
  <c r="Y6650" i="1"/>
  <c r="Y6649" i="1"/>
  <c r="Y6648" i="1"/>
  <c r="Y6647" i="1"/>
  <c r="Y6645" i="1"/>
  <c r="Y6646" i="1"/>
  <c r="Y6644" i="1"/>
  <c r="Y6643" i="1"/>
  <c r="Y6642" i="1"/>
  <c r="Y6641" i="1"/>
  <c r="Y6640" i="1"/>
  <c r="Y6639" i="1"/>
  <c r="Y6638" i="1"/>
  <c r="Y6637" i="1"/>
  <c r="Y6634" i="1"/>
  <c r="Y6636" i="1"/>
  <c r="Y6635" i="1"/>
  <c r="Y6633" i="1"/>
  <c r="Y6632" i="1"/>
  <c r="Y6631" i="1"/>
  <c r="Y6630" i="1"/>
  <c r="Y6629" i="1"/>
  <c r="Y6628" i="1"/>
  <c r="Y6627" i="1"/>
  <c r="Y6626" i="1"/>
  <c r="Y6625" i="1"/>
  <c r="Y6624" i="1"/>
  <c r="Y6623" i="1"/>
  <c r="Y6622" i="1"/>
  <c r="Y6621" i="1"/>
  <c r="Y3100" i="1"/>
  <c r="Y3099" i="1"/>
  <c r="Y3098" i="1"/>
  <c r="Y3097" i="1"/>
  <c r="Y3096" i="1"/>
  <c r="Y3095" i="1"/>
  <c r="Q3100" i="1"/>
  <c r="Q3099" i="1"/>
  <c r="Q3098" i="1"/>
  <c r="Q3097" i="1"/>
  <c r="Y3094" i="1"/>
  <c r="Y3093" i="1"/>
  <c r="Y3092" i="1"/>
  <c r="Y3091" i="1"/>
  <c r="Y3090" i="1"/>
  <c r="Y3089" i="1"/>
  <c r="Y3088" i="1"/>
  <c r="Y3087" i="1"/>
  <c r="Y3086" i="1"/>
  <c r="Y3085" i="1"/>
  <c r="Q3094" i="1"/>
  <c r="Q3093" i="1"/>
  <c r="Q3092" i="1"/>
  <c r="Q3091" i="1"/>
  <c r="Q3090" i="1"/>
  <c r="Q3089" i="1"/>
  <c r="Q3088" i="1"/>
  <c r="Q3087" i="1"/>
  <c r="Y1693" i="1"/>
  <c r="Y1692" i="1"/>
  <c r="Y1691" i="1"/>
  <c r="Y1690" i="1"/>
  <c r="Y1689" i="1"/>
  <c r="Y1688" i="1"/>
  <c r="Y1687" i="1"/>
  <c r="Y1686" i="1"/>
  <c r="Y1685" i="1"/>
  <c r="V4573" i="1"/>
  <c r="U4573" i="1"/>
  <c r="V4572" i="1"/>
  <c r="U4572" i="1"/>
  <c r="V4571" i="1"/>
  <c r="U4571" i="1"/>
  <c r="V4568" i="1"/>
  <c r="U4568" i="1"/>
  <c r="V4567" i="1"/>
  <c r="U4567" i="1"/>
  <c r="V4566" i="1"/>
  <c r="U4566" i="1"/>
  <c r="V4565" i="1"/>
  <c r="U4565" i="1"/>
  <c r="V4562" i="1"/>
  <c r="U4562" i="1"/>
  <c r="V4561" i="1"/>
  <c r="U4561" i="1"/>
  <c r="V4560" i="1"/>
  <c r="U4560" i="1"/>
  <c r="V4559" i="1"/>
  <c r="U4559" i="1"/>
  <c r="V4556" i="1"/>
  <c r="U4556" i="1"/>
  <c r="V4555" i="1"/>
  <c r="U4555" i="1"/>
  <c r="V4554" i="1"/>
  <c r="U4554" i="1"/>
  <c r="V4553" i="1"/>
  <c r="U4553" i="1"/>
  <c r="V4550" i="1"/>
  <c r="U4550" i="1"/>
  <c r="V4549" i="1"/>
  <c r="U4549" i="1"/>
  <c r="V4548" i="1"/>
  <c r="U4548" i="1"/>
  <c r="V4547" i="1"/>
  <c r="U4547" i="1"/>
  <c r="V4544" i="1"/>
  <c r="U4544" i="1"/>
  <c r="V4543" i="1"/>
  <c r="U4543" i="1"/>
  <c r="V4542" i="1"/>
  <c r="U4542" i="1"/>
  <c r="V4541" i="1"/>
  <c r="U4541" i="1"/>
  <c r="V4538" i="1"/>
  <c r="U4538" i="1"/>
  <c r="V4537" i="1"/>
  <c r="U4537" i="1"/>
  <c r="V4536" i="1"/>
  <c r="U4536" i="1"/>
  <c r="V4535" i="1"/>
  <c r="U4535" i="1"/>
  <c r="V4532" i="1"/>
  <c r="U4532" i="1"/>
  <c r="V4531" i="1"/>
  <c r="U4531" i="1"/>
  <c r="V4530" i="1"/>
  <c r="U4530" i="1"/>
  <c r="V4529" i="1"/>
  <c r="U4529" i="1"/>
  <c r="V4526" i="1"/>
  <c r="U4526" i="1"/>
  <c r="V4525" i="1"/>
  <c r="U4525" i="1"/>
  <c r="V4524" i="1"/>
  <c r="U4524" i="1"/>
  <c r="V4523" i="1"/>
  <c r="U4523" i="1"/>
  <c r="V4520" i="1"/>
  <c r="U4520" i="1"/>
  <c r="V4519" i="1"/>
  <c r="U4519" i="1"/>
  <c r="V4518" i="1"/>
  <c r="U4518" i="1"/>
  <c r="V4517" i="1"/>
  <c r="U4517" i="1"/>
  <c r="V4514" i="1"/>
  <c r="U4514" i="1"/>
  <c r="V4513" i="1"/>
  <c r="U4513" i="1"/>
  <c r="V4512" i="1"/>
  <c r="U4512" i="1"/>
  <c r="V4511" i="1"/>
  <c r="U4511" i="1"/>
  <c r="V4508" i="1"/>
  <c r="U4508" i="1"/>
  <c r="V4507" i="1"/>
  <c r="U4507" i="1"/>
  <c r="V4506" i="1"/>
  <c r="U4506" i="1"/>
  <c r="V4505" i="1"/>
  <c r="U4505" i="1"/>
  <c r="V4502" i="1"/>
  <c r="U4502" i="1"/>
  <c r="V4501" i="1"/>
  <c r="U4501" i="1"/>
  <c r="V4500" i="1"/>
  <c r="U4500" i="1"/>
  <c r="V4499" i="1"/>
  <c r="U4499" i="1"/>
  <c r="V4496" i="1"/>
  <c r="U4496" i="1"/>
  <c r="V4495" i="1"/>
  <c r="U4495" i="1"/>
  <c r="V4494" i="1"/>
  <c r="U4494" i="1"/>
  <c r="V4493" i="1"/>
  <c r="U4493" i="1"/>
  <c r="V4490" i="1"/>
  <c r="U4490" i="1"/>
  <c r="V4489" i="1"/>
  <c r="U4489" i="1"/>
  <c r="V4488" i="1"/>
  <c r="U4488" i="1"/>
  <c r="V4487" i="1"/>
  <c r="U4487" i="1"/>
  <c r="V4484" i="1"/>
  <c r="U4484" i="1"/>
  <c r="V4483" i="1"/>
  <c r="U4483" i="1"/>
  <c r="V4482" i="1"/>
  <c r="U4482" i="1"/>
  <c r="V4481" i="1"/>
  <c r="U4481" i="1"/>
  <c r="V4478" i="1"/>
  <c r="U4478" i="1"/>
  <c r="V4477" i="1"/>
  <c r="U4477" i="1"/>
  <c r="V4476" i="1"/>
  <c r="U4476" i="1"/>
  <c r="V4475" i="1"/>
  <c r="U4475" i="1"/>
  <c r="V4472" i="1"/>
  <c r="U4472" i="1"/>
  <c r="V4471" i="1"/>
  <c r="U4471" i="1"/>
  <c r="V4470" i="1"/>
  <c r="U4470" i="1"/>
  <c r="V4469" i="1"/>
  <c r="U4469" i="1"/>
  <c r="V4466" i="1"/>
  <c r="U4466" i="1"/>
  <c r="V4465" i="1"/>
  <c r="U4465" i="1"/>
  <c r="V4464" i="1"/>
  <c r="U4464" i="1"/>
  <c r="V4463" i="1"/>
  <c r="U4463" i="1"/>
  <c r="V4460" i="1"/>
  <c r="U4460" i="1"/>
  <c r="V4459" i="1"/>
  <c r="U4459" i="1"/>
  <c r="V4458" i="1"/>
  <c r="U4458" i="1"/>
  <c r="V4457" i="1"/>
  <c r="U4457" i="1"/>
  <c r="V4454" i="1"/>
  <c r="U4454" i="1"/>
  <c r="V4453" i="1"/>
  <c r="U4453" i="1"/>
  <c r="V4452" i="1"/>
  <c r="U4452" i="1"/>
  <c r="V4451" i="1"/>
  <c r="U4451" i="1"/>
  <c r="V4448" i="1"/>
  <c r="U4448" i="1"/>
  <c r="V4447" i="1"/>
  <c r="U4447" i="1"/>
  <c r="V4446" i="1"/>
  <c r="U4446" i="1"/>
  <c r="V4445" i="1"/>
  <c r="U4445" i="1"/>
  <c r="V4442" i="1"/>
  <c r="U4442" i="1"/>
  <c r="V4441" i="1"/>
  <c r="U4441" i="1"/>
  <c r="V4440" i="1"/>
  <c r="U4440" i="1"/>
  <c r="V4439" i="1"/>
  <c r="U4439" i="1"/>
  <c r="V4436" i="1"/>
  <c r="U4436" i="1"/>
  <c r="V4435" i="1"/>
  <c r="U4435" i="1"/>
  <c r="V4434" i="1"/>
  <c r="U4434" i="1"/>
  <c r="V4433" i="1"/>
  <c r="U4433" i="1"/>
  <c r="V4430" i="1"/>
  <c r="U4430" i="1"/>
  <c r="V4429" i="1"/>
  <c r="U4429" i="1"/>
  <c r="V4428" i="1"/>
  <c r="U4428" i="1"/>
  <c r="V4427" i="1"/>
  <c r="U4427" i="1"/>
  <c r="V4424" i="1"/>
  <c r="U4424" i="1"/>
  <c r="V4423" i="1"/>
  <c r="U4423" i="1"/>
  <c r="V4422" i="1"/>
  <c r="U4422" i="1"/>
  <c r="V4421" i="1"/>
  <c r="U4421" i="1"/>
  <c r="V4418" i="1"/>
  <c r="U4418" i="1"/>
  <c r="V4417" i="1"/>
  <c r="U4417" i="1"/>
  <c r="V4416" i="1"/>
  <c r="U4416" i="1"/>
  <c r="V4415" i="1"/>
  <c r="U4415" i="1"/>
  <c r="V4412" i="1"/>
  <c r="U4412" i="1"/>
  <c r="V4411" i="1"/>
  <c r="U4411" i="1"/>
  <c r="V4410" i="1"/>
  <c r="U4410" i="1"/>
  <c r="V4409" i="1"/>
  <c r="U4409" i="1"/>
  <c r="V4406" i="1"/>
  <c r="U4406" i="1"/>
  <c r="V4693" i="1"/>
  <c r="U4693" i="1"/>
  <c r="V4692" i="1"/>
  <c r="U4692" i="1"/>
  <c r="V4691" i="1"/>
  <c r="U4691" i="1"/>
  <c r="V4690" i="1"/>
  <c r="U4690" i="1"/>
  <c r="V4685" i="1"/>
  <c r="U4685" i="1"/>
  <c r="V4684" i="1"/>
  <c r="U4684" i="1"/>
  <c r="V4683" i="1"/>
  <c r="U4683" i="1"/>
  <c r="V4682" i="1"/>
  <c r="U4682" i="1"/>
  <c r="V4677" i="1"/>
  <c r="U4677" i="1"/>
  <c r="V4676" i="1"/>
  <c r="U4676" i="1"/>
  <c r="V4675" i="1"/>
  <c r="U4675" i="1"/>
  <c r="V4674" i="1"/>
  <c r="U4674" i="1"/>
  <c r="V4673" i="1"/>
  <c r="U4673" i="1"/>
  <c r="V4672" i="1"/>
  <c r="U4672" i="1"/>
  <c r="V4671" i="1"/>
  <c r="U4671" i="1"/>
  <c r="V4670" i="1"/>
  <c r="U4670" i="1"/>
  <c r="V4669" i="1"/>
  <c r="U4669" i="1"/>
  <c r="V4668" i="1"/>
  <c r="U4668" i="1"/>
  <c r="V4667" i="1"/>
  <c r="U4667" i="1"/>
  <c r="V4666" i="1"/>
  <c r="U4666" i="1"/>
  <c r="V4661" i="1"/>
  <c r="U4661" i="1"/>
  <c r="V4660" i="1"/>
  <c r="U4660" i="1"/>
  <c r="V4659" i="1"/>
  <c r="U4659" i="1"/>
  <c r="V4658" i="1"/>
  <c r="U4658" i="1"/>
  <c r="V4653" i="1"/>
  <c r="U4653" i="1"/>
  <c r="V4652" i="1"/>
  <c r="U4652" i="1"/>
  <c r="V4651" i="1"/>
  <c r="U4651" i="1"/>
  <c r="V4650" i="1"/>
  <c r="U4650" i="1"/>
  <c r="V4649" i="1"/>
  <c r="U4649" i="1"/>
  <c r="V4648" i="1"/>
  <c r="U4648" i="1"/>
  <c r="V4647" i="1"/>
  <c r="U4647" i="1"/>
  <c r="V4646" i="1"/>
  <c r="U4646" i="1"/>
  <c r="V4645" i="1"/>
  <c r="U4645" i="1"/>
  <c r="V4644" i="1"/>
  <c r="U4644" i="1"/>
  <c r="V4643" i="1"/>
  <c r="U4643" i="1"/>
  <c r="V4642" i="1"/>
  <c r="U4642" i="1"/>
  <c r="V4637" i="1"/>
  <c r="U4637" i="1"/>
  <c r="V4636" i="1"/>
  <c r="U4636" i="1"/>
  <c r="V4635" i="1"/>
  <c r="U4635" i="1"/>
  <c r="V4634" i="1"/>
  <c r="U4634" i="1"/>
  <c r="V4629" i="1"/>
  <c r="U4629" i="1"/>
  <c r="V4628" i="1"/>
  <c r="U4628" i="1"/>
  <c r="V4627" i="1"/>
  <c r="U4627" i="1"/>
  <c r="V4626" i="1"/>
  <c r="U4626" i="1"/>
  <c r="V4625" i="1"/>
  <c r="U4625" i="1"/>
  <c r="V4624" i="1"/>
  <c r="U4624" i="1"/>
  <c r="V4623" i="1"/>
  <c r="U4623" i="1"/>
  <c r="V4622" i="1"/>
  <c r="U4622" i="1"/>
  <c r="V4621" i="1"/>
  <c r="U4621" i="1"/>
  <c r="V4620" i="1"/>
  <c r="U4620" i="1"/>
  <c r="V4619" i="1"/>
  <c r="U4619" i="1"/>
  <c r="V4618" i="1"/>
  <c r="U4618" i="1"/>
  <c r="V4613" i="1"/>
  <c r="U4613" i="1"/>
  <c r="V4612" i="1"/>
  <c r="U4612" i="1"/>
  <c r="V4611" i="1"/>
  <c r="U4611" i="1"/>
  <c r="V4610" i="1"/>
  <c r="U4610" i="1"/>
  <c r="V4605" i="1"/>
  <c r="U4605" i="1"/>
  <c r="V4604" i="1"/>
  <c r="U4604" i="1"/>
  <c r="V4603" i="1"/>
  <c r="U4603" i="1"/>
  <c r="V4602" i="1"/>
  <c r="U4602" i="1"/>
  <c r="V4601" i="1"/>
  <c r="U4601" i="1"/>
  <c r="V4600" i="1"/>
  <c r="U4600" i="1"/>
  <c r="V4599" i="1"/>
  <c r="U4599" i="1"/>
  <c r="V4598" i="1"/>
  <c r="U4598" i="1"/>
  <c r="V4597" i="1"/>
  <c r="U4597" i="1"/>
  <c r="V4596" i="1"/>
  <c r="U4596" i="1"/>
  <c r="V4595" i="1"/>
  <c r="U4595" i="1"/>
  <c r="V4594" i="1"/>
  <c r="U4594" i="1"/>
  <c r="V4589" i="1"/>
  <c r="U4589" i="1"/>
  <c r="V4588" i="1"/>
  <c r="U4588" i="1"/>
  <c r="V4587" i="1"/>
  <c r="U4587" i="1"/>
  <c r="V4586" i="1"/>
  <c r="U4586" i="1"/>
  <c r="V4581" i="1"/>
  <c r="U4581" i="1"/>
  <c r="V4580" i="1"/>
  <c r="U4580" i="1"/>
  <c r="V4579" i="1"/>
  <c r="U4579" i="1"/>
  <c r="V4578" i="1"/>
  <c r="U4578" i="1"/>
  <c r="V4577" i="1"/>
  <c r="U4577" i="1"/>
  <c r="V4576" i="1"/>
  <c r="U4576" i="1"/>
  <c r="V4575" i="1"/>
  <c r="U4575" i="1"/>
  <c r="V4574" i="1"/>
  <c r="U4574" i="1"/>
  <c r="V4405" i="1"/>
  <c r="U4405" i="1"/>
  <c r="V4404" i="1"/>
  <c r="U4404" i="1"/>
  <c r="V4403" i="1"/>
  <c r="U4403" i="1"/>
  <c r="V4402" i="1"/>
  <c r="U4402" i="1"/>
  <c r="V4397" i="1"/>
  <c r="U4397" i="1"/>
  <c r="V4396" i="1"/>
  <c r="U4396" i="1"/>
  <c r="V4395" i="1"/>
  <c r="U4395" i="1"/>
  <c r="V4394" i="1"/>
  <c r="U4394" i="1"/>
  <c r="V4389" i="1"/>
  <c r="U4389" i="1"/>
  <c r="V4388" i="1"/>
  <c r="U4388" i="1"/>
  <c r="V4387" i="1"/>
  <c r="U4387" i="1"/>
  <c r="V4386" i="1"/>
  <c r="U4386" i="1"/>
  <c r="V4385" i="1"/>
  <c r="U4385" i="1"/>
  <c r="V4384" i="1"/>
  <c r="U4384" i="1"/>
  <c r="V4383" i="1"/>
  <c r="U4383" i="1"/>
  <c r="V4382" i="1"/>
  <c r="U4382" i="1"/>
  <c r="V4381" i="1"/>
  <c r="U4381" i="1"/>
  <c r="V4379" i="1"/>
  <c r="U4379" i="1"/>
  <c r="V4373" i="1"/>
  <c r="U4373" i="1"/>
  <c r="V4371" i="1"/>
  <c r="U4371" i="1"/>
  <c r="V4365" i="1"/>
  <c r="U4365" i="1"/>
  <c r="V4363" i="1"/>
  <c r="U4363" i="1"/>
  <c r="V4361" i="1"/>
  <c r="U4361" i="1"/>
  <c r="V4359" i="1"/>
  <c r="U4359" i="1"/>
  <c r="V4380" i="1"/>
  <c r="U4380" i="1"/>
  <c r="V4378" i="1"/>
  <c r="U4378" i="1"/>
  <c r="V4372" i="1"/>
  <c r="U4372" i="1"/>
  <c r="V4370" i="1"/>
  <c r="U4370" i="1"/>
  <c r="V4364" i="1"/>
  <c r="U4364" i="1"/>
  <c r="V4362" i="1"/>
  <c r="U4362" i="1"/>
  <c r="Y6604" i="1"/>
  <c r="Z6605" i="1"/>
  <c r="Y6605" i="1" s="1"/>
  <c r="Z6603" i="1"/>
  <c r="Y6603" i="1" s="1"/>
  <c r="Z6602" i="1"/>
  <c r="Y6602" i="1" s="1"/>
  <c r="Z6601" i="1"/>
  <c r="Y6601" i="1" s="1"/>
  <c r="Z6600" i="1"/>
  <c r="Y6600" i="1" s="1"/>
  <c r="Y6595" i="1"/>
  <c r="Y6597" i="1"/>
  <c r="Y6599" i="1"/>
  <c r="Z6598" i="1"/>
  <c r="Y6598" i="1" s="1"/>
  <c r="Z6596" i="1"/>
  <c r="Y6596" i="1" s="1"/>
  <c r="Z6594" i="1"/>
  <c r="Y6594" i="1" s="1"/>
  <c r="Y6590" i="1"/>
  <c r="Y6593" i="1"/>
  <c r="Z6592" i="1"/>
  <c r="Y6592" i="1" s="1"/>
  <c r="Z6591" i="1"/>
  <c r="Y6591" i="1" s="1"/>
  <c r="Z6589" i="1"/>
  <c r="Y6589" i="1" s="1"/>
  <c r="Z6588" i="1"/>
  <c r="Y6588" i="1" s="1"/>
  <c r="Z6587" i="1"/>
  <c r="Y6587" i="1" s="1"/>
  <c r="Z6586" i="1"/>
  <c r="Y6586" i="1" s="1"/>
  <c r="Z6585" i="1"/>
  <c r="Y6585" i="1" s="1"/>
  <c r="Z6584" i="1"/>
  <c r="Y6584" i="1" s="1"/>
  <c r="Z6583" i="1"/>
  <c r="Y6583" i="1" s="1"/>
  <c r="Z6582" i="1"/>
  <c r="Y6582" i="1" s="1"/>
  <c r="Z6581" i="1"/>
  <c r="Y6581" i="1" s="1"/>
  <c r="Z6580" i="1"/>
  <c r="Y6580" i="1" s="1"/>
  <c r="Z6579" i="1"/>
  <c r="Y6579" i="1" s="1"/>
  <c r="Z6578" i="1"/>
  <c r="Y6578" i="1" s="1"/>
  <c r="Z6577" i="1"/>
  <c r="Y6577" i="1" s="1"/>
  <c r="Z6576" i="1"/>
  <c r="Y6576" i="1" s="1"/>
  <c r="Z6575" i="1"/>
  <c r="Y6575" i="1" s="1"/>
  <c r="Z6574" i="1"/>
  <c r="Y6574" i="1" s="1"/>
  <c r="Z6573" i="1"/>
  <c r="Y6573" i="1" s="1"/>
  <c r="Z6572" i="1"/>
  <c r="Y6572" i="1" s="1"/>
  <c r="Z6571" i="1"/>
  <c r="Y6571" i="1" s="1"/>
  <c r="Z6570" i="1"/>
  <c r="Y6570" i="1" s="1"/>
  <c r="Z6569" i="1"/>
  <c r="Y6569" i="1" s="1"/>
  <c r="Z6568" i="1"/>
  <c r="Y6568" i="1" s="1"/>
  <c r="Z6567" i="1"/>
  <c r="Y6567" i="1" s="1"/>
  <c r="Z6566" i="1"/>
  <c r="Y6566" i="1" s="1"/>
  <c r="Z6565" i="1"/>
  <c r="Y6565" i="1" s="1"/>
  <c r="Z6564" i="1"/>
  <c r="Y6564" i="1" s="1"/>
  <c r="Z6563" i="1"/>
  <c r="Y6563" i="1" s="1"/>
  <c r="Z6562" i="1"/>
  <c r="Y6562" i="1" s="1"/>
  <c r="Z6561" i="1"/>
  <c r="Y6561" i="1" s="1"/>
  <c r="Z6560" i="1"/>
  <c r="Y6560" i="1" s="1"/>
  <c r="Z6559" i="1"/>
  <c r="Y6559" i="1" s="1"/>
  <c r="Z6558" i="1"/>
  <c r="Y6558" i="1" s="1"/>
  <c r="Z6557" i="1"/>
  <c r="Y6557" i="1" s="1"/>
  <c r="Z6556" i="1"/>
  <c r="Y6556" i="1" s="1"/>
  <c r="Z6551" i="1"/>
  <c r="Y6551" i="1" s="1"/>
  <c r="Z6555" i="1"/>
  <c r="Y6555" i="1" s="1"/>
  <c r="Z6554" i="1"/>
  <c r="Y6554" i="1" s="1"/>
  <c r="Z6553" i="1"/>
  <c r="Y6553" i="1" s="1"/>
  <c r="Z6552" i="1"/>
  <c r="Y6552" i="1" s="1"/>
  <c r="Z6550" i="1"/>
  <c r="Y6550" i="1" s="1"/>
  <c r="Z6549" i="1"/>
  <c r="Y6549" i="1" s="1"/>
  <c r="Z6548" i="1"/>
  <c r="Y6548" i="1" s="1"/>
  <c r="Y6547" i="1"/>
  <c r="Y6546" i="1"/>
  <c r="Y6545" i="1"/>
  <c r="Y6544" i="1"/>
  <c r="Y6543" i="1"/>
  <c r="Y6542" i="1"/>
  <c r="Q6547" i="1"/>
  <c r="Q6546" i="1"/>
  <c r="Q6545" i="1"/>
  <c r="Q6544" i="1"/>
  <c r="Q6543" i="1"/>
  <c r="Q6542" i="1"/>
  <c r="Y6541" i="1"/>
  <c r="Y6540" i="1"/>
  <c r="Y6539" i="1"/>
  <c r="Y6538" i="1"/>
  <c r="Y6537" i="1"/>
  <c r="Y6536" i="1"/>
  <c r="Q6541" i="1"/>
  <c r="Q6540" i="1"/>
  <c r="Q6539" i="1"/>
  <c r="Q6538" i="1"/>
  <c r="Q6537" i="1"/>
  <c r="Q6536" i="1"/>
  <c r="Q6489" i="1"/>
  <c r="Q6488" i="1"/>
  <c r="Q6487" i="1"/>
  <c r="Q6486" i="1"/>
  <c r="Q6485" i="1"/>
  <c r="Q6484" i="1"/>
  <c r="Q6483" i="1"/>
  <c r="Q6482" i="1"/>
  <c r="Q6481" i="1"/>
  <c r="Q6480" i="1"/>
  <c r="Q6479" i="1"/>
  <c r="Q6478" i="1"/>
  <c r="Z5937" i="1"/>
  <c r="Y5937" i="1" s="1"/>
  <c r="Z5936" i="1"/>
  <c r="Y5936" i="1" s="1"/>
  <c r="Z5935" i="1"/>
  <c r="Y5935" i="1" s="1"/>
  <c r="X6455" i="1"/>
  <c r="X6454" i="1"/>
  <c r="X6453" i="1"/>
  <c r="Y6443" i="1"/>
  <c r="Y6442" i="1"/>
  <c r="Y6441" i="1"/>
  <c r="Y6440" i="1"/>
  <c r="Y6439" i="1"/>
  <c r="Y6438" i="1"/>
  <c r="Y6437" i="1"/>
  <c r="Y6436" i="1"/>
  <c r="Y6435" i="1"/>
  <c r="Y6434" i="1"/>
  <c r="Y6433" i="1"/>
  <c r="Y6432" i="1"/>
  <c r="Y6431" i="1"/>
  <c r="Y6430" i="1"/>
  <c r="Y6429" i="1"/>
  <c r="Y6428" i="1"/>
  <c r="Y6427" i="1"/>
  <c r="Y6426" i="1"/>
  <c r="Y6425" i="1"/>
  <c r="Y6424" i="1"/>
  <c r="Y6423" i="1"/>
  <c r="Y6422" i="1"/>
  <c r="Y6421" i="1"/>
  <c r="Y6420" i="1"/>
  <c r="Y6419" i="1"/>
  <c r="Y6418" i="1"/>
  <c r="Y6417" i="1"/>
  <c r="Y6416" i="1"/>
  <c r="Y6415" i="1"/>
  <c r="Y6414" i="1"/>
  <c r="Y6413" i="1"/>
  <c r="Y6412" i="1"/>
  <c r="Y6411" i="1"/>
  <c r="Y6410" i="1"/>
  <c r="Y6409" i="1"/>
  <c r="Y6408" i="1"/>
  <c r="Y6407" i="1"/>
  <c r="Y6406" i="1"/>
  <c r="Y6405" i="1"/>
  <c r="Y6404" i="1"/>
  <c r="Y6326" i="1"/>
  <c r="Y6325" i="1"/>
  <c r="Y6324" i="1"/>
  <c r="Y6323" i="1"/>
  <c r="Y6322" i="1"/>
  <c r="Y6321" i="1"/>
  <c r="Y6320" i="1"/>
  <c r="Y6319" i="1"/>
  <c r="Y6318" i="1"/>
  <c r="Y6317" i="1"/>
  <c r="Y6316" i="1"/>
  <c r="Y6315" i="1"/>
  <c r="Y6148" i="1"/>
  <c r="Y6147" i="1"/>
  <c r="Y6146" i="1"/>
  <c r="Y6145" i="1"/>
  <c r="Y6144" i="1"/>
  <c r="Y6143" i="1"/>
  <c r="Y6140" i="1"/>
  <c r="Y6139" i="1"/>
  <c r="Y6138" i="1"/>
  <c r="Y6135" i="1"/>
  <c r="Y6134" i="1"/>
  <c r="Y6133" i="1"/>
  <c r="Y6132" i="1"/>
  <c r="Y6129" i="1"/>
  <c r="Y6128" i="1"/>
  <c r="Y6127" i="1"/>
  <c r="Y6124" i="1"/>
  <c r="Y6123" i="1"/>
  <c r="Y6122" i="1"/>
  <c r="Y6121" i="1"/>
  <c r="Y6118" i="1"/>
  <c r="Y6117" i="1"/>
  <c r="Y6116" i="1"/>
  <c r="Y6120" i="1"/>
  <c r="Y6114" i="1"/>
  <c r="Y6113" i="1"/>
  <c r="Y6112" i="1"/>
  <c r="Y6111" i="1"/>
  <c r="Y6110" i="1"/>
  <c r="Y6053" i="1"/>
  <c r="Y6052" i="1"/>
  <c r="Y6051" i="1"/>
  <c r="Y6050" i="1"/>
  <c r="Y6049" i="1"/>
  <c r="Y6048" i="1"/>
  <c r="Y6047" i="1"/>
  <c r="Y6046" i="1"/>
  <c r="Y6045" i="1"/>
  <c r="Y6044" i="1"/>
  <c r="Y6043" i="1"/>
  <c r="Y6042" i="1"/>
  <c r="Y6041" i="1"/>
  <c r="Y6040" i="1"/>
  <c r="Y6039" i="1"/>
  <c r="Y6038" i="1"/>
  <c r="Y6037" i="1"/>
  <c r="Y6036" i="1"/>
  <c r="Y6035" i="1"/>
  <c r="Y6034" i="1"/>
  <c r="Y6033" i="1"/>
  <c r="Y6032" i="1"/>
  <c r="Y6031" i="1"/>
  <c r="Y6030" i="1"/>
  <c r="Y6029" i="1"/>
  <c r="Y6028" i="1"/>
  <c r="Y6027" i="1"/>
  <c r="Y6026" i="1"/>
  <c r="Y6025" i="1"/>
  <c r="Y6024" i="1"/>
  <c r="Y6023" i="1"/>
  <c r="Y6022" i="1"/>
  <c r="Y6021" i="1"/>
  <c r="Y6020" i="1"/>
  <c r="Y6019" i="1"/>
  <c r="Y6018" i="1"/>
  <c r="Y6017" i="1"/>
  <c r="Y6016" i="1"/>
  <c r="Y6015" i="1"/>
  <c r="Y6014" i="1"/>
  <c r="Y6013" i="1"/>
  <c r="Y6012" i="1"/>
  <c r="Y6011" i="1"/>
  <c r="Y6010" i="1"/>
  <c r="Y6009" i="1"/>
  <c r="Y6008" i="1"/>
  <c r="Y6007" i="1"/>
  <c r="Y6006" i="1"/>
  <c r="Y6005" i="1"/>
  <c r="Y6004" i="1"/>
  <c r="Y6003" i="1"/>
  <c r="Y6002" i="1"/>
  <c r="Y6001" i="1"/>
  <c r="Y6000" i="1"/>
  <c r="Y5999" i="1"/>
  <c r="Y5998" i="1"/>
  <c r="Y5934" i="1"/>
  <c r="Y5933" i="1"/>
  <c r="Y5932" i="1"/>
  <c r="Y5931" i="1"/>
  <c r="Y5930" i="1"/>
  <c r="Y5929" i="1"/>
  <c r="Y5928" i="1"/>
  <c r="Y5927" i="1"/>
  <c r="Y5926" i="1"/>
  <c r="Y5925" i="1"/>
  <c r="Y5924" i="1"/>
  <c r="Y5923" i="1"/>
  <c r="Y5922" i="1"/>
  <c r="Y5921" i="1"/>
  <c r="Y5920" i="1"/>
  <c r="Y5919" i="1"/>
  <c r="Y5918" i="1"/>
  <c r="Y5917" i="1"/>
  <c r="Y5916" i="1"/>
  <c r="Y5915" i="1"/>
  <c r="Y5914" i="1"/>
  <c r="Y5913" i="1"/>
  <c r="Y5912" i="1"/>
  <c r="Y5911" i="1"/>
  <c r="Y5910" i="1"/>
  <c r="Y5909" i="1"/>
  <c r="Y5908" i="1"/>
  <c r="Y5907" i="1"/>
  <c r="Y5906" i="1"/>
  <c r="Y5905" i="1"/>
  <c r="Y5904" i="1"/>
  <c r="Y5903" i="1"/>
  <c r="Y5902" i="1"/>
  <c r="Y5901" i="1"/>
  <c r="Y5900" i="1"/>
  <c r="Y5899" i="1"/>
  <c r="Y5898" i="1"/>
  <c r="Y5897" i="1"/>
  <c r="Y5896" i="1"/>
  <c r="Y5895" i="1"/>
  <c r="Y5894" i="1"/>
  <c r="Y5893" i="1"/>
  <c r="Y5892" i="1"/>
  <c r="Y5891" i="1"/>
  <c r="Y5890" i="1"/>
  <c r="Y5889" i="1"/>
  <c r="Y5888" i="1"/>
  <c r="Y5887" i="1"/>
  <c r="Y5886" i="1"/>
  <c r="Y5885" i="1"/>
  <c r="Y5884" i="1"/>
  <c r="Y5883" i="1"/>
  <c r="Y5882" i="1"/>
  <c r="Y5881" i="1"/>
  <c r="Y5880" i="1"/>
  <c r="Y5879" i="1"/>
  <c r="Y5878" i="1"/>
  <c r="Y5877" i="1"/>
  <c r="Y5876" i="1"/>
  <c r="Y5875" i="1"/>
  <c r="Y5874" i="1"/>
  <c r="Y5873" i="1"/>
  <c r="Y5872" i="1"/>
  <c r="Y5871" i="1"/>
  <c r="Q5870" i="1"/>
  <c r="Q5869" i="1"/>
  <c r="Q5868" i="1"/>
  <c r="Q5867" i="1"/>
  <c r="Q5866" i="1"/>
  <c r="Q5865" i="1"/>
  <c r="Q5864" i="1"/>
  <c r="Q5863" i="1"/>
  <c r="Q5862" i="1"/>
  <c r="Q5861" i="1"/>
  <c r="Q5860" i="1"/>
  <c r="Q5859" i="1"/>
  <c r="Q5858" i="1"/>
  <c r="Q5857" i="1"/>
  <c r="Q5856" i="1"/>
  <c r="Q5855" i="1"/>
  <c r="Q5854" i="1"/>
  <c r="Q5853" i="1"/>
  <c r="Q5852" i="1"/>
  <c r="Q5851" i="1"/>
  <c r="Q5845" i="1"/>
  <c r="Q5846" i="1"/>
  <c r="Q5847" i="1"/>
  <c r="Q5848" i="1"/>
  <c r="Q5849" i="1"/>
  <c r="Q5850" i="1"/>
  <c r="Q5844" i="1"/>
  <c r="Q5843" i="1"/>
  <c r="Q5842" i="1"/>
  <c r="Q5841" i="1"/>
  <c r="Q5840" i="1"/>
  <c r="Q5839" i="1"/>
  <c r="Q5838" i="1"/>
  <c r="Q5837" i="1"/>
  <c r="Q5836" i="1"/>
  <c r="Q5835" i="1"/>
  <c r="Q5834" i="1"/>
  <c r="Q5833" i="1"/>
  <c r="Q5832" i="1"/>
  <c r="Q5823" i="1"/>
  <c r="Q5824" i="1"/>
  <c r="Q5825" i="1"/>
  <c r="Q5826" i="1"/>
  <c r="Q5827" i="1"/>
  <c r="Q5828" i="1"/>
  <c r="Q5829" i="1"/>
  <c r="Q5830" i="1"/>
  <c r="Q5831" i="1"/>
  <c r="Q5822" i="1"/>
  <c r="Q5821" i="1"/>
  <c r="Q5781" i="1" l="1"/>
  <c r="Q5780" i="1"/>
  <c r="Q5779" i="1"/>
  <c r="Q5778" i="1"/>
  <c r="Q5777" i="1"/>
  <c r="Q5776" i="1"/>
  <c r="Q5775" i="1"/>
  <c r="Q5774" i="1"/>
  <c r="Q5773" i="1"/>
  <c r="Q5772" i="1"/>
  <c r="Q5771" i="1"/>
  <c r="Q5770" i="1"/>
  <c r="Q5769" i="1"/>
  <c r="Q5768" i="1"/>
  <c r="Q5767" i="1"/>
  <c r="Q5766" i="1"/>
  <c r="Q5765" i="1"/>
  <c r="Q5764" i="1"/>
  <c r="Q5763" i="1"/>
  <c r="Q5762" i="1"/>
  <c r="Q5757" i="1"/>
  <c r="Q5758" i="1"/>
  <c r="Q5759" i="1"/>
  <c r="Q5760" i="1"/>
  <c r="Q5761" i="1"/>
  <c r="Q5756" i="1"/>
  <c r="Q5737" i="1"/>
  <c r="Q5736" i="1"/>
  <c r="Q5735" i="1"/>
  <c r="Q5734" i="1"/>
  <c r="Q5733" i="1"/>
  <c r="Q5732" i="1"/>
  <c r="Q5728" i="1"/>
  <c r="Q5729" i="1"/>
  <c r="Q5730" i="1"/>
  <c r="Q5731" i="1"/>
  <c r="Q5727" i="1"/>
  <c r="Q5726" i="1"/>
  <c r="Q5725" i="1"/>
  <c r="Q5724" i="1"/>
  <c r="Q5723" i="1"/>
  <c r="Q5722" i="1"/>
  <c r="Q5721" i="1"/>
  <c r="Q5720" i="1"/>
  <c r="Q5719" i="1"/>
  <c r="Q5718" i="1"/>
  <c r="Q5717" i="1"/>
  <c r="Q5716" i="1"/>
  <c r="Q5715" i="1"/>
  <c r="Q5714" i="1"/>
  <c r="Q5713" i="1"/>
  <c r="Q5706" i="1"/>
  <c r="Q5707" i="1"/>
  <c r="Q5708" i="1"/>
  <c r="Q5709" i="1"/>
  <c r="Q5710" i="1"/>
  <c r="Q5711" i="1"/>
  <c r="Q5712" i="1"/>
  <c r="Q5700" i="1"/>
  <c r="Q5701" i="1"/>
  <c r="Q5702" i="1"/>
  <c r="Q5703" i="1"/>
  <c r="Q5704" i="1"/>
  <c r="Q5705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677" i="1"/>
  <c r="Q5678" i="1"/>
  <c r="Q5679" i="1"/>
  <c r="Q5680" i="1"/>
  <c r="Q5681" i="1"/>
  <c r="Q5682" i="1"/>
  <c r="Q5683" i="1"/>
  <c r="Q5684" i="1"/>
  <c r="Q5685" i="1"/>
  <c r="Q5686" i="1"/>
  <c r="Q5676" i="1"/>
  <c r="Q5675" i="1"/>
  <c r="Q5674" i="1"/>
  <c r="Q5673" i="1"/>
  <c r="Q5672" i="1"/>
  <c r="Q5671" i="1"/>
  <c r="Q5666" i="1"/>
  <c r="Q5667" i="1"/>
  <c r="Q5668" i="1"/>
  <c r="Q5669" i="1"/>
  <c r="Q5670" i="1"/>
  <c r="Q5659" i="1"/>
  <c r="Q5660" i="1"/>
  <c r="Q5661" i="1"/>
  <c r="Q5662" i="1"/>
  <c r="Q5663" i="1"/>
  <c r="Q5664" i="1"/>
  <c r="Q5665" i="1"/>
  <c r="Q5658" i="1"/>
  <c r="Q5657" i="1"/>
  <c r="Z5656" i="1" l="1"/>
  <c r="Y5656" i="1" s="1"/>
  <c r="Z5655" i="1"/>
  <c r="Y5655" i="1" s="1"/>
  <c r="Z5654" i="1"/>
  <c r="Y5654" i="1" s="1"/>
  <c r="Z5653" i="1"/>
  <c r="Y5653" i="1" s="1"/>
  <c r="Z5652" i="1"/>
  <c r="Y5652" i="1" s="1"/>
  <c r="Z5651" i="1"/>
  <c r="Y5651" i="1" s="1"/>
  <c r="Z5650" i="1"/>
  <c r="Y5650" i="1" s="1"/>
  <c r="Z5649" i="1"/>
  <c r="Y5649" i="1" s="1"/>
  <c r="Z5648" i="1"/>
  <c r="Y5648" i="1" s="1"/>
  <c r="Z5647" i="1"/>
  <c r="Y5647" i="1" s="1"/>
  <c r="Z5646" i="1"/>
  <c r="Y5646" i="1" s="1"/>
  <c r="Z5645" i="1"/>
  <c r="Y5645" i="1" s="1"/>
  <c r="Z5644" i="1"/>
  <c r="Y5644" i="1" s="1"/>
  <c r="Z5643" i="1"/>
  <c r="Y5643" i="1" s="1"/>
  <c r="Z5642" i="1"/>
  <c r="Y5642" i="1" s="1"/>
  <c r="Z5641" i="1"/>
  <c r="Y5641" i="1" s="1"/>
  <c r="Z5640" i="1"/>
  <c r="Y5640" i="1" s="1"/>
  <c r="Z5639" i="1"/>
  <c r="Y5639" i="1" s="1"/>
  <c r="Z5638" i="1"/>
  <c r="Y5638" i="1" s="1"/>
  <c r="Z5637" i="1"/>
  <c r="Y5637" i="1" s="1"/>
  <c r="Z5636" i="1"/>
  <c r="Y5636" i="1" s="1"/>
  <c r="Z5635" i="1"/>
  <c r="Y5635" i="1" s="1"/>
  <c r="Z5634" i="1"/>
  <c r="Y5634" i="1" s="1"/>
  <c r="Z5633" i="1"/>
  <c r="Y5633" i="1" s="1"/>
  <c r="Z5632" i="1"/>
  <c r="Y5632" i="1" s="1"/>
  <c r="Z5631" i="1"/>
  <c r="Y5631" i="1" s="1"/>
  <c r="Z5630" i="1"/>
  <c r="Y5630" i="1" s="1"/>
  <c r="Z5629" i="1"/>
  <c r="Y5629" i="1" s="1"/>
  <c r="Y5594" i="1"/>
  <c r="Y5596" i="1"/>
  <c r="Y5618" i="1"/>
  <c r="Y5624" i="1"/>
  <c r="Y5625" i="1"/>
  <c r="Z5628" i="1"/>
  <c r="Y5628" i="1" s="1"/>
  <c r="Z5627" i="1"/>
  <c r="Y5627" i="1" s="1"/>
  <c r="Z5626" i="1"/>
  <c r="Y5626" i="1" s="1"/>
  <c r="Z5623" i="1"/>
  <c r="Y5623" i="1" s="1"/>
  <c r="Z5622" i="1"/>
  <c r="Y5622" i="1" s="1"/>
  <c r="Z5621" i="1"/>
  <c r="Y5621" i="1" s="1"/>
  <c r="Z5620" i="1"/>
  <c r="Y5620" i="1" s="1"/>
  <c r="Z5619" i="1"/>
  <c r="Y5619" i="1" s="1"/>
  <c r="Z5617" i="1"/>
  <c r="Y5617" i="1" s="1"/>
  <c r="Z5616" i="1"/>
  <c r="Y5616" i="1" s="1"/>
  <c r="Z5615" i="1"/>
  <c r="Y5615" i="1" s="1"/>
  <c r="Z5614" i="1"/>
  <c r="Y5614" i="1" s="1"/>
  <c r="Z5613" i="1"/>
  <c r="Y5613" i="1" s="1"/>
  <c r="Z5612" i="1"/>
  <c r="Y5612" i="1" s="1"/>
  <c r="Z5611" i="1"/>
  <c r="Y5611" i="1" s="1"/>
  <c r="Z5610" i="1"/>
  <c r="Y5610" i="1" s="1"/>
  <c r="Z5609" i="1"/>
  <c r="Y5609" i="1" s="1"/>
  <c r="Z5608" i="1"/>
  <c r="Y5608" i="1" s="1"/>
  <c r="Z5607" i="1"/>
  <c r="Y5607" i="1" s="1"/>
  <c r="Z5606" i="1"/>
  <c r="Y5606" i="1" s="1"/>
  <c r="Z5605" i="1"/>
  <c r="Y5605" i="1" s="1"/>
  <c r="Z5604" i="1"/>
  <c r="Y5604" i="1" s="1"/>
  <c r="Z5603" i="1"/>
  <c r="Y5603" i="1" s="1"/>
  <c r="Z5602" i="1"/>
  <c r="Y5602" i="1" s="1"/>
  <c r="Z5601" i="1"/>
  <c r="Y5601" i="1" s="1"/>
  <c r="Z5600" i="1"/>
  <c r="Y5600" i="1" s="1"/>
  <c r="Z5599" i="1"/>
  <c r="Y5599" i="1" s="1"/>
  <c r="Z5598" i="1"/>
  <c r="Y5598" i="1" s="1"/>
  <c r="Z5597" i="1"/>
  <c r="Y5597" i="1" s="1"/>
  <c r="Z5595" i="1"/>
  <c r="Y5595" i="1" s="1"/>
  <c r="Z5593" i="1"/>
  <c r="Y5593" i="1" s="1"/>
  <c r="Q5628" i="1"/>
  <c r="Q5627" i="1"/>
  <c r="Q5626" i="1"/>
  <c r="Q5625" i="1"/>
  <c r="Q5624" i="1"/>
  <c r="Q5623" i="1"/>
  <c r="Q5622" i="1"/>
  <c r="Q5621" i="1"/>
  <c r="Q5620" i="1"/>
  <c r="Q5619" i="1"/>
  <c r="Q5618" i="1"/>
  <c r="Q5617" i="1"/>
  <c r="Q5616" i="1"/>
  <c r="Q5615" i="1"/>
  <c r="Q5614" i="1"/>
  <c r="Q5613" i="1"/>
  <c r="Q5612" i="1"/>
  <c r="Q5611" i="1"/>
  <c r="Q5610" i="1"/>
  <c r="Q5609" i="1"/>
  <c r="Q5608" i="1"/>
  <c r="Q5607" i="1"/>
  <c r="Q5606" i="1"/>
  <c r="Q5605" i="1"/>
  <c r="Q5604" i="1"/>
  <c r="Q5603" i="1"/>
  <c r="Q5602" i="1"/>
  <c r="Q5601" i="1"/>
  <c r="Q5600" i="1"/>
  <c r="Q5599" i="1"/>
  <c r="Q5598" i="1"/>
  <c r="Q5597" i="1"/>
  <c r="Q5596" i="1"/>
  <c r="Q5595" i="1"/>
  <c r="Q5594" i="1"/>
  <c r="Q5593" i="1"/>
  <c r="Y5558" i="1"/>
  <c r="Y5559" i="1"/>
  <c r="Y5560" i="1"/>
  <c r="Y5561" i="1"/>
  <c r="Y5577" i="1"/>
  <c r="Y5583" i="1"/>
  <c r="Y5589" i="1"/>
  <c r="Z5592" i="1"/>
  <c r="Y5592" i="1" s="1"/>
  <c r="Z5591" i="1"/>
  <c r="Y5591" i="1" s="1"/>
  <c r="Z5590" i="1"/>
  <c r="Y5590" i="1" s="1"/>
  <c r="Z5588" i="1"/>
  <c r="Y5588" i="1" s="1"/>
  <c r="Z5587" i="1"/>
  <c r="Y5587" i="1" s="1"/>
  <c r="Z5586" i="1"/>
  <c r="Y5586" i="1" s="1"/>
  <c r="Z5585" i="1"/>
  <c r="Y5585" i="1" s="1"/>
  <c r="Z5584" i="1"/>
  <c r="Y5584" i="1" s="1"/>
  <c r="Z5582" i="1"/>
  <c r="Y5582" i="1" s="1"/>
  <c r="Z5581" i="1"/>
  <c r="Y5581" i="1" s="1"/>
  <c r="Z5580" i="1"/>
  <c r="Y5580" i="1" s="1"/>
  <c r="Z5579" i="1"/>
  <c r="Y5579" i="1" s="1"/>
  <c r="Z5578" i="1"/>
  <c r="Y5578" i="1" s="1"/>
  <c r="Z5576" i="1"/>
  <c r="Y5576" i="1" s="1"/>
  <c r="Z5575" i="1"/>
  <c r="Y5575" i="1" s="1"/>
  <c r="Z5574" i="1"/>
  <c r="Y5574" i="1" s="1"/>
  <c r="Z5573" i="1"/>
  <c r="Y5573" i="1" s="1"/>
  <c r="Z5572" i="1"/>
  <c r="Y5572" i="1" s="1"/>
  <c r="Z5571" i="1"/>
  <c r="Y5571" i="1" s="1"/>
  <c r="Z5570" i="1"/>
  <c r="Y5570" i="1" s="1"/>
  <c r="Z5569" i="1"/>
  <c r="Y5569" i="1" s="1"/>
  <c r="Z5568" i="1"/>
  <c r="Y5568" i="1" s="1"/>
  <c r="Z5567" i="1"/>
  <c r="Y5567" i="1" s="1"/>
  <c r="Z5566" i="1"/>
  <c r="Y5566" i="1" s="1"/>
  <c r="Z5565" i="1"/>
  <c r="Y5565" i="1" s="1"/>
  <c r="Z5564" i="1"/>
  <c r="Y5564" i="1" s="1"/>
  <c r="Z5563" i="1"/>
  <c r="Y5563" i="1" s="1"/>
  <c r="Z5562" i="1"/>
  <c r="Y5562" i="1" s="1"/>
  <c r="Z5557" i="1"/>
  <c r="Y5557" i="1" s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57" i="1"/>
  <c r="Z5556" i="1" l="1"/>
  <c r="Y5556" i="1" s="1"/>
  <c r="Z5555" i="1"/>
  <c r="Y5555" i="1" s="1"/>
  <c r="Y5487" i="1"/>
  <c r="Y5486" i="1"/>
  <c r="Y5485" i="1"/>
  <c r="Y5484" i="1"/>
  <c r="Y5483" i="1"/>
  <c r="Y5482" i="1"/>
  <c r="Y5481" i="1"/>
  <c r="Y5480" i="1"/>
  <c r="Y5479" i="1"/>
  <c r="Y5478" i="1"/>
  <c r="Y5477" i="1"/>
  <c r="Y5476" i="1"/>
  <c r="Y5475" i="1"/>
  <c r="Y5474" i="1"/>
  <c r="Y5473" i="1"/>
  <c r="Y5472" i="1"/>
  <c r="Y5471" i="1"/>
  <c r="Y5470" i="1"/>
  <c r="Y5469" i="1"/>
  <c r="Y5468" i="1"/>
  <c r="Y5467" i="1"/>
  <c r="Y5466" i="1"/>
  <c r="Y5465" i="1"/>
  <c r="Y5464" i="1"/>
  <c r="Y5463" i="1"/>
  <c r="Y5462" i="1"/>
  <c r="Y5461" i="1"/>
  <c r="Y5460" i="1"/>
  <c r="Y5459" i="1"/>
  <c r="Y5458" i="1"/>
  <c r="Y5457" i="1"/>
  <c r="Y5456" i="1"/>
  <c r="Y5235" i="1"/>
  <c r="Y5234" i="1"/>
  <c r="Y5233" i="1"/>
  <c r="Y5232" i="1"/>
  <c r="Y5231" i="1"/>
  <c r="Y5230" i="1"/>
  <c r="Y5229" i="1"/>
  <c r="Y5228" i="1"/>
  <c r="Y5227" i="1"/>
  <c r="Y5226" i="1"/>
  <c r="Y5225" i="1"/>
  <c r="Y5224" i="1"/>
  <c r="Y5223" i="1"/>
  <c r="Y5222" i="1"/>
  <c r="Y5221" i="1"/>
  <c r="Y5220" i="1"/>
  <c r="Y5219" i="1"/>
  <c r="Y5218" i="1"/>
  <c r="Y5217" i="1"/>
  <c r="Y5216" i="1"/>
  <c r="Y5215" i="1"/>
  <c r="Y5214" i="1"/>
  <c r="Y5213" i="1"/>
  <c r="Y5212" i="1"/>
  <c r="Y5211" i="1"/>
  <c r="Y5210" i="1"/>
  <c r="Y5209" i="1"/>
  <c r="Y5208" i="1"/>
  <c r="Y5207" i="1"/>
  <c r="Y5206" i="1"/>
  <c r="Y5205" i="1"/>
  <c r="Y5204" i="1"/>
  <c r="Y5203" i="1"/>
  <c r="Y5202" i="1"/>
  <c r="Y5201" i="1"/>
  <c r="Y5200" i="1"/>
  <c r="Y5199" i="1"/>
  <c r="Y5198" i="1"/>
  <c r="Y5197" i="1"/>
  <c r="Y5196" i="1"/>
  <c r="Y5195" i="1"/>
  <c r="Y5194" i="1"/>
  <c r="Y5193" i="1"/>
  <c r="Y5192" i="1"/>
  <c r="Y5191" i="1"/>
  <c r="Y5190" i="1"/>
  <c r="Y5189" i="1"/>
  <c r="Y5188" i="1"/>
  <c r="Y5187" i="1"/>
  <c r="Y5186" i="1"/>
  <c r="Y5185" i="1"/>
  <c r="Y5184" i="1"/>
  <c r="Y5183" i="1"/>
  <c r="Y5182" i="1"/>
  <c r="Y5181" i="1"/>
  <c r="Y5180" i="1"/>
  <c r="Y5179" i="1"/>
  <c r="Y5178" i="1"/>
  <c r="Y5177" i="1"/>
  <c r="Y5176" i="1"/>
  <c r="Y5151" i="1"/>
  <c r="Y5150" i="1"/>
  <c r="Y5149" i="1"/>
  <c r="Y5148" i="1"/>
  <c r="Y5147" i="1"/>
  <c r="Y5146" i="1"/>
  <c r="Y5142" i="1"/>
  <c r="Y5143" i="1"/>
  <c r="Y5144" i="1"/>
  <c r="Y5145" i="1"/>
  <c r="Y5140" i="1"/>
  <c r="Y5141" i="1"/>
  <c r="Y5136" i="1"/>
  <c r="Y5137" i="1"/>
  <c r="Y5138" i="1"/>
  <c r="Y5139" i="1"/>
  <c r="Y5135" i="1"/>
  <c r="Z5134" i="1"/>
  <c r="Y5134" i="1" s="1"/>
  <c r="Z5133" i="1"/>
  <c r="Y5133" i="1" s="1"/>
  <c r="Z5132" i="1"/>
  <c r="Y5132" i="1" s="1"/>
  <c r="Z5131" i="1"/>
  <c r="Y5131" i="1" s="1"/>
  <c r="Z5130" i="1"/>
  <c r="Y5130" i="1" s="1"/>
  <c r="Z5129" i="1"/>
  <c r="Y5129" i="1" s="1"/>
  <c r="Z5128" i="1"/>
  <c r="Y5128" i="1" s="1"/>
  <c r="Z5127" i="1"/>
  <c r="Y5127" i="1" s="1"/>
  <c r="Z5126" i="1"/>
  <c r="Y5126" i="1" s="1"/>
  <c r="Z5125" i="1"/>
  <c r="Y5125" i="1" s="1"/>
  <c r="Y5117" i="1"/>
  <c r="Y5116" i="1"/>
  <c r="Y5115" i="1"/>
  <c r="Y5114" i="1"/>
  <c r="Z5089" i="1" l="1"/>
  <c r="Y5089" i="1" s="1"/>
  <c r="Z5088" i="1"/>
  <c r="Y5088" i="1" s="1"/>
  <c r="Z5087" i="1"/>
  <c r="Y5087" i="1" s="1"/>
  <c r="Z5086" i="1"/>
  <c r="Y5086" i="1" s="1"/>
  <c r="Z5085" i="1"/>
  <c r="Y5085" i="1" s="1"/>
  <c r="Z5084" i="1"/>
  <c r="Y5084" i="1" s="1"/>
  <c r="Z5083" i="1"/>
  <c r="Y5083" i="1" s="1"/>
  <c r="Z5082" i="1"/>
  <c r="Y5082" i="1" s="1"/>
  <c r="Z5081" i="1"/>
  <c r="Y5081" i="1" s="1"/>
  <c r="Z5080" i="1"/>
  <c r="Y5080" i="1" s="1"/>
  <c r="Z5079" i="1"/>
  <c r="Y5079" i="1" s="1"/>
  <c r="Z5078" i="1"/>
  <c r="Y5078" i="1" s="1"/>
  <c r="Z5077" i="1"/>
  <c r="Y5077" i="1" s="1"/>
  <c r="Z5076" i="1"/>
  <c r="Y5076" i="1" s="1"/>
  <c r="Z5075" i="1"/>
  <c r="Y5075" i="1" s="1"/>
  <c r="Z5074" i="1"/>
  <c r="Y5074" i="1" s="1"/>
  <c r="Z5073" i="1"/>
  <c r="Y5073" i="1" s="1"/>
  <c r="Z5072" i="1"/>
  <c r="Y5072" i="1" s="1"/>
  <c r="Z5071" i="1"/>
  <c r="Y5071" i="1" s="1"/>
  <c r="Z5070" i="1"/>
  <c r="Y5070" i="1" s="1"/>
  <c r="Z5069" i="1"/>
  <c r="Y5069" i="1" s="1"/>
  <c r="Z5068" i="1"/>
  <c r="Y5068" i="1" s="1"/>
  <c r="Z5067" i="1"/>
  <c r="Y5067" i="1" s="1"/>
  <c r="Z5066" i="1"/>
  <c r="Y5066" i="1" s="1"/>
  <c r="Z5065" i="1"/>
  <c r="Y5065" i="1" s="1"/>
  <c r="Z5064" i="1"/>
  <c r="Y5064" i="1" s="1"/>
  <c r="Z5063" i="1"/>
  <c r="Y5063" i="1" s="1"/>
  <c r="Z5062" i="1"/>
  <c r="Y5062" i="1" s="1"/>
  <c r="Z5061" i="1"/>
  <c r="Y5061" i="1" s="1"/>
  <c r="Z5060" i="1"/>
  <c r="Y5060" i="1" s="1"/>
  <c r="Z5059" i="1"/>
  <c r="Y5059" i="1" s="1"/>
  <c r="Z5058" i="1"/>
  <c r="Y5058" i="1" s="1"/>
  <c r="Z5057" i="1"/>
  <c r="Y5057" i="1" s="1"/>
  <c r="Z5056" i="1"/>
  <c r="Y5056" i="1" s="1"/>
  <c r="Z5055" i="1"/>
  <c r="Y5055" i="1" s="1"/>
  <c r="Z5054" i="1"/>
  <c r="Y5054" i="1" s="1"/>
  <c r="Z5053" i="1"/>
  <c r="Y5053" i="1" s="1"/>
  <c r="Z5052" i="1"/>
  <c r="Y5052" i="1" s="1"/>
  <c r="Z5051" i="1"/>
  <c r="Y5051" i="1" s="1"/>
  <c r="Z5046" i="1"/>
  <c r="Y5046" i="1" s="1"/>
  <c r="Z5047" i="1"/>
  <c r="Y5047" i="1" s="1"/>
  <c r="X5047" i="1"/>
  <c r="X5046" i="1"/>
  <c r="Z5045" i="1"/>
  <c r="Y5045" i="1" s="1"/>
  <c r="Z5044" i="1"/>
  <c r="Y5044" i="1" s="1"/>
  <c r="Z5043" i="1"/>
  <c r="Y5043" i="1" s="1"/>
  <c r="Z5042" i="1"/>
  <c r="Y5042" i="1" s="1"/>
  <c r="Z5041" i="1"/>
  <c r="Y5041" i="1" s="1"/>
  <c r="Z5040" i="1"/>
  <c r="Y5040" i="1" s="1"/>
  <c r="Z5039" i="1"/>
  <c r="Y5039" i="1" s="1"/>
  <c r="Z5038" i="1"/>
  <c r="Y5038" i="1" s="1"/>
  <c r="Z5037" i="1"/>
  <c r="Y5037" i="1" s="1"/>
  <c r="Z5036" i="1"/>
  <c r="Y5036" i="1" s="1"/>
  <c r="Z5035" i="1"/>
  <c r="Y5035" i="1" s="1"/>
  <c r="Z5034" i="1"/>
  <c r="Y5034" i="1" s="1"/>
  <c r="Y5022" i="1"/>
  <c r="Y5026" i="1"/>
  <c r="Z5033" i="1"/>
  <c r="Y5033" i="1" s="1"/>
  <c r="Z5032" i="1"/>
  <c r="Y5032" i="1" s="1"/>
  <c r="Z5031" i="1"/>
  <c r="Y5031" i="1" s="1"/>
  <c r="Z5030" i="1"/>
  <c r="Y5030" i="1" s="1"/>
  <c r="Z5029" i="1"/>
  <c r="Y5029" i="1" s="1"/>
  <c r="Z5028" i="1"/>
  <c r="Y5028" i="1" s="1"/>
  <c r="Z5027" i="1"/>
  <c r="Y5027" i="1" s="1"/>
  <c r="Z5025" i="1"/>
  <c r="Y5025" i="1" s="1"/>
  <c r="Z5024" i="1"/>
  <c r="Y5024" i="1" s="1"/>
  <c r="Z5023" i="1"/>
  <c r="Y5023" i="1" s="1"/>
  <c r="Z5021" i="1"/>
  <c r="Y5021" i="1" s="1"/>
  <c r="Z5020" i="1"/>
  <c r="Y5020" i="1" s="1"/>
  <c r="Z5019" i="1"/>
  <c r="Y5019" i="1" s="1"/>
  <c r="Z5018" i="1"/>
  <c r="Y5018" i="1" s="1"/>
  <c r="Z5017" i="1"/>
  <c r="Y5017" i="1" s="1"/>
  <c r="Z5016" i="1"/>
  <c r="Y5016" i="1" s="1"/>
  <c r="Z5015" i="1"/>
  <c r="Y5015" i="1" s="1"/>
  <c r="Z5014" i="1"/>
  <c r="Y5014" i="1" s="1"/>
  <c r="Z5013" i="1"/>
  <c r="Y5013" i="1" s="1"/>
  <c r="Z5012" i="1"/>
  <c r="Y5012" i="1" s="1"/>
  <c r="Z5011" i="1"/>
  <c r="Y5011" i="1" s="1"/>
  <c r="Z5010" i="1"/>
  <c r="Y5010" i="1" s="1"/>
  <c r="Z5009" i="1"/>
  <c r="Y5009" i="1" s="1"/>
  <c r="Z5008" i="1"/>
  <c r="Y5008" i="1" s="1"/>
  <c r="Z5007" i="1"/>
  <c r="Y5007" i="1" s="1"/>
  <c r="Z5006" i="1"/>
  <c r="Y5006" i="1" s="1"/>
  <c r="Z5005" i="1"/>
  <c r="Y5005" i="1" s="1"/>
  <c r="Z5004" i="1"/>
  <c r="Y5004" i="1" s="1"/>
  <c r="Z5003" i="1"/>
  <c r="Y5003" i="1" s="1"/>
  <c r="Z5002" i="1"/>
  <c r="Y5002" i="1" s="1"/>
  <c r="Z5001" i="1"/>
  <c r="Y5001" i="1" s="1"/>
  <c r="Z5000" i="1"/>
  <c r="Y5000" i="1" s="1"/>
  <c r="Z4999" i="1"/>
  <c r="Y4999" i="1" s="1"/>
  <c r="Z4998" i="1"/>
  <c r="Y4998" i="1" s="1"/>
  <c r="Z4997" i="1"/>
  <c r="Y4997" i="1" s="1"/>
  <c r="Z4996" i="1"/>
  <c r="Y4996" i="1" s="1"/>
  <c r="Z4995" i="1"/>
  <c r="Y4995" i="1" s="1"/>
  <c r="Z4994" i="1"/>
  <c r="Y4994" i="1" s="1"/>
  <c r="Z4993" i="1"/>
  <c r="Y4993" i="1" s="1"/>
  <c r="Z4992" i="1"/>
  <c r="Y4992" i="1" s="1"/>
  <c r="Z4991" i="1"/>
  <c r="Y4991" i="1" s="1"/>
  <c r="Z4990" i="1"/>
  <c r="Y4990" i="1" s="1"/>
  <c r="Z4989" i="1"/>
  <c r="Y4989" i="1" s="1"/>
  <c r="Z4988" i="1"/>
  <c r="Y4988" i="1" s="1"/>
  <c r="Z4987" i="1"/>
  <c r="Y4987" i="1" s="1"/>
  <c r="Z4986" i="1"/>
  <c r="Y4986" i="1" s="1"/>
  <c r="Z4985" i="1"/>
  <c r="Y4985" i="1" s="1"/>
  <c r="Z4984" i="1"/>
  <c r="Y4984" i="1" s="1"/>
  <c r="Z4983" i="1"/>
  <c r="Y4983" i="1" s="1"/>
  <c r="Z4982" i="1"/>
  <c r="Y4982" i="1" s="1"/>
  <c r="Z4981" i="1"/>
  <c r="Y4981" i="1" s="1"/>
  <c r="Z4980" i="1"/>
  <c r="Y4980" i="1" s="1"/>
  <c r="Z4979" i="1"/>
  <c r="Y4979" i="1" s="1"/>
  <c r="Z4978" i="1"/>
  <c r="Y4978" i="1" s="1"/>
  <c r="Z4977" i="1"/>
  <c r="Y4977" i="1" s="1"/>
  <c r="Z4976" i="1"/>
  <c r="Y4976" i="1" s="1"/>
  <c r="Z4975" i="1"/>
  <c r="Y4975" i="1" s="1"/>
  <c r="Z4974" i="1"/>
  <c r="Y4974" i="1" s="1"/>
  <c r="Z4973" i="1"/>
  <c r="Y4973" i="1" s="1"/>
  <c r="Z4972" i="1"/>
  <c r="Y4972" i="1" s="1"/>
  <c r="Z4971" i="1"/>
  <c r="Y4971" i="1" s="1"/>
  <c r="Z4970" i="1"/>
  <c r="Y4970" i="1" s="1"/>
  <c r="Z4969" i="1"/>
  <c r="Y4969" i="1" s="1"/>
  <c r="Z4968" i="1"/>
  <c r="Y4968" i="1" s="1"/>
  <c r="Z4967" i="1"/>
  <c r="Y4967" i="1" s="1"/>
  <c r="Z4966" i="1"/>
  <c r="Y4966" i="1" s="1"/>
  <c r="Z4965" i="1"/>
  <c r="Y4965" i="1" s="1"/>
  <c r="Z4964" i="1"/>
  <c r="Y4964" i="1" s="1"/>
  <c r="Z4963" i="1"/>
  <c r="Y4963" i="1" s="1"/>
  <c r="Z4962" i="1"/>
  <c r="Y4962" i="1" s="1"/>
  <c r="Z4961" i="1"/>
  <c r="Y4961" i="1" s="1"/>
  <c r="Z4960" i="1"/>
  <c r="Y4960" i="1" s="1"/>
  <c r="Z4959" i="1"/>
  <c r="Y4959" i="1" s="1"/>
  <c r="Z4958" i="1"/>
  <c r="Y4958" i="1" s="1"/>
  <c r="Z4957" i="1"/>
  <c r="Y4957" i="1" s="1"/>
  <c r="Z4956" i="1"/>
  <c r="Y4956" i="1" s="1"/>
  <c r="Z4955" i="1"/>
  <c r="Y4955" i="1" s="1"/>
  <c r="Z4954" i="1"/>
  <c r="Y4954" i="1" s="1"/>
  <c r="Z4953" i="1"/>
  <c r="Y4953" i="1" s="1"/>
  <c r="Z4952" i="1"/>
  <c r="Y4952" i="1" s="1"/>
  <c r="Z4951" i="1"/>
  <c r="Y4951" i="1" s="1"/>
  <c r="Z4950" i="1"/>
  <c r="Y4950" i="1" s="1"/>
  <c r="Z4949" i="1"/>
  <c r="Y4949" i="1" s="1"/>
  <c r="Z4948" i="1"/>
  <c r="Y4948" i="1" s="1"/>
  <c r="Z4947" i="1"/>
  <c r="Y4947" i="1" s="1"/>
  <c r="Z4946" i="1"/>
  <c r="Y4946" i="1" s="1"/>
  <c r="Z4945" i="1"/>
  <c r="Y4945" i="1" s="1"/>
  <c r="Z4944" i="1"/>
  <c r="Y4944" i="1" s="1"/>
  <c r="Z4943" i="1"/>
  <c r="Y4943" i="1" s="1"/>
  <c r="Z4942" i="1"/>
  <c r="Y4942" i="1" s="1"/>
  <c r="Z4941" i="1"/>
  <c r="Y4941" i="1" s="1"/>
  <c r="Z4940" i="1"/>
  <c r="Y4940" i="1" s="1"/>
  <c r="Z4939" i="1"/>
  <c r="Y4939" i="1" s="1"/>
  <c r="Z4938" i="1"/>
  <c r="Y4938" i="1" s="1"/>
  <c r="Z4937" i="1"/>
  <c r="Y4937" i="1" s="1"/>
  <c r="Z4936" i="1"/>
  <c r="Y4936" i="1" s="1"/>
  <c r="Z4935" i="1"/>
  <c r="Y4935" i="1" s="1"/>
  <c r="Z4934" i="1"/>
  <c r="Y4934" i="1" s="1"/>
  <c r="Z4933" i="1"/>
  <c r="Y4933" i="1" s="1"/>
  <c r="Z4932" i="1"/>
  <c r="Y4932" i="1" s="1"/>
  <c r="Z4931" i="1"/>
  <c r="Y4931" i="1" s="1"/>
  <c r="Z4930" i="1"/>
  <c r="Y4930" i="1" s="1"/>
  <c r="Z4929" i="1"/>
  <c r="Y4929" i="1" s="1"/>
  <c r="Z4928" i="1"/>
  <c r="Y4928" i="1" s="1"/>
  <c r="Z4927" i="1"/>
  <c r="Y4927" i="1" s="1"/>
  <c r="Z4926" i="1"/>
  <c r="Y4926" i="1" s="1"/>
  <c r="Z4925" i="1"/>
  <c r="Y4925" i="1" s="1"/>
  <c r="Z4924" i="1"/>
  <c r="Y4924" i="1" s="1"/>
  <c r="Z4923" i="1"/>
  <c r="Y4923" i="1" s="1"/>
  <c r="Z4922" i="1"/>
  <c r="Y4922" i="1" s="1"/>
  <c r="Z4921" i="1"/>
  <c r="Y4921" i="1" s="1"/>
  <c r="Z4920" i="1"/>
  <c r="Y4920" i="1" s="1"/>
  <c r="Z4919" i="1"/>
  <c r="Y4919" i="1" s="1"/>
  <c r="Z4918" i="1"/>
  <c r="Y4918" i="1" s="1"/>
  <c r="Z4917" i="1"/>
  <c r="Y4917" i="1" s="1"/>
  <c r="Z4916" i="1"/>
  <c r="Y4916" i="1" s="1"/>
  <c r="Z4915" i="1"/>
  <c r="Y4915" i="1" s="1"/>
  <c r="Z4914" i="1"/>
  <c r="Y4914" i="1" s="1"/>
  <c r="Z4913" i="1"/>
  <c r="Y4913" i="1" s="1"/>
  <c r="Z4912" i="1"/>
  <c r="Y4912" i="1" s="1"/>
  <c r="Y4911" i="1"/>
  <c r="Z4910" i="1"/>
  <c r="Y4910" i="1" s="1"/>
  <c r="Z4909" i="1"/>
  <c r="Y4909" i="1" s="1"/>
  <c r="Z4908" i="1"/>
  <c r="Y4908" i="1" s="1"/>
  <c r="Z4907" i="1"/>
  <c r="Y4907" i="1" s="1"/>
  <c r="Z4906" i="1"/>
  <c r="Y4906" i="1" s="1"/>
  <c r="Z4905" i="1"/>
  <c r="Y4905" i="1" s="1"/>
  <c r="Z4904" i="1"/>
  <c r="Y4904" i="1" s="1"/>
  <c r="Z4903" i="1"/>
  <c r="Y4903" i="1" s="1"/>
  <c r="Z4902" i="1"/>
  <c r="Y4902" i="1" s="1"/>
  <c r="Z4865" i="1"/>
  <c r="Y4865" i="1" s="1"/>
  <c r="Z4864" i="1"/>
  <c r="Y4864" i="1" s="1"/>
  <c r="Z4863" i="1"/>
  <c r="Y4863" i="1" s="1"/>
  <c r="Z4862" i="1"/>
  <c r="Y4862" i="1" s="1"/>
  <c r="V4865" i="1"/>
  <c r="V4864" i="1"/>
  <c r="V4863" i="1"/>
  <c r="V4862" i="1"/>
  <c r="V4861" i="1"/>
  <c r="V4860" i="1"/>
  <c r="Z4861" i="1"/>
  <c r="Y4861" i="1" s="1"/>
  <c r="Z4860" i="1"/>
  <c r="Y4860" i="1" s="1"/>
  <c r="Z4859" i="1"/>
  <c r="Y4859" i="1" s="1"/>
  <c r="Z4858" i="1"/>
  <c r="Y4858" i="1" s="1"/>
  <c r="V4859" i="1"/>
  <c r="V4858" i="1"/>
  <c r="Y4813" i="1"/>
  <c r="Y4812" i="1"/>
  <c r="Y4811" i="1"/>
  <c r="Y4810" i="1"/>
  <c r="Y4809" i="1"/>
  <c r="Y4808" i="1"/>
  <c r="Y4807" i="1"/>
  <c r="Y4806" i="1"/>
  <c r="Y4805" i="1"/>
  <c r="Y4804" i="1"/>
  <c r="Y4803" i="1"/>
  <c r="Y4802" i="1"/>
  <c r="Y4801" i="1"/>
  <c r="Y4800" i="1"/>
  <c r="Y4799" i="1"/>
  <c r="Y4798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Z4785" i="1"/>
  <c r="Y4785" i="1" s="1"/>
  <c r="Z4784" i="1"/>
  <c r="Y4784" i="1" s="1"/>
  <c r="Z4783" i="1"/>
  <c r="Y4783" i="1" s="1"/>
  <c r="Z4782" i="1"/>
  <c r="Y4782" i="1" s="1"/>
  <c r="Z4779" i="1"/>
  <c r="Y4779" i="1" s="1"/>
  <c r="Z4780" i="1"/>
  <c r="Y4780" i="1" s="1"/>
  <c r="Z4781" i="1"/>
  <c r="Y4781" i="1" s="1"/>
  <c r="Z4778" i="1"/>
  <c r="Y4778" i="1" s="1"/>
  <c r="Z4777" i="1"/>
  <c r="Y4777" i="1" s="1"/>
  <c r="Z4776" i="1"/>
  <c r="Y4776" i="1" s="1"/>
  <c r="Z4775" i="1"/>
  <c r="Y4775" i="1" s="1"/>
  <c r="Z4774" i="1"/>
  <c r="Y4774" i="1" s="1"/>
  <c r="Y4773" i="1" l="1"/>
  <c r="X4773" i="1"/>
  <c r="Y4772" i="1"/>
  <c r="X4772" i="1"/>
  <c r="Y4771" i="1"/>
  <c r="X4771" i="1"/>
  <c r="Y4770" i="1"/>
  <c r="X4770" i="1"/>
  <c r="Y4769" i="1"/>
  <c r="X4769" i="1"/>
  <c r="Y4768" i="1"/>
  <c r="X4768" i="1"/>
  <c r="Y4766" i="1"/>
  <c r="X4766" i="1"/>
  <c r="Y4765" i="1"/>
  <c r="X4765" i="1"/>
  <c r="Y4764" i="1"/>
  <c r="X4764" i="1"/>
  <c r="Y4763" i="1"/>
  <c r="X4763" i="1"/>
  <c r="Y4762" i="1"/>
  <c r="X4762" i="1"/>
  <c r="Y4760" i="1"/>
  <c r="X4760" i="1"/>
  <c r="Y4759" i="1"/>
  <c r="X4759" i="1"/>
  <c r="Y4758" i="1"/>
  <c r="X4758" i="1"/>
  <c r="Y4757" i="1"/>
  <c r="X4757" i="1"/>
  <c r="Y4756" i="1"/>
  <c r="X4756" i="1"/>
  <c r="Y4755" i="1"/>
  <c r="Y4754" i="1"/>
  <c r="Y4753" i="1"/>
  <c r="Y4752" i="1"/>
  <c r="Y4751" i="1"/>
  <c r="Y4750" i="1"/>
  <c r="Y4749" i="1"/>
  <c r="Y4748" i="1"/>
  <c r="Y4747" i="1"/>
  <c r="Y4746" i="1"/>
  <c r="Y4745" i="1"/>
  <c r="Y4744" i="1"/>
  <c r="Y4743" i="1"/>
  <c r="Y4742" i="1"/>
  <c r="Y4741" i="1"/>
  <c r="Y4740" i="1"/>
  <c r="Y4739" i="1"/>
  <c r="Y4738" i="1"/>
  <c r="Y4737" i="1"/>
  <c r="Y4736" i="1"/>
  <c r="Y4735" i="1"/>
  <c r="Y4734" i="1"/>
  <c r="Y4733" i="1"/>
  <c r="Y4732" i="1"/>
  <c r="Y4731" i="1"/>
  <c r="Y4730" i="1"/>
  <c r="Y4729" i="1"/>
  <c r="Y4728" i="1"/>
  <c r="Y4727" i="1"/>
  <c r="Y4726" i="1"/>
  <c r="Y4725" i="1"/>
  <c r="Y4724" i="1"/>
  <c r="Y4723" i="1"/>
  <c r="Y4722" i="1"/>
  <c r="Y4721" i="1"/>
  <c r="Y4720" i="1"/>
  <c r="Y4719" i="1"/>
  <c r="Y4718" i="1"/>
  <c r="Y4717" i="1"/>
  <c r="Y4716" i="1"/>
  <c r="Y4715" i="1"/>
  <c r="Y4714" i="1"/>
  <c r="Y4713" i="1"/>
  <c r="Y4712" i="1"/>
  <c r="Y4711" i="1"/>
  <c r="Y4710" i="1"/>
  <c r="Y4709" i="1"/>
  <c r="Y4708" i="1"/>
  <c r="Y4707" i="1"/>
  <c r="Y4706" i="1"/>
  <c r="Y4705" i="1"/>
  <c r="Y4704" i="1"/>
  <c r="Y4703" i="1"/>
  <c r="Y4702" i="1"/>
  <c r="Y4701" i="1"/>
  <c r="Y4700" i="1"/>
  <c r="Y4699" i="1"/>
  <c r="X4703" i="1"/>
  <c r="X4702" i="1"/>
  <c r="X4701" i="1"/>
  <c r="X4700" i="1"/>
  <c r="X4699" i="1"/>
  <c r="Y4698" i="1"/>
  <c r="Y4697" i="1"/>
  <c r="Y4696" i="1"/>
  <c r="Y4695" i="1"/>
  <c r="Y4694" i="1"/>
  <c r="X4698" i="1"/>
  <c r="X4697" i="1"/>
  <c r="X4696" i="1"/>
  <c r="X4695" i="1"/>
  <c r="X4694" i="1"/>
  <c r="V4360" i="1"/>
  <c r="V4358" i="1"/>
  <c r="U4360" i="1"/>
  <c r="U4358" i="1"/>
  <c r="Y4357" i="1"/>
  <c r="Y4356" i="1"/>
  <c r="Y4355" i="1"/>
  <c r="Y4354" i="1"/>
  <c r="Y4353" i="1"/>
  <c r="Y4352" i="1"/>
  <c r="Y4351" i="1"/>
  <c r="Y4350" i="1"/>
  <c r="Y4349" i="1"/>
  <c r="Y4348" i="1"/>
  <c r="Y4347" i="1"/>
  <c r="Y4346" i="1"/>
  <c r="Y4345" i="1"/>
  <c r="Y4344" i="1"/>
  <c r="Y4343" i="1"/>
  <c r="Y4342" i="1"/>
  <c r="Y4341" i="1"/>
  <c r="Y4340" i="1"/>
  <c r="Y4339" i="1"/>
  <c r="Y4338" i="1"/>
  <c r="Y4337" i="1"/>
  <c r="Y4336" i="1"/>
  <c r="Y4334" i="1"/>
  <c r="Y4333" i="1"/>
  <c r="Y4332" i="1"/>
  <c r="Y4329" i="1"/>
  <c r="Y4328" i="1"/>
  <c r="Y4327" i="1"/>
  <c r="Y4326" i="1"/>
  <c r="Y4325" i="1"/>
  <c r="Y4324" i="1"/>
  <c r="Y4323" i="1"/>
  <c r="Y4322" i="1"/>
  <c r="Y4321" i="1"/>
  <c r="Y4320" i="1"/>
  <c r="Y4319" i="1"/>
  <c r="Y4318" i="1"/>
  <c r="Y4317" i="1"/>
  <c r="Y4316" i="1"/>
  <c r="Y4315" i="1"/>
  <c r="Y4314" i="1"/>
  <c r="Y4313" i="1"/>
  <c r="Y4312" i="1"/>
  <c r="Y4311" i="1"/>
  <c r="Y4310" i="1"/>
  <c r="Y4309" i="1"/>
  <c r="Y4308" i="1"/>
  <c r="Y4307" i="1"/>
  <c r="Y4306" i="1"/>
  <c r="Y4305" i="1"/>
  <c r="Y4304" i="1"/>
  <c r="Y4303" i="1"/>
  <c r="Y4302" i="1"/>
  <c r="Y4301" i="1"/>
  <c r="Y4300" i="1"/>
  <c r="Y4299" i="1"/>
  <c r="Y4298" i="1"/>
  <c r="Y4297" i="1"/>
  <c r="Y4296" i="1"/>
  <c r="Y4295" i="1"/>
  <c r="Y4294" i="1"/>
  <c r="Y4293" i="1"/>
  <c r="Y4292" i="1"/>
  <c r="Y4291" i="1"/>
  <c r="Y4290" i="1"/>
  <c r="Y4289" i="1"/>
  <c r="Y4288" i="1"/>
  <c r="Y4287" i="1"/>
  <c r="Y4286" i="1"/>
  <c r="Y4285" i="1"/>
  <c r="Y4284" i="1"/>
  <c r="Y4283" i="1"/>
  <c r="Y4282" i="1"/>
  <c r="Y4281" i="1"/>
  <c r="Y4280" i="1"/>
  <c r="Y4279" i="1"/>
  <c r="Y4278" i="1"/>
  <c r="Y4277" i="1"/>
  <c r="Y4276" i="1"/>
  <c r="Y4275" i="1"/>
  <c r="Y4274" i="1"/>
  <c r="Y4273" i="1"/>
  <c r="Y4272" i="1"/>
  <c r="Y4271" i="1"/>
  <c r="Y4252" i="1"/>
  <c r="Y4251" i="1"/>
  <c r="Y4250" i="1"/>
  <c r="Y4270" i="1"/>
  <c r="Y4269" i="1"/>
  <c r="Y4268" i="1"/>
  <c r="Y4267" i="1"/>
  <c r="Y4266" i="1"/>
  <c r="Y4265" i="1"/>
  <c r="Y4264" i="1"/>
  <c r="Y4262" i="1"/>
  <c r="Y4261" i="1"/>
  <c r="Y4260" i="1"/>
  <c r="Y4259" i="1"/>
  <c r="Y4258" i="1"/>
  <c r="Y4257" i="1"/>
  <c r="Y4256" i="1"/>
  <c r="Y4255" i="1"/>
  <c r="Y4254" i="1"/>
  <c r="Y4253" i="1"/>
  <c r="Y4248" i="1"/>
  <c r="Y4247" i="1"/>
  <c r="Y4246" i="1"/>
  <c r="Y4245" i="1"/>
  <c r="Y4244" i="1"/>
  <c r="Y4243" i="1"/>
  <c r="Y4242" i="1"/>
  <c r="Y4241" i="1"/>
  <c r="Y4240" i="1"/>
  <c r="Y4239" i="1"/>
  <c r="Y4238" i="1"/>
  <c r="Y4237" i="1"/>
  <c r="Y4236" i="1"/>
  <c r="Y4235" i="1"/>
  <c r="Y4234" i="1"/>
  <c r="Y4233" i="1"/>
  <c r="Y4232" i="1"/>
  <c r="Y4231" i="1"/>
  <c r="Y4230" i="1"/>
  <c r="Y4229" i="1"/>
  <c r="Z4228" i="1"/>
  <c r="Y4228" i="1" s="1"/>
  <c r="Z4227" i="1"/>
  <c r="Y4227" i="1" s="1"/>
  <c r="Z4226" i="1"/>
  <c r="Y4226" i="1" s="1"/>
  <c r="Z4225" i="1"/>
  <c r="Y4225" i="1" s="1"/>
  <c r="Z4224" i="1"/>
  <c r="Y4224" i="1" s="1"/>
  <c r="Z4223" i="1"/>
  <c r="Y4223" i="1" s="1"/>
  <c r="Z4222" i="1"/>
  <c r="Y4222" i="1" s="1"/>
  <c r="Z4221" i="1"/>
  <c r="Y4221" i="1" s="1"/>
  <c r="Z4220" i="1"/>
  <c r="Y4220" i="1" s="1"/>
  <c r="Z4219" i="1"/>
  <c r="Y4219" i="1" s="1"/>
  <c r="Z4218" i="1"/>
  <c r="Y4218" i="1" s="1"/>
  <c r="Z4217" i="1"/>
  <c r="Y4217" i="1" s="1"/>
  <c r="Z4216" i="1"/>
  <c r="Y4216" i="1" s="1"/>
  <c r="Z4215" i="1"/>
  <c r="Y4215" i="1" s="1"/>
  <c r="Z4214" i="1"/>
  <c r="Y4214" i="1" s="1"/>
  <c r="Z4213" i="1"/>
  <c r="Y4213" i="1" s="1"/>
  <c r="Z4212" i="1"/>
  <c r="Y4212" i="1" s="1"/>
  <c r="Z4211" i="1"/>
  <c r="Y4211" i="1" s="1"/>
  <c r="Z4210" i="1"/>
  <c r="Y4210" i="1" s="1"/>
  <c r="Z4209" i="1"/>
  <c r="Y4209" i="1" s="1"/>
  <c r="Z4208" i="1"/>
  <c r="Y4208" i="1" s="1"/>
  <c r="Z4207" i="1"/>
  <c r="Y4207" i="1" s="1"/>
  <c r="Z4206" i="1"/>
  <c r="Y4206" i="1" s="1"/>
  <c r="Z4205" i="1"/>
  <c r="Y4205" i="1" s="1"/>
  <c r="Z4204" i="1"/>
  <c r="Y4204" i="1" s="1"/>
  <c r="Z4203" i="1"/>
  <c r="Y4203" i="1" s="1"/>
  <c r="Z4202" i="1"/>
  <c r="Y4202" i="1" s="1"/>
  <c r="Z4201" i="1"/>
  <c r="Y4201" i="1" s="1"/>
  <c r="Z4200" i="1"/>
  <c r="Y4200" i="1" s="1"/>
  <c r="Z4199" i="1"/>
  <c r="Y4199" i="1" s="1"/>
  <c r="Z4198" i="1"/>
  <c r="Y4198" i="1" s="1"/>
  <c r="Z4197" i="1"/>
  <c r="Y4197" i="1" s="1"/>
  <c r="Z4196" i="1"/>
  <c r="Y4196" i="1" s="1"/>
  <c r="Z4195" i="1"/>
  <c r="Y4195" i="1" s="1"/>
  <c r="Z4194" i="1"/>
  <c r="Y4194" i="1" s="1"/>
  <c r="Z4193" i="1"/>
  <c r="Y4193" i="1" s="1"/>
  <c r="Z4192" i="1"/>
  <c r="Y4192" i="1" s="1"/>
  <c r="Z4191" i="1"/>
  <c r="Y4191" i="1" s="1"/>
  <c r="Y4185" i="1"/>
  <c r="Z4190" i="1"/>
  <c r="Y4190" i="1" s="1"/>
  <c r="Z4189" i="1"/>
  <c r="Y4189" i="1" s="1"/>
  <c r="Z4188" i="1"/>
  <c r="Y4188" i="1" s="1"/>
  <c r="Z4187" i="1"/>
  <c r="Y4187" i="1" s="1"/>
  <c r="Z4186" i="1"/>
  <c r="Y4186" i="1" s="1"/>
  <c r="Z4184" i="1"/>
  <c r="Y4184" i="1" s="1"/>
  <c r="Z4183" i="1"/>
  <c r="Y4183" i="1" s="1"/>
  <c r="Z4182" i="1"/>
  <c r="Y4182" i="1" s="1"/>
  <c r="Z4181" i="1"/>
  <c r="Y4181" i="1" s="1"/>
  <c r="Z4180" i="1"/>
  <c r="Y4180" i="1" s="1"/>
  <c r="Z4179" i="1"/>
  <c r="Y4179" i="1" s="1"/>
  <c r="Z4178" i="1"/>
  <c r="Y4178" i="1" s="1"/>
  <c r="Z4177" i="1"/>
  <c r="Y4177" i="1" s="1"/>
  <c r="Z4176" i="1"/>
  <c r="Y4176" i="1" s="1"/>
  <c r="Q4180" i="1"/>
  <c r="Q4177" i="1"/>
  <c r="Q4178" i="1"/>
  <c r="Q4179" i="1"/>
  <c r="Q4176" i="1"/>
  <c r="Z4175" i="1"/>
  <c r="Y4175" i="1" s="1"/>
  <c r="Z4174" i="1"/>
  <c r="Y4174" i="1" s="1"/>
  <c r="Z4173" i="1"/>
  <c r="Y4173" i="1" s="1"/>
  <c r="Z4172" i="1"/>
  <c r="Y4172" i="1" s="1"/>
  <c r="Z4171" i="1"/>
  <c r="Y4171" i="1" s="1"/>
  <c r="Z4170" i="1"/>
  <c r="Y4170" i="1" s="1"/>
  <c r="Z4169" i="1"/>
  <c r="Y4169" i="1" s="1"/>
  <c r="Z4168" i="1"/>
  <c r="Y4168" i="1" s="1"/>
  <c r="Z4167" i="1"/>
  <c r="Y4167" i="1" s="1"/>
  <c r="Z4166" i="1"/>
  <c r="Y4166" i="1" s="1"/>
  <c r="Z4165" i="1"/>
  <c r="Y4165" i="1" s="1"/>
  <c r="Z4164" i="1"/>
  <c r="Y4164" i="1" s="1"/>
  <c r="Z4163" i="1"/>
  <c r="Y4163" i="1" s="1"/>
  <c r="Z4162" i="1"/>
  <c r="Y4162" i="1" s="1"/>
  <c r="Z4161" i="1"/>
  <c r="Y4161" i="1" s="1"/>
  <c r="Z4160" i="1"/>
  <c r="Y4160" i="1" s="1"/>
  <c r="Z4159" i="1"/>
  <c r="Y4159" i="1" s="1"/>
  <c r="Z4158" i="1"/>
  <c r="Y4158" i="1" s="1"/>
  <c r="Q4159" i="1"/>
  <c r="Q4158" i="1"/>
  <c r="Z4157" i="1"/>
  <c r="Y4157" i="1" s="1"/>
  <c r="Z4156" i="1"/>
  <c r="Y4156" i="1" s="1"/>
  <c r="Q4157" i="1"/>
  <c r="Q4156" i="1"/>
  <c r="Z4155" i="1"/>
  <c r="Y4155" i="1" s="1"/>
  <c r="Z4154" i="1"/>
  <c r="Y4154" i="1" s="1"/>
  <c r="Q4155" i="1"/>
  <c r="Q4154" i="1"/>
  <c r="Z4153" i="1"/>
  <c r="Y4153" i="1" s="1"/>
  <c r="Z4152" i="1"/>
  <c r="Y4152" i="1" s="1"/>
  <c r="Q4153" i="1"/>
  <c r="Q4152" i="1"/>
  <c r="Y4151" i="1"/>
  <c r="Y4150" i="1"/>
  <c r="Q4151" i="1"/>
  <c r="Q4150" i="1"/>
  <c r="Y4149" i="1"/>
  <c r="Y4148" i="1"/>
  <c r="Y4147" i="1"/>
  <c r="Y4146" i="1"/>
  <c r="Y4145" i="1"/>
  <c r="Y4144" i="1"/>
  <c r="Q4145" i="1"/>
  <c r="Q4146" i="1"/>
  <c r="Q4147" i="1"/>
  <c r="Q4148" i="1"/>
  <c r="Q4149" i="1"/>
  <c r="Q4144" i="1"/>
  <c r="Z4131" i="1"/>
  <c r="Y4131" i="1" s="1"/>
  <c r="Z4130" i="1"/>
  <c r="Y4130" i="1" s="1"/>
  <c r="Z4129" i="1"/>
  <c r="Y4129" i="1" s="1"/>
  <c r="Z4128" i="1"/>
  <c r="Y4128" i="1" s="1"/>
  <c r="Z4127" i="1"/>
  <c r="Y4127" i="1" s="1"/>
  <c r="Z4126" i="1"/>
  <c r="Y4126" i="1" s="1"/>
  <c r="Z4125" i="1"/>
  <c r="Y4125" i="1" s="1"/>
  <c r="Z4124" i="1"/>
  <c r="Y4124" i="1" s="1"/>
  <c r="Z4123" i="1"/>
  <c r="Y4123" i="1" s="1"/>
  <c r="Z4122" i="1"/>
  <c r="Y4122" i="1" s="1"/>
  <c r="Z4121" i="1"/>
  <c r="Y4121" i="1" s="1"/>
  <c r="Z4120" i="1"/>
  <c r="Y4120" i="1" s="1"/>
  <c r="Z4119" i="1"/>
  <c r="Y4119" i="1" s="1"/>
  <c r="Z4118" i="1"/>
  <c r="Y4118" i="1" s="1"/>
  <c r="Z4117" i="1"/>
  <c r="Y4117" i="1" s="1"/>
  <c r="Z4116" i="1"/>
  <c r="Y4116" i="1" s="1"/>
  <c r="Z4115" i="1"/>
  <c r="Y4115" i="1" s="1"/>
  <c r="Z4114" i="1"/>
  <c r="Y4114" i="1" s="1"/>
  <c r="Z4113" i="1"/>
  <c r="Y4113" i="1" s="1"/>
  <c r="Z4112" i="1"/>
  <c r="Y4112" i="1" s="1"/>
  <c r="Z4111" i="1"/>
  <c r="Y4111" i="1" s="1"/>
  <c r="Z4110" i="1"/>
  <c r="Y4110" i="1" s="1"/>
  <c r="Z4109" i="1"/>
  <c r="Y4109" i="1" s="1"/>
  <c r="X4104" i="1" l="1"/>
  <c r="Y4104" i="1" s="1"/>
  <c r="X4103" i="1"/>
  <c r="Y4103" i="1" s="1"/>
  <c r="X4102" i="1"/>
  <c r="Y4102" i="1" s="1"/>
  <c r="X4101" i="1"/>
  <c r="Y4101" i="1" s="1"/>
  <c r="Y4092" i="1"/>
  <c r="Y4091" i="1"/>
  <c r="Y4090" i="1"/>
  <c r="Y4089" i="1"/>
  <c r="Y4060" i="1"/>
  <c r="Y4059" i="1"/>
  <c r="Y4058" i="1"/>
  <c r="Y4057" i="1"/>
  <c r="Y4056" i="1"/>
  <c r="Y4055" i="1"/>
  <c r="Y4054" i="1"/>
  <c r="Y4053" i="1"/>
  <c r="Y4052" i="1"/>
  <c r="Y4051" i="1"/>
  <c r="Y4050" i="1"/>
  <c r="Y4049" i="1"/>
  <c r="Y4048" i="1"/>
  <c r="Y4047" i="1"/>
  <c r="Y4046" i="1"/>
  <c r="Y4045" i="1"/>
  <c r="Y4044" i="1"/>
  <c r="Y4043" i="1"/>
  <c r="Y4042" i="1"/>
  <c r="Y4041" i="1"/>
  <c r="Y4040" i="1"/>
  <c r="Y4039" i="1"/>
  <c r="Y4038" i="1"/>
  <c r="Y4037" i="1"/>
  <c r="Y4036" i="1"/>
  <c r="Y4035" i="1"/>
  <c r="Y4034" i="1"/>
  <c r="Y4033" i="1"/>
  <c r="Y4032" i="1"/>
  <c r="Y4031" i="1"/>
  <c r="Y4030" i="1"/>
  <c r="Y4029" i="1"/>
  <c r="Y4028" i="1"/>
  <c r="Y4027" i="1"/>
  <c r="Y4026" i="1"/>
  <c r="Y4025" i="1"/>
  <c r="Y4014" i="1"/>
  <c r="Y4013" i="1"/>
  <c r="Y4012" i="1"/>
  <c r="Y4011" i="1"/>
  <c r="Y4010" i="1"/>
  <c r="Y4009" i="1"/>
  <c r="Y4004" i="1"/>
  <c r="Y4003" i="1"/>
  <c r="Y4008" i="1"/>
  <c r="Y4007" i="1"/>
  <c r="Y4006" i="1"/>
  <c r="Y4005" i="1"/>
  <c r="Y4002" i="1"/>
  <c r="Y4001" i="1"/>
  <c r="Y4000" i="1"/>
  <c r="Y3999" i="1"/>
  <c r="Y3998" i="1"/>
  <c r="Y3997" i="1"/>
  <c r="Y3996" i="1"/>
  <c r="Y3995" i="1"/>
  <c r="Y3994" i="1"/>
  <c r="Y3993" i="1"/>
  <c r="Y3992" i="1"/>
  <c r="Y3991" i="1"/>
  <c r="Y3984" i="1"/>
  <c r="Y3983" i="1"/>
  <c r="Y3982" i="1"/>
  <c r="Y3981" i="1"/>
  <c r="Y3980" i="1"/>
  <c r="Y3979" i="1"/>
  <c r="Y3978" i="1"/>
  <c r="Y3977" i="1"/>
  <c r="Y3976" i="1"/>
  <c r="Y3975" i="1"/>
  <c r="Y3974" i="1"/>
  <c r="Y3973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Y3965" i="1"/>
  <c r="Y3966" i="1"/>
  <c r="Y3967" i="1"/>
  <c r="Y3968" i="1"/>
  <c r="Y3969" i="1"/>
  <c r="Y3970" i="1"/>
  <c r="Y3971" i="1"/>
  <c r="Y3972" i="1"/>
  <c r="Q3972" i="1"/>
  <c r="Q3971" i="1"/>
  <c r="Q3970" i="1"/>
  <c r="Q3969" i="1"/>
  <c r="Q3968" i="1"/>
  <c r="Q3967" i="1"/>
  <c r="Q3966" i="1"/>
  <c r="Q3965" i="1"/>
  <c r="Z3964" i="1"/>
  <c r="Y3964" i="1" s="1"/>
  <c r="Z3963" i="1"/>
  <c r="Y3963" i="1" s="1"/>
  <c r="Z3962" i="1"/>
  <c r="Y3962" i="1" s="1"/>
  <c r="Z3961" i="1"/>
  <c r="Y3961" i="1" s="1"/>
  <c r="Z3960" i="1"/>
  <c r="Y3960" i="1" s="1"/>
  <c r="Z3959" i="1"/>
  <c r="Y3959" i="1" s="1"/>
  <c r="Z3958" i="1"/>
  <c r="Y3958" i="1" s="1"/>
  <c r="Z3957" i="1"/>
  <c r="Y3957" i="1" s="1"/>
  <c r="Z3956" i="1"/>
  <c r="Y3956" i="1" s="1"/>
  <c r="Z3955" i="1"/>
  <c r="Y3955" i="1" s="1"/>
  <c r="Z3954" i="1"/>
  <c r="Y3954" i="1" s="1"/>
  <c r="Z3953" i="1"/>
  <c r="Y3953" i="1" s="1"/>
  <c r="Z3952" i="1"/>
  <c r="Y3952" i="1" s="1"/>
  <c r="Z3951" i="1"/>
  <c r="Y3951" i="1" s="1"/>
  <c r="Z3950" i="1"/>
  <c r="Y3950" i="1" s="1"/>
  <c r="Z3949" i="1"/>
  <c r="Y3949" i="1" s="1"/>
  <c r="Z3948" i="1"/>
  <c r="Y3948" i="1" s="1"/>
  <c r="Z3947" i="1"/>
  <c r="Y3947" i="1" s="1"/>
  <c r="Z3946" i="1"/>
  <c r="Y3946" i="1" s="1"/>
  <c r="Z3945" i="1"/>
  <c r="Y3945" i="1" s="1"/>
  <c r="Z3944" i="1"/>
  <c r="Y3944" i="1" s="1"/>
  <c r="Z3943" i="1"/>
  <c r="Y3943" i="1" s="1"/>
  <c r="Z3942" i="1"/>
  <c r="Y3942" i="1" s="1"/>
  <c r="Z3941" i="1"/>
  <c r="Y3941" i="1" s="1"/>
  <c r="Z3940" i="1"/>
  <c r="Y3940" i="1" s="1"/>
  <c r="Z3939" i="1"/>
  <c r="Y3939" i="1" s="1"/>
  <c r="Z3938" i="1"/>
  <c r="Y3938" i="1" s="1"/>
  <c r="Z3937" i="1"/>
  <c r="Y3937" i="1" s="1"/>
  <c r="Z3936" i="1"/>
  <c r="Y3936" i="1" s="1"/>
  <c r="Z3935" i="1"/>
  <c r="Y3935" i="1" s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6" i="1"/>
  <c r="Q3937" i="1"/>
  <c r="Q3938" i="1"/>
  <c r="Q3939" i="1"/>
  <c r="Q3935" i="1"/>
  <c r="Y3920" i="1"/>
  <c r="Y3919" i="1"/>
  <c r="Y3918" i="1"/>
  <c r="Y3917" i="1"/>
  <c r="Y3916" i="1"/>
  <c r="Y3915" i="1"/>
  <c r="Q3912" i="1"/>
  <c r="Q3913" i="1"/>
  <c r="Q3914" i="1"/>
  <c r="Q3915" i="1"/>
  <c r="Q3916" i="1"/>
  <c r="Q3917" i="1"/>
  <c r="Q3918" i="1"/>
  <c r="Q3919" i="1"/>
  <c r="Q3920" i="1"/>
  <c r="Q3911" i="1"/>
  <c r="Y3910" i="1"/>
  <c r="Y3909" i="1"/>
  <c r="Y3908" i="1"/>
  <c r="Y3907" i="1"/>
  <c r="Y3906" i="1"/>
  <c r="Y3905" i="1"/>
  <c r="Y3904" i="1"/>
  <c r="Y3903" i="1"/>
  <c r="Y3902" i="1"/>
  <c r="Y3901" i="1"/>
  <c r="Y3900" i="1"/>
  <c r="Y3899" i="1"/>
  <c r="Y3898" i="1"/>
  <c r="Y3897" i="1"/>
  <c r="Y3896" i="1"/>
  <c r="Y3895" i="1"/>
  <c r="Y3894" i="1"/>
  <c r="Y3893" i="1"/>
  <c r="Y3892" i="1"/>
  <c r="Y3891" i="1"/>
  <c r="Y3890" i="1"/>
  <c r="Y3889" i="1"/>
  <c r="Y3888" i="1"/>
  <c r="Y3887" i="1"/>
  <c r="Y3886" i="1"/>
  <c r="Y3885" i="1"/>
  <c r="Y3884" i="1"/>
  <c r="Y3883" i="1"/>
  <c r="Y3882" i="1"/>
  <c r="Y3881" i="1"/>
  <c r="Y3880" i="1"/>
  <c r="Y3879" i="1"/>
  <c r="Y3878" i="1"/>
  <c r="Y3877" i="1"/>
  <c r="Y3876" i="1"/>
  <c r="Y3875" i="1"/>
  <c r="Y3874" i="1"/>
  <c r="Y3873" i="1"/>
  <c r="Y3872" i="1"/>
  <c r="Y3871" i="1"/>
  <c r="Y3870" i="1"/>
  <c r="Y3869" i="1"/>
  <c r="Y3868" i="1"/>
  <c r="Y3867" i="1"/>
  <c r="Y3866" i="1"/>
  <c r="Y3865" i="1"/>
  <c r="Y3864" i="1"/>
  <c r="Y3863" i="1"/>
  <c r="Y3862" i="1"/>
  <c r="Y3861" i="1"/>
  <c r="Y3860" i="1"/>
  <c r="Y3859" i="1"/>
  <c r="Y3858" i="1"/>
  <c r="Y3857" i="1"/>
  <c r="Y3856" i="1"/>
  <c r="Y3855" i="1"/>
  <c r="Y3854" i="1"/>
  <c r="Y3853" i="1"/>
  <c r="Y3852" i="1"/>
  <c r="Y3851" i="1"/>
  <c r="Y3850" i="1"/>
  <c r="Y3849" i="1"/>
  <c r="Y3848" i="1"/>
  <c r="Y3847" i="1"/>
  <c r="Y3846" i="1"/>
  <c r="Y3845" i="1"/>
  <c r="Y3844" i="1"/>
  <c r="Y3843" i="1"/>
  <c r="Y3842" i="1"/>
  <c r="Y3841" i="1"/>
  <c r="Y3840" i="1"/>
  <c r="Y3839" i="1"/>
  <c r="Y3838" i="1"/>
  <c r="Y3837" i="1"/>
  <c r="Y3836" i="1"/>
  <c r="Y3835" i="1"/>
  <c r="Y3834" i="1"/>
  <c r="Y3833" i="1"/>
  <c r="Y3832" i="1"/>
  <c r="Y3831" i="1"/>
  <c r="Y3830" i="1"/>
  <c r="Y3829" i="1"/>
  <c r="Y3828" i="1"/>
  <c r="Y3827" i="1"/>
  <c r="Y3826" i="1"/>
  <c r="Y3825" i="1"/>
  <c r="Y3824" i="1"/>
  <c r="Y3823" i="1"/>
  <c r="Y3822" i="1"/>
  <c r="Y3821" i="1"/>
  <c r="Y3820" i="1"/>
  <c r="Y3819" i="1"/>
  <c r="Y3818" i="1"/>
  <c r="Y3817" i="1"/>
  <c r="Y3816" i="1"/>
  <c r="Y3815" i="1"/>
  <c r="Y3814" i="1"/>
  <c r="Y3813" i="1"/>
  <c r="Y3812" i="1"/>
  <c r="Y3811" i="1"/>
  <c r="Y3810" i="1"/>
  <c r="Y3809" i="1"/>
  <c r="Y3808" i="1"/>
  <c r="Y3807" i="1"/>
  <c r="Y3806" i="1"/>
  <c r="Y3805" i="1"/>
  <c r="Y3804" i="1"/>
  <c r="Y3803" i="1"/>
  <c r="Y3802" i="1"/>
  <c r="Y3801" i="1"/>
  <c r="Y3800" i="1"/>
  <c r="Y3799" i="1"/>
  <c r="Y3798" i="1"/>
  <c r="Y3797" i="1"/>
  <c r="Y3796" i="1"/>
  <c r="Y3795" i="1"/>
  <c r="Y3794" i="1"/>
  <c r="Y3793" i="1"/>
  <c r="Y3792" i="1"/>
  <c r="Y3791" i="1"/>
  <c r="Y3790" i="1"/>
  <c r="Y3789" i="1"/>
  <c r="Y3788" i="1"/>
  <c r="Y3787" i="1"/>
  <c r="Y3786" i="1"/>
  <c r="Y3785" i="1"/>
  <c r="Y3784" i="1"/>
  <c r="Y3783" i="1"/>
  <c r="Y3782" i="1"/>
  <c r="Y3781" i="1"/>
  <c r="Y3780" i="1"/>
  <c r="Y3779" i="1"/>
  <c r="Y3778" i="1"/>
  <c r="Y3777" i="1"/>
  <c r="Y3776" i="1"/>
  <c r="Y3775" i="1"/>
  <c r="Y3774" i="1"/>
  <c r="Y3773" i="1"/>
  <c r="Y3772" i="1"/>
  <c r="Y3771" i="1"/>
  <c r="Y3770" i="1"/>
  <c r="Y3769" i="1"/>
  <c r="Y3768" i="1"/>
  <c r="Y3767" i="1"/>
  <c r="Y3766" i="1"/>
  <c r="Y3765" i="1"/>
  <c r="Y3764" i="1"/>
  <c r="Y3763" i="1"/>
  <c r="Y3762" i="1"/>
  <c r="Y3761" i="1"/>
  <c r="Y3760" i="1"/>
  <c r="Y3759" i="1"/>
  <c r="Y3758" i="1"/>
  <c r="Y3757" i="1"/>
  <c r="Y3756" i="1"/>
  <c r="Y3755" i="1"/>
  <c r="Y3754" i="1"/>
  <c r="Y3753" i="1"/>
  <c r="Y3752" i="1"/>
  <c r="Y3751" i="1"/>
  <c r="Y3750" i="1"/>
  <c r="Y3749" i="1"/>
  <c r="Y3748" i="1"/>
  <c r="Y3747" i="1"/>
  <c r="Y3746" i="1"/>
  <c r="Y3745" i="1"/>
  <c r="Y3744" i="1"/>
  <c r="Y3743" i="1"/>
  <c r="X3729" i="1"/>
  <c r="X3733" i="1"/>
  <c r="X3730" i="1"/>
  <c r="X3724" i="1"/>
  <c r="Y3700" i="1"/>
  <c r="Y3699" i="1"/>
  <c r="Y3698" i="1"/>
  <c r="Y3697" i="1"/>
  <c r="Y3696" i="1"/>
  <c r="Y3695" i="1"/>
  <c r="Y3694" i="1"/>
  <c r="Y3693" i="1"/>
  <c r="Y3692" i="1"/>
  <c r="Y3691" i="1"/>
  <c r="Y3690" i="1"/>
  <c r="Y3689" i="1"/>
  <c r="Y3685" i="1"/>
  <c r="Y3688" i="1"/>
  <c r="Y3687" i="1"/>
  <c r="Y3686" i="1"/>
  <c r="Y3684" i="1"/>
  <c r="Y3682" i="1"/>
  <c r="Y3681" i="1"/>
  <c r="Y3683" i="1"/>
  <c r="Y3680" i="1"/>
  <c r="Z3679" i="1"/>
  <c r="Y3679" i="1" s="1"/>
  <c r="Z3678" i="1"/>
  <c r="Y3678" i="1" s="1"/>
  <c r="Z3677" i="1"/>
  <c r="Y3677" i="1" s="1"/>
  <c r="Z3676" i="1"/>
  <c r="Y3676" i="1" s="1"/>
  <c r="Z3675" i="1"/>
  <c r="Y3675" i="1" s="1"/>
  <c r="Z3674" i="1"/>
  <c r="Y3674" i="1" s="1"/>
  <c r="Z3673" i="1"/>
  <c r="Y3673" i="1" s="1"/>
  <c r="Z3672" i="1"/>
  <c r="Y3672" i="1" s="1"/>
  <c r="Z3671" i="1"/>
  <c r="Y3671" i="1" s="1"/>
  <c r="Z3670" i="1"/>
  <c r="Y3670" i="1" s="1"/>
  <c r="Z3669" i="1"/>
  <c r="Y3669" i="1" s="1"/>
  <c r="Z3668" i="1"/>
  <c r="Y3668" i="1" s="1"/>
  <c r="Z3667" i="1"/>
  <c r="Y3667" i="1" s="1"/>
  <c r="Z3666" i="1"/>
  <c r="Y3666" i="1" s="1"/>
  <c r="Z3665" i="1"/>
  <c r="Y3665" i="1" s="1"/>
  <c r="Z3664" i="1"/>
  <c r="Y3664" i="1" s="1"/>
  <c r="Z3663" i="1"/>
  <c r="Y3663" i="1" s="1"/>
  <c r="Z3662" i="1"/>
  <c r="Y3662" i="1" s="1"/>
  <c r="Z3661" i="1"/>
  <c r="Y3661" i="1" s="1"/>
  <c r="Z3660" i="1"/>
  <c r="Y3660" i="1" s="1"/>
  <c r="Z3659" i="1"/>
  <c r="Y3659" i="1" s="1"/>
  <c r="Z3658" i="1"/>
  <c r="Y3658" i="1" s="1"/>
  <c r="Z3657" i="1"/>
  <c r="Y3657" i="1" s="1"/>
  <c r="Z3656" i="1"/>
  <c r="Y3656" i="1" s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Z3655" i="1"/>
  <c r="Y3655" i="1" s="1"/>
  <c r="Z3654" i="1"/>
  <c r="Y3654" i="1" s="1"/>
  <c r="Z3653" i="1"/>
  <c r="Y3653" i="1" s="1"/>
  <c r="Z3652" i="1"/>
  <c r="Y3652" i="1" s="1"/>
  <c r="Z3651" i="1"/>
  <c r="Y3651" i="1" s="1"/>
  <c r="Z3650" i="1"/>
  <c r="Y3650" i="1" s="1"/>
  <c r="Z3649" i="1"/>
  <c r="Y3649" i="1" s="1"/>
  <c r="Z3648" i="1"/>
  <c r="Y3648" i="1" s="1"/>
  <c r="Z3647" i="1"/>
  <c r="Y3647" i="1" s="1"/>
  <c r="Z3646" i="1"/>
  <c r="Y3646" i="1" s="1"/>
  <c r="Z3645" i="1"/>
  <c r="Y3645" i="1" s="1"/>
  <c r="Z3644" i="1"/>
  <c r="Y3644" i="1" s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Z3643" i="1"/>
  <c r="Y3643" i="1" s="1"/>
  <c r="Z3642" i="1"/>
  <c r="Y3642" i="1" s="1"/>
  <c r="Z3641" i="1"/>
  <c r="Y3641" i="1" s="1"/>
  <c r="Z3640" i="1"/>
  <c r="Y3640" i="1" s="1"/>
  <c r="Z3639" i="1"/>
  <c r="Y3639" i="1" s="1"/>
  <c r="Z3638" i="1"/>
  <c r="Y3638" i="1" s="1"/>
  <c r="Z3637" i="1"/>
  <c r="Y3637" i="1" s="1"/>
  <c r="Z3636" i="1"/>
  <c r="Y3636" i="1" s="1"/>
  <c r="Z3635" i="1"/>
  <c r="Y3635" i="1" s="1"/>
  <c r="Z3634" i="1"/>
  <c r="Y3634" i="1" s="1"/>
  <c r="Z3633" i="1"/>
  <c r="Y3633" i="1" s="1"/>
  <c r="Z3632" i="1"/>
  <c r="Y3632" i="1" s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Z3631" i="1"/>
  <c r="Y3631" i="1" s="1"/>
  <c r="Z3630" i="1"/>
  <c r="Y3630" i="1" s="1"/>
  <c r="Z3629" i="1"/>
  <c r="Y3629" i="1" s="1"/>
  <c r="Z3628" i="1"/>
  <c r="Y3628" i="1" s="1"/>
  <c r="Z3627" i="1"/>
  <c r="Z3626" i="1"/>
  <c r="Z3625" i="1"/>
  <c r="Z3624" i="1"/>
  <c r="T3627" i="1"/>
  <c r="T3626" i="1"/>
  <c r="T3625" i="1"/>
  <c r="T3624" i="1"/>
  <c r="Z3623" i="1"/>
  <c r="Z3622" i="1"/>
  <c r="Z3621" i="1"/>
  <c r="Z3620" i="1"/>
  <c r="T3623" i="1"/>
  <c r="T3622" i="1"/>
  <c r="T3621" i="1"/>
  <c r="T3620" i="1"/>
  <c r="Y3594" i="1"/>
  <c r="Y3593" i="1"/>
  <c r="Y3592" i="1"/>
  <c r="Y3591" i="1"/>
  <c r="Y3590" i="1"/>
  <c r="Y3589" i="1"/>
  <c r="Y3588" i="1"/>
  <c r="Y3587" i="1"/>
  <c r="Y3586" i="1"/>
  <c r="Y3585" i="1"/>
  <c r="Y3584" i="1"/>
  <c r="Y3583" i="1"/>
  <c r="Y3582" i="1"/>
  <c r="Y3581" i="1"/>
  <c r="Y3580" i="1"/>
  <c r="Y3579" i="1"/>
  <c r="Q627" i="1"/>
  <c r="Q626" i="1"/>
  <c r="Y2925" i="1"/>
  <c r="Y2346" i="1"/>
  <c r="Y2352" i="1"/>
  <c r="Y2351" i="1"/>
  <c r="Y2350" i="1"/>
  <c r="Y2349" i="1"/>
  <c r="Z3570" i="1"/>
  <c r="Y3570" i="1" s="1"/>
  <c r="Z3569" i="1"/>
  <c r="Y3569" i="1" s="1"/>
  <c r="Y3565" i="1"/>
  <c r="Y3566" i="1"/>
  <c r="Y3567" i="1"/>
  <c r="Y3568" i="1"/>
  <c r="Y3561" i="1"/>
  <c r="Y3562" i="1"/>
  <c r="Y3563" i="1"/>
  <c r="Y3564" i="1"/>
  <c r="Y3556" i="1"/>
  <c r="Y3557" i="1"/>
  <c r="Y3558" i="1"/>
  <c r="Y3559" i="1"/>
  <c r="Y3560" i="1"/>
  <c r="Y3552" i="1"/>
  <c r="Y3553" i="1"/>
  <c r="Y3554" i="1"/>
  <c r="Y3555" i="1"/>
  <c r="Y3551" i="1"/>
  <c r="Q3561" i="1"/>
  <c r="Q3562" i="1"/>
  <c r="Q3563" i="1"/>
  <c r="Q3564" i="1"/>
  <c r="Q3565" i="1"/>
  <c r="Q3566" i="1"/>
  <c r="Q3567" i="1"/>
  <c r="Q3568" i="1"/>
  <c r="Q3560" i="1"/>
  <c r="Q3559" i="1"/>
  <c r="Q3558" i="1"/>
  <c r="Q3557" i="1"/>
  <c r="Q3556" i="1"/>
  <c r="Q3552" i="1"/>
  <c r="Q3553" i="1"/>
  <c r="Q3554" i="1"/>
  <c r="Q3555" i="1"/>
  <c r="Q3551" i="1"/>
  <c r="Y3527" i="1"/>
  <c r="Y3526" i="1"/>
  <c r="Y3525" i="1"/>
  <c r="Y3524" i="1"/>
  <c r="Y3523" i="1"/>
  <c r="Y3522" i="1"/>
  <c r="Y3515" i="1"/>
  <c r="Y3514" i="1"/>
  <c r="Y3513" i="1"/>
  <c r="Y3512" i="1"/>
  <c r="Y3511" i="1"/>
  <c r="Y3510" i="1"/>
  <c r="Y3521" i="1"/>
  <c r="Y3520" i="1"/>
  <c r="Y3519" i="1"/>
  <c r="Y3518" i="1"/>
  <c r="Y3517" i="1"/>
  <c r="Y3516" i="1"/>
  <c r="Y3509" i="1"/>
  <c r="Y3508" i="1"/>
  <c r="Y3507" i="1"/>
  <c r="Y3506" i="1"/>
  <c r="Y3505" i="1"/>
  <c r="Y3504" i="1"/>
  <c r="Y3503" i="1"/>
  <c r="Y3502" i="1"/>
  <c r="Y3501" i="1"/>
  <c r="Y3500" i="1"/>
  <c r="Y3499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5" i="1"/>
  <c r="Q3486" i="1"/>
  <c r="Q3487" i="1"/>
  <c r="Q3488" i="1"/>
  <c r="Q3484" i="1"/>
  <c r="Z3364" i="1"/>
  <c r="Y3364" i="1" s="1"/>
  <c r="Z3366" i="1"/>
  <c r="Y3366" i="1" s="1"/>
  <c r="Z3367" i="1"/>
  <c r="Y3367" i="1" s="1"/>
  <c r="Z3368" i="1"/>
  <c r="Y3368" i="1" s="1"/>
  <c r="Z3378" i="1"/>
  <c r="Y3378" i="1" s="1"/>
  <c r="Z3380" i="1"/>
  <c r="Y3380" i="1" s="1"/>
  <c r="Z3379" i="1"/>
  <c r="Y3379" i="1" s="1"/>
  <c r="Z3377" i="1"/>
  <c r="Y3377" i="1" s="1"/>
  <c r="Z3376" i="1"/>
  <c r="Y3376" i="1" s="1"/>
  <c r="Z3375" i="1"/>
  <c r="Y3375" i="1" s="1"/>
  <c r="Z3374" i="1"/>
  <c r="Y3374" i="1" s="1"/>
  <c r="Z3373" i="1"/>
  <c r="Y3373" i="1" s="1"/>
  <c r="Z3372" i="1"/>
  <c r="Y3372" i="1" s="1"/>
  <c r="Z3371" i="1"/>
  <c r="Y3371" i="1" s="1"/>
  <c r="Z3370" i="1"/>
  <c r="Y3370" i="1" s="1"/>
  <c r="Z3369" i="1"/>
  <c r="Y3369" i="1" s="1"/>
  <c r="Z3365" i="1"/>
  <c r="Y3365" i="1" s="1"/>
  <c r="Z3363" i="1"/>
  <c r="Y3363" i="1" s="1"/>
  <c r="Z3362" i="1"/>
  <c r="Y3362" i="1" s="1"/>
  <c r="Z3361" i="1"/>
  <c r="Y3361" i="1" s="1"/>
  <c r="Z3360" i="1"/>
  <c r="Y3360" i="1" s="1"/>
  <c r="Z3359" i="1"/>
  <c r="Y3359" i="1" s="1"/>
  <c r="Z3358" i="1"/>
  <c r="Y3358" i="1" s="1"/>
  <c r="Z3357" i="1"/>
  <c r="Y3357" i="1" s="1"/>
  <c r="Z3356" i="1"/>
  <c r="Y3356" i="1" s="1"/>
  <c r="Z3355" i="1"/>
  <c r="Y3355" i="1" s="1"/>
  <c r="Z3354" i="1"/>
  <c r="Y3354" i="1" s="1"/>
  <c r="Z3353" i="1"/>
  <c r="Y3353" i="1" s="1"/>
  <c r="Z3352" i="1"/>
  <c r="Y3352" i="1" s="1"/>
  <c r="Z3351" i="1"/>
  <c r="Y3351" i="1" s="1"/>
  <c r="Z3350" i="1"/>
  <c r="Y3350" i="1" s="1"/>
  <c r="Z3349" i="1"/>
  <c r="Y3349" i="1" s="1"/>
  <c r="Z3348" i="1"/>
  <c r="Y3348" i="1" s="1"/>
  <c r="Z3347" i="1"/>
  <c r="Y3347" i="1" s="1"/>
  <c r="Z3346" i="1"/>
  <c r="Y3346" i="1" s="1"/>
  <c r="Z3345" i="1"/>
  <c r="Y3345" i="1" s="1"/>
  <c r="Z3344" i="1"/>
  <c r="Y3344" i="1" s="1"/>
  <c r="Z3343" i="1"/>
  <c r="Y3343" i="1" s="1"/>
  <c r="Z3342" i="1"/>
  <c r="Y3342" i="1" s="1"/>
  <c r="Z3341" i="1"/>
  <c r="Y3341" i="1" s="1"/>
  <c r="Z3340" i="1"/>
  <c r="Y3340" i="1" s="1"/>
  <c r="Z3339" i="1"/>
  <c r="Y3339" i="1" s="1"/>
  <c r="Z3338" i="1"/>
  <c r="Y3338" i="1" s="1"/>
  <c r="Z3337" i="1"/>
  <c r="Y3337" i="1" s="1"/>
  <c r="Z3336" i="1"/>
  <c r="Y3336" i="1" s="1"/>
  <c r="Y3330" i="1"/>
  <c r="Y3331" i="1"/>
  <c r="Y3332" i="1"/>
  <c r="Y3333" i="1"/>
  <c r="Y3334" i="1"/>
  <c r="Y3335" i="1"/>
  <c r="Z3329" i="1"/>
  <c r="Y3329" i="1" s="1"/>
  <c r="Z3328" i="1"/>
  <c r="Y3328" i="1" s="1"/>
  <c r="Z3327" i="1"/>
  <c r="Y3327" i="1" s="1"/>
  <c r="Z3326" i="1"/>
  <c r="Y3326" i="1" s="1"/>
  <c r="Z3325" i="1"/>
  <c r="Y3325" i="1" s="1"/>
  <c r="Z3324" i="1"/>
  <c r="Y3324" i="1" s="1"/>
  <c r="Y3624" i="1" l="1"/>
  <c r="Y3621" i="1"/>
  <c r="Y3625" i="1"/>
  <c r="Y3622" i="1"/>
  <c r="Y3626" i="1"/>
  <c r="Y3623" i="1"/>
  <c r="Y3627" i="1"/>
  <c r="Y3620" i="1"/>
  <c r="Z3323" i="1"/>
  <c r="Y3323" i="1" s="1"/>
  <c r="Z3322" i="1"/>
  <c r="Y3322" i="1" s="1"/>
  <c r="Z3321" i="1"/>
  <c r="Y3321" i="1" s="1"/>
  <c r="Z3320" i="1"/>
  <c r="Y3320" i="1" s="1"/>
  <c r="Z3319" i="1"/>
  <c r="Y3319" i="1" s="1"/>
  <c r="Z3318" i="1"/>
  <c r="Y3318" i="1" s="1"/>
  <c r="Z3317" i="1"/>
  <c r="Y3317" i="1" s="1"/>
  <c r="Z3316" i="1"/>
  <c r="Y3316" i="1" s="1"/>
  <c r="Z3315" i="1"/>
  <c r="Y3315" i="1" s="1"/>
  <c r="Z3314" i="1"/>
  <c r="Y3314" i="1" s="1"/>
  <c r="Z3313" i="1"/>
  <c r="Y3313" i="1" s="1"/>
  <c r="Z3312" i="1"/>
  <c r="Y3312" i="1" s="1"/>
  <c r="Z3311" i="1"/>
  <c r="Y3311" i="1" s="1"/>
  <c r="Z3310" i="1"/>
  <c r="Y3310" i="1" s="1"/>
  <c r="Z3309" i="1"/>
  <c r="Y3309" i="1" s="1"/>
  <c r="Z3308" i="1"/>
  <c r="Y3308" i="1" s="1"/>
  <c r="Y3287" i="1"/>
  <c r="Y3286" i="1"/>
  <c r="Y3285" i="1"/>
  <c r="Y3284" i="1"/>
  <c r="Y3283" i="1"/>
  <c r="Y3282" i="1"/>
  <c r="Y3281" i="1"/>
  <c r="Y3280" i="1"/>
  <c r="Y3279" i="1"/>
  <c r="Y3278" i="1"/>
  <c r="Y3277" i="1"/>
  <c r="Y3276" i="1"/>
  <c r="Y3275" i="1"/>
  <c r="Y3274" i="1"/>
  <c r="Q3269" i="1" l="1"/>
  <c r="Q3270" i="1"/>
  <c r="Q3271" i="1"/>
  <c r="Q3272" i="1"/>
  <c r="Q3273" i="1"/>
  <c r="Q3268" i="1"/>
  <c r="Q3267" i="1"/>
  <c r="Q3266" i="1"/>
  <c r="Q3265" i="1"/>
  <c r="Q3264" i="1"/>
  <c r="Q3262" i="1"/>
  <c r="Q3263" i="1"/>
  <c r="Q3261" i="1"/>
  <c r="Q3260" i="1"/>
  <c r="Y3259" i="1"/>
  <c r="Z3258" i="1"/>
  <c r="Y3258" i="1" s="1"/>
  <c r="Z3257" i="1"/>
  <c r="Y3257" i="1" s="1"/>
  <c r="Z3256" i="1"/>
  <c r="Y3256" i="1" s="1"/>
  <c r="Z3255" i="1"/>
  <c r="Y3255" i="1" s="1"/>
  <c r="Z3254" i="1"/>
  <c r="Y3254" i="1" s="1"/>
  <c r="Z3253" i="1"/>
  <c r="Y3253" i="1" s="1"/>
  <c r="Z3252" i="1"/>
  <c r="Y3252" i="1" s="1"/>
  <c r="Z3251" i="1"/>
  <c r="Y3251" i="1" s="1"/>
  <c r="Z3250" i="1"/>
  <c r="Y3250" i="1" s="1"/>
  <c r="Z3249" i="1"/>
  <c r="Y3249" i="1" s="1"/>
  <c r="Z3248" i="1"/>
  <c r="Y3248" i="1" s="1"/>
  <c r="Z3247" i="1"/>
  <c r="Y3247" i="1" s="1"/>
  <c r="Z3246" i="1"/>
  <c r="Y3246" i="1" s="1"/>
  <c r="Z3245" i="1"/>
  <c r="Y3245" i="1" s="1"/>
  <c r="Z3244" i="1"/>
  <c r="Y3244" i="1" s="1"/>
  <c r="Z3243" i="1"/>
  <c r="Y3243" i="1" s="1"/>
  <c r="Z3242" i="1"/>
  <c r="Y3242" i="1" s="1"/>
  <c r="Z3241" i="1"/>
  <c r="Y3241" i="1" s="1"/>
  <c r="Z3240" i="1"/>
  <c r="Y3240" i="1" s="1"/>
  <c r="Z3239" i="1"/>
  <c r="Y3239" i="1" s="1"/>
  <c r="Z3238" i="1"/>
  <c r="Y3238" i="1" s="1"/>
  <c r="Z3237" i="1"/>
  <c r="Y3237" i="1" s="1"/>
  <c r="Z3236" i="1"/>
  <c r="Y3236" i="1" s="1"/>
  <c r="Z3235" i="1"/>
  <c r="Y3235" i="1" s="1"/>
  <c r="Z3234" i="1"/>
  <c r="Y3234" i="1" s="1"/>
  <c r="Z3233" i="1"/>
  <c r="Y3233" i="1" s="1"/>
  <c r="Z3232" i="1"/>
  <c r="Y3232" i="1" s="1"/>
  <c r="Z3231" i="1"/>
  <c r="Y3231" i="1" s="1"/>
  <c r="Z3230" i="1"/>
  <c r="Y3230" i="1" s="1"/>
  <c r="Y3217" i="1"/>
  <c r="Y3216" i="1"/>
  <c r="Y3215" i="1"/>
  <c r="Y3214" i="1"/>
  <c r="Y3213" i="1"/>
  <c r="Y3212" i="1"/>
  <c r="Y3211" i="1"/>
  <c r="Y3210" i="1"/>
  <c r="Y3209" i="1"/>
  <c r="Y3208" i="1"/>
  <c r="Y3207" i="1"/>
  <c r="Y3206" i="1"/>
  <c r="Y3205" i="1"/>
  <c r="Y3204" i="1"/>
  <c r="Y3203" i="1"/>
  <c r="Y3202" i="1"/>
  <c r="Y3201" i="1"/>
  <c r="Q3210" i="1"/>
  <c r="Q3209" i="1"/>
  <c r="Q3206" i="1"/>
  <c r="Q3205" i="1"/>
  <c r="Q3202" i="1"/>
  <c r="Q3201" i="1"/>
  <c r="Y3200" i="1"/>
  <c r="X3200" i="1"/>
  <c r="Y3199" i="1"/>
  <c r="X3199" i="1"/>
  <c r="Y3198" i="1"/>
  <c r="X3198" i="1"/>
  <c r="Y3197" i="1"/>
  <c r="X3197" i="1"/>
  <c r="Y3196" i="1"/>
  <c r="X3196" i="1"/>
  <c r="Y3195" i="1"/>
  <c r="X3195" i="1"/>
  <c r="Y3194" i="1"/>
  <c r="X3194" i="1"/>
  <c r="Y3193" i="1"/>
  <c r="X3193" i="1"/>
  <c r="Q3200" i="1"/>
  <c r="Q3199" i="1"/>
  <c r="Q3198" i="1"/>
  <c r="Q3197" i="1"/>
  <c r="Q3196" i="1"/>
  <c r="Q3195" i="1"/>
  <c r="Q3194" i="1"/>
  <c r="Q3193" i="1"/>
  <c r="Y3186" i="1"/>
  <c r="Y3185" i="1"/>
  <c r="Y3184" i="1"/>
  <c r="Y3183" i="1"/>
  <c r="Y3182" i="1"/>
  <c r="Y3181" i="1"/>
  <c r="Y3180" i="1"/>
  <c r="Y3179" i="1"/>
  <c r="Y3178" i="1"/>
  <c r="Y3177" i="1"/>
  <c r="Z3176" i="1"/>
  <c r="Y3176" i="1" s="1"/>
  <c r="Z3175" i="1"/>
  <c r="Y3175" i="1" s="1"/>
  <c r="Z3174" i="1"/>
  <c r="Y3174" i="1" s="1"/>
  <c r="Z3173" i="1"/>
  <c r="Y3173" i="1" s="1"/>
  <c r="Z3172" i="1"/>
  <c r="Y3172" i="1" s="1"/>
  <c r="Z3171" i="1"/>
  <c r="Y3171" i="1" s="1"/>
  <c r="Z3170" i="1"/>
  <c r="Y3170" i="1" s="1"/>
  <c r="Z3169" i="1"/>
  <c r="Y3169" i="1" s="1"/>
  <c r="Z3168" i="1"/>
  <c r="Y3168" i="1" s="1"/>
  <c r="Z3167" i="1"/>
  <c r="Y3167" i="1" s="1"/>
  <c r="Z3166" i="1"/>
  <c r="Y3166" i="1" s="1"/>
  <c r="Z3165" i="1"/>
  <c r="Y3165" i="1" s="1"/>
  <c r="Z3164" i="1"/>
  <c r="Y3164" i="1" s="1"/>
  <c r="Z3163" i="1"/>
  <c r="Y3163" i="1" s="1"/>
  <c r="Z3162" i="1"/>
  <c r="Y3162" i="1" s="1"/>
  <c r="Z3161" i="1"/>
  <c r="Y3161" i="1" s="1"/>
  <c r="Z3160" i="1"/>
  <c r="Y3160" i="1" s="1"/>
  <c r="Z3159" i="1"/>
  <c r="Y3159" i="1" s="1"/>
  <c r="Z3158" i="1"/>
  <c r="Y3158" i="1" s="1"/>
  <c r="Z3157" i="1"/>
  <c r="Y3157" i="1" s="1"/>
  <c r="Z3156" i="1"/>
  <c r="Y3156" i="1" s="1"/>
  <c r="Z3155" i="1"/>
  <c r="Y3155" i="1" s="1"/>
  <c r="Z3154" i="1"/>
  <c r="Y3154" i="1" s="1"/>
  <c r="Z3153" i="1"/>
  <c r="Y3153" i="1" s="1"/>
  <c r="Z3152" i="1"/>
  <c r="Y3152" i="1" s="1"/>
  <c r="Z3151" i="1"/>
  <c r="Y3151" i="1" s="1"/>
  <c r="Z3150" i="1"/>
  <c r="Y3150" i="1" s="1"/>
  <c r="Z3149" i="1"/>
  <c r="Y3149" i="1" s="1"/>
  <c r="Q3173" i="1"/>
  <c r="Q3172" i="1"/>
  <c r="Q3171" i="1"/>
  <c r="Q3170" i="1"/>
  <c r="Q3166" i="1"/>
  <c r="Q3165" i="1"/>
  <c r="Q3164" i="1"/>
  <c r="Q3163" i="1"/>
  <c r="Q3159" i="1"/>
  <c r="Q3158" i="1"/>
  <c r="Q3157" i="1"/>
  <c r="Q3156" i="1"/>
  <c r="Q3152" i="1"/>
  <c r="Q3151" i="1"/>
  <c r="Q3150" i="1"/>
  <c r="Q3149" i="1"/>
  <c r="Z3144" i="1"/>
  <c r="Y3144" i="1" s="1"/>
  <c r="Z3148" i="1"/>
  <c r="Y3148" i="1" s="1"/>
  <c r="Z3147" i="1"/>
  <c r="Y3147" i="1" s="1"/>
  <c r="Z3146" i="1"/>
  <c r="Y3146" i="1" s="1"/>
  <c r="Z3145" i="1"/>
  <c r="Y3145" i="1" s="1"/>
  <c r="Z3143" i="1"/>
  <c r="Y3143" i="1" s="1"/>
  <c r="Z3142" i="1"/>
  <c r="Y3142" i="1" s="1"/>
  <c r="Z3141" i="1"/>
  <c r="Y3141" i="1" s="1"/>
  <c r="Z3140" i="1"/>
  <c r="Y3140" i="1" s="1"/>
  <c r="Z3139" i="1"/>
  <c r="Y3139" i="1" s="1"/>
  <c r="Z3138" i="1"/>
  <c r="Y3138" i="1" s="1"/>
  <c r="Z3137" i="1"/>
  <c r="Y3137" i="1" s="1"/>
  <c r="Z3136" i="1"/>
  <c r="Y3136" i="1" s="1"/>
  <c r="Z3135" i="1"/>
  <c r="Y3135" i="1" s="1"/>
  <c r="Q3145" i="1"/>
  <c r="Q3144" i="1"/>
  <c r="Q3143" i="1"/>
  <c r="Q3142" i="1"/>
  <c r="Q3138" i="1"/>
  <c r="Q3137" i="1"/>
  <c r="Q3136" i="1"/>
  <c r="Q3135" i="1"/>
  <c r="Z3134" i="1"/>
  <c r="Y3134" i="1" s="1"/>
  <c r="Z3133" i="1"/>
  <c r="Y3133" i="1" s="1"/>
  <c r="Z3132" i="1"/>
  <c r="Y3132" i="1" s="1"/>
  <c r="Z3131" i="1"/>
  <c r="Y3131" i="1" s="1"/>
  <c r="Z3130" i="1"/>
  <c r="Y3130" i="1" s="1"/>
  <c r="Z3129" i="1"/>
  <c r="Y3129" i="1" s="1"/>
  <c r="Z3128" i="1"/>
  <c r="Y3128" i="1" s="1"/>
  <c r="Z3127" i="1"/>
  <c r="Y3127" i="1" s="1"/>
  <c r="Z3126" i="1"/>
  <c r="Y3126" i="1" s="1"/>
  <c r="Z3125" i="1"/>
  <c r="Y3125" i="1" s="1"/>
  <c r="Z3124" i="1"/>
  <c r="Y3124" i="1" s="1"/>
  <c r="Z3123" i="1"/>
  <c r="Y3123" i="1" s="1"/>
  <c r="Z3122" i="1"/>
  <c r="Y3122" i="1" s="1"/>
  <c r="Z3121" i="1"/>
  <c r="Y3121" i="1" s="1"/>
  <c r="Q3131" i="1"/>
  <c r="Q3130" i="1"/>
  <c r="Q3129" i="1"/>
  <c r="Q3128" i="1"/>
  <c r="Q3124" i="1"/>
  <c r="Q3123" i="1"/>
  <c r="Q3122" i="1"/>
  <c r="Q3121" i="1"/>
  <c r="Z3120" i="1"/>
  <c r="Y3120" i="1" s="1"/>
  <c r="Z3119" i="1"/>
  <c r="Y3119" i="1" s="1"/>
  <c r="Z3118" i="1"/>
  <c r="Y3118" i="1" s="1"/>
  <c r="Z3117" i="1"/>
  <c r="Y3117" i="1" s="1"/>
  <c r="Z3116" i="1"/>
  <c r="Y3116" i="1" s="1"/>
  <c r="Z3115" i="1"/>
  <c r="Y3115" i="1" s="1"/>
  <c r="Z3114" i="1"/>
  <c r="Y3114" i="1" s="1"/>
  <c r="Z3113" i="1"/>
  <c r="Y3113" i="1" s="1"/>
  <c r="Z3112" i="1"/>
  <c r="Y3112" i="1" s="1"/>
  <c r="Z3111" i="1"/>
  <c r="Y3111" i="1" s="1"/>
  <c r="Z3110" i="1"/>
  <c r="Y3110" i="1" s="1"/>
  <c r="Z3109" i="1"/>
  <c r="Y3109" i="1" s="1"/>
  <c r="Z3108" i="1"/>
  <c r="Y3108" i="1" s="1"/>
  <c r="Z3103" i="1"/>
  <c r="Y3103" i="1" s="1"/>
  <c r="Z3104" i="1"/>
  <c r="Y3104" i="1" s="1"/>
  <c r="Z3105" i="1"/>
  <c r="Y3105" i="1" s="1"/>
  <c r="Z3106" i="1"/>
  <c r="Y3106" i="1" s="1"/>
  <c r="Z3107" i="1"/>
  <c r="Y3107" i="1" s="1"/>
  <c r="Z3102" i="1"/>
  <c r="Y3102" i="1" s="1"/>
  <c r="Z3101" i="1"/>
  <c r="Y3101" i="1" s="1"/>
  <c r="Q3111" i="1"/>
  <c r="Q3110" i="1"/>
  <c r="Q3109" i="1"/>
  <c r="Q3108" i="1"/>
  <c r="Q3104" i="1"/>
  <c r="Q3103" i="1"/>
  <c r="Q3102" i="1"/>
  <c r="Q3101" i="1"/>
  <c r="Q3096" i="1"/>
  <c r="Q3095" i="1"/>
  <c r="Q3086" i="1"/>
  <c r="Q3085" i="1"/>
  <c r="Y3084" i="1"/>
  <c r="Y3082" i="1"/>
  <c r="Y3081" i="1"/>
  <c r="Y3080" i="1"/>
  <c r="Y3079" i="1"/>
  <c r="Y3077" i="1"/>
  <c r="Y3076" i="1"/>
  <c r="Y3075" i="1"/>
  <c r="Y3074" i="1"/>
  <c r="Y3073" i="1"/>
  <c r="Y3072" i="1"/>
  <c r="Y3071" i="1"/>
  <c r="Y3070" i="1"/>
  <c r="Y3063" i="1"/>
  <c r="Y3062" i="1"/>
  <c r="Y3061" i="1"/>
  <c r="Y3060" i="1"/>
  <c r="Y3059" i="1"/>
  <c r="Y3058" i="1"/>
  <c r="Y3057" i="1"/>
  <c r="Y3056" i="1"/>
  <c r="Y3055" i="1"/>
  <c r="Y3054" i="1"/>
  <c r="Y3053" i="1"/>
  <c r="Y3052" i="1"/>
  <c r="Y3051" i="1"/>
  <c r="Y3050" i="1"/>
  <c r="Y3049" i="1"/>
  <c r="Y3048" i="1"/>
  <c r="Y3047" i="1"/>
  <c r="Y3046" i="1"/>
  <c r="Y3045" i="1"/>
  <c r="Y3044" i="1"/>
  <c r="Y3043" i="1"/>
  <c r="Y3042" i="1"/>
  <c r="Y3041" i="1"/>
  <c r="Y3040" i="1"/>
  <c r="AB1973" i="1"/>
  <c r="AB1972" i="1"/>
  <c r="AB1971" i="1"/>
  <c r="AB1970" i="1"/>
  <c r="AB1969" i="1"/>
  <c r="AB1968" i="1"/>
  <c r="AA1973" i="1"/>
  <c r="AA1972" i="1"/>
  <c r="AA1971" i="1"/>
  <c r="AA1970" i="1"/>
  <c r="AA1969" i="1"/>
  <c r="AA1968" i="1"/>
  <c r="X1973" i="1"/>
  <c r="X1972" i="1"/>
  <c r="X1971" i="1"/>
  <c r="X1970" i="1"/>
  <c r="X1969" i="1"/>
  <c r="X1968" i="1"/>
  <c r="Z1566" i="1"/>
  <c r="Z1565" i="1"/>
  <c r="Z1564" i="1"/>
  <c r="Z1563" i="1"/>
  <c r="Z1562" i="1"/>
  <c r="Z1561" i="1"/>
  <c r="Z1560" i="1"/>
  <c r="Z1559" i="1"/>
  <c r="Z1558" i="1"/>
  <c r="Z1557" i="1"/>
  <c r="Z1556" i="1"/>
  <c r="Z1555" i="1"/>
  <c r="X1557" i="1"/>
  <c r="X1556" i="1"/>
  <c r="X1555" i="1"/>
  <c r="Z1539" i="1"/>
  <c r="Z1538" i="1"/>
  <c r="Z1537" i="1"/>
  <c r="Z1536" i="1"/>
  <c r="Z1535" i="1"/>
  <c r="Z1534" i="1"/>
  <c r="Z1533" i="1"/>
  <c r="Z1532" i="1"/>
  <c r="Z1531" i="1"/>
  <c r="Z1530" i="1"/>
  <c r="Z1529" i="1"/>
  <c r="Z1528" i="1"/>
  <c r="Z1527" i="1"/>
  <c r="Z1526" i="1"/>
  <c r="Z1525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Y1193" i="1"/>
  <c r="Y1192" i="1"/>
  <c r="Y1191" i="1"/>
  <c r="Y1190" i="1"/>
  <c r="X1193" i="1"/>
  <c r="X1192" i="1"/>
  <c r="X1191" i="1"/>
  <c r="X1190" i="1"/>
  <c r="Y3039" i="1"/>
  <c r="Y3038" i="1"/>
  <c r="Y3037" i="1"/>
  <c r="Y3036" i="1"/>
  <c r="Y3035" i="1"/>
  <c r="Y3033" i="1"/>
  <c r="Y3032" i="1"/>
  <c r="Y3030" i="1"/>
  <c r="Y3027" i="1"/>
  <c r="Y3026" i="1"/>
  <c r="Y3024" i="1"/>
  <c r="Y3021" i="1"/>
  <c r="Y3020" i="1"/>
  <c r="Y3018" i="1"/>
  <c r="Y3017" i="1"/>
  <c r="Y3015" i="1"/>
  <c r="Y3014" i="1"/>
  <c r="Y3013" i="1"/>
  <c r="Y3010" i="1"/>
  <c r="Y3009" i="1"/>
  <c r="Y3008" i="1"/>
  <c r="Y3006" i="1"/>
  <c r="Y3005" i="1"/>
  <c r="Y3004" i="1"/>
  <c r="Y3003" i="1"/>
  <c r="Y3002" i="1"/>
  <c r="Y3001" i="1"/>
  <c r="Y3000" i="1"/>
  <c r="Y2999" i="1"/>
  <c r="Y2998" i="1"/>
  <c r="Y2997" i="1"/>
  <c r="Y2996" i="1"/>
  <c r="Y2995" i="1"/>
  <c r="Y2994" i="1"/>
  <c r="Y2993" i="1"/>
  <c r="Y2992" i="1"/>
  <c r="Y2991" i="1"/>
  <c r="Y2990" i="1"/>
  <c r="Y2989" i="1"/>
  <c r="Y2988" i="1"/>
  <c r="Y2987" i="1"/>
  <c r="Y2986" i="1"/>
  <c r="Y2985" i="1"/>
  <c r="Y2984" i="1"/>
  <c r="Y2983" i="1"/>
  <c r="Y2982" i="1"/>
  <c r="Y2981" i="1"/>
  <c r="Y2980" i="1"/>
  <c r="Q2979" i="1"/>
  <c r="Q2978" i="1"/>
  <c r="Q2977" i="1"/>
  <c r="Q2976" i="1"/>
  <c r="Y2979" i="1"/>
  <c r="Y2978" i="1"/>
  <c r="Y2977" i="1"/>
  <c r="Y2976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898" i="1"/>
  <c r="Y2922" i="1"/>
  <c r="Y2921" i="1"/>
  <c r="Y2920" i="1"/>
  <c r="Y2919" i="1"/>
  <c r="Y2918" i="1"/>
  <c r="Y2917" i="1"/>
  <c r="Y2916" i="1"/>
  <c r="Y2915" i="1"/>
  <c r="Y2914" i="1"/>
  <c r="Y2913" i="1"/>
  <c r="Y2927" i="1"/>
  <c r="Y2926" i="1"/>
  <c r="Y2924" i="1"/>
  <c r="Y2923" i="1"/>
  <c r="Y2907" i="1"/>
  <c r="Y2906" i="1"/>
  <c r="Y2905" i="1"/>
  <c r="Y2904" i="1"/>
  <c r="Y2903" i="1"/>
  <c r="Y2902" i="1"/>
  <c r="Y2901" i="1"/>
  <c r="Y2900" i="1"/>
  <c r="Y2899" i="1"/>
  <c r="Y2898" i="1"/>
  <c r="Y2908" i="1"/>
  <c r="Y2909" i="1"/>
  <c r="Y2910" i="1"/>
  <c r="Y2911" i="1"/>
  <c r="Y2912" i="1"/>
  <c r="Y2897" i="1"/>
  <c r="Y2896" i="1"/>
  <c r="Y2895" i="1"/>
  <c r="Y2894" i="1"/>
  <c r="Y2893" i="1"/>
  <c r="Y2892" i="1"/>
  <c r="Y2891" i="1"/>
  <c r="Y2890" i="1"/>
  <c r="Y2889" i="1"/>
  <c r="Y2888" i="1"/>
  <c r="Y2887" i="1"/>
  <c r="Y2886" i="1"/>
  <c r="Y2885" i="1"/>
  <c r="Y2884" i="1"/>
  <c r="Y2883" i="1"/>
  <c r="Y2870" i="1"/>
  <c r="Y2869" i="1"/>
  <c r="Y2868" i="1"/>
  <c r="Y2867" i="1"/>
  <c r="Y2866" i="1"/>
  <c r="Y2865" i="1"/>
  <c r="Y2864" i="1"/>
  <c r="Y2863" i="1"/>
  <c r="Y2858" i="1"/>
  <c r="Y2857" i="1"/>
  <c r="Y2856" i="1"/>
  <c r="Y2855" i="1"/>
  <c r="Y2854" i="1"/>
  <c r="Y2853" i="1"/>
  <c r="Y2852" i="1"/>
  <c r="Y2851" i="1"/>
  <c r="Y2850" i="1"/>
  <c r="Y2849" i="1"/>
  <c r="Y2848" i="1"/>
  <c r="Y2834" i="1"/>
  <c r="Y2833" i="1"/>
  <c r="Y2832" i="1"/>
  <c r="Y2831" i="1"/>
  <c r="Y2830" i="1"/>
  <c r="Y2829" i="1"/>
  <c r="Y2828" i="1"/>
  <c r="Y2827" i="1"/>
  <c r="Y2822" i="1"/>
  <c r="Y2821" i="1"/>
  <c r="Y2820" i="1"/>
  <c r="Y2819" i="1"/>
  <c r="Y2818" i="1"/>
  <c r="Y2817" i="1"/>
  <c r="Y2816" i="1"/>
  <c r="Y2815" i="1"/>
  <c r="Y2814" i="1"/>
  <c r="Y2813" i="1"/>
  <c r="Y2812" i="1"/>
  <c r="Y2702" i="1"/>
  <c r="Y2701" i="1"/>
  <c r="Y2700" i="1"/>
  <c r="Y2699" i="1"/>
  <c r="Y2698" i="1"/>
  <c r="Y2697" i="1"/>
  <c r="Y2696" i="1"/>
  <c r="Y2695" i="1"/>
  <c r="Y2694" i="1"/>
  <c r="Y2693" i="1"/>
  <c r="Y2692" i="1"/>
  <c r="Y2691" i="1"/>
  <c r="Y2690" i="1"/>
  <c r="Y2689" i="1"/>
  <c r="Y2688" i="1"/>
  <c r="Y2685" i="1"/>
  <c r="Y2686" i="1"/>
  <c r="Y2687" i="1"/>
  <c r="Y2684" i="1"/>
  <c r="AA2654" i="1"/>
  <c r="Y2654" i="1" s="1"/>
  <c r="AA2655" i="1"/>
  <c r="Y2655" i="1" s="1"/>
  <c r="AA2656" i="1"/>
  <c r="Y2656" i="1" s="1"/>
  <c r="AA2657" i="1"/>
  <c r="Y2657" i="1" s="1"/>
  <c r="AA2658" i="1"/>
  <c r="Y2658" i="1" s="1"/>
  <c r="AA2659" i="1"/>
  <c r="Y2659" i="1" s="1"/>
  <c r="AA2660" i="1"/>
  <c r="Y2660" i="1" s="1"/>
  <c r="AA2661" i="1"/>
  <c r="Y2661" i="1" s="1"/>
  <c r="AA2662" i="1"/>
  <c r="Y2662" i="1" s="1"/>
  <c r="AA2663" i="1"/>
  <c r="Y2663" i="1" s="1"/>
  <c r="AA2664" i="1"/>
  <c r="Y2664" i="1" s="1"/>
  <c r="AA2665" i="1"/>
  <c r="Y2665" i="1" s="1"/>
  <c r="AA2666" i="1"/>
  <c r="Y2666" i="1" s="1"/>
  <c r="AA2667" i="1"/>
  <c r="Y2667" i="1" s="1"/>
  <c r="AA2668" i="1"/>
  <c r="Y2668" i="1" s="1"/>
  <c r="AA2669" i="1"/>
  <c r="Y2669" i="1" s="1"/>
  <c r="AA2670" i="1"/>
  <c r="Y2670" i="1" s="1"/>
  <c r="AA2671" i="1"/>
  <c r="Y2671" i="1" s="1"/>
  <c r="AA2672" i="1"/>
  <c r="Y2672" i="1" s="1"/>
  <c r="AA2673" i="1"/>
  <c r="Y2673" i="1" s="1"/>
  <c r="AA2653" i="1"/>
  <c r="Y2653" i="1" s="1"/>
  <c r="AA2649" i="1"/>
  <c r="Y2649" i="1" s="1"/>
  <c r="AA2650" i="1"/>
  <c r="Y2650" i="1" s="1"/>
  <c r="AA2651" i="1"/>
  <c r="Y2651" i="1" s="1"/>
  <c r="AA2652" i="1"/>
  <c r="Y2652" i="1" s="1"/>
  <c r="AA2648" i="1"/>
  <c r="Y2648" i="1" s="1"/>
  <c r="AA2647" i="1"/>
  <c r="Y2647" i="1" s="1"/>
  <c r="Z2646" i="1"/>
  <c r="Y2646" i="1" s="1"/>
  <c r="Z2645" i="1"/>
  <c r="Y2645" i="1" s="1"/>
  <c r="Z2644" i="1"/>
  <c r="Y2644" i="1" s="1"/>
  <c r="Z2643" i="1"/>
  <c r="Y2643" i="1" s="1"/>
  <c r="Z2642" i="1"/>
  <c r="Y2642" i="1" s="1"/>
  <c r="Z2641" i="1"/>
  <c r="Y2641" i="1" s="1"/>
  <c r="Z2640" i="1"/>
  <c r="Y2640" i="1" s="1"/>
  <c r="Z2639" i="1"/>
  <c r="Y2639" i="1" s="1"/>
  <c r="Z2638" i="1"/>
  <c r="Y2638" i="1" s="1"/>
  <c r="Z2637" i="1"/>
  <c r="Y2637" i="1" s="1"/>
  <c r="Z2636" i="1"/>
  <c r="Y2636" i="1" s="1"/>
  <c r="Z2635" i="1"/>
  <c r="Y2635" i="1" s="1"/>
  <c r="Z2634" i="1"/>
  <c r="Y2634" i="1" s="1"/>
  <c r="Z2633" i="1"/>
  <c r="Y2633" i="1" s="1"/>
  <c r="Z2632" i="1"/>
  <c r="Y2632" i="1" s="1"/>
  <c r="Z2631" i="1"/>
  <c r="Y2631" i="1" s="1"/>
  <c r="Z2630" i="1"/>
  <c r="Y2630" i="1" s="1"/>
  <c r="Z2629" i="1"/>
  <c r="Y2629" i="1" s="1"/>
  <c r="Z2628" i="1"/>
  <c r="Y2628" i="1" s="1"/>
  <c r="Z2627" i="1"/>
  <c r="Y2627" i="1" s="1"/>
  <c r="Z2626" i="1"/>
  <c r="Y2626" i="1" s="1"/>
  <c r="Z2625" i="1"/>
  <c r="Y2625" i="1" s="1"/>
  <c r="Z2624" i="1"/>
  <c r="Y2624" i="1" s="1"/>
  <c r="Z2623" i="1"/>
  <c r="Y2623" i="1" s="1"/>
  <c r="Y2622" i="1"/>
  <c r="Y2621" i="1"/>
  <c r="Y2620" i="1"/>
  <c r="Y2619" i="1"/>
  <c r="Y2618" i="1"/>
  <c r="Y2617" i="1"/>
  <c r="Y2616" i="1"/>
  <c r="Y2615" i="1"/>
  <c r="Y2614" i="1"/>
  <c r="Y2613" i="1"/>
  <c r="Y2612" i="1"/>
  <c r="Y2611" i="1"/>
  <c r="Y2610" i="1"/>
  <c r="Y2609" i="1"/>
  <c r="Y2608" i="1"/>
  <c r="Y2607" i="1"/>
  <c r="Y2606" i="1"/>
  <c r="Y2605" i="1"/>
  <c r="Y2604" i="1"/>
  <c r="Y2603" i="1"/>
  <c r="Y2602" i="1"/>
  <c r="Y2601" i="1"/>
  <c r="Y2600" i="1"/>
  <c r="Y2599" i="1"/>
  <c r="Y2598" i="1"/>
  <c r="Y2597" i="1"/>
  <c r="Y2596" i="1"/>
  <c r="Y2595" i="1"/>
  <c r="Y2594" i="1"/>
  <c r="Y2593" i="1"/>
  <c r="Y2592" i="1"/>
  <c r="Y2591" i="1"/>
  <c r="Y2590" i="1"/>
  <c r="Y2589" i="1"/>
  <c r="Y2588" i="1"/>
  <c r="Y2587" i="1"/>
  <c r="Y2586" i="1"/>
  <c r="Y2585" i="1"/>
  <c r="Y2584" i="1"/>
  <c r="Y2583" i="1"/>
  <c r="Y2582" i="1"/>
  <c r="Y2581" i="1"/>
  <c r="Y2580" i="1"/>
  <c r="Y2579" i="1"/>
  <c r="Y2578" i="1"/>
  <c r="Y2577" i="1"/>
  <c r="Y2576" i="1"/>
  <c r="Y2575" i="1"/>
  <c r="Y2574" i="1"/>
  <c r="Y2573" i="1"/>
  <c r="Y2572" i="1"/>
  <c r="Y2571" i="1"/>
  <c r="Y2570" i="1"/>
  <c r="Y2569" i="1"/>
  <c r="Y2568" i="1"/>
  <c r="Y2567" i="1"/>
  <c r="Y2566" i="1"/>
  <c r="Y2565" i="1"/>
  <c r="Y2564" i="1"/>
  <c r="Y2563" i="1"/>
  <c r="Y2562" i="1"/>
  <c r="Y2561" i="1"/>
  <c r="Y2560" i="1"/>
  <c r="Y2559" i="1"/>
  <c r="Y2558" i="1"/>
  <c r="Y2557" i="1"/>
  <c r="Y2556" i="1"/>
  <c r="Y2555" i="1"/>
  <c r="Y2554" i="1"/>
  <c r="Y2553" i="1"/>
  <c r="Y2552" i="1"/>
  <c r="Y2551" i="1"/>
  <c r="Y2550" i="1"/>
  <c r="Y2549" i="1"/>
  <c r="Y2548" i="1"/>
  <c r="Y2547" i="1"/>
  <c r="Y2546" i="1"/>
  <c r="Y2545" i="1"/>
  <c r="Y2544" i="1"/>
  <c r="Y2543" i="1"/>
  <c r="Y2542" i="1"/>
  <c r="Y2541" i="1"/>
  <c r="Y2540" i="1"/>
  <c r="Y2539" i="1"/>
  <c r="Y2533" i="1"/>
  <c r="Y2532" i="1"/>
  <c r="Y2534" i="1"/>
  <c r="Y2535" i="1"/>
  <c r="Y2536" i="1"/>
  <c r="Y2537" i="1"/>
  <c r="Y2538" i="1"/>
  <c r="Y2531" i="1"/>
  <c r="Y2530" i="1"/>
  <c r="Y2529" i="1"/>
  <c r="Y2528" i="1"/>
  <c r="Y2527" i="1"/>
  <c r="Y2526" i="1"/>
  <c r="Y2525" i="1"/>
  <c r="Y2524" i="1"/>
  <c r="Y2523" i="1"/>
  <c r="Y2522" i="1"/>
  <c r="Y2521" i="1"/>
  <c r="Y2520" i="1"/>
  <c r="Y2519" i="1"/>
  <c r="Y2518" i="1"/>
  <c r="Y2517" i="1"/>
  <c r="Y2516" i="1"/>
  <c r="Y2515" i="1"/>
  <c r="Y2514" i="1"/>
  <c r="Y2513" i="1"/>
  <c r="Y2512" i="1"/>
  <c r="Y2511" i="1"/>
  <c r="Y2510" i="1"/>
  <c r="Y2509" i="1"/>
  <c r="Y2508" i="1"/>
  <c r="Y2507" i="1"/>
  <c r="Y2506" i="1"/>
  <c r="Y2505" i="1"/>
  <c r="Y2504" i="1"/>
  <c r="Y2503" i="1"/>
  <c r="Y2502" i="1"/>
  <c r="Y2501" i="1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48" i="1"/>
  <c r="Y2347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2" i="1"/>
  <c r="Y2323" i="1"/>
  <c r="Y2321" i="1"/>
  <c r="Y2320" i="1"/>
  <c r="Y2319" i="1"/>
  <c r="Y2318" i="1"/>
  <c r="Y2317" i="1"/>
  <c r="Y2316" i="1"/>
  <c r="Y2315" i="1"/>
  <c r="Y2314" i="1"/>
  <c r="Y2310" i="1"/>
  <c r="Y2309" i="1"/>
  <c r="Y2308" i="1"/>
  <c r="Y2307" i="1"/>
  <c r="Y2306" i="1"/>
  <c r="Y2305" i="1"/>
  <c r="Y2304" i="1"/>
  <c r="Y2303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078" i="1" l="1"/>
  <c r="Y2122" i="1" l="1"/>
  <c r="Y2121" i="1"/>
  <c r="Y2120" i="1"/>
  <c r="Y2119" i="1"/>
  <c r="Y2118" i="1"/>
  <c r="Y2117" i="1"/>
  <c r="Y2116" i="1"/>
  <c r="Y2115" i="1"/>
  <c r="Y2114" i="1"/>
  <c r="Y2113" i="1"/>
  <c r="Y2112" i="1"/>
  <c r="Y2111" i="1"/>
  <c r="Y2104" i="1"/>
  <c r="Y2103" i="1"/>
  <c r="Y2102" i="1"/>
  <c r="Y2101" i="1"/>
  <c r="Y2100" i="1"/>
  <c r="Y2099" i="1"/>
  <c r="Y2110" i="1"/>
  <c r="Y2109" i="1"/>
  <c r="Y2108" i="1"/>
  <c r="Y2107" i="1"/>
  <c r="Y2106" i="1"/>
  <c r="Y2105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79" i="1"/>
  <c r="Y2080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0" i="1"/>
  <c r="Y2031" i="1"/>
  <c r="Y2029" i="1"/>
  <c r="Y2028" i="1"/>
  <c r="Y2027" i="1"/>
  <c r="Z1132" i="1" l="1"/>
  <c r="Y2022" i="1" l="1"/>
  <c r="Y2021" i="1"/>
  <c r="Y2020" i="1"/>
  <c r="Y2019" i="1"/>
  <c r="Y2018" i="1"/>
  <c r="Y2017" i="1"/>
  <c r="Y2016" i="1"/>
  <c r="Y2015" i="1"/>
  <c r="Y2014" i="1"/>
  <c r="Q2019" i="1"/>
  <c r="Q2020" i="1"/>
  <c r="Q2021" i="1"/>
  <c r="Q2022" i="1"/>
  <c r="T2019" i="1"/>
  <c r="T2020" i="1"/>
  <c r="T2021" i="1"/>
  <c r="T2022" i="1"/>
  <c r="T2017" i="1"/>
  <c r="Q2017" i="1"/>
  <c r="T2016" i="1"/>
  <c r="Q2016" i="1"/>
  <c r="T2015" i="1"/>
  <c r="Q2015" i="1"/>
  <c r="T2018" i="1"/>
  <c r="Q2018" i="1"/>
  <c r="T2014" i="1"/>
  <c r="Q2014" i="1"/>
  <c r="Z2013" i="1" l="1"/>
  <c r="Y2013" i="1" s="1"/>
  <c r="Z2012" i="1"/>
  <c r="Y2012" i="1" s="1"/>
  <c r="Z2011" i="1"/>
  <c r="Y2011" i="1" s="1"/>
  <c r="Z2010" i="1"/>
  <c r="Y2010" i="1" s="1"/>
  <c r="Z2009" i="1"/>
  <c r="Y2009" i="1" s="1"/>
  <c r="Z2008" i="1"/>
  <c r="Y2008" i="1" s="1"/>
  <c r="Z2007" i="1"/>
  <c r="Y2007" i="1" s="1"/>
  <c r="Z2006" i="1"/>
  <c r="Y2006" i="1" s="1"/>
  <c r="Z2005" i="1"/>
  <c r="Y2005" i="1" s="1"/>
  <c r="Z2004" i="1"/>
  <c r="Y2004" i="1" s="1"/>
  <c r="Q2013" i="1"/>
  <c r="Q2012" i="1"/>
  <c r="Q2011" i="1"/>
  <c r="Q2010" i="1"/>
  <c r="Q2009" i="1"/>
  <c r="Q2005" i="1"/>
  <c r="Q2006" i="1"/>
  <c r="Q2007" i="1"/>
  <c r="Q2008" i="1"/>
  <c r="Q2004" i="1"/>
  <c r="Z2003" i="1" l="1"/>
  <c r="Y2003" i="1" s="1"/>
  <c r="Z2002" i="1"/>
  <c r="Y2002" i="1" s="1"/>
  <c r="Z2001" i="1"/>
  <c r="Y2001" i="1" s="1"/>
  <c r="Z2000" i="1"/>
  <c r="Y2000" i="1" s="1"/>
  <c r="Z1999" i="1"/>
  <c r="Y1999" i="1" s="1"/>
  <c r="Z1998" i="1"/>
  <c r="Y1998" i="1" s="1"/>
  <c r="Q2003" i="1"/>
  <c r="Q2002" i="1"/>
  <c r="Q2001" i="1"/>
  <c r="Q2000" i="1"/>
  <c r="Q1999" i="1"/>
  <c r="Q1998" i="1"/>
  <c r="Z1997" i="1"/>
  <c r="Y1997" i="1" s="1"/>
  <c r="Z1996" i="1"/>
  <c r="Y1996" i="1" s="1"/>
  <c r="Z1995" i="1"/>
  <c r="Y1995" i="1" s="1"/>
  <c r="Z1994" i="1"/>
  <c r="Y1994" i="1" s="1"/>
  <c r="Z1993" i="1"/>
  <c r="Y1993" i="1" s="1"/>
  <c r="Z1992" i="1"/>
  <c r="Y1992" i="1" s="1"/>
  <c r="Z1991" i="1"/>
  <c r="Y1991" i="1" s="1"/>
  <c r="Z1990" i="1"/>
  <c r="Y1990" i="1" s="1"/>
  <c r="Z1989" i="1"/>
  <c r="Y1989" i="1" s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Y1969" i="1" l="1"/>
  <c r="Y1970" i="1"/>
  <c r="Y1972" i="1"/>
  <c r="Y1973" i="1"/>
  <c r="Y1968" i="1"/>
  <c r="Y1971" i="1"/>
  <c r="Y1939" i="1" l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Z1967" i="1" l="1"/>
  <c r="Y1967" i="1" s="1"/>
  <c r="Z1966" i="1"/>
  <c r="Y1966" i="1" s="1"/>
  <c r="Z1965" i="1"/>
  <c r="Y1965" i="1" s="1"/>
  <c r="Z1964" i="1"/>
  <c r="Y1964" i="1" s="1"/>
  <c r="Z1963" i="1"/>
  <c r="Y1963" i="1" s="1"/>
  <c r="Z1962" i="1"/>
  <c r="Y1962" i="1" s="1"/>
  <c r="Z1961" i="1"/>
  <c r="Y1961" i="1" s="1"/>
  <c r="Z1960" i="1"/>
  <c r="Y1960" i="1" s="1"/>
  <c r="Z1959" i="1"/>
  <c r="Y1959" i="1" s="1"/>
  <c r="Z1958" i="1"/>
  <c r="Y1958" i="1" s="1"/>
  <c r="Z1957" i="1"/>
  <c r="Y1957" i="1" s="1"/>
  <c r="Z1956" i="1"/>
  <c r="Y1956" i="1" s="1"/>
  <c r="Z1955" i="1"/>
  <c r="Y1955" i="1" s="1"/>
  <c r="Z1954" i="1"/>
  <c r="Y1954" i="1" s="1"/>
  <c r="Z1953" i="1"/>
  <c r="Y1953" i="1" s="1"/>
  <c r="Z1952" i="1"/>
  <c r="Y1952" i="1" s="1"/>
  <c r="Z1951" i="1"/>
  <c r="Y1951" i="1" s="1"/>
  <c r="Z1950" i="1"/>
  <c r="Y1950" i="1" s="1"/>
  <c r="Z1949" i="1"/>
  <c r="Y1949" i="1" s="1"/>
  <c r="Z1948" i="1"/>
  <c r="Y1948" i="1" s="1"/>
  <c r="Z1947" i="1"/>
  <c r="Y1947" i="1" s="1"/>
  <c r="Z1946" i="1"/>
  <c r="Y1946" i="1" s="1"/>
  <c r="Z1945" i="1"/>
  <c r="Y1945" i="1" s="1"/>
  <c r="Z1944" i="1"/>
  <c r="Y1944" i="1" s="1"/>
  <c r="Z1943" i="1"/>
  <c r="Y1943" i="1" s="1"/>
  <c r="Z1942" i="1"/>
  <c r="Y1942" i="1" s="1"/>
  <c r="Z1941" i="1"/>
  <c r="Y1941" i="1" s="1"/>
  <c r="Z1940" i="1"/>
  <c r="Y1940" i="1" s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2" i="1"/>
  <c r="Q1943" i="1"/>
  <c r="Q1944" i="1"/>
  <c r="Q1945" i="1"/>
  <c r="Q1946" i="1"/>
  <c r="Q1941" i="1"/>
  <c r="Q1940" i="1"/>
  <c r="Q1939" i="1" l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17" i="1"/>
  <c r="Q1918" i="1"/>
  <c r="Q1919" i="1"/>
  <c r="Q1920" i="1"/>
  <c r="Q1921" i="1"/>
  <c r="Q1916" i="1"/>
  <c r="Z1915" i="1"/>
  <c r="Y1915" i="1" s="1"/>
  <c r="Z1914" i="1"/>
  <c r="Y1914" i="1" s="1"/>
  <c r="Z1913" i="1"/>
  <c r="Y1913" i="1" s="1"/>
  <c r="Z1912" i="1"/>
  <c r="Y1912" i="1" s="1"/>
  <c r="Q1913" i="1"/>
  <c r="Q1914" i="1"/>
  <c r="Q1915" i="1"/>
  <c r="Q1912" i="1"/>
  <c r="Y1908" i="1"/>
  <c r="Y1907" i="1"/>
  <c r="Y1906" i="1"/>
  <c r="Y1905" i="1"/>
  <c r="Y1904" i="1"/>
  <c r="Y1903" i="1"/>
  <c r="Y1902" i="1"/>
  <c r="Y1865" i="1"/>
  <c r="Y1864" i="1"/>
  <c r="Y1863" i="1"/>
  <c r="Y1862" i="1"/>
  <c r="Y1861" i="1"/>
  <c r="Y1860" i="1"/>
  <c r="Y1859" i="1"/>
  <c r="Y1858" i="1"/>
  <c r="Y1857" i="1"/>
  <c r="Y1854" i="1"/>
  <c r="Y1853" i="1"/>
  <c r="Y1852" i="1"/>
  <c r="Y1851" i="1"/>
  <c r="Y1850" i="1"/>
  <c r="Y1849" i="1"/>
  <c r="Y1848" i="1"/>
  <c r="Y1847" i="1"/>
  <c r="Y1846" i="1"/>
  <c r="Y1845" i="1"/>
  <c r="Z1712" i="1" l="1"/>
  <c r="Y1712" i="1" s="1"/>
  <c r="Z1711" i="1"/>
  <c r="Y1711" i="1" s="1"/>
  <c r="Z1710" i="1"/>
  <c r="Y1710" i="1" s="1"/>
  <c r="Z1709" i="1"/>
  <c r="Y1709" i="1" s="1"/>
  <c r="Z1708" i="1"/>
  <c r="Y1708" i="1" s="1"/>
  <c r="Z1707" i="1"/>
  <c r="Y1707" i="1" s="1"/>
  <c r="Q1712" i="1"/>
  <c r="Q1711" i="1"/>
  <c r="Q1710" i="1"/>
  <c r="Q1709" i="1"/>
  <c r="Q1708" i="1"/>
  <c r="Q1707" i="1"/>
  <c r="Z1706" i="1"/>
  <c r="Y1706" i="1" s="1"/>
  <c r="Z1705" i="1"/>
  <c r="Y1705" i="1" s="1"/>
  <c r="Z1704" i="1"/>
  <c r="Y1704" i="1" s="1"/>
  <c r="Z1703" i="1"/>
  <c r="Y1703" i="1" s="1"/>
  <c r="Z1702" i="1"/>
  <c r="Y1702" i="1" s="1"/>
  <c r="Z1701" i="1"/>
  <c r="Y1701" i="1" s="1"/>
  <c r="Q1706" i="1"/>
  <c r="Q1705" i="1"/>
  <c r="Q1704" i="1"/>
  <c r="Q1703" i="1"/>
  <c r="Q1702" i="1"/>
  <c r="Q1701" i="1"/>
  <c r="Z1700" i="1"/>
  <c r="Y1700" i="1" s="1"/>
  <c r="Z1699" i="1"/>
  <c r="Y1699" i="1" s="1"/>
  <c r="Q1700" i="1"/>
  <c r="Q1699" i="1"/>
  <c r="Q1698" i="1"/>
  <c r="Q1697" i="1"/>
  <c r="Z1698" i="1"/>
  <c r="Y1698" i="1" s="1"/>
  <c r="Z1697" i="1"/>
  <c r="Y1697" i="1" s="1"/>
  <c r="Y1696" i="1" l="1"/>
  <c r="Y1695" i="1"/>
  <c r="Y169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 l="1"/>
  <c r="Y1669" i="1"/>
  <c r="Y1668" i="1"/>
  <c r="Y1665" i="1"/>
  <c r="Y1666" i="1"/>
  <c r="Y1667" i="1"/>
  <c r="Y1656" i="1"/>
  <c r="Y1657" i="1"/>
  <c r="Y1658" i="1"/>
  <c r="Y1662" i="1"/>
  <c r="Y1663" i="1"/>
  <c r="Y1664" i="1"/>
  <c r="Y1659" i="1"/>
  <c r="Y1660" i="1"/>
  <c r="Y1661" i="1"/>
  <c r="Y1653" i="1"/>
  <c r="Y1654" i="1"/>
  <c r="Y1655" i="1"/>
  <c r="Y1652" i="1"/>
  <c r="Y1651" i="1"/>
  <c r="Y1650" i="1"/>
  <c r="Y1644" i="1"/>
  <c r="Y1645" i="1"/>
  <c r="Y1646" i="1"/>
  <c r="Y1647" i="1"/>
  <c r="Y1648" i="1"/>
  <c r="Y1649" i="1"/>
  <c r="Y1641" i="1"/>
  <c r="Y1642" i="1"/>
  <c r="Y1643" i="1"/>
  <c r="Y1638" i="1"/>
  <c r="Y1639" i="1"/>
  <c r="Y1640" i="1"/>
  <c r="Y1637" i="1"/>
  <c r="Y1636" i="1"/>
  <c r="Y1635" i="1"/>
  <c r="Y1632" i="1"/>
  <c r="Y1633" i="1"/>
  <c r="Y1634" i="1"/>
  <c r="Y1631" i="1"/>
  <c r="Y1630" i="1"/>
  <c r="Y1629" i="1"/>
  <c r="Y1624" i="1"/>
  <c r="Y1625" i="1"/>
  <c r="Y1626" i="1"/>
  <c r="Y1627" i="1"/>
  <c r="Y1628" i="1"/>
  <c r="Y1623" i="1"/>
  <c r="Y1620" i="1"/>
  <c r="Y1621" i="1"/>
  <c r="Y1622" i="1"/>
  <c r="Y1615" i="1" l="1"/>
  <c r="Y1616" i="1"/>
  <c r="Y1617" i="1"/>
  <c r="Y1618" i="1"/>
  <c r="Y1619" i="1"/>
  <c r="AB1614" i="1"/>
  <c r="Y1614" i="1" s="1"/>
  <c r="Y1611" i="1"/>
  <c r="Y1612" i="1"/>
  <c r="Y1613" i="1"/>
  <c r="Y1609" i="1"/>
  <c r="Y1610" i="1"/>
  <c r="AA1608" i="1"/>
  <c r="Y1608" i="1" s="1"/>
  <c r="AB1607" i="1"/>
  <c r="AA1607" i="1"/>
  <c r="AB1606" i="1"/>
  <c r="AA1606" i="1"/>
  <c r="AB1605" i="1"/>
  <c r="AA1605" i="1"/>
  <c r="Z1604" i="1"/>
  <c r="Y1604" i="1" s="1"/>
  <c r="Z1603" i="1"/>
  <c r="Y1603" i="1" s="1"/>
  <c r="Z1602" i="1"/>
  <c r="Y1602" i="1" s="1"/>
  <c r="Z1601" i="1"/>
  <c r="Y1601" i="1" s="1"/>
  <c r="Q1600" i="1"/>
  <c r="Q1599" i="1"/>
  <c r="Q1598" i="1"/>
  <c r="Q1597" i="1"/>
  <c r="Q1594" i="1"/>
  <c r="Q1595" i="1"/>
  <c r="Q1596" i="1"/>
  <c r="Q1593" i="1"/>
  <c r="Y1607" i="1" l="1"/>
  <c r="Y1606" i="1"/>
  <c r="Y1605" i="1"/>
  <c r="Y1580" i="1"/>
  <c r="Y1579" i="1"/>
  <c r="Z1592" i="1"/>
  <c r="Y1592" i="1" s="1"/>
  <c r="Z1591" i="1"/>
  <c r="Y1591" i="1" s="1"/>
  <c r="Z1590" i="1"/>
  <c r="Y1590" i="1" s="1"/>
  <c r="Z1589" i="1"/>
  <c r="Y1589" i="1" s="1"/>
  <c r="Z1588" i="1"/>
  <c r="Y1588" i="1" s="1"/>
  <c r="Z1587" i="1"/>
  <c r="Y1587" i="1" s="1"/>
  <c r="Z1586" i="1"/>
  <c r="Y1586" i="1" s="1"/>
  <c r="Z1585" i="1"/>
  <c r="Y1585" i="1" s="1"/>
  <c r="Z1584" i="1"/>
  <c r="Y1584" i="1" s="1"/>
  <c r="Z1583" i="1"/>
  <c r="Y1583" i="1" s="1"/>
  <c r="Z1582" i="1"/>
  <c r="Y1582" i="1" s="1"/>
  <c r="Z1581" i="1"/>
  <c r="Y1581" i="1" s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79" i="1"/>
  <c r="Y1568" i="1" l="1"/>
  <c r="Y1569" i="1"/>
  <c r="Y1570" i="1"/>
  <c r="Y1571" i="1"/>
  <c r="Y1572" i="1"/>
  <c r="Y1573" i="1"/>
  <c r="Y1574" i="1"/>
  <c r="Y1575" i="1"/>
  <c r="Y1576" i="1"/>
  <c r="Y1577" i="1"/>
  <c r="Y1578" i="1"/>
  <c r="Y1567" i="1"/>
  <c r="Y1565" i="1"/>
  <c r="Y1566" i="1"/>
  <c r="Y1564" i="1"/>
  <c r="Y1562" i="1"/>
  <c r="Y1563" i="1"/>
  <c r="Y1561" i="1"/>
  <c r="Y1559" i="1"/>
  <c r="Y1560" i="1"/>
  <c r="Y1558" i="1"/>
  <c r="Y1556" i="1"/>
  <c r="Y1557" i="1"/>
  <c r="Y1555" i="1"/>
  <c r="Y1554" i="1"/>
  <c r="AB1553" i="1"/>
  <c r="Y1553" i="1" s="1"/>
  <c r="AB1552" i="1"/>
  <c r="Y1552" i="1" s="1"/>
  <c r="Y1549" i="1"/>
  <c r="Y1550" i="1"/>
  <c r="Y1551" i="1"/>
  <c r="Y1546" i="1"/>
  <c r="Y1547" i="1"/>
  <c r="Y1548" i="1"/>
  <c r="Y1543" i="1"/>
  <c r="Y1544" i="1"/>
  <c r="Y1545" i="1"/>
  <c r="Y1541" i="1"/>
  <c r="Y1542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3" i="1" l="1"/>
  <c r="Y1524" i="1"/>
  <c r="Y1521" i="1"/>
  <c r="Y1522" i="1"/>
  <c r="X1522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Z1510" i="1" l="1"/>
  <c r="Y1510" i="1" s="1"/>
  <c r="Z1511" i="1"/>
  <c r="Y1511" i="1" s="1"/>
  <c r="Z1503" i="1"/>
  <c r="Y1503" i="1" s="1"/>
  <c r="Z1504" i="1"/>
  <c r="Y1504" i="1" s="1"/>
  <c r="Z1512" i="1"/>
  <c r="Y1512" i="1" s="1"/>
  <c r="Z1518" i="1"/>
  <c r="Y1518" i="1" s="1"/>
  <c r="Z1505" i="1"/>
  <c r="Y1505" i="1" s="1"/>
  <c r="Z1513" i="1"/>
  <c r="Y1513" i="1" s="1"/>
  <c r="Z1507" i="1"/>
  <c r="Y1507" i="1" s="1"/>
  <c r="Z1515" i="1"/>
  <c r="Y1515" i="1" s="1"/>
  <c r="Z1514" i="1"/>
  <c r="Y1514" i="1" s="1"/>
  <c r="Z1506" i="1"/>
  <c r="Y1506" i="1" s="1"/>
  <c r="Z1508" i="1"/>
  <c r="Y1508" i="1" s="1"/>
  <c r="Z1516" i="1"/>
  <c r="Y1516" i="1" s="1"/>
  <c r="Z1509" i="1"/>
  <c r="Y1509" i="1" s="1"/>
  <c r="Z1517" i="1"/>
  <c r="Y1517" i="1" s="1"/>
  <c r="Y1443" i="1"/>
  <c r="Y1444" i="1"/>
  <c r="Y1439" i="1"/>
  <c r="Y1440" i="1"/>
  <c r="Z1502" i="1" l="1"/>
  <c r="Y1502" i="1" s="1"/>
  <c r="Z1501" i="1"/>
  <c r="Y1501" i="1" s="1"/>
  <c r="Z1500" i="1"/>
  <c r="Y1500" i="1" s="1"/>
  <c r="Z1499" i="1"/>
  <c r="Y1499" i="1" s="1"/>
  <c r="Z1498" i="1"/>
  <c r="Y1498" i="1" s="1"/>
  <c r="Z1497" i="1"/>
  <c r="Y1497" i="1" s="1"/>
  <c r="Z1496" i="1"/>
  <c r="Y1496" i="1" s="1"/>
  <c r="Z1495" i="1"/>
  <c r="Y1495" i="1" s="1"/>
  <c r="Z1494" i="1"/>
  <c r="Y1494" i="1" s="1"/>
  <c r="Y1442" i="1" l="1"/>
  <c r="Y1441" i="1"/>
  <c r="Y1438" i="1"/>
  <c r="Y1437" i="1"/>
  <c r="Y1436" i="1" l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13" i="1" l="1"/>
  <c r="Y1414" i="1"/>
  <c r="Y1415" i="1"/>
  <c r="Y1416" i="1"/>
  <c r="Y1417" i="1"/>
  <c r="Y1418" i="1"/>
  <c r="Y1419" i="1"/>
  <c r="Y1420" i="1"/>
  <c r="Y1405" i="1"/>
  <c r="Y1406" i="1"/>
  <c r="Y1407" i="1"/>
  <c r="Y1408" i="1"/>
  <c r="Y1409" i="1"/>
  <c r="Y1410" i="1"/>
  <c r="Y1411" i="1"/>
  <c r="Y1412" i="1"/>
  <c r="Y1397" i="1"/>
  <c r="Y1398" i="1"/>
  <c r="Y1399" i="1"/>
  <c r="Y1400" i="1"/>
  <c r="Y1401" i="1"/>
  <c r="Y1402" i="1"/>
  <c r="Y1403" i="1"/>
  <c r="Y1404" i="1"/>
  <c r="Y1389" i="1"/>
  <c r="Y1390" i="1"/>
  <c r="Y1391" i="1"/>
  <c r="Y1392" i="1"/>
  <c r="Y1393" i="1"/>
  <c r="Y1394" i="1"/>
  <c r="Y1395" i="1"/>
  <c r="Y1396" i="1"/>
  <c r="Y1381" i="1"/>
  <c r="Y1382" i="1"/>
  <c r="Y1383" i="1"/>
  <c r="Y1384" i="1"/>
  <c r="Y1385" i="1"/>
  <c r="Y1386" i="1"/>
  <c r="Y1387" i="1"/>
  <c r="Y138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63" i="1"/>
  <c r="Y1364" i="1"/>
  <c r="Y1365" i="1"/>
  <c r="Y1366" i="1"/>
  <c r="Y1367" i="1"/>
  <c r="Y1368" i="1"/>
  <c r="Y1357" i="1"/>
  <c r="Y1358" i="1"/>
  <c r="Y1359" i="1"/>
  <c r="Y1360" i="1"/>
  <c r="Y1361" i="1"/>
  <c r="Y1362" i="1"/>
  <c r="Y1352" i="1"/>
  <c r="Y1353" i="1"/>
  <c r="Y1354" i="1"/>
  <c r="Y1355" i="1"/>
  <c r="Y1356" i="1"/>
  <c r="Y1351" i="1"/>
  <c r="Y1343" i="1"/>
  <c r="Y1344" i="1"/>
  <c r="Y1345" i="1"/>
  <c r="Y1346" i="1"/>
  <c r="Y1347" i="1"/>
  <c r="Y1348" i="1"/>
  <c r="Y1349" i="1"/>
  <c r="Y1350" i="1"/>
  <c r="AA1340" i="1"/>
  <c r="Y1340" i="1" s="1"/>
  <c r="AA1341" i="1"/>
  <c r="Y1341" i="1" s="1"/>
  <c r="AA1342" i="1"/>
  <c r="Y1342" i="1" s="1"/>
  <c r="AA1338" i="1"/>
  <c r="Y1338" i="1" s="1"/>
  <c r="AA1339" i="1"/>
  <c r="Y1339" i="1" s="1"/>
  <c r="AA1337" i="1"/>
  <c r="Y1337" i="1" s="1"/>
  <c r="Y1329" i="1"/>
  <c r="Y1330" i="1"/>
  <c r="Y1331" i="1"/>
  <c r="Y1332" i="1"/>
  <c r="Y1333" i="1"/>
  <c r="Y1334" i="1"/>
  <c r="Y1335" i="1"/>
  <c r="Y1336" i="1"/>
  <c r="Y1321" i="1"/>
  <c r="Y1322" i="1"/>
  <c r="Y1323" i="1"/>
  <c r="Y1324" i="1"/>
  <c r="Y1325" i="1"/>
  <c r="Y1326" i="1"/>
  <c r="Y1327" i="1"/>
  <c r="Y1328" i="1"/>
  <c r="Y1313" i="1"/>
  <c r="Y1314" i="1"/>
  <c r="Y1315" i="1"/>
  <c r="Y1316" i="1"/>
  <c r="Y1317" i="1"/>
  <c r="Y1318" i="1"/>
  <c r="Y1319" i="1"/>
  <c r="Y1320" i="1"/>
  <c r="Y1305" i="1"/>
  <c r="Y1306" i="1"/>
  <c r="Y1307" i="1"/>
  <c r="Y1308" i="1"/>
  <c r="Y1309" i="1"/>
  <c r="Y1310" i="1"/>
  <c r="Y1311" i="1"/>
  <c r="Y1312" i="1"/>
  <c r="Y1297" i="1"/>
  <c r="Y1298" i="1"/>
  <c r="Y1299" i="1"/>
  <c r="Y1300" i="1"/>
  <c r="Y1301" i="1"/>
  <c r="Y1302" i="1"/>
  <c r="Y1303" i="1"/>
  <c r="Y1304" i="1"/>
  <c r="Y1288" i="1"/>
  <c r="Y1289" i="1"/>
  <c r="Y1290" i="1"/>
  <c r="Y1291" i="1"/>
  <c r="Y1292" i="1"/>
  <c r="Y1293" i="1"/>
  <c r="Y1294" i="1"/>
  <c r="Y1295" i="1"/>
  <c r="Y1296" i="1"/>
  <c r="Y1281" i="1"/>
  <c r="Y1282" i="1"/>
  <c r="Y1283" i="1"/>
  <c r="Y1284" i="1"/>
  <c r="Y1285" i="1"/>
  <c r="Y1286" i="1"/>
  <c r="Y1287" i="1"/>
  <c r="Y1274" i="1"/>
  <c r="Y1275" i="1"/>
  <c r="Y1276" i="1"/>
  <c r="Y1277" i="1"/>
  <c r="Y1278" i="1"/>
  <c r="Y1279" i="1"/>
  <c r="Y1280" i="1"/>
  <c r="Y1273" i="1"/>
  <c r="Y1272" i="1"/>
  <c r="Y1271" i="1"/>
  <c r="Y1270" i="1"/>
  <c r="Y1212" i="1" l="1"/>
  <c r="Y1213" i="1"/>
  <c r="Y1214" i="1"/>
  <c r="Y1215" i="1"/>
  <c r="Y1216" i="1"/>
  <c r="Y1217" i="1"/>
  <c r="Y1218" i="1"/>
  <c r="Y1219" i="1"/>
  <c r="Y1220" i="1"/>
  <c r="Y1221" i="1"/>
  <c r="Y1203" i="1"/>
  <c r="Y1204" i="1"/>
  <c r="Y1205" i="1"/>
  <c r="Y1206" i="1"/>
  <c r="Y1207" i="1"/>
  <c r="Y1208" i="1"/>
  <c r="Y1209" i="1"/>
  <c r="Y1210" i="1"/>
  <c r="Y1211" i="1"/>
  <c r="Y1202" i="1"/>
  <c r="Y1201" i="1" l="1"/>
  <c r="Y1200" i="1"/>
  <c r="Y1199" i="1"/>
  <c r="Y1197" i="1"/>
  <c r="Y1196" i="1"/>
  <c r="Y1195" i="1"/>
  <c r="Y1189" i="1"/>
  <c r="Y1188" i="1"/>
  <c r="Y1187" i="1"/>
  <c r="Z1185" i="1"/>
  <c r="Y1185" i="1" s="1"/>
  <c r="Z1184" i="1"/>
  <c r="Y1184" i="1" s="1"/>
  <c r="Z1183" i="1"/>
  <c r="Y1183" i="1" s="1"/>
  <c r="Z1182" i="1"/>
  <c r="Y1182" i="1" s="1"/>
  <c r="Z1181" i="1"/>
  <c r="Y1181" i="1" s="1"/>
  <c r="Z1180" i="1"/>
  <c r="Y1180" i="1" s="1"/>
  <c r="Z1179" i="1"/>
  <c r="Y1179" i="1" s="1"/>
  <c r="Z1178" i="1"/>
  <c r="Y1178" i="1" s="1"/>
  <c r="Z1177" i="1"/>
  <c r="Y1177" i="1" s="1"/>
  <c r="Z1176" i="1"/>
  <c r="Y1176" i="1" s="1"/>
  <c r="Z1175" i="1"/>
  <c r="Y1175" i="1" s="1"/>
  <c r="Z1174" i="1"/>
  <c r="Y1174" i="1" s="1"/>
  <c r="Z1173" i="1"/>
  <c r="Y1173" i="1" s="1"/>
  <c r="Z1172" i="1"/>
  <c r="Y1172" i="1" s="1"/>
  <c r="Z1171" i="1"/>
  <c r="Y1171" i="1" s="1"/>
  <c r="Z1170" i="1"/>
  <c r="Y1170" i="1" s="1"/>
  <c r="Z1169" i="1"/>
  <c r="Y1169" i="1" s="1"/>
  <c r="Z1168" i="1"/>
  <c r="Y1168" i="1" s="1"/>
  <c r="Z1167" i="1"/>
  <c r="Y1167" i="1" s="1"/>
  <c r="Z1166" i="1"/>
  <c r="Y1166" i="1" s="1"/>
  <c r="Z1165" i="1"/>
  <c r="Y1165" i="1" s="1"/>
  <c r="Z1164" i="1"/>
  <c r="Y1164" i="1" s="1"/>
  <c r="Z1163" i="1"/>
  <c r="Y1163" i="1" s="1"/>
  <c r="Z1162" i="1"/>
  <c r="Y1162" i="1" s="1"/>
  <c r="Z1161" i="1"/>
  <c r="Y1161" i="1" s="1"/>
  <c r="Z1160" i="1"/>
  <c r="Y1160" i="1" s="1"/>
  <c r="Z1159" i="1"/>
  <c r="Y1159" i="1" s="1"/>
  <c r="Z1158" i="1"/>
  <c r="Y1158" i="1" s="1"/>
  <c r="Z1157" i="1"/>
  <c r="Y1157" i="1" s="1"/>
  <c r="Z1156" i="1"/>
  <c r="Y1156" i="1" s="1"/>
  <c r="Z1155" i="1"/>
  <c r="Y1155" i="1" s="1"/>
  <c r="Z1154" i="1"/>
  <c r="Y1154" i="1" s="1"/>
  <c r="Z1153" i="1"/>
  <c r="Y1153" i="1" s="1"/>
  <c r="Z1152" i="1"/>
  <c r="Y1152" i="1" s="1"/>
  <c r="Z1151" i="1"/>
  <c r="Y1151" i="1" s="1"/>
  <c r="Z1150" i="1"/>
  <c r="Y1150" i="1" s="1"/>
  <c r="Z1149" i="1"/>
  <c r="Y1149" i="1" s="1"/>
  <c r="Z1148" i="1"/>
  <c r="Y1148" i="1" s="1"/>
  <c r="Z1147" i="1"/>
  <c r="Y1147" i="1" s="1"/>
  <c r="Z1146" i="1"/>
  <c r="Y1146" i="1" s="1"/>
  <c r="Z1145" i="1"/>
  <c r="Y1145" i="1" s="1"/>
  <c r="Z1144" i="1"/>
  <c r="Y1144" i="1" s="1"/>
  <c r="X1138" i="1"/>
  <c r="Z1143" i="1"/>
  <c r="Y1143" i="1" s="1"/>
  <c r="Z1142" i="1"/>
  <c r="Y1142" i="1" s="1"/>
  <c r="Z1141" i="1"/>
  <c r="Y1141" i="1" s="1"/>
  <c r="Z1140" i="1"/>
  <c r="Y1140" i="1" s="1"/>
  <c r="Z1139" i="1"/>
  <c r="Y1139" i="1" s="1"/>
  <c r="Z1138" i="1"/>
  <c r="Y1138" i="1" s="1"/>
  <c r="Z1137" i="1"/>
  <c r="Y1137" i="1" s="1"/>
  <c r="Z1136" i="1"/>
  <c r="Y1136" i="1" s="1"/>
  <c r="Z1135" i="1"/>
  <c r="Y1135" i="1" s="1"/>
  <c r="Z1134" i="1"/>
  <c r="Y1134" i="1" s="1"/>
  <c r="Z1133" i="1"/>
  <c r="Y1133" i="1" s="1"/>
  <c r="Y1132" i="1"/>
  <c r="Z1131" i="1"/>
  <c r="Y1131" i="1" s="1"/>
  <c r="Z1130" i="1"/>
  <c r="Y1130" i="1" s="1"/>
  <c r="Z1129" i="1"/>
  <c r="Y1129" i="1" s="1"/>
  <c r="Z1128" i="1"/>
  <c r="Y1128" i="1" s="1"/>
  <c r="Z1127" i="1"/>
  <c r="Y1127" i="1" s="1"/>
  <c r="Z1126" i="1"/>
  <c r="Y1126" i="1" s="1"/>
  <c r="Z1125" i="1"/>
  <c r="Y1125" i="1" s="1"/>
  <c r="Z1124" i="1"/>
  <c r="Y1124" i="1" s="1"/>
  <c r="Z1123" i="1"/>
  <c r="Y1123" i="1" s="1"/>
  <c r="Z1122" i="1"/>
  <c r="Y1122" i="1" s="1"/>
  <c r="Z1121" i="1"/>
  <c r="Y1121" i="1" s="1"/>
  <c r="Z1120" i="1"/>
  <c r="Y1120" i="1" s="1"/>
  <c r="Y798" i="1" l="1"/>
  <c r="Y799" i="1"/>
  <c r="Y800" i="1"/>
  <c r="Y801" i="1"/>
  <c r="Q798" i="1"/>
  <c r="Q799" i="1"/>
  <c r="Q800" i="1"/>
  <c r="Q801" i="1"/>
  <c r="Z797" i="1"/>
  <c r="Y797" i="1" s="1"/>
  <c r="Z796" i="1"/>
  <c r="Y796" i="1" s="1"/>
  <c r="Z795" i="1"/>
  <c r="Y795" i="1" s="1"/>
  <c r="Z794" i="1"/>
  <c r="Y794" i="1" s="1"/>
  <c r="Q797" i="1"/>
  <c r="Q796" i="1"/>
  <c r="Q795" i="1"/>
  <c r="Q794" i="1"/>
  <c r="Y786" i="1"/>
  <c r="Y787" i="1"/>
  <c r="Y788" i="1"/>
  <c r="Y789" i="1"/>
  <c r="Y790" i="1"/>
  <c r="Y791" i="1"/>
  <c r="Y792" i="1"/>
  <c r="Y793" i="1"/>
  <c r="Q782" i="1"/>
  <c r="Z785" i="1"/>
  <c r="Y785" i="1" s="1"/>
  <c r="Z784" i="1"/>
  <c r="Y784" i="1" s="1"/>
  <c r="Z783" i="1"/>
  <c r="Y783" i="1" s="1"/>
  <c r="Z782" i="1"/>
  <c r="Y782" i="1" s="1"/>
  <c r="Z781" i="1"/>
  <c r="Y781" i="1" s="1"/>
  <c r="Z780" i="1"/>
  <c r="Y780" i="1" s="1"/>
  <c r="Z779" i="1"/>
  <c r="Y779" i="1" s="1"/>
  <c r="Z778" i="1"/>
  <c r="Y778" i="1" s="1"/>
  <c r="Y775" i="1"/>
  <c r="Y776" i="1"/>
  <c r="Y777" i="1"/>
  <c r="Z774" i="1"/>
  <c r="Y774" i="1" s="1"/>
  <c r="Z773" i="1"/>
  <c r="Y773" i="1" s="1"/>
  <c r="Z772" i="1"/>
  <c r="Y772" i="1" s="1"/>
  <c r="Z771" i="1"/>
  <c r="Y771" i="1" s="1"/>
  <c r="Z770" i="1"/>
  <c r="Y770" i="1" s="1"/>
  <c r="Z769" i="1"/>
  <c r="Y769" i="1" s="1"/>
  <c r="Z768" i="1"/>
  <c r="Y768" i="1" s="1"/>
  <c r="Z767" i="1"/>
  <c r="Y767" i="1" s="1"/>
  <c r="Z766" i="1"/>
  <c r="Y766" i="1" s="1"/>
  <c r="Y763" i="1"/>
  <c r="Y764" i="1"/>
  <c r="Y765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Z762" i="1"/>
  <c r="Y762" i="1" s="1"/>
  <c r="Z761" i="1"/>
  <c r="Y761" i="1" s="1"/>
  <c r="Z760" i="1"/>
  <c r="Y760" i="1" s="1"/>
  <c r="Z759" i="1"/>
  <c r="Y759" i="1" s="1"/>
  <c r="Z758" i="1"/>
  <c r="Y758" i="1" s="1"/>
  <c r="Z757" i="1"/>
  <c r="Y757" i="1" s="1"/>
  <c r="Z756" i="1"/>
  <c r="Y756" i="1" s="1"/>
  <c r="Z755" i="1"/>
  <c r="Y755" i="1" s="1"/>
  <c r="Z754" i="1"/>
  <c r="Y754" i="1" s="1"/>
  <c r="Z753" i="1"/>
  <c r="Y753" i="1" s="1"/>
  <c r="Z752" i="1"/>
  <c r="Y752" i="1" s="1"/>
  <c r="Z751" i="1"/>
  <c r="Y751" i="1" s="1"/>
  <c r="Z750" i="1"/>
  <c r="Y750" i="1" s="1"/>
  <c r="Z749" i="1"/>
  <c r="Y749" i="1" s="1"/>
  <c r="Z748" i="1"/>
  <c r="Y748" i="1" s="1"/>
  <c r="Z747" i="1"/>
  <c r="Y747" i="1" s="1"/>
  <c r="Z746" i="1"/>
  <c r="Y746" i="1" s="1"/>
  <c r="Z745" i="1"/>
  <c r="Y745" i="1" s="1"/>
  <c r="Z744" i="1"/>
  <c r="Y744" i="1" s="1"/>
  <c r="Z743" i="1"/>
  <c r="Y743" i="1" s="1"/>
  <c r="Z742" i="1"/>
  <c r="Y742" i="1" s="1"/>
  <c r="Z741" i="1"/>
  <c r="Y741" i="1" s="1"/>
  <c r="Z740" i="1"/>
  <c r="Y740" i="1" s="1"/>
  <c r="Z739" i="1"/>
  <c r="Y739" i="1" s="1"/>
  <c r="Z738" i="1"/>
  <c r="Y738" i="1" s="1"/>
  <c r="Z737" i="1"/>
  <c r="Y737" i="1" s="1"/>
  <c r="Z736" i="1"/>
  <c r="Y736" i="1" s="1"/>
  <c r="Z735" i="1"/>
  <c r="Y735" i="1" s="1"/>
  <c r="Z734" i="1"/>
  <c r="Y734" i="1" s="1"/>
  <c r="Z733" i="1"/>
  <c r="Y733" i="1" s="1"/>
  <c r="Z732" i="1"/>
  <c r="Y732" i="1" s="1"/>
  <c r="Z731" i="1"/>
  <c r="Y731" i="1" s="1"/>
  <c r="Z730" i="1"/>
  <c r="Y730" i="1" s="1"/>
  <c r="Y717" i="1"/>
  <c r="Y716" i="1"/>
  <c r="Y715" i="1"/>
  <c r="Y714" i="1"/>
  <c r="Y713" i="1"/>
  <c r="Y712" i="1"/>
  <c r="Y711" i="1"/>
  <c r="Y710" i="1"/>
  <c r="Y709" i="1"/>
  <c r="Y708" i="1"/>
  <c r="Y707" i="1"/>
  <c r="Y706" i="1"/>
  <c r="Z705" i="1"/>
  <c r="Y705" i="1" s="1"/>
  <c r="Z704" i="1"/>
  <c r="Y704" i="1" s="1"/>
  <c r="Z703" i="1"/>
  <c r="Y703" i="1" s="1"/>
  <c r="Z702" i="1"/>
  <c r="Y702" i="1" s="1"/>
  <c r="Y699" i="1"/>
  <c r="Z701" i="1"/>
  <c r="Y701" i="1" s="1"/>
  <c r="Z700" i="1"/>
  <c r="Y700" i="1" s="1"/>
  <c r="Z698" i="1"/>
  <c r="Y698" i="1" s="1"/>
  <c r="Z697" i="1"/>
  <c r="Y697" i="1" s="1"/>
  <c r="Z696" i="1"/>
  <c r="Y696" i="1" s="1"/>
  <c r="Y695" i="1"/>
  <c r="Z694" i="1"/>
  <c r="Y694" i="1" s="1"/>
  <c r="Y693" i="1"/>
  <c r="Z692" i="1"/>
  <c r="Y692" i="1" s="1"/>
  <c r="Y691" i="1"/>
  <c r="Z690" i="1"/>
  <c r="Y690" i="1" s="1"/>
  <c r="Z689" i="1"/>
  <c r="Y689" i="1" s="1"/>
  <c r="Z688" i="1"/>
  <c r="Y688" i="1" s="1"/>
  <c r="Z687" i="1"/>
  <c r="Y687" i="1" s="1"/>
  <c r="Z686" i="1"/>
  <c r="Y686" i="1" s="1"/>
  <c r="Y685" i="1"/>
  <c r="Z684" i="1"/>
  <c r="Y684" i="1" s="1"/>
  <c r="Y683" i="1"/>
  <c r="Z682" i="1"/>
  <c r="Y682" i="1" s="1"/>
  <c r="Z681" i="1"/>
  <c r="Y681" i="1" s="1"/>
  <c r="Z680" i="1"/>
  <c r="Y680" i="1" s="1"/>
  <c r="Y675" i="1"/>
  <c r="Y677" i="1"/>
  <c r="Y679" i="1"/>
  <c r="Z678" i="1"/>
  <c r="Y678" i="1" s="1"/>
  <c r="Z676" i="1"/>
  <c r="Y676" i="1" s="1"/>
  <c r="Z674" i="1"/>
  <c r="Y674" i="1" s="1"/>
  <c r="Y673" i="1"/>
  <c r="Z672" i="1"/>
  <c r="Y672" i="1" s="1"/>
  <c r="Z671" i="1"/>
  <c r="Y671" i="1" s="1"/>
  <c r="Z670" i="1"/>
  <c r="Y670" i="1" s="1"/>
  <c r="Y669" i="1"/>
  <c r="Z668" i="1"/>
  <c r="Y668" i="1" s="1"/>
  <c r="Y667" i="1"/>
  <c r="Z666" i="1"/>
  <c r="Y666" i="1" s="1"/>
  <c r="Z665" i="1"/>
  <c r="Y665" i="1" s="1"/>
  <c r="Z664" i="1"/>
  <c r="Y664" i="1" s="1"/>
  <c r="Y663" i="1"/>
  <c r="Z662" i="1"/>
  <c r="Y662" i="1" s="1"/>
  <c r="Z661" i="1"/>
  <c r="Y661" i="1" s="1"/>
  <c r="Z660" i="1"/>
  <c r="Y660" i="1" s="1"/>
  <c r="Y659" i="1"/>
  <c r="Z658" i="1"/>
  <c r="Y658" i="1" s="1"/>
  <c r="Y657" i="1"/>
  <c r="Z656" i="1"/>
  <c r="Y656" i="1" s="1"/>
  <c r="Z654" i="1"/>
  <c r="Y654" i="1" s="1"/>
  <c r="Y655" i="1"/>
  <c r="Z653" i="1" l="1"/>
  <c r="Y653" i="1" s="1"/>
  <c r="Z652" i="1"/>
  <c r="Y652" i="1" s="1"/>
  <c r="Z651" i="1"/>
  <c r="Y651" i="1" s="1"/>
  <c r="Z650" i="1"/>
  <c r="Y650" i="1" s="1"/>
  <c r="Z649" i="1"/>
  <c r="Y649" i="1" s="1"/>
  <c r="Z648" i="1"/>
  <c r="Y648" i="1" s="1"/>
  <c r="Z647" i="1"/>
  <c r="Y647" i="1" s="1"/>
  <c r="Z646" i="1"/>
  <c r="Y646" i="1" s="1"/>
  <c r="Z645" i="1"/>
  <c r="Y645" i="1" s="1"/>
  <c r="Z644" i="1"/>
  <c r="Y644" i="1" s="1"/>
  <c r="Y643" i="1"/>
  <c r="Y642" i="1"/>
  <c r="Y641" i="1"/>
  <c r="Y640" i="1"/>
  <c r="Y639" i="1"/>
  <c r="Y638" i="1"/>
  <c r="Y637" i="1"/>
  <c r="Y636" i="1"/>
  <c r="V635" i="1"/>
  <c r="V633" i="1"/>
  <c r="V634" i="1"/>
  <c r="V632" i="1"/>
  <c r="Y635" i="1"/>
  <c r="Y634" i="1"/>
  <c r="Y633" i="1"/>
  <c r="Y632" i="1"/>
  <c r="X635" i="1"/>
  <c r="X634" i="1"/>
  <c r="X633" i="1"/>
  <c r="X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4" i="1"/>
  <c r="Y615" i="1"/>
  <c r="Y616" i="1"/>
  <c r="Y617" i="1"/>
  <c r="Y618" i="1"/>
  <c r="Y619" i="1"/>
  <c r="Z613" i="1"/>
  <c r="Y613" i="1" s="1"/>
  <c r="Z612" i="1"/>
  <c r="Y612" i="1" s="1"/>
  <c r="Z611" i="1"/>
  <c r="Y611" i="1" s="1"/>
  <c r="Z610" i="1"/>
  <c r="Y610" i="1" s="1"/>
  <c r="Z609" i="1"/>
  <c r="Y609" i="1" s="1"/>
  <c r="Z608" i="1"/>
  <c r="Y608" i="1" s="1"/>
  <c r="Z607" i="1"/>
  <c r="Y607" i="1" s="1"/>
  <c r="Z606" i="1"/>
  <c r="Y606" i="1" s="1"/>
  <c r="Z605" i="1"/>
  <c r="Y605" i="1" s="1"/>
  <c r="Z604" i="1"/>
  <c r="Y604" i="1" s="1"/>
  <c r="Z603" i="1"/>
  <c r="Y603" i="1" s="1"/>
  <c r="Z602" i="1"/>
  <c r="Y602" i="1" s="1"/>
  <c r="Z601" i="1"/>
  <c r="Y601" i="1" s="1"/>
  <c r="Z600" i="1"/>
  <c r="Y600" i="1" s="1"/>
  <c r="Z599" i="1"/>
  <c r="Y599" i="1" s="1"/>
  <c r="Z598" i="1"/>
  <c r="Y598" i="1" s="1"/>
  <c r="Z596" i="1"/>
  <c r="Y596" i="1" s="1"/>
  <c r="Z597" i="1"/>
  <c r="Y597" i="1" s="1"/>
  <c r="Z595" i="1"/>
  <c r="Y595" i="1" s="1"/>
  <c r="Z594" i="1"/>
  <c r="Y594" i="1" s="1"/>
  <c r="Z581" i="1"/>
  <c r="Y581" i="1" s="1"/>
  <c r="Z580" i="1"/>
  <c r="Y580" i="1" s="1"/>
  <c r="Z579" i="1"/>
  <c r="Y579" i="1" s="1"/>
  <c r="Z578" i="1"/>
  <c r="Y578" i="1" s="1"/>
  <c r="Z577" i="1"/>
  <c r="Y577" i="1" s="1"/>
  <c r="Z576" i="1"/>
  <c r="Y576" i="1" s="1"/>
  <c r="Z575" i="1"/>
  <c r="Y575" i="1" s="1"/>
  <c r="Z574" i="1"/>
  <c r="Y574" i="1" s="1"/>
  <c r="Z573" i="1"/>
  <c r="Y573" i="1" s="1"/>
  <c r="Z572" i="1"/>
  <c r="Y572" i="1" s="1"/>
  <c r="Z571" i="1"/>
  <c r="Y571" i="1" s="1"/>
  <c r="Z570" i="1"/>
  <c r="Y570" i="1" s="1"/>
  <c r="Z569" i="1"/>
  <c r="Y569" i="1" s="1"/>
  <c r="Z568" i="1"/>
  <c r="Y568" i="1" s="1"/>
  <c r="Z567" i="1"/>
  <c r="Y567" i="1" s="1"/>
  <c r="Z566" i="1"/>
  <c r="Y566" i="1" s="1"/>
  <c r="Z565" i="1"/>
  <c r="Y565" i="1" s="1"/>
  <c r="Z564" i="1"/>
  <c r="Y564" i="1" s="1"/>
  <c r="Z563" i="1"/>
  <c r="Y563" i="1" s="1"/>
  <c r="Z562" i="1"/>
  <c r="Y562" i="1" s="1"/>
  <c r="Z561" i="1"/>
  <c r="Y561" i="1" s="1"/>
  <c r="Z560" i="1"/>
  <c r="Y560" i="1" s="1"/>
  <c r="Z559" i="1"/>
  <c r="Y559" i="1" s="1"/>
  <c r="Z558" i="1"/>
  <c r="Y558" i="1" s="1"/>
  <c r="Y557" i="1" l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 l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X457" i="1" l="1"/>
  <c r="Z457" i="1" s="1"/>
  <c r="Y457" i="1" s="1"/>
  <c r="X456" i="1"/>
  <c r="Z456" i="1" s="1"/>
  <c r="Y456" i="1" s="1"/>
  <c r="X455" i="1"/>
  <c r="Z455" i="1" s="1"/>
  <c r="X454" i="1"/>
  <c r="Z454" i="1" s="1"/>
  <c r="Y454" i="1" s="1"/>
  <c r="X453" i="1"/>
  <c r="Z453" i="1" s="1"/>
  <c r="Y453" i="1" s="1"/>
  <c r="X452" i="1"/>
  <c r="Z452" i="1" s="1"/>
  <c r="X451" i="1"/>
  <c r="Z451" i="1" s="1"/>
  <c r="X450" i="1"/>
  <c r="Z450" i="1" s="1"/>
  <c r="Y450" i="1" s="1"/>
  <c r="X449" i="1"/>
  <c r="Z449" i="1" s="1"/>
  <c r="Y449" i="1" s="1"/>
  <c r="X448" i="1"/>
  <c r="Z448" i="1" s="1"/>
  <c r="X447" i="1"/>
  <c r="Z447" i="1" s="1"/>
  <c r="X446" i="1"/>
  <c r="Z446" i="1" s="1"/>
  <c r="Y446" i="1" s="1"/>
  <c r="Z445" i="1"/>
  <c r="Y445" i="1" s="1"/>
  <c r="Z444" i="1"/>
  <c r="Y444" i="1" s="1"/>
  <c r="Z442" i="1"/>
  <c r="Y442" i="1" s="1"/>
  <c r="Z443" i="1"/>
  <c r="Y443" i="1" s="1"/>
  <c r="Z441" i="1"/>
  <c r="Y441" i="1" s="1"/>
  <c r="Z440" i="1"/>
  <c r="Y440" i="1" s="1"/>
  <c r="Z439" i="1"/>
  <c r="Y439" i="1" s="1"/>
  <c r="Z438" i="1"/>
  <c r="Y438" i="1" s="1"/>
  <c r="Z437" i="1"/>
  <c r="Y437" i="1" s="1"/>
  <c r="Z436" i="1"/>
  <c r="Y436" i="1" s="1"/>
  <c r="Z435" i="1"/>
  <c r="Y435" i="1" s="1"/>
  <c r="Z434" i="1"/>
  <c r="Y434" i="1" s="1"/>
  <c r="Z433" i="1"/>
  <c r="Y433" i="1" s="1"/>
  <c r="Z432" i="1"/>
  <c r="Y432" i="1" s="1"/>
  <c r="Z431" i="1"/>
  <c r="Y431" i="1" s="1"/>
  <c r="Z430" i="1"/>
  <c r="Y430" i="1" s="1"/>
  <c r="Z429" i="1"/>
  <c r="Y429" i="1" s="1"/>
  <c r="Z428" i="1"/>
  <c r="Y428" i="1" s="1"/>
  <c r="Z427" i="1"/>
  <c r="Y427" i="1" s="1"/>
  <c r="Z426" i="1"/>
  <c r="Y426" i="1" s="1"/>
  <c r="Z425" i="1"/>
  <c r="Y425" i="1" s="1"/>
  <c r="Z424" i="1"/>
  <c r="Y424" i="1" s="1"/>
  <c r="Z423" i="1"/>
  <c r="Y423" i="1" s="1"/>
  <c r="Z422" i="1"/>
  <c r="Y422" i="1" s="1"/>
  <c r="Z421" i="1"/>
  <c r="Y421" i="1" s="1"/>
  <c r="Z420" i="1"/>
  <c r="Y420" i="1" s="1"/>
  <c r="Z419" i="1"/>
  <c r="Y419" i="1" s="1"/>
  <c r="Z418" i="1"/>
  <c r="Y418" i="1" s="1"/>
  <c r="Z417" i="1"/>
  <c r="Y417" i="1" s="1"/>
  <c r="Z416" i="1"/>
  <c r="Y416" i="1" s="1"/>
  <c r="Z415" i="1"/>
  <c r="Y415" i="1" s="1"/>
  <c r="Z414" i="1"/>
  <c r="Y414" i="1" s="1"/>
  <c r="Z413" i="1"/>
  <c r="Y413" i="1" s="1"/>
  <c r="Z412" i="1"/>
  <c r="Y412" i="1" s="1"/>
  <c r="Z411" i="1"/>
  <c r="Y411" i="1" s="1"/>
  <c r="Z410" i="1"/>
  <c r="Y410" i="1" s="1"/>
  <c r="Z409" i="1"/>
  <c r="Y409" i="1" s="1"/>
  <c r="Z408" i="1"/>
  <c r="Y408" i="1" s="1"/>
  <c r="Z407" i="1"/>
  <c r="Y407" i="1" s="1"/>
  <c r="Z406" i="1"/>
  <c r="Y406" i="1" s="1"/>
  <c r="Z405" i="1"/>
  <c r="Y405" i="1" s="1"/>
  <c r="Z404" i="1"/>
  <c r="Y404" i="1" s="1"/>
  <c r="Z403" i="1"/>
  <c r="Y403" i="1" s="1"/>
  <c r="Z402" i="1"/>
  <c r="Y402" i="1" s="1"/>
  <c r="Z401" i="1"/>
  <c r="Y401" i="1" s="1"/>
  <c r="Z400" i="1"/>
  <c r="Y400" i="1" s="1"/>
  <c r="Z399" i="1"/>
  <c r="Y399" i="1" s="1"/>
  <c r="Z398" i="1"/>
  <c r="Y398" i="1" s="1"/>
  <c r="Z397" i="1"/>
  <c r="Y397" i="1" s="1"/>
  <c r="Z396" i="1"/>
  <c r="Y396" i="1" s="1"/>
  <c r="Z395" i="1"/>
  <c r="Y395" i="1" s="1"/>
  <c r="Z394" i="1"/>
  <c r="Y394" i="1" s="1"/>
  <c r="Y448" i="1" l="1"/>
  <c r="Y455" i="1"/>
  <c r="Y452" i="1"/>
  <c r="Y451" i="1"/>
  <c r="Y447" i="1"/>
  <c r="Y388" i="1"/>
  <c r="Y389" i="1"/>
  <c r="Y390" i="1"/>
  <c r="Y391" i="1"/>
  <c r="Y392" i="1"/>
  <c r="Y393" i="1"/>
  <c r="Z387" i="1"/>
  <c r="Y387" i="1" s="1"/>
  <c r="Z386" i="1"/>
  <c r="Y386" i="1" s="1"/>
  <c r="Z385" i="1"/>
  <c r="Y385" i="1" s="1"/>
  <c r="Z384" i="1"/>
  <c r="Y384" i="1" s="1"/>
  <c r="Z383" i="1"/>
  <c r="Y383" i="1" s="1"/>
  <c r="Z382" i="1"/>
  <c r="Y382" i="1" s="1"/>
  <c r="Z381" i="1"/>
  <c r="Y381" i="1" s="1"/>
  <c r="Z380" i="1"/>
  <c r="Y380" i="1" s="1"/>
  <c r="Z379" i="1"/>
  <c r="Y379" i="1" s="1"/>
  <c r="Z378" i="1"/>
  <c r="Y378" i="1" s="1"/>
  <c r="Z377" i="1"/>
  <c r="Y377" i="1" s="1"/>
  <c r="Z376" i="1"/>
  <c r="Y376" i="1" s="1"/>
  <c r="Z311" i="1" l="1"/>
  <c r="Y311" i="1" s="1"/>
  <c r="Z310" i="1"/>
  <c r="Y310" i="1" s="1"/>
  <c r="Z309" i="1"/>
  <c r="Y309" i="1" s="1"/>
  <c r="Z308" i="1"/>
  <c r="Y308" i="1" s="1"/>
  <c r="Z307" i="1"/>
  <c r="Y307" i="1" s="1"/>
  <c r="Z306" i="1"/>
  <c r="Y306" i="1" s="1"/>
  <c r="Z305" i="1"/>
  <c r="Y305" i="1" s="1"/>
  <c r="Z304" i="1"/>
  <c r="Y304" i="1" s="1"/>
  <c r="Z303" i="1"/>
  <c r="Y303" i="1" s="1"/>
  <c r="Z302" i="1"/>
  <c r="Y302" i="1" s="1"/>
  <c r="Z301" i="1"/>
  <c r="Y301" i="1" s="1"/>
  <c r="Z300" i="1"/>
  <c r="Y300" i="1" s="1"/>
  <c r="Z299" i="1"/>
  <c r="Y299" i="1" s="1"/>
  <c r="Z298" i="1"/>
  <c r="Y298" i="1" s="1"/>
  <c r="Q299" i="1"/>
  <c r="Q298" i="1"/>
  <c r="Y295" i="1"/>
  <c r="Y297" i="1"/>
  <c r="Z296" i="1"/>
  <c r="Y296" i="1" s="1"/>
  <c r="Y294" i="1"/>
  <c r="Z293" i="1"/>
  <c r="Y293" i="1" s="1"/>
  <c r="Z292" i="1"/>
  <c r="Y292" i="1" s="1"/>
  <c r="Y291" i="1"/>
  <c r="Z290" i="1"/>
  <c r="Y290" i="1" s="1"/>
  <c r="Z289" i="1"/>
  <c r="Y289" i="1" s="1"/>
  <c r="Y288" i="1"/>
  <c r="Z287" i="1"/>
  <c r="Y287" i="1" s="1"/>
  <c r="Z286" i="1"/>
  <c r="Y286" i="1" s="1"/>
  <c r="Y283" i="1"/>
  <c r="Y284" i="1"/>
  <c r="Z285" i="1"/>
  <c r="Y285" i="1" s="1"/>
  <c r="Y281" i="1" l="1"/>
  <c r="Y282" i="1"/>
  <c r="X282" i="1"/>
  <c r="X281" i="1"/>
  <c r="Z280" i="1"/>
  <c r="Y280" i="1" s="1"/>
  <c r="X280" i="1"/>
  <c r="Z279" i="1"/>
  <c r="Y279" i="1" s="1"/>
  <c r="X279" i="1"/>
  <c r="Z278" i="1"/>
  <c r="Y278" i="1" s="1"/>
  <c r="X278" i="1"/>
  <c r="Z277" i="1"/>
  <c r="Y277" i="1" s="1"/>
  <c r="X277" i="1"/>
  <c r="Z276" i="1"/>
  <c r="Y276" i="1" s="1"/>
  <c r="Z275" i="1"/>
  <c r="Y275" i="1" s="1"/>
  <c r="Z274" i="1"/>
  <c r="Y274" i="1" s="1"/>
  <c r="Y271" i="1"/>
  <c r="Y272" i="1"/>
  <c r="Y273" i="1"/>
  <c r="Y269" i="1"/>
  <c r="Z270" i="1"/>
  <c r="Y270" i="1" s="1"/>
  <c r="X270" i="1"/>
  <c r="Z268" i="1"/>
  <c r="Y268" i="1" s="1"/>
  <c r="Z267" i="1"/>
  <c r="Y267" i="1" s="1"/>
  <c r="X267" i="1"/>
  <c r="Z266" i="1"/>
  <c r="Y266" i="1" s="1"/>
  <c r="X266" i="1"/>
  <c r="Z265" i="1"/>
  <c r="Y265" i="1" s="1"/>
  <c r="X265" i="1"/>
  <c r="Z264" i="1"/>
  <c r="Y264" i="1" s="1"/>
  <c r="X264" i="1"/>
  <c r="Z263" i="1"/>
  <c r="Y263" i="1" s="1"/>
  <c r="X263" i="1"/>
  <c r="Z262" i="1"/>
  <c r="Y262" i="1" s="1"/>
  <c r="X262" i="1"/>
  <c r="Y259" i="1"/>
  <c r="Y260" i="1"/>
  <c r="Y261" i="1"/>
  <c r="Y256" i="1"/>
  <c r="Y257" i="1"/>
  <c r="Z258" i="1"/>
  <c r="Y258" i="1" s="1"/>
  <c r="Z255" i="1"/>
  <c r="Y255" i="1" s="1"/>
  <c r="X255" i="1"/>
  <c r="Z254" i="1"/>
  <c r="Y254" i="1" s="1"/>
  <c r="X254" i="1"/>
  <c r="Z253" i="1"/>
  <c r="Y253" i="1" s="1"/>
  <c r="X253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 l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50" i="1" l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49" i="1"/>
  <c r="Y148" i="1"/>
  <c r="Y147" i="1"/>
  <c r="Y146" i="1"/>
  <c r="Y142" i="1"/>
  <c r="Y143" i="1"/>
  <c r="Y144" i="1"/>
  <c r="Y145" i="1"/>
  <c r="T141" i="1"/>
  <c r="T140" i="1"/>
  <c r="T139" i="1"/>
  <c r="T138" i="1"/>
  <c r="T137" i="1"/>
  <c r="T136" i="1"/>
  <c r="T135" i="1"/>
  <c r="T134" i="1"/>
  <c r="T133" i="1"/>
  <c r="Z141" i="1"/>
  <c r="Z140" i="1"/>
  <c r="Z139" i="1"/>
  <c r="Z138" i="1"/>
  <c r="Z137" i="1"/>
  <c r="Z136" i="1"/>
  <c r="Z135" i="1"/>
  <c r="Z134" i="1"/>
  <c r="Z133" i="1"/>
  <c r="T132" i="1"/>
  <c r="T131" i="1"/>
  <c r="T130" i="1"/>
  <c r="T129" i="1"/>
  <c r="T128" i="1"/>
  <c r="T127" i="1"/>
  <c r="T126" i="1"/>
  <c r="T125" i="1"/>
  <c r="T124" i="1"/>
  <c r="Z132" i="1"/>
  <c r="Z131" i="1"/>
  <c r="Z130" i="1"/>
  <c r="Z129" i="1"/>
  <c r="Z128" i="1"/>
  <c r="Z127" i="1"/>
  <c r="Z126" i="1"/>
  <c r="Z125" i="1"/>
  <c r="Z124" i="1"/>
  <c r="T123" i="1"/>
  <c r="T122" i="1"/>
  <c r="T121" i="1"/>
  <c r="T120" i="1"/>
  <c r="Z123" i="1"/>
  <c r="Z122" i="1"/>
  <c r="Z121" i="1"/>
  <c r="Z120" i="1"/>
  <c r="T116" i="1"/>
  <c r="T117" i="1"/>
  <c r="T118" i="1"/>
  <c r="T119" i="1"/>
  <c r="T115" i="1"/>
  <c r="Z119" i="1"/>
  <c r="Z118" i="1"/>
  <c r="Z117" i="1"/>
  <c r="Z116" i="1"/>
  <c r="Z115" i="1"/>
  <c r="Z114" i="1"/>
  <c r="Z113" i="1"/>
  <c r="Z112" i="1"/>
  <c r="T114" i="1"/>
  <c r="T113" i="1"/>
  <c r="T112" i="1"/>
  <c r="Z111" i="1"/>
  <c r="Z110" i="1"/>
  <c r="Z109" i="1"/>
  <c r="Z108" i="1"/>
  <c r="T109" i="1"/>
  <c r="T110" i="1"/>
  <c r="T111" i="1"/>
  <c r="T108" i="1"/>
  <c r="Y138" i="1" l="1"/>
  <c r="Y133" i="1"/>
  <c r="Y141" i="1"/>
  <c r="Y139" i="1"/>
  <c r="Y135" i="1"/>
  <c r="Y136" i="1"/>
  <c r="Y140" i="1"/>
  <c r="Y137" i="1"/>
  <c r="Y134" i="1"/>
  <c r="Y125" i="1"/>
  <c r="Y126" i="1"/>
  <c r="Y128" i="1"/>
  <c r="Y124" i="1"/>
  <c r="Y132" i="1"/>
  <c r="Y130" i="1"/>
  <c r="Y127" i="1"/>
  <c r="Y129" i="1"/>
  <c r="Y131" i="1"/>
  <c r="Y122" i="1"/>
  <c r="Y123" i="1"/>
  <c r="Y120" i="1"/>
  <c r="Y121" i="1"/>
  <c r="Y119" i="1"/>
  <c r="Y117" i="1"/>
  <c r="Y116" i="1"/>
  <c r="Y118" i="1"/>
  <c r="Y115" i="1"/>
  <c r="Y113" i="1"/>
  <c r="Y109" i="1"/>
  <c r="Y114" i="1"/>
  <c r="Y108" i="1"/>
  <c r="Y110" i="1"/>
  <c r="Y111" i="1"/>
  <c r="Y112" i="1"/>
  <c r="Y96" i="1"/>
  <c r="Y97" i="1"/>
  <c r="Y95" i="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2" i="1"/>
  <c r="Y6723" i="1"/>
  <c r="Y6730" i="1"/>
</calcChain>
</file>

<file path=xl/sharedStrings.xml><?xml version="1.0" encoding="utf-8"?>
<sst xmlns="http://schemas.openxmlformats.org/spreadsheetml/2006/main" count="115707" uniqueCount="851">
  <si>
    <t>Study</t>
  </si>
  <si>
    <t>Species</t>
  </si>
  <si>
    <t>Location</t>
  </si>
  <si>
    <t>Gametophyte</t>
  </si>
  <si>
    <t>Stressor</t>
  </si>
  <si>
    <t>OA</t>
  </si>
  <si>
    <t>Treatment</t>
  </si>
  <si>
    <t>Control</t>
  </si>
  <si>
    <t>Data</t>
  </si>
  <si>
    <t>T1</t>
  </si>
  <si>
    <t>pHT</t>
  </si>
  <si>
    <t>Temperature</t>
  </si>
  <si>
    <t>Survival</t>
  </si>
  <si>
    <t>T3</t>
  </si>
  <si>
    <t>T</t>
  </si>
  <si>
    <t>T4</t>
  </si>
  <si>
    <t>OA + T</t>
  </si>
  <si>
    <t>Summer</t>
  </si>
  <si>
    <t>Lifestage</t>
  </si>
  <si>
    <t>Response_category</t>
  </si>
  <si>
    <t>Response_variable</t>
  </si>
  <si>
    <t>Duration_days</t>
  </si>
  <si>
    <t>Sample_size</t>
  </si>
  <si>
    <t>pCO2_uatm</t>
  </si>
  <si>
    <t>Bolton &amp; Luning 1982</t>
  </si>
  <si>
    <t>Sporophyte (5-8cm)</t>
  </si>
  <si>
    <t>Growth</t>
  </si>
  <si>
    <t>T2</t>
  </si>
  <si>
    <t>NA</t>
  </si>
  <si>
    <t>95ci1</t>
  </si>
  <si>
    <t>95ci2</t>
  </si>
  <si>
    <t>Laminaria digitata</t>
  </si>
  <si>
    <t>Laminaria hyperborea</t>
  </si>
  <si>
    <t>Leal et al. 2017b</t>
  </si>
  <si>
    <t>Macrocystis pyrifera</t>
  </si>
  <si>
    <t>Undaria pinnatifida</t>
  </si>
  <si>
    <t>Meiospore</t>
  </si>
  <si>
    <t>T5</t>
  </si>
  <si>
    <t>StDev</t>
  </si>
  <si>
    <t>Germling</t>
  </si>
  <si>
    <t>Gametophyte, male</t>
  </si>
  <si>
    <t>Gametophyte, female</t>
  </si>
  <si>
    <t>Sex ratio</t>
  </si>
  <si>
    <t>Fortes &amp; Luning 1980</t>
  </si>
  <si>
    <t>Spring</t>
  </si>
  <si>
    <t>Adult (1-2 years)</t>
  </si>
  <si>
    <t>Mature sporophyte (20cm)</t>
  </si>
  <si>
    <t>Nunes et al. 2016</t>
  </si>
  <si>
    <t>Saccharina latissima</t>
  </si>
  <si>
    <t>Gerard &amp; DuBois 1988</t>
  </si>
  <si>
    <t>Juvenile sporophyte (3-5cm)</t>
  </si>
  <si>
    <t>StErr</t>
  </si>
  <si>
    <t>New York</t>
  </si>
  <si>
    <t>Maine</t>
  </si>
  <si>
    <t>Luning 1980</t>
  </si>
  <si>
    <t>Andersen et al. 2013</t>
  </si>
  <si>
    <t>Juvenile sporophyte (5-25cm)</t>
  </si>
  <si>
    <t>Units</t>
  </si>
  <si>
    <t>Alpha</t>
  </si>
  <si>
    <t>nmol/uE</t>
  </si>
  <si>
    <t>ug/cm</t>
  </si>
  <si>
    <t>Chlorophyll a</t>
  </si>
  <si>
    <t>Dark respiration</t>
  </si>
  <si>
    <t>umol/cm/h</t>
  </si>
  <si>
    <t>umol/l/g/min</t>
  </si>
  <si>
    <t>um</t>
  </si>
  <si>
    <t>Diameter</t>
  </si>
  <si>
    <t>ug/g</t>
  </si>
  <si>
    <t>DMSP</t>
  </si>
  <si>
    <t>#/female</t>
  </si>
  <si>
    <t>%</t>
  </si>
  <si>
    <t>Germination rate</t>
  </si>
  <si>
    <t>%/day</t>
  </si>
  <si>
    <t>Net primary productivity</t>
  </si>
  <si>
    <t>#/mm2</t>
  </si>
  <si>
    <t>cm2</t>
  </si>
  <si>
    <t>Perforation area</t>
  </si>
  <si>
    <t>cm</t>
  </si>
  <si>
    <t>umol/g/h</t>
  </si>
  <si>
    <t>um2</t>
  </si>
  <si>
    <t>Area</t>
  </si>
  <si>
    <t>Spore production</t>
  </si>
  <si>
    <t>(umol/g/h)/(umol/m2/s)</t>
  </si>
  <si>
    <t>umol/m2/s</t>
  </si>
  <si>
    <t>Fv/Fm</t>
  </si>
  <si>
    <t>+</t>
  </si>
  <si>
    <t>-</t>
  </si>
  <si>
    <t>Sign_change</t>
  </si>
  <si>
    <t>Chlorophyll c : Chlorophyll a ratio</t>
  </si>
  <si>
    <t>Viola+Zeaxanthin : Chlorophyll a ratio</t>
  </si>
  <si>
    <t>Fucoxanthin : Chlorophyll a ratio</t>
  </si>
  <si>
    <t>Buschmann et al. 2004</t>
  </si>
  <si>
    <t>Spore</t>
  </si>
  <si>
    <t>Winter</t>
  </si>
  <si>
    <t>Fall</t>
  </si>
  <si>
    <t>Juvenile sporophyte</t>
  </si>
  <si>
    <t>mm/month</t>
  </si>
  <si>
    <t>Cornwall et al. 2012</t>
  </si>
  <si>
    <t>Gross photosynthesis</t>
  </si>
  <si>
    <t>umol/g/s</t>
  </si>
  <si>
    <t>Gaitan-Espitia et al. 2014</t>
  </si>
  <si>
    <t>Ungerminated spores</t>
  </si>
  <si>
    <t>Gao et al. 2016</t>
  </si>
  <si>
    <t>Ecklonia cava</t>
  </si>
  <si>
    <t>Juvenile sporophyte (3-4cm)</t>
  </si>
  <si>
    <t>mg/g2/h</t>
  </si>
  <si>
    <t>Oxygen evolution</t>
  </si>
  <si>
    <t>Nitrogen</t>
  </si>
  <si>
    <t>mg/mg</t>
  </si>
  <si>
    <t>ug/mg</t>
  </si>
  <si>
    <t>Ecklonia stolonifera</t>
  </si>
  <si>
    <t>Juvenile sporophyte (30cm)</t>
  </si>
  <si>
    <t>rETRmax</t>
  </si>
  <si>
    <t>um/day</t>
  </si>
  <si>
    <t>Saccharina japonica</t>
  </si>
  <si>
    <t>Juvenile sporophyte (18 - 28 cm)</t>
  </si>
  <si>
    <t>T6</t>
  </si>
  <si>
    <t>T7</t>
  </si>
  <si>
    <t>T8</t>
  </si>
  <si>
    <t>Juvenile sporophyte (25 - 38 cm)</t>
  </si>
  <si>
    <t>Hargrave et al. 2017</t>
  </si>
  <si>
    <t>Laminaria ochroleuca</t>
  </si>
  <si>
    <t>Mature sporophyte (109 cm)</t>
  </si>
  <si>
    <t>Mature sporophyte (105 cm)</t>
  </si>
  <si>
    <t>cm/day</t>
  </si>
  <si>
    <t>g/day</t>
  </si>
  <si>
    <t>% dry weight</t>
  </si>
  <si>
    <t>Phenolic content</t>
  </si>
  <si>
    <t>Flavonoid content</t>
  </si>
  <si>
    <t>Leal et al. 2017a</t>
  </si>
  <si>
    <t>Leal et al. 2018</t>
  </si>
  <si>
    <t>Lind &amp; Konar 2017</t>
  </si>
  <si>
    <t>Eualaria fistulosa</t>
  </si>
  <si>
    <t>#/0.17mm2</t>
  </si>
  <si>
    <t>Nereocystis luetkeana</t>
  </si>
  <si>
    <t>Germ tube length</t>
  </si>
  <si>
    <t>Gametophyte : Nonviable attached spore proportion</t>
  </si>
  <si>
    <t>Matson &amp; Edwards 2007</t>
  </si>
  <si>
    <t>Pterygophora californica</t>
  </si>
  <si>
    <t>Fall-Winter</t>
  </si>
  <si>
    <t>Embryonic sporophyte</t>
  </si>
  <si>
    <t>Density</t>
  </si>
  <si>
    <t>Oogonium formation</t>
  </si>
  <si>
    <t>Young sporophyte</t>
  </si>
  <si>
    <t>Adult sporophyte</t>
  </si>
  <si>
    <t>g</t>
  </si>
  <si>
    <t>Net photosynthesis</t>
  </si>
  <si>
    <t>mg/g</t>
  </si>
  <si>
    <t>Phlorotannin content</t>
  </si>
  <si>
    <t>%/dry weight</t>
  </si>
  <si>
    <t>Dry weight : Wet weight</t>
  </si>
  <si>
    <t>Muth et al. 2019</t>
  </si>
  <si>
    <t>Lessoniopsis littoralis</t>
  </si>
  <si>
    <t>Alaria marginata</t>
  </si>
  <si>
    <t>Costaria costata</t>
  </si>
  <si>
    <t>Washington (San Juan Island)</t>
  </si>
  <si>
    <t>Laminaria setchellii</t>
  </si>
  <si>
    <t>Washington (Tatoosh Island)</t>
  </si>
  <si>
    <t>Egregia menziesii</t>
  </si>
  <si>
    <t>California (Soberanes Point)</t>
  </si>
  <si>
    <t>California (Stillwater Cove)</t>
  </si>
  <si>
    <t>Laminaria ephemera</t>
  </si>
  <si>
    <t>California (Carmel Bay)</t>
  </si>
  <si>
    <t>California (Catalina)</t>
  </si>
  <si>
    <t>California (Los Angeles)</t>
  </si>
  <si>
    <t>Oppliger et al. 2011</t>
  </si>
  <si>
    <t>Oppliger et al. 2012</t>
  </si>
  <si>
    <t>Lessonia nigrescens</t>
  </si>
  <si>
    <t>Chile (Iquique and Carrizal Bajo)</t>
  </si>
  <si>
    <t>Chile (Choros Ventana)</t>
  </si>
  <si>
    <t>Chile (Chanaral de Aceituno, Coquimbo-Cruz)</t>
  </si>
  <si>
    <t>Frequency of females with vegetative growth</t>
  </si>
  <si>
    <t>Respiration</t>
  </si>
  <si>
    <t>Shukla &amp; Edwards, 2017</t>
  </si>
  <si>
    <t>Mohring et al. 2014</t>
  </si>
  <si>
    <t>Ecklonia radiata</t>
  </si>
  <si>
    <t>Australia (Adelaide)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</si>
  <si>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</si>
  <si>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</si>
  <si>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</si>
  <si>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</si>
  <si>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</si>
  <si>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</si>
  <si>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</si>
  <si>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</si>
  <si>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</si>
  <si>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Australia (Albany)</t>
  </si>
  <si>
    <t>Australia (Bicheno)</t>
  </si>
  <si>
    <t>Australia (Marmion)</t>
  </si>
  <si>
    <t>Australia (Southport)</t>
  </si>
  <si>
    <t>Australia (Yorke)</t>
  </si>
  <si>
    <t>Australia (Encounter)</t>
  </si>
  <si>
    <t>Australia (Fortesque)</t>
  </si>
  <si>
    <t>Burdett et al. 2019</t>
  </si>
  <si>
    <t>Adult sporophyte (30-50 cm)</t>
  </si>
  <si>
    <t>umol/m2/hr</t>
  </si>
  <si>
    <t>Ek</t>
  </si>
  <si>
    <t>Zhang et al. 2013</t>
  </si>
  <si>
    <t>China (Yellow Sea)</t>
  </si>
  <si>
    <t>Xiao et al. 2015</t>
  </si>
  <si>
    <t>Juvenile sporophyte (18 cm)</t>
  </si>
  <si>
    <t>Unhealthy</t>
  </si>
  <si>
    <t>Steinhoff et al. 2008</t>
  </si>
  <si>
    <t>Zoospore</t>
  </si>
  <si>
    <t>Park et al. 2017</t>
  </si>
  <si>
    <t>Alaria esculenta</t>
  </si>
  <si>
    <t>#</t>
  </si>
  <si>
    <t>Number of cells</t>
  </si>
  <si>
    <t>NPQ</t>
  </si>
  <si>
    <t>Fain &amp; Murray, 1982</t>
  </si>
  <si>
    <t>California (Laguna Beach)</t>
  </si>
  <si>
    <t>mg/g/h</t>
  </si>
  <si>
    <t>Timepoint</t>
  </si>
  <si>
    <t>F</t>
  </si>
  <si>
    <t>NF</t>
  </si>
  <si>
    <t>Qiu et al. 2019</t>
  </si>
  <si>
    <t>Australia (Charlesworth Bay, Coffs Harbour)</t>
  </si>
  <si>
    <t>Juvenile sporophyte (30-60 cm)</t>
  </si>
  <si>
    <t>Number of blisters</t>
  </si>
  <si>
    <t>Wilson et al. 2015</t>
  </si>
  <si>
    <t>Juvenile sporophyte (10-15 cm)</t>
  </si>
  <si>
    <t>Carbon</t>
  </si>
  <si>
    <t>Minich et al. 2018</t>
  </si>
  <si>
    <t>Gerard 1997</t>
  </si>
  <si>
    <t>Microscopic sporophyte (&lt; 1 mm)</t>
  </si>
  <si>
    <t>Young sporophyte (0.4g)</t>
  </si>
  <si>
    <t>California (Santa Barbara)</t>
  </si>
  <si>
    <t>Laminaria farlowii</t>
  </si>
  <si>
    <t>Fertility</t>
  </si>
  <si>
    <t>California (central California)</t>
  </si>
  <si>
    <t>Hedophyllum sessile</t>
  </si>
  <si>
    <t>Laminaria sinclairii</t>
  </si>
  <si>
    <t>Luning &amp; Neuschul 1978</t>
  </si>
  <si>
    <t>HSP70 expression</t>
  </si>
  <si>
    <t>Relative fold change</t>
  </si>
  <si>
    <t>United Kingdom (Cornwall)</t>
  </si>
  <si>
    <t>King et al. 2018</t>
  </si>
  <si>
    <t>Lee &amp; Brinkhuis, 1988</t>
  </si>
  <si>
    <t>Davison 1987</t>
  </si>
  <si>
    <t>umol C fixed/g f wt/h</t>
  </si>
  <si>
    <t>Sprophyte (5-15 cm)</t>
  </si>
  <si>
    <t>Chlorophyll c</t>
  </si>
  <si>
    <t>Fucoxanthin</t>
  </si>
  <si>
    <t>Beta-carotene</t>
  </si>
  <si>
    <t>Davison &amp; Davison 1987</t>
  </si>
  <si>
    <t>Juvenile sporophyte (10 cm)</t>
  </si>
  <si>
    <t>cm/cm/month</t>
  </si>
  <si>
    <t>Amino-nitrogen content</t>
  </si>
  <si>
    <t>NO3- nitrogen</t>
  </si>
  <si>
    <t>Mannitol</t>
  </si>
  <si>
    <t>umol C/g f wt/h</t>
  </si>
  <si>
    <t>GADPH activity</t>
  </si>
  <si>
    <t>GAPDH activity</t>
  </si>
  <si>
    <t>umol/g/min</t>
  </si>
  <si>
    <t>Nitrate reductase activity</t>
  </si>
  <si>
    <t>Glutamine synthetase activity</t>
  </si>
  <si>
    <t>Malate dehydrogenase activity</t>
  </si>
  <si>
    <t>L-aspartate activity</t>
  </si>
  <si>
    <t>Phosphoenolpyruvate carboxykinase activity</t>
  </si>
  <si>
    <t>Mannitol-1-phosphate dehydrogenase activity</t>
  </si>
  <si>
    <t>Fredersdorf et al. 2009</t>
  </si>
  <si>
    <t>Juvenile sporophyte (7-9 cm)</t>
  </si>
  <si>
    <t>Parages et al. 2013</t>
  </si>
  <si>
    <t>Laminaria solidungula</t>
  </si>
  <si>
    <t>36 kDa band intensity</t>
  </si>
  <si>
    <t>42 kDa band intensity</t>
  </si>
  <si>
    <t>p-38-like protein phosphorylation</t>
  </si>
  <si>
    <t>Young sporophyte (15-20 cm)</t>
  </si>
  <si>
    <t>Adult sporophyte (2-3 years old, 15-20cm)</t>
  </si>
  <si>
    <t>Carbon fixation rate</t>
  </si>
  <si>
    <t>DOC release rate</t>
  </si>
  <si>
    <t>e/photon</t>
  </si>
  <si>
    <t>C:N ratio</t>
  </si>
  <si>
    <t>Delta13 Carbon</t>
  </si>
  <si>
    <t>Fresh weight : Dry weight</t>
  </si>
  <si>
    <t>Scheschonk et al. 2019</t>
  </si>
  <si>
    <t>Laminarin</t>
  </si>
  <si>
    <t>Komazawa et al. 2015</t>
  </si>
  <si>
    <t>Japan (Habuminato in Izu-Oshima Island)</t>
  </si>
  <si>
    <t>Young sporophyte (2-3cm)</t>
  </si>
  <si>
    <t>Hoffman et al. 2003</t>
  </si>
  <si>
    <t>Washington (Friday Harbor Laboratory)</t>
  </si>
  <si>
    <t>Delebecq et al. 2016</t>
  </si>
  <si>
    <t>France (Roscoff)</t>
  </si>
  <si>
    <t>France (Wissant)</t>
  </si>
  <si>
    <t>King et al. 2019</t>
  </si>
  <si>
    <t>Scotland (Warbeth)</t>
  </si>
  <si>
    <t>fold change</t>
  </si>
  <si>
    <t>Scotland (Easdale)</t>
  </si>
  <si>
    <t>South Africa (Cape Peninsula)</t>
  </si>
  <si>
    <t>Ecklonia maxima</t>
  </si>
  <si>
    <t>Bolton &amp; Levitt 1985</t>
  </si>
  <si>
    <t>Roleda 2009</t>
  </si>
  <si>
    <t>log scale</t>
  </si>
  <si>
    <t>Pereira et al. 2015</t>
  </si>
  <si>
    <t>Adult sporophyte (15 cm)</t>
  </si>
  <si>
    <t>Yokohama 1973</t>
  </si>
  <si>
    <t>Japan (Shimoda, Izu Peninsula)</t>
  </si>
  <si>
    <t>ul/mg/hr</t>
  </si>
  <si>
    <t>Specific lifestage</t>
  </si>
  <si>
    <t>Spore/germling</t>
  </si>
  <si>
    <t>Year</t>
  </si>
  <si>
    <t>Latitude</t>
  </si>
  <si>
    <t>Longitude</t>
  </si>
  <si>
    <t>United Kingdom (Isle of Man, Port Erin)</t>
  </si>
  <si>
    <t>France (Brittany, Brest)</t>
  </si>
  <si>
    <t>Norway (Espegrend)</t>
  </si>
  <si>
    <t>Germany (Helgoland)</t>
  </si>
  <si>
    <t>Canada (North West Territories, Igloolik)</t>
  </si>
  <si>
    <t>Canada (Nova Scotia, St. Margerets Bay)</t>
  </si>
  <si>
    <t>United Kingdom (Plymouth Sound)</t>
  </si>
  <si>
    <t>New Zealand (South Island, Otago Harbour)</t>
  </si>
  <si>
    <t>Japan (Izu Peninsula)</t>
  </si>
  <si>
    <t>Korea (Jeonam, Jindo)</t>
  </si>
  <si>
    <t>New Hampshire (Portsmouth)</t>
  </si>
  <si>
    <t>Chile (Las Docas)</t>
  </si>
  <si>
    <t>Chile (Las Cruces)</t>
  </si>
  <si>
    <t>United Kingdom (Cornwall, St Mawes)</t>
  </si>
  <si>
    <t>United Kingdom (Cornwall, Trevone)</t>
  </si>
  <si>
    <t>New Zealand (Otago Harbour, Hamilton Bay)</t>
  </si>
  <si>
    <t>New York (Long Island Sound, Crane Neck Point)</t>
  </si>
  <si>
    <t>Alaska (Kachemak Bay)</t>
  </si>
  <si>
    <t>Australia (Hamelin Bay)</t>
  </si>
  <si>
    <t>Norway (Bergen)</t>
  </si>
  <si>
    <t>France (Brittany)</t>
  </si>
  <si>
    <t>California (San Diego, Point Loma)</t>
  </si>
  <si>
    <t>Norway (Drobak)</t>
  </si>
  <si>
    <t>Chile (El Quisco)</t>
  </si>
  <si>
    <t>Norway (Grimstad)</t>
  </si>
  <si>
    <t>Chile (Los Verdes)</t>
  </si>
  <si>
    <t>Chile (northern)</t>
  </si>
  <si>
    <t>Portugal (northern)</t>
  </si>
  <si>
    <t>Chile (Valdivia)</t>
  </si>
  <si>
    <t>Canada (Vancouver Island)</t>
  </si>
  <si>
    <t>Canada (Nova Scotia)</t>
  </si>
  <si>
    <t>Chile (Pan de Azucar)</t>
  </si>
  <si>
    <t>Chile (southern)</t>
  </si>
  <si>
    <t>California (Big Creek Cove)</t>
  </si>
  <si>
    <t>Ecklonia radicosa</t>
  </si>
  <si>
    <t>Dictyoneurum reticulatum</t>
  </si>
  <si>
    <t>Hedophyllum dentigerum</t>
  </si>
  <si>
    <t>Norway (Svalbard, Blomstrandhalvøya)</t>
  </si>
  <si>
    <t>Gordillo et al. 2015</t>
  </si>
  <si>
    <t>Young sporophyte (15-30cm)</t>
  </si>
  <si>
    <t>Weight gain during sorus formation</t>
  </si>
  <si>
    <t>REA/g FW</t>
  </si>
  <si>
    <t>g/g</t>
  </si>
  <si>
    <t>Soluble carbohydrates</t>
  </si>
  <si>
    <t>Proteins</t>
  </si>
  <si>
    <t>mol/mol</t>
  </si>
  <si>
    <t>Lipids</t>
  </si>
  <si>
    <t>Juvenile sporophyte (1-2cm)</t>
  </si>
  <si>
    <t>Japan (Matsushima)</t>
  </si>
  <si>
    <t>Japan (Naruto)</t>
  </si>
  <si>
    <t>Endo et al. 2020</t>
  </si>
  <si>
    <t>Japan (Shizugawa Bay)</t>
  </si>
  <si>
    <t>Length</t>
  </si>
  <si>
    <t>Eisenia bicyclis</t>
  </si>
  <si>
    <t>Japan (Oshika Peninsula)</t>
  </si>
  <si>
    <t>Beta-carotene : Chlorophyll a ratio</t>
  </si>
  <si>
    <t>Accessory pigment : Chlorophyll a ratio</t>
  </si>
  <si>
    <t>Violaxanthin</t>
  </si>
  <si>
    <t>Zeaxanthin</t>
  </si>
  <si>
    <t>Xanthophyll cycle pigment pool</t>
  </si>
  <si>
    <t>De-epoxidation state</t>
  </si>
  <si>
    <t>Violaxanthin : Chlorophyll a ratio</t>
  </si>
  <si>
    <t>Zeaxanthin : Chlorophyll a ratio</t>
  </si>
  <si>
    <t>Antheraxanthin : Chlorophyll a ratio</t>
  </si>
  <si>
    <t>Xanthophyll cycle pigment pool : Chlorophyll a ratio</t>
  </si>
  <si>
    <t>D1 protein</t>
  </si>
  <si>
    <t>relative intensity</t>
  </si>
  <si>
    <t>Epsilon p</t>
  </si>
  <si>
    <t>Lessonia trabeculata</t>
  </si>
  <si>
    <t>Chile (Coquimbo, Puerto Aldea)</t>
  </si>
  <si>
    <t>Reproductive success</t>
  </si>
  <si>
    <t>Japan (Mugisaki)</t>
  </si>
  <si>
    <t>Japan (Gokasyo Bay)</t>
  </si>
  <si>
    <t>Morita et al. 2003b</t>
  </si>
  <si>
    <t>Morita et al. 2003a</t>
  </si>
  <si>
    <t>Fonck et al. 1998</t>
  </si>
  <si>
    <t>Chile (Coquimbo)</t>
  </si>
  <si>
    <t>#/cm2</t>
  </si>
  <si>
    <t>Gao et al. 2013a</t>
  </si>
  <si>
    <t>Gao et al. 2013b</t>
  </si>
  <si>
    <t>Japan (Okirai Bay)</t>
  </si>
  <si>
    <t>Juvenile sporophyte (2-3cm)</t>
  </si>
  <si>
    <t>uL/cm2/s</t>
  </si>
  <si>
    <t>Gao et al. 2017</t>
  </si>
  <si>
    <t>Japan (Hokkaido, Osatsube)</t>
  </si>
  <si>
    <t>Adult sporophyte (100-150 cm)</t>
  </si>
  <si>
    <t>ug/cm2/s</t>
  </si>
  <si>
    <t>ug/cm2</t>
  </si>
  <si>
    <t>China (Yellow Sea, Sungo Bay)</t>
  </si>
  <si>
    <t>Xu et al. 2015</t>
  </si>
  <si>
    <t>Number of oogonia</t>
  </si>
  <si>
    <t>per female gametophyte</t>
  </si>
  <si>
    <t>YII</t>
  </si>
  <si>
    <t>#/cm</t>
  </si>
  <si>
    <t>Chlorophyll a : Chlorophyll c ratio</t>
  </si>
  <si>
    <t>Cruces et al. 2013</t>
  </si>
  <si>
    <t>Chile (Valdivia, Playa Rosada)</t>
  </si>
  <si>
    <t>Malondialdehyde</t>
  </si>
  <si>
    <t>nmol/g</t>
  </si>
  <si>
    <t>Radical scavenging activity</t>
  </si>
  <si>
    <t>Insoluble phlorotannin content</t>
  </si>
  <si>
    <t>Kang &amp; Chung 2018</t>
  </si>
  <si>
    <t>South Korea (Jindo)</t>
  </si>
  <si>
    <t>Ammonium uptake</t>
  </si>
  <si>
    <t>Portugal</t>
  </si>
  <si>
    <t>Juvenile sporophyte (20-25cm)</t>
  </si>
  <si>
    <t>GPmax</t>
  </si>
  <si>
    <t>Norway (Svalbard, Spitsbergen, Kongsfjorden, Stuphallet)</t>
  </si>
  <si>
    <t>relative unit</t>
  </si>
  <si>
    <t>Biskup et al. 2014</t>
  </si>
  <si>
    <t>Roleda 2016</t>
  </si>
  <si>
    <t>Chu et al. 2019</t>
  </si>
  <si>
    <t>China (Shandong, Rongcheng)</t>
  </si>
  <si>
    <t>Mabin et al. 2013</t>
  </si>
  <si>
    <t>Australia (Tasmania, Bicheno)</t>
  </si>
  <si>
    <t>Kain</t>
  </si>
  <si>
    <t>Spore concentration</t>
  </si>
  <si>
    <t>#/mm3</t>
  </si>
  <si>
    <t>Iniguez et al. 2016b</t>
  </si>
  <si>
    <t>Iniguez et al. 2016a</t>
  </si>
  <si>
    <t>Norway (Svalbard, Spitsbergen, Kongsfjorden)</t>
  </si>
  <si>
    <t>Young sporophyte (10-15cm)</t>
  </si>
  <si>
    <t>POC release rate</t>
  </si>
  <si>
    <t>e-/photons</t>
  </si>
  <si>
    <t>Photosynthetic quotient</t>
  </si>
  <si>
    <t>% DW</t>
  </si>
  <si>
    <t>Mexico (Baja California, Bahía Todos Santos)</t>
  </si>
  <si>
    <t>Juvenile sporophyte (&lt;20 cm)</t>
  </si>
  <si>
    <t>Carotenoids</t>
  </si>
  <si>
    <t>Total non-structural carbohydrates</t>
  </si>
  <si>
    <t>Nitrate uptake</t>
  </si>
  <si>
    <t>Total phenolic content</t>
  </si>
  <si>
    <t>Antioxidant capacity</t>
  </si>
  <si>
    <t>Lipid peroxidation</t>
  </si>
  <si>
    <t>Gao et al. 2019b</t>
  </si>
  <si>
    <t>Gao et al. 2019a</t>
  </si>
  <si>
    <t>Endo et al. 2017b</t>
  </si>
  <si>
    <t>Mabin et al. 2019</t>
  </si>
  <si>
    <t>Australia (Tasmania, Fortescue Bay)</t>
  </si>
  <si>
    <t>Juvenile sporophyte (50-150mm)</t>
  </si>
  <si>
    <t>Delta15 Nitrogen</t>
  </si>
  <si>
    <t>RNA</t>
  </si>
  <si>
    <t>DNA</t>
  </si>
  <si>
    <t>RNA : DNA ratio</t>
  </si>
  <si>
    <t>Bartsch et al. 2013</t>
  </si>
  <si>
    <t>Year-round</t>
  </si>
  <si>
    <t>Sorus induction</t>
  </si>
  <si>
    <t>Half maximal reaction time</t>
  </si>
  <si>
    <t>weeks</t>
  </si>
  <si>
    <t>Total fertile area</t>
  </si>
  <si>
    <t>mm2</t>
  </si>
  <si>
    <t>Zacher et al. 2019</t>
  </si>
  <si>
    <t>Watanabe et al. 2014</t>
  </si>
  <si>
    <t>Japan (Kagoshima, Ibusuki, Yamagwa)</t>
  </si>
  <si>
    <t>per individual</t>
  </si>
  <si>
    <t>ug/chl/m</t>
  </si>
  <si>
    <t>Martins et al. 2017</t>
  </si>
  <si>
    <t>mm2/cm2</t>
  </si>
  <si>
    <t>Elongation rate</t>
  </si>
  <si>
    <t>proportion</t>
  </si>
  <si>
    <t>Mortality</t>
  </si>
  <si>
    <t>Chile (Calfuco)</t>
  </si>
  <si>
    <t>Young sporophyte (1-1.5m)</t>
  </si>
  <si>
    <t>REA/g wwt</t>
  </si>
  <si>
    <t>(umol/m2/s)/(umol/m2/s)</t>
  </si>
  <si>
    <t>Supratya et al. 2020</t>
  </si>
  <si>
    <t>Canada (British Columbia, Vancouver, Stanley Park)</t>
  </si>
  <si>
    <t>Adult sporophyte (50-100mm pneumatocyst diameter)</t>
  </si>
  <si>
    <t>Swanson &amp; Fox 2007</t>
  </si>
  <si>
    <t>Canada (British Columbia, Barkley Sound)</t>
  </si>
  <si>
    <t>Sporophyte (0.1-0.4g)</t>
  </si>
  <si>
    <t>mg</t>
  </si>
  <si>
    <t>Staehr &amp;  Wernberg 2009</t>
  </si>
  <si>
    <t>Australia (Marmion Lagoon)</t>
  </si>
  <si>
    <t>Australia (Jurien Bay)</t>
  </si>
  <si>
    <t>Australia (Kalbarri)</t>
  </si>
  <si>
    <t>Ec</t>
  </si>
  <si>
    <t>umol/m2/m</t>
  </si>
  <si>
    <t>Liu &amp; Pang 2010</t>
  </si>
  <si>
    <t>China (Daban)</t>
  </si>
  <si>
    <t>China (Benniu)</t>
  </si>
  <si>
    <t>China (Zhen)</t>
  </si>
  <si>
    <t>China (Yanza)</t>
  </si>
  <si>
    <t>China (Fujian)</t>
  </si>
  <si>
    <t>China (Gaolv)</t>
  </si>
  <si>
    <t>China (Qingdao)</t>
  </si>
  <si>
    <t>Young sporophyte (1-3cm)</t>
  </si>
  <si>
    <t>mm/day</t>
  </si>
  <si>
    <t>White tip rate</t>
  </si>
  <si>
    <t>Fv/Fo</t>
  </si>
  <si>
    <t>nmol/mg</t>
  </si>
  <si>
    <t>SOD activity</t>
  </si>
  <si>
    <t>U/mg</t>
  </si>
  <si>
    <t>CAT activity</t>
  </si>
  <si>
    <t>Peroxidase activity</t>
  </si>
  <si>
    <t>Glutathione reductase activity</t>
  </si>
  <si>
    <t>Longphuirt et al. 2013</t>
  </si>
  <si>
    <t>Ireland (County Galway, Letterard)</t>
  </si>
  <si>
    <t>Vmax</t>
  </si>
  <si>
    <t>CO2 uptake</t>
  </si>
  <si>
    <t>Rothausler et al. 2011b</t>
  </si>
  <si>
    <t>Rothausler et al. 2011a</t>
  </si>
  <si>
    <t>Chile (Los Vilos, Caleta San Pedro)</t>
  </si>
  <si>
    <t>Adult sporophyte (116.1 +/- 27.7 cm)</t>
  </si>
  <si>
    <t>Reproductive area allocation</t>
  </si>
  <si>
    <t>Wernberg et al. 2016b</t>
  </si>
  <si>
    <t>Zhou et al. 2010</t>
  </si>
  <si>
    <t>Juvenile sporophyte (4-7cm long blades)</t>
  </si>
  <si>
    <t>China (Shandong Province, Yantai Sea Farm)</t>
  </si>
  <si>
    <t>Hydrogen peroxide</t>
  </si>
  <si>
    <t>Glutathione peroxidase activity</t>
  </si>
  <si>
    <t>Phenylalanine ammonia-lyase activity</t>
  </si>
  <si>
    <t>Polyphenol oxidase activity</t>
  </si>
  <si>
    <t>Rothausler et al. 2009</t>
  </si>
  <si>
    <t>Chile (Iquique)</t>
  </si>
  <si>
    <t>Li et al. 2020</t>
  </si>
  <si>
    <t>Young sporophyte (13cm)</t>
  </si>
  <si>
    <t>Accessory pigment pool</t>
  </si>
  <si>
    <t>Gordillo et al. 2016</t>
  </si>
  <si>
    <t>Young sporophyte (&lt;15cm, 2-5g)</t>
  </si>
  <si>
    <t>REA/g</t>
  </si>
  <si>
    <t>photons: e-)</t>
  </si>
  <si>
    <t>Thornber et al. 2004</t>
  </si>
  <si>
    <t>California (Monterey)</t>
  </si>
  <si>
    <t>Microscopic sporophytes</t>
  </si>
  <si>
    <t>#*10^-3/mm2</t>
  </si>
  <si>
    <t>Zacher et al. 2016</t>
  </si>
  <si>
    <t>Norway (Svalbard, Spitsbergen, Kongsfjorden, Hansneset)</t>
  </si>
  <si>
    <t>Norway (Svalbard, Spitsbergen)</t>
  </si>
  <si>
    <t>Bi et al. 2021</t>
  </si>
  <si>
    <t>China (Shanghai)</t>
  </si>
  <si>
    <t>Fernandez et al. 2017</t>
  </si>
  <si>
    <t>New Zealand (Otago Harbour, Aramoana Beach)</t>
  </si>
  <si>
    <t>pH units</t>
  </si>
  <si>
    <t>Bicarbonate uptake</t>
  </si>
  <si>
    <t>Total alkalinity</t>
  </si>
  <si>
    <t>umol/kg</t>
  </si>
  <si>
    <t>Xu et al. 2019</t>
  </si>
  <si>
    <t>Young sporophyte (10 cm)</t>
  </si>
  <si>
    <t>Iodine accumulation</t>
  </si>
  <si>
    <t>Iodine efflux</t>
  </si>
  <si>
    <t>Winter-Spring</t>
  </si>
  <si>
    <t>Nepper-Davidsen et al. 2019</t>
  </si>
  <si>
    <t>Denmark (Southern Kattegat, Hjarnø Havbrug)</t>
  </si>
  <si>
    <t>Sporophyte (1 yr old, 12-20cm)</t>
  </si>
  <si>
    <t>/day</t>
  </si>
  <si>
    <t>umol/g/h / umol/m2/s</t>
  </si>
  <si>
    <t>Carbon acquisition</t>
  </si>
  <si>
    <t>umol/g/day</t>
  </si>
  <si>
    <t>Pigments</t>
  </si>
  <si>
    <t>Fernandez et al. 2021</t>
  </si>
  <si>
    <t>Chile (El Tabo)</t>
  </si>
  <si>
    <t>umol/L/g/h</t>
  </si>
  <si>
    <t>Monteiro et al. 2021</t>
  </si>
  <si>
    <t>France (Brittany, Roscoff)</t>
  </si>
  <si>
    <t>Juvenile sporophyte (5-7 cm; 0.58 g)</t>
  </si>
  <si>
    <t>Paine et al. 2021</t>
  </si>
  <si>
    <t>Lessonia corrugata</t>
  </si>
  <si>
    <t>Australia (Tasmania, Crayfish Point)</t>
  </si>
  <si>
    <t>Gerard 1997b</t>
  </si>
  <si>
    <t>Young sporophytes (5-30 cm)</t>
  </si>
  <si>
    <t>Maine (South Bristol)</t>
  </si>
  <si>
    <t>New York (Long Island Sound, Stony Brook)</t>
  </si>
  <si>
    <t>umol/cm2/h</t>
  </si>
  <si>
    <t>Fv/Fm reduction</t>
  </si>
  <si>
    <t>Diehl et al. 2020</t>
  </si>
  <si>
    <t>umol/g</t>
  </si>
  <si>
    <t>Falkenberg et al. 2013</t>
  </si>
  <si>
    <t>Australia (Adelaide, Outer Harbor, Gulf St. Vincent)</t>
  </si>
  <si>
    <t>Adult sporophyte (32 cm)</t>
  </si>
  <si>
    <t>g/cm/day</t>
  </si>
  <si>
    <t>Simonson et al. 2015a</t>
  </si>
  <si>
    <t>Canada (Nova Scotia, Halifax, Splitnose Point)</t>
  </si>
  <si>
    <t>Agarum clathratum</t>
  </si>
  <si>
    <t>Adult sporophyte (0.5-1m blade length)</t>
  </si>
  <si>
    <t>Adult sporophyte (1-1.5m blade length)</t>
  </si>
  <si>
    <t>Tissue loss</t>
  </si>
  <si>
    <t>MPa</t>
  </si>
  <si>
    <t>Breaking stress</t>
  </si>
  <si>
    <t>Maximum strain</t>
  </si>
  <si>
    <t>% extension</t>
  </si>
  <si>
    <t>Simonson et al. 2015b</t>
  </si>
  <si>
    <t>mg/day</t>
  </si>
  <si>
    <t>Agutye et al. 2019</t>
  </si>
  <si>
    <t>Saccharina angustissima</t>
  </si>
  <si>
    <t>Maine (Casco Bay, Harpswell, Bailey Island)</t>
  </si>
  <si>
    <t>Britton et al. 2016</t>
  </si>
  <si>
    <t>Juvenile sporophyte/sporeling (40-100mm blade length)</t>
  </si>
  <si>
    <t>umol/h/mm2</t>
  </si>
  <si>
    <t>Brown et al. 2014</t>
  </si>
  <si>
    <t>Weight</t>
  </si>
  <si>
    <t>Franco et al. 2017</t>
  </si>
  <si>
    <t>Juvenile sporophyte (10-18cm total length, 6g)</t>
  </si>
  <si>
    <t>Portugal (three locations: São Bartolomeu, Amorosa and Viana do Castelo)</t>
  </si>
  <si>
    <t>Bolton &amp; Anderson 1987</t>
  </si>
  <si>
    <t>South Africa (Kommetjie)</t>
  </si>
  <si>
    <t>Ecklonia biruncinata</t>
  </si>
  <si>
    <t>South Africa (Glengariff)</t>
  </si>
  <si>
    <t>Young et al. 2021</t>
  </si>
  <si>
    <t>New York (Moriches Bay, Great Gun Shellfish)</t>
  </si>
  <si>
    <t>mol:mol</t>
  </si>
  <si>
    <t>Liesner et al. 2020</t>
  </si>
  <si>
    <t>g/g*d</t>
  </si>
  <si>
    <t>Norway (Tromsø)</t>
  </si>
  <si>
    <t>France (Quiberon)</t>
  </si>
  <si>
    <t>mmol/g</t>
  </si>
  <si>
    <t>Bollen et al. 2016</t>
  </si>
  <si>
    <t>New Zealand (Tauranga Harbour)</t>
  </si>
  <si>
    <t>Lessonia variegata</t>
  </si>
  <si>
    <t>ug/ug</t>
  </si>
  <si>
    <t>Antioxidant pool size</t>
  </si>
  <si>
    <t>Donham et al. 2021</t>
  </si>
  <si>
    <t>#/100 cm2</t>
  </si>
  <si>
    <t>California (San Diego, Mia's Reef)</t>
  </si>
  <si>
    <t>Henkel &amp; Hofmann 2008a</t>
  </si>
  <si>
    <t>California (Carmel, Monastery Beach)</t>
  </si>
  <si>
    <t>California (Santa Barbara, Ledbetter Beach)</t>
  </si>
  <si>
    <t>California (Los Angeles, Cabrillo Beach)</t>
  </si>
  <si>
    <t>California (Catalina Island, Fisherman Cove)</t>
  </si>
  <si>
    <t>California (San Diego, La Jolla Shores)</t>
  </si>
  <si>
    <t>Mexico (Todos Santos Island)</t>
  </si>
  <si>
    <t>California (Monterey Bay Harbor)</t>
  </si>
  <si>
    <t>California (Santa Barbara, Santa Barbara Harbor)</t>
  </si>
  <si>
    <t>California (Los Angeles, Cabrillo Harbor)</t>
  </si>
  <si>
    <t>California (Catalina Island, Long Point)</t>
  </si>
  <si>
    <t>California (San Diego, Coronodo Island)</t>
  </si>
  <si>
    <t>Henkel &amp; Hofmann 2008b</t>
  </si>
  <si>
    <t>Olischlager et al. 2012</t>
  </si>
  <si>
    <t>Olischlager et al. 2014</t>
  </si>
  <si>
    <t>Olischlager et al. 2017</t>
  </si>
  <si>
    <t>Gonzalez et al. 2018</t>
  </si>
  <si>
    <t>Olischlager &amp; Wiencke 2013</t>
  </si>
  <si>
    <t>Sanchez-Barredo et al. 2020</t>
  </si>
  <si>
    <t>Stress response</t>
  </si>
  <si>
    <t>Biochemical composition</t>
  </si>
  <si>
    <t>Terada et al. 2016</t>
  </si>
  <si>
    <t>Japan (Kagoshima Prefecture, Nagashima)</t>
  </si>
  <si>
    <t>ug/g/min</t>
  </si>
  <si>
    <t>Borlongan et al. 2018</t>
  </si>
  <si>
    <t>Japan (Hokkaido Island, Muroran City, Charatsunai Beach)</t>
  </si>
  <si>
    <t>Saccharina angustata</t>
  </si>
  <si>
    <t>Borlongan et al. 2020</t>
  </si>
  <si>
    <t>Adult sporophyte (&gt;100 cm)</t>
  </si>
  <si>
    <t>ug/mg/min</t>
  </si>
  <si>
    <t>Borlongan et al. 2019b</t>
  </si>
  <si>
    <t>Borlongan et al. 2019a</t>
  </si>
  <si>
    <t>Alaria crassifolia</t>
  </si>
  <si>
    <t>Japan (Hokkaido Island, Muroran City, Charatsunai Beach, Uchiura Bay)</t>
  </si>
  <si>
    <t>Adult sporophyte (&gt; 40 cm blade length)</t>
  </si>
  <si>
    <t>Japan (Hokkaido Island, Muroran City, Usujiri, Uchiura Bay)</t>
  </si>
  <si>
    <t>Serisawa et al. 2001</t>
  </si>
  <si>
    <t>uL/mg/h</t>
  </si>
  <si>
    <t>Japan (Shimoda, Nabeta Bay)</t>
  </si>
  <si>
    <t>Japan (Tosa Bay, Tei)</t>
  </si>
  <si>
    <t>Fu et al. 2010</t>
  </si>
  <si>
    <t>China (Dalian)</t>
  </si>
  <si>
    <t>Saccharina sculpera</t>
  </si>
  <si>
    <t>Germling (10 cm)</t>
  </si>
  <si>
    <t>Japan (Hokkaido Island, Hakodate)</t>
  </si>
  <si>
    <t>Tissue health</t>
  </si>
  <si>
    <t>Enzyme activity</t>
  </si>
  <si>
    <t>Laminarin is a storage compound (long-term storage polymer). Reduction indicates the alga is dipping into its energy stores. Mannitol the sugar alcohol is converted to and from laminarin to be stored.</t>
  </si>
  <si>
    <t>Gonzalez et al. 2021</t>
  </si>
  <si>
    <t>Chile (Coquimbo, El Frances)</t>
  </si>
  <si>
    <t>#/mm4</t>
  </si>
  <si>
    <t>#/mm5</t>
  </si>
  <si>
    <t>#/mm6</t>
  </si>
  <si>
    <t>#/mm7</t>
  </si>
  <si>
    <t>#/mm8</t>
  </si>
  <si>
    <t>#/mm9</t>
  </si>
  <si>
    <t>Franke et al. 2021</t>
  </si>
  <si>
    <t>Hedophyllum nigripes</t>
  </si>
  <si>
    <t>Sakanishi et al. 1989</t>
  </si>
  <si>
    <t>ul/cm2/hr</t>
  </si>
  <si>
    <t>Zhang et al. 2020</t>
  </si>
  <si>
    <t>China (Sungo Bay)</t>
  </si>
  <si>
    <t>Cellulose</t>
  </si>
  <si>
    <t>Alginic acid</t>
  </si>
  <si>
    <t>Fucoidan</t>
  </si>
  <si>
    <t>Amino acid</t>
  </si>
  <si>
    <t>Aspartate</t>
  </si>
  <si>
    <t>g/kg</t>
  </si>
  <si>
    <t>Glutamine</t>
  </si>
  <si>
    <t>Cysteine</t>
  </si>
  <si>
    <t>Serine</t>
  </si>
  <si>
    <t>Glycine</t>
  </si>
  <si>
    <t>Histidine</t>
  </si>
  <si>
    <t>Arginine</t>
  </si>
  <si>
    <t>Alanine</t>
  </si>
  <si>
    <t>Proline</t>
  </si>
  <si>
    <t>Tyrosine</t>
  </si>
  <si>
    <t>Threonine</t>
  </si>
  <si>
    <t>Valine</t>
  </si>
  <si>
    <t>Methionine</t>
  </si>
  <si>
    <t>Isoleucine</t>
  </si>
  <si>
    <t>Leucine</t>
  </si>
  <si>
    <t>Phenylalanine</t>
  </si>
  <si>
    <t>Lysine</t>
  </si>
  <si>
    <t>Eicosatrienoic acid</t>
  </si>
  <si>
    <t>Alpha-linolenic acid</t>
  </si>
  <si>
    <t>Linoleic acid</t>
  </si>
  <si>
    <t>Gamma-linolenic acid</t>
  </si>
  <si>
    <t>Arachidonic acid</t>
  </si>
  <si>
    <t>Eicosapentaenoic acid</t>
  </si>
  <si>
    <t>Pyruvate</t>
  </si>
  <si>
    <t>2-oxoglutarate</t>
  </si>
  <si>
    <t>Fumarate</t>
  </si>
  <si>
    <t>Malate</t>
  </si>
  <si>
    <t>Oxaloacetate</t>
  </si>
  <si>
    <t>Citrate</t>
  </si>
  <si>
    <t>Succinate</t>
  </si>
  <si>
    <t>Free aspartate</t>
  </si>
  <si>
    <t>Free glutamine</t>
  </si>
  <si>
    <t>Free arginine</t>
  </si>
  <si>
    <t>Glutamate synthase</t>
  </si>
  <si>
    <t>Isocitrate dehydrogenase</t>
  </si>
  <si>
    <t>Pyruvate kinase</t>
  </si>
  <si>
    <t>U/g</t>
  </si>
  <si>
    <t>nmol/min/g</t>
  </si>
  <si>
    <t>Chu et al. 2021</t>
  </si>
  <si>
    <t>China (Shandong Province, Rongcheng)</t>
  </si>
  <si>
    <t>Adult sporophyte (110 cm)</t>
  </si>
  <si>
    <t>Fluorescence</t>
  </si>
  <si>
    <t>Reproduction &amp; Development</t>
  </si>
  <si>
    <t>Hwang et al. 2018</t>
  </si>
  <si>
    <t>Korea (Haenam)</t>
  </si>
  <si>
    <t>Winter-Summer</t>
  </si>
  <si>
    <t>Young sporophyte (0.25-10mm total length)</t>
  </si>
  <si>
    <t>Heinrich et al. 2012</t>
  </si>
  <si>
    <t>Heinrich et al. 2015</t>
  </si>
  <si>
    <t>Young sporophyte (5-7 cm)</t>
  </si>
  <si>
    <t>Martins et al. 2020</t>
  </si>
  <si>
    <t>Pang et al. 2007</t>
  </si>
  <si>
    <t>China (Fujian, San Sha Fishery Co)</t>
  </si>
  <si>
    <t>China (Qingdao, Tuandao Bay)</t>
  </si>
  <si>
    <t>Young sporophyte (15-20cm)</t>
  </si>
  <si>
    <t>Pereira et al. 2011</t>
  </si>
  <si>
    <t>France (Brittany, Morlaix Bay)</t>
  </si>
  <si>
    <t>Sato et al. 2020a</t>
  </si>
  <si>
    <t>m/f</t>
  </si>
  <si>
    <t>Sato et al. 2021</t>
  </si>
  <si>
    <t>Japan (Miyagi, Matsushima Bay)</t>
  </si>
  <si>
    <t>Adult sporophyte (&gt; 150 cm)</t>
  </si>
  <si>
    <t>Juvenile sporophyte (&gt; 2 cm)</t>
  </si>
  <si>
    <t>Umanzor et al. 2021</t>
  </si>
  <si>
    <t>Mexico (Baja California, Bahia Todos Santos)</t>
  </si>
  <si>
    <t>Juvenile sporophyte (10-15cm)</t>
  </si>
  <si>
    <t>Photosynthesis : Respiration ratio</t>
  </si>
  <si>
    <t>Munoz et al. 2004</t>
  </si>
  <si>
    <t>Chile (Bahia Mansa)</t>
  </si>
  <si>
    <t>Chile (Metri)</t>
  </si>
  <si>
    <t>mm</t>
  </si>
  <si>
    <t>Murua et al. 2021</t>
  </si>
  <si>
    <t>Chile (Puerto Montt, Universidad Austral de Chile, Laboratorio de Macroalgas y Ficopatologia)</t>
  </si>
  <si>
    <t>f/m</t>
  </si>
  <si>
    <t>Chile (Bahia Inglesa)</t>
  </si>
  <si>
    <t>Month</t>
  </si>
  <si>
    <t>October</t>
  </si>
  <si>
    <t>March</t>
  </si>
  <si>
    <t>November</t>
  </si>
  <si>
    <t>July</t>
  </si>
  <si>
    <t>September</t>
  </si>
  <si>
    <t>August</t>
  </si>
  <si>
    <t>May</t>
  </si>
  <si>
    <t>January</t>
  </si>
  <si>
    <t>December</t>
  </si>
  <si>
    <t>February</t>
  </si>
  <si>
    <t>June</t>
  </si>
  <si>
    <t>April</t>
  </si>
  <si>
    <t>Spring-Fall</t>
  </si>
  <si>
    <t>Norway (Svalbard, Spitsbergen, Ny-Alesund, Old Pier)</t>
  </si>
  <si>
    <t>Chile (Las Cruces, Rio Limari, Valdivia)</t>
  </si>
  <si>
    <t>Spring-Summer</t>
  </si>
  <si>
    <t>Mohring et al. 2013</t>
  </si>
  <si>
    <t>Australia (Western Australia, Shoalwater Islands Marine Park, Point Peron, Barrel Site/Haliotis Bay North)</t>
  </si>
  <si>
    <t>Control2</t>
  </si>
  <si>
    <t>July2</t>
  </si>
  <si>
    <t>July3</t>
  </si>
  <si>
    <t>February2</t>
  </si>
  <si>
    <t>March2</t>
  </si>
  <si>
    <t>April2</t>
  </si>
  <si>
    <t>Schmid et al. 2020</t>
  </si>
  <si>
    <t>Australia (Tasmania, Bruny Island)</t>
  </si>
  <si>
    <t>Adult sporophyte (blade length 15-18cm)</t>
  </si>
  <si>
    <t>Saturated fatty acids</t>
  </si>
  <si>
    <t>Monounsaturated fatty acids</t>
  </si>
  <si>
    <t>Polyunsaturated fatty acids</t>
  </si>
  <si>
    <t>Washington (Sequim, Battelle Marine Sciences Laboratory)</t>
  </si>
  <si>
    <t>mg/m2/h</t>
  </si>
  <si>
    <t>1x</t>
  </si>
  <si>
    <t>2x</t>
  </si>
  <si>
    <t>Thom 1996</t>
  </si>
  <si>
    <t>1.25x</t>
  </si>
  <si>
    <t>1.5x</t>
  </si>
  <si>
    <t>2.5x</t>
  </si>
  <si>
    <t>4x</t>
  </si>
  <si>
    <t>5x</t>
  </si>
  <si>
    <t>Xu et al. 2017</t>
  </si>
  <si>
    <t>Mexico (Santo tomas)</t>
  </si>
  <si>
    <t>Family</t>
  </si>
  <si>
    <t>Genus</t>
  </si>
  <si>
    <t>Agaraceae</t>
  </si>
  <si>
    <t>Agarum</t>
  </si>
  <si>
    <t>Alariaceae</t>
  </si>
  <si>
    <t>Alaria</t>
  </si>
  <si>
    <t>Costaria</t>
  </si>
  <si>
    <t>Dictyoneurum</t>
  </si>
  <si>
    <t>Lessoniaceae</t>
  </si>
  <si>
    <t>Ecklonia</t>
  </si>
  <si>
    <t>Egregia</t>
  </si>
  <si>
    <t>Eisenia</t>
  </si>
  <si>
    <t>Eualaria</t>
  </si>
  <si>
    <t>Laminariaceae</t>
  </si>
  <si>
    <t>Laminaria</t>
  </si>
  <si>
    <t>Lessonia</t>
  </si>
  <si>
    <t>Lessoniopsis</t>
  </si>
  <si>
    <t>Macrocystis</t>
  </si>
  <si>
    <t>Nereocystis</t>
  </si>
  <si>
    <t>Postelsia</t>
  </si>
  <si>
    <t>Pterygophora</t>
  </si>
  <si>
    <t>Saccharina</t>
  </si>
  <si>
    <t>Undaria</t>
  </si>
  <si>
    <t>Arthrothamnaceae</t>
  </si>
  <si>
    <t>Hedophyllum</t>
  </si>
  <si>
    <t>Choi et al. 2019</t>
  </si>
  <si>
    <t>Korea (Gyubuk, Ulleungdo, Dokdo)</t>
  </si>
  <si>
    <t>Korea (Cheonam, Shinan, Jangsan)</t>
  </si>
  <si>
    <t>Young sporophyte (2-3cm width, 10-15cm length)</t>
  </si>
  <si>
    <t>mmol/g/min</t>
  </si>
  <si>
    <t>Liu et al. 2019</t>
  </si>
  <si>
    <t>NPmax</t>
  </si>
  <si>
    <t>ETRmax</t>
  </si>
  <si>
    <t>rETR</t>
  </si>
  <si>
    <t>Photoinhibition</t>
  </si>
  <si>
    <t>Relative size</t>
  </si>
  <si>
    <t>Weight change</t>
  </si>
  <si>
    <t>Area change</t>
  </si>
  <si>
    <t>Diameter change</t>
  </si>
  <si>
    <t>pH change</t>
  </si>
  <si>
    <t>Density change</t>
  </si>
  <si>
    <t>RuBisCO</t>
  </si>
  <si>
    <t>Oxygen evolution inhibition rate</t>
  </si>
  <si>
    <t>External carbonic anhydrase</t>
  </si>
  <si>
    <t>Internal carbonic anhydrase</t>
  </si>
  <si>
    <t>Total carbonic anhydrase</t>
  </si>
  <si>
    <t>Eisenia arborea</t>
  </si>
  <si>
    <t>Postelsia palmiformis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</si>
</sst>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0.00_ "/>
    <numFmt numFmtId="165" formatCode="0.000_);[Red]\(0.000\)"/>
    <numFmt numFmtId="166" formatCode="0.0_);[Red]\(0.0\)"/>
    <numFmt numFmtId="167" formatCode="0.0"/>
    <numFmt numFmtId="168" formatCode="0.000"/>
    <numFmt numFmtId="169" formatCode="_ * #,##0.000_ ;_ * \-#,##0.000_ ;_ * &quot;-&quot;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41" fontId="8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" fontId="0" fillId="0" borderId="0" xfId="0" applyNumberFormat="1"/>
    <xf numFmtId="0" fontId="0" fillId="0" borderId="1" xfId="0" applyBorder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5" fillId="0" borderId="0" xfId="1" applyFont="1">
      <alignment vertical="center"/>
    </xf>
    <xf numFmtId="164" fontId="5" fillId="0" borderId="0" xfId="0" applyNumberFormat="1" applyFont="1" applyAlignment="1">
      <alignment vertical="center"/>
    </xf>
    <xf numFmtId="165" fontId="5" fillId="0" borderId="0" xfId="0" applyNumberFormat="1" applyFont="1"/>
    <xf numFmtId="0" fontId="5" fillId="0" borderId="0" xfId="0" applyFont="1"/>
    <xf numFmtId="165" fontId="6" fillId="0" borderId="0" xfId="0" applyNumberFormat="1" applyFont="1"/>
    <xf numFmtId="16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ill="1"/>
    <xf numFmtId="167" fontId="0" fillId="0" borderId="0" xfId="0" applyNumberFormat="1"/>
    <xf numFmtId="0" fontId="0" fillId="5" borderId="0" xfId="0" applyFill="1"/>
    <xf numFmtId="168" fontId="0" fillId="0" borderId="0" xfId="0" applyNumberFormat="1"/>
    <xf numFmtId="169" fontId="0" fillId="0" borderId="0" xfId="2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9" fillId="0" borderId="0" xfId="3" applyAlignment="1">
      <alignment horizontal="right"/>
    </xf>
    <xf numFmtId="49" fontId="0" fillId="0" borderId="0" xfId="0" applyNumberFormat="1"/>
  </cellXfs>
  <cellStyles count="4">
    <cellStyle name="Comma [0]" xfId="2" builtinId="6"/>
    <cellStyle name="Normal" xfId="0" builtinId="0"/>
    <cellStyle name="常规 2" xfId="1" xr:uid="{1DEBC3CB-000C-1F47-A5F2-EF5834F9F55D}"/>
    <cellStyle name="標準 2" xfId="3" xr:uid="{8F46603E-780C-D94C-8D06-07952718B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E7E7-960E-E147-A8D8-D3213253C841}">
  <dimension ref="A1:AK7097"/>
  <sheetViews>
    <sheetView tabSelected="1" zoomScale="130" zoomScaleNormal="130" workbookViewId="0">
      <pane ySplit="1" topLeftCell="A2" activePane="bottomLeft" state="frozen"/>
      <selection activeCell="G1" sqref="G1"/>
      <selection pane="bottomLeft" activeCell="O12" sqref="O12"/>
    </sheetView>
  </sheetViews>
  <sheetFormatPr baseColWidth="10" defaultRowHeight="16" x14ac:dyDescent="0.2"/>
  <cols>
    <col min="2" max="2" width="7.33203125" bestFit="1" customWidth="1"/>
    <col min="3" max="3" width="9.83203125" bestFit="1" customWidth="1"/>
    <col min="4" max="4" width="8.83203125" bestFit="1" customWidth="1"/>
    <col min="5" max="5" width="11.5" customWidth="1"/>
    <col min="6" max="6" width="15.5" customWidth="1"/>
    <col min="9" max="9" width="7" bestFit="1" customWidth="1"/>
    <col min="10" max="10" width="7.83203125" bestFit="1" customWidth="1"/>
    <col min="14" max="14" width="3.83203125" customWidth="1"/>
    <col min="15" max="15" width="14" customWidth="1"/>
    <col min="16" max="16" width="5.83203125" customWidth="1"/>
    <col min="17" max="18" width="5.33203125" customWidth="1"/>
    <col min="19" max="19" width="8.6640625" customWidth="1"/>
    <col min="20" max="20" width="3.83203125" customWidth="1"/>
    <col min="21" max="21" width="4.83203125" customWidth="1"/>
    <col min="22" max="22" width="8.6640625" customWidth="1"/>
    <col min="23" max="23" width="6.83203125" customWidth="1"/>
    <col min="24" max="24" width="11" customWidth="1"/>
    <col min="25" max="28" width="6" customWidth="1"/>
  </cols>
  <sheetData>
    <row r="1" spans="1:28" s="1" customFormat="1" x14ac:dyDescent="0.2">
      <c r="A1" s="1" t="s">
        <v>0</v>
      </c>
      <c r="B1" s="1" t="s">
        <v>301</v>
      </c>
      <c r="C1" s="1" t="s">
        <v>803</v>
      </c>
      <c r="D1" s="1" t="s">
        <v>804</v>
      </c>
      <c r="E1" s="1" t="s">
        <v>1</v>
      </c>
      <c r="F1" s="1" t="s">
        <v>2</v>
      </c>
      <c r="G1" s="1" t="s">
        <v>302</v>
      </c>
      <c r="H1" s="1" t="s">
        <v>303</v>
      </c>
      <c r="I1" s="1" t="s">
        <v>760</v>
      </c>
      <c r="J1" s="1" t="s">
        <v>4</v>
      </c>
      <c r="K1" s="1" t="s">
        <v>299</v>
      </c>
      <c r="L1" s="1" t="s">
        <v>18</v>
      </c>
      <c r="M1" s="1" t="s">
        <v>19</v>
      </c>
      <c r="N1" s="1" t="s">
        <v>87</v>
      </c>
      <c r="O1" s="1" t="s">
        <v>20</v>
      </c>
      <c r="P1" s="1" t="s">
        <v>57</v>
      </c>
      <c r="Q1" s="1" t="s">
        <v>21</v>
      </c>
      <c r="R1" s="1" t="s">
        <v>212</v>
      </c>
      <c r="S1" s="1" t="s">
        <v>6</v>
      </c>
      <c r="T1" s="1" t="s">
        <v>22</v>
      </c>
      <c r="U1" s="1" t="s">
        <v>10</v>
      </c>
      <c r="V1" s="1" t="s">
        <v>23</v>
      </c>
      <c r="W1" s="1" t="s">
        <v>11</v>
      </c>
      <c r="X1" s="1" t="s">
        <v>8</v>
      </c>
      <c r="Y1" s="1" t="s">
        <v>38</v>
      </c>
      <c r="Z1" s="1" t="s">
        <v>51</v>
      </c>
      <c r="AA1" s="1" t="s">
        <v>29</v>
      </c>
      <c r="AB1" s="1" t="s">
        <v>30</v>
      </c>
    </row>
    <row r="2" spans="1:28" x14ac:dyDescent="0.2">
      <c r="A2" t="s">
        <v>24</v>
      </c>
      <c r="B2">
        <v>1982</v>
      </c>
      <c r="C2" t="s">
        <v>826</v>
      </c>
      <c r="D2" t="s">
        <v>824</v>
      </c>
      <c r="E2" t="s">
        <v>48</v>
      </c>
      <c r="F2" t="s">
        <v>306</v>
      </c>
      <c r="G2">
        <v>60.166666999999997</v>
      </c>
      <c r="H2">
        <v>5.5</v>
      </c>
      <c r="J2" t="s">
        <v>7</v>
      </c>
      <c r="K2" t="s">
        <v>25</v>
      </c>
      <c r="L2" t="s">
        <v>143</v>
      </c>
      <c r="M2" t="s">
        <v>26</v>
      </c>
      <c r="N2" t="s">
        <v>85</v>
      </c>
      <c r="O2" t="s">
        <v>462</v>
      </c>
      <c r="P2" t="s">
        <v>72</v>
      </c>
      <c r="Q2">
        <v>7</v>
      </c>
      <c r="R2" t="s">
        <v>213</v>
      </c>
      <c r="S2" t="s">
        <v>7</v>
      </c>
      <c r="T2">
        <v>10</v>
      </c>
      <c r="U2" t="s">
        <v>28</v>
      </c>
      <c r="V2" t="s">
        <v>28</v>
      </c>
      <c r="W2">
        <v>10</v>
      </c>
      <c r="X2">
        <v>17.399999999999999</v>
      </c>
      <c r="Y2">
        <f t="shared" ref="Y2:Y34" si="0">SQRT(T2) * (AB2-AA2)/3.92</f>
        <v>1.815082840657871</v>
      </c>
      <c r="AA2">
        <v>16.37</v>
      </c>
      <c r="AB2">
        <v>18.62</v>
      </c>
    </row>
    <row r="3" spans="1:28" x14ac:dyDescent="0.2">
      <c r="A3" t="s">
        <v>24</v>
      </c>
      <c r="B3">
        <v>1982</v>
      </c>
      <c r="C3" t="s">
        <v>826</v>
      </c>
      <c r="D3" t="s">
        <v>824</v>
      </c>
      <c r="E3" t="s">
        <v>48</v>
      </c>
      <c r="F3" t="s">
        <v>306</v>
      </c>
      <c r="G3">
        <v>60.166666999999997</v>
      </c>
      <c r="H3">
        <v>5.5</v>
      </c>
      <c r="J3" t="s">
        <v>14</v>
      </c>
      <c r="K3" t="s">
        <v>25</v>
      </c>
      <c r="L3" t="s">
        <v>143</v>
      </c>
      <c r="M3" t="s">
        <v>26</v>
      </c>
      <c r="N3" t="s">
        <v>85</v>
      </c>
      <c r="O3" t="s">
        <v>462</v>
      </c>
      <c r="P3" t="s">
        <v>72</v>
      </c>
      <c r="Q3">
        <v>7</v>
      </c>
      <c r="R3" t="s">
        <v>213</v>
      </c>
      <c r="S3" t="s">
        <v>9</v>
      </c>
      <c r="T3">
        <v>10</v>
      </c>
      <c r="U3" t="s">
        <v>28</v>
      </c>
      <c r="V3" t="s">
        <v>28</v>
      </c>
      <c r="W3">
        <v>15</v>
      </c>
      <c r="X3">
        <v>16.559999999999999</v>
      </c>
      <c r="Y3">
        <f t="shared" si="0"/>
        <v>1.9280213285210264</v>
      </c>
      <c r="AA3">
        <v>15.4</v>
      </c>
      <c r="AB3">
        <v>17.79</v>
      </c>
    </row>
    <row r="4" spans="1:28" x14ac:dyDescent="0.2">
      <c r="A4" t="s">
        <v>24</v>
      </c>
      <c r="B4">
        <v>1982</v>
      </c>
      <c r="C4" t="s">
        <v>826</v>
      </c>
      <c r="D4" t="s">
        <v>824</v>
      </c>
      <c r="E4" t="s">
        <v>48</v>
      </c>
      <c r="F4" t="s">
        <v>306</v>
      </c>
      <c r="G4">
        <v>60.166666999999997</v>
      </c>
      <c r="H4">
        <v>5.5</v>
      </c>
      <c r="J4" t="s">
        <v>14</v>
      </c>
      <c r="K4" t="s">
        <v>25</v>
      </c>
      <c r="L4" t="s">
        <v>143</v>
      </c>
      <c r="M4" t="s">
        <v>26</v>
      </c>
      <c r="N4" t="s">
        <v>85</v>
      </c>
      <c r="O4" t="s">
        <v>462</v>
      </c>
      <c r="P4" t="s">
        <v>72</v>
      </c>
      <c r="Q4">
        <v>7</v>
      </c>
      <c r="R4" t="s">
        <v>213</v>
      </c>
      <c r="S4" t="s">
        <v>27</v>
      </c>
      <c r="T4">
        <v>10</v>
      </c>
      <c r="U4" t="s">
        <v>28</v>
      </c>
      <c r="V4" t="s">
        <v>28</v>
      </c>
      <c r="W4">
        <v>20</v>
      </c>
      <c r="X4">
        <v>7.74</v>
      </c>
      <c r="Y4">
        <f t="shared" si="0"/>
        <v>3.0332051026104869</v>
      </c>
      <c r="AA4">
        <v>5.88</v>
      </c>
      <c r="AB4">
        <v>9.64</v>
      </c>
    </row>
    <row r="5" spans="1:28" x14ac:dyDescent="0.2">
      <c r="A5" t="s">
        <v>24</v>
      </c>
      <c r="B5">
        <v>1982</v>
      </c>
      <c r="C5" t="s">
        <v>826</v>
      </c>
      <c r="D5" t="s">
        <v>824</v>
      </c>
      <c r="E5" t="s">
        <v>48</v>
      </c>
      <c r="F5" t="s">
        <v>306</v>
      </c>
      <c r="G5">
        <v>60.166666999999997</v>
      </c>
      <c r="H5">
        <v>5.5</v>
      </c>
      <c r="J5" t="s">
        <v>14</v>
      </c>
      <c r="K5" t="s">
        <v>25</v>
      </c>
      <c r="L5" t="s">
        <v>143</v>
      </c>
      <c r="M5" t="s">
        <v>26</v>
      </c>
      <c r="N5" t="s">
        <v>85</v>
      </c>
      <c r="O5" t="s">
        <v>462</v>
      </c>
      <c r="P5" t="s">
        <v>72</v>
      </c>
      <c r="Q5">
        <v>7</v>
      </c>
      <c r="R5" t="s">
        <v>213</v>
      </c>
      <c r="S5" t="s">
        <v>13</v>
      </c>
      <c r="T5">
        <v>10</v>
      </c>
      <c r="U5" t="s">
        <v>28</v>
      </c>
      <c r="V5" t="s">
        <v>28</v>
      </c>
      <c r="W5">
        <v>23</v>
      </c>
      <c r="X5">
        <v>0</v>
      </c>
      <c r="Y5">
        <f t="shared" si="0"/>
        <v>0</v>
      </c>
      <c r="AA5">
        <v>0</v>
      </c>
      <c r="AB5">
        <v>0</v>
      </c>
    </row>
    <row r="6" spans="1:28" x14ac:dyDescent="0.2">
      <c r="A6" t="s">
        <v>24</v>
      </c>
      <c r="B6">
        <v>1982</v>
      </c>
      <c r="C6" t="s">
        <v>826</v>
      </c>
      <c r="D6" t="s">
        <v>824</v>
      </c>
      <c r="E6" t="s">
        <v>48</v>
      </c>
      <c r="F6" t="s">
        <v>307</v>
      </c>
      <c r="G6">
        <v>54.466667000000001</v>
      </c>
      <c r="H6">
        <v>7.8833330000000004</v>
      </c>
      <c r="J6" t="s">
        <v>7</v>
      </c>
      <c r="K6" t="s">
        <v>25</v>
      </c>
      <c r="L6" t="s">
        <v>143</v>
      </c>
      <c r="M6" t="s">
        <v>26</v>
      </c>
      <c r="N6" t="s">
        <v>85</v>
      </c>
      <c r="O6" t="s">
        <v>462</v>
      </c>
      <c r="P6" t="s">
        <v>72</v>
      </c>
      <c r="Q6">
        <v>7</v>
      </c>
      <c r="R6" t="s">
        <v>213</v>
      </c>
      <c r="S6" t="s">
        <v>7</v>
      </c>
      <c r="T6">
        <v>10</v>
      </c>
      <c r="U6" t="s">
        <v>28</v>
      </c>
      <c r="V6" t="s">
        <v>28</v>
      </c>
      <c r="W6">
        <v>10</v>
      </c>
      <c r="X6">
        <v>15.15</v>
      </c>
      <c r="Y6">
        <f t="shared" si="0"/>
        <v>1.7102113876420835</v>
      </c>
      <c r="AA6">
        <v>14.29</v>
      </c>
      <c r="AB6">
        <v>16.41</v>
      </c>
    </row>
    <row r="7" spans="1:28" x14ac:dyDescent="0.2">
      <c r="A7" t="s">
        <v>24</v>
      </c>
      <c r="B7">
        <v>1982</v>
      </c>
      <c r="C7" t="s">
        <v>826</v>
      </c>
      <c r="D7" t="s">
        <v>824</v>
      </c>
      <c r="E7" t="s">
        <v>48</v>
      </c>
      <c r="F7" t="s">
        <v>307</v>
      </c>
      <c r="G7">
        <v>54.466667000000001</v>
      </c>
      <c r="H7">
        <v>7.8833330000000004</v>
      </c>
      <c r="J7" t="s">
        <v>14</v>
      </c>
      <c r="K7" t="s">
        <v>25</v>
      </c>
      <c r="L7" t="s">
        <v>143</v>
      </c>
      <c r="M7" t="s">
        <v>26</v>
      </c>
      <c r="N7" t="s">
        <v>85</v>
      </c>
      <c r="O7" t="s">
        <v>462</v>
      </c>
      <c r="P7" t="s">
        <v>72</v>
      </c>
      <c r="Q7">
        <v>7</v>
      </c>
      <c r="R7" t="s">
        <v>213</v>
      </c>
      <c r="S7" t="s">
        <v>9</v>
      </c>
      <c r="T7">
        <v>10</v>
      </c>
      <c r="U7" t="s">
        <v>28</v>
      </c>
      <c r="V7" t="s">
        <v>28</v>
      </c>
      <c r="W7">
        <v>15</v>
      </c>
      <c r="X7">
        <v>12.29</v>
      </c>
      <c r="Y7">
        <f t="shared" si="0"/>
        <v>1.9118872588262901</v>
      </c>
      <c r="AA7">
        <v>11.21</v>
      </c>
      <c r="AB7">
        <v>13.58</v>
      </c>
    </row>
    <row r="8" spans="1:28" x14ac:dyDescent="0.2">
      <c r="A8" t="s">
        <v>24</v>
      </c>
      <c r="B8">
        <v>1982</v>
      </c>
      <c r="C8" t="s">
        <v>826</v>
      </c>
      <c r="D8" t="s">
        <v>824</v>
      </c>
      <c r="E8" t="s">
        <v>48</v>
      </c>
      <c r="F8" t="s">
        <v>307</v>
      </c>
      <c r="G8">
        <v>54.466667000000001</v>
      </c>
      <c r="H8">
        <v>7.8833330000000004</v>
      </c>
      <c r="J8" t="s">
        <v>14</v>
      </c>
      <c r="K8" t="s">
        <v>25</v>
      </c>
      <c r="L8" t="s">
        <v>143</v>
      </c>
      <c r="M8" t="s">
        <v>26</v>
      </c>
      <c r="N8" t="s">
        <v>85</v>
      </c>
      <c r="O8" t="s">
        <v>462</v>
      </c>
      <c r="P8" t="s">
        <v>72</v>
      </c>
      <c r="Q8">
        <v>7</v>
      </c>
      <c r="R8" t="s">
        <v>213</v>
      </c>
      <c r="S8" t="s">
        <v>27</v>
      </c>
      <c r="T8">
        <v>10</v>
      </c>
      <c r="U8" t="s">
        <v>28</v>
      </c>
      <c r="V8" t="s">
        <v>28</v>
      </c>
      <c r="W8">
        <v>20</v>
      </c>
      <c r="X8">
        <v>9.27</v>
      </c>
      <c r="Y8">
        <f t="shared" si="0"/>
        <v>1.4036640634420869</v>
      </c>
      <c r="AA8">
        <v>8.39</v>
      </c>
      <c r="AB8">
        <v>10.130000000000001</v>
      </c>
    </row>
    <row r="9" spans="1:28" x14ac:dyDescent="0.2">
      <c r="A9" t="s">
        <v>24</v>
      </c>
      <c r="B9">
        <v>1982</v>
      </c>
      <c r="C9" t="s">
        <v>826</v>
      </c>
      <c r="D9" t="s">
        <v>824</v>
      </c>
      <c r="E9" t="s">
        <v>48</v>
      </c>
      <c r="F9" t="s">
        <v>304</v>
      </c>
      <c r="G9">
        <v>54.083333000000003</v>
      </c>
      <c r="H9">
        <v>-4.5</v>
      </c>
      <c r="J9" t="s">
        <v>7</v>
      </c>
      <c r="K9" t="s">
        <v>25</v>
      </c>
      <c r="L9" t="s">
        <v>143</v>
      </c>
      <c r="M9" t="s">
        <v>26</v>
      </c>
      <c r="N9" t="s">
        <v>85</v>
      </c>
      <c r="O9" t="s">
        <v>462</v>
      </c>
      <c r="P9" t="s">
        <v>72</v>
      </c>
      <c r="Q9">
        <v>7</v>
      </c>
      <c r="R9" t="s">
        <v>213</v>
      </c>
      <c r="S9" t="s">
        <v>7</v>
      </c>
      <c r="T9">
        <v>10</v>
      </c>
      <c r="U9" t="s">
        <v>28</v>
      </c>
      <c r="V9" t="s">
        <v>28</v>
      </c>
      <c r="W9">
        <v>10</v>
      </c>
      <c r="X9">
        <v>16.87</v>
      </c>
      <c r="Y9">
        <f t="shared" si="0"/>
        <v>1.8715520845894509</v>
      </c>
      <c r="AA9">
        <v>15.69</v>
      </c>
      <c r="AB9">
        <v>18.010000000000002</v>
      </c>
    </row>
    <row r="10" spans="1:28" x14ac:dyDescent="0.2">
      <c r="A10" t="s">
        <v>24</v>
      </c>
      <c r="B10">
        <v>1982</v>
      </c>
      <c r="C10" t="s">
        <v>826</v>
      </c>
      <c r="D10" t="s">
        <v>824</v>
      </c>
      <c r="E10" t="s">
        <v>48</v>
      </c>
      <c r="F10" t="s">
        <v>304</v>
      </c>
      <c r="G10">
        <v>54.083333000000003</v>
      </c>
      <c r="H10">
        <v>-4.5</v>
      </c>
      <c r="J10" t="s">
        <v>14</v>
      </c>
      <c r="K10" t="s">
        <v>25</v>
      </c>
      <c r="L10" t="s">
        <v>143</v>
      </c>
      <c r="M10" t="s">
        <v>26</v>
      </c>
      <c r="N10" t="s">
        <v>85</v>
      </c>
      <c r="O10" t="s">
        <v>462</v>
      </c>
      <c r="P10" t="s">
        <v>72</v>
      </c>
      <c r="Q10">
        <v>7</v>
      </c>
      <c r="R10" t="s">
        <v>213</v>
      </c>
      <c r="S10" t="s">
        <v>9</v>
      </c>
      <c r="T10">
        <v>10</v>
      </c>
      <c r="U10" t="s">
        <v>28</v>
      </c>
      <c r="V10" t="s">
        <v>28</v>
      </c>
      <c r="W10">
        <v>15</v>
      </c>
      <c r="X10">
        <v>18.100000000000001</v>
      </c>
      <c r="Y10">
        <f t="shared" si="0"/>
        <v>1.8473509800473435</v>
      </c>
      <c r="AA10">
        <v>17.010000000000002</v>
      </c>
      <c r="AB10">
        <v>19.3</v>
      </c>
    </row>
    <row r="11" spans="1:28" x14ac:dyDescent="0.2">
      <c r="A11" t="s">
        <v>24</v>
      </c>
      <c r="B11">
        <v>1982</v>
      </c>
      <c r="C11" t="s">
        <v>826</v>
      </c>
      <c r="D11" t="s">
        <v>824</v>
      </c>
      <c r="E11" t="s">
        <v>48</v>
      </c>
      <c r="F11" t="s">
        <v>304</v>
      </c>
      <c r="G11">
        <v>54.083333000000003</v>
      </c>
      <c r="H11">
        <v>-4.5</v>
      </c>
      <c r="J11" t="s">
        <v>14</v>
      </c>
      <c r="K11" t="s">
        <v>25</v>
      </c>
      <c r="L11" t="s">
        <v>143</v>
      </c>
      <c r="M11" t="s">
        <v>26</v>
      </c>
      <c r="N11" t="s">
        <v>85</v>
      </c>
      <c r="O11" t="s">
        <v>462</v>
      </c>
      <c r="P11" t="s">
        <v>72</v>
      </c>
      <c r="Q11">
        <v>7</v>
      </c>
      <c r="R11" t="s">
        <v>213</v>
      </c>
      <c r="S11" t="s">
        <v>27</v>
      </c>
      <c r="T11">
        <v>10</v>
      </c>
      <c r="U11" t="s">
        <v>28</v>
      </c>
      <c r="V11" t="s">
        <v>28</v>
      </c>
      <c r="W11">
        <v>20</v>
      </c>
      <c r="X11">
        <v>9.44</v>
      </c>
      <c r="Y11">
        <f t="shared" si="0"/>
        <v>2.5249819072262825</v>
      </c>
      <c r="AA11">
        <v>7.88</v>
      </c>
      <c r="AB11">
        <v>11.01</v>
      </c>
    </row>
    <row r="12" spans="1:28" x14ac:dyDescent="0.2">
      <c r="A12" t="s">
        <v>24</v>
      </c>
      <c r="B12">
        <v>1982</v>
      </c>
      <c r="C12" t="s">
        <v>826</v>
      </c>
      <c r="D12" t="s">
        <v>824</v>
      </c>
      <c r="E12" t="s">
        <v>48</v>
      </c>
      <c r="F12" t="s">
        <v>304</v>
      </c>
      <c r="G12">
        <v>54.083333000000003</v>
      </c>
      <c r="H12">
        <v>-4.5</v>
      </c>
      <c r="J12" t="s">
        <v>14</v>
      </c>
      <c r="K12" t="s">
        <v>25</v>
      </c>
      <c r="L12" t="s">
        <v>143</v>
      </c>
      <c r="M12" t="s">
        <v>26</v>
      </c>
      <c r="N12" t="s">
        <v>85</v>
      </c>
      <c r="O12" t="s">
        <v>462</v>
      </c>
      <c r="P12" t="s">
        <v>72</v>
      </c>
      <c r="Q12">
        <v>7</v>
      </c>
      <c r="R12" t="s">
        <v>213</v>
      </c>
      <c r="S12" t="s">
        <v>13</v>
      </c>
      <c r="T12">
        <v>10</v>
      </c>
      <c r="U12" t="s">
        <v>28</v>
      </c>
      <c r="V12" t="s">
        <v>28</v>
      </c>
      <c r="W12">
        <v>23</v>
      </c>
      <c r="X12">
        <v>0</v>
      </c>
      <c r="Y12">
        <f t="shared" si="0"/>
        <v>0</v>
      </c>
      <c r="AA12">
        <v>0</v>
      </c>
      <c r="AB12">
        <v>0</v>
      </c>
    </row>
    <row r="13" spans="1:28" x14ac:dyDescent="0.2">
      <c r="A13" t="s">
        <v>24</v>
      </c>
      <c r="B13">
        <v>1982</v>
      </c>
      <c r="C13" t="s">
        <v>826</v>
      </c>
      <c r="D13" t="s">
        <v>824</v>
      </c>
      <c r="E13" t="s">
        <v>48</v>
      </c>
      <c r="F13" t="s">
        <v>305</v>
      </c>
      <c r="G13">
        <v>48.433332999999998</v>
      </c>
      <c r="H13">
        <v>-4.5</v>
      </c>
      <c r="J13" t="s">
        <v>7</v>
      </c>
      <c r="K13" t="s">
        <v>25</v>
      </c>
      <c r="L13" t="s">
        <v>143</v>
      </c>
      <c r="M13" t="s">
        <v>26</v>
      </c>
      <c r="N13" t="s">
        <v>85</v>
      </c>
      <c r="O13" t="s">
        <v>462</v>
      </c>
      <c r="P13" t="s">
        <v>72</v>
      </c>
      <c r="Q13">
        <v>7</v>
      </c>
      <c r="R13" t="s">
        <v>213</v>
      </c>
      <c r="S13" t="s">
        <v>7</v>
      </c>
      <c r="T13">
        <v>10</v>
      </c>
      <c r="U13" t="s">
        <v>28</v>
      </c>
      <c r="V13" t="s">
        <v>28</v>
      </c>
      <c r="W13">
        <v>10</v>
      </c>
      <c r="X13">
        <v>15.42</v>
      </c>
      <c r="Y13">
        <f t="shared" si="0"/>
        <v>1.2584574361894576</v>
      </c>
      <c r="AA13">
        <v>14.62</v>
      </c>
      <c r="AB13">
        <v>16.18</v>
      </c>
    </row>
    <row r="14" spans="1:28" x14ac:dyDescent="0.2">
      <c r="A14" t="s">
        <v>24</v>
      </c>
      <c r="B14">
        <v>1982</v>
      </c>
      <c r="C14" t="s">
        <v>826</v>
      </c>
      <c r="D14" t="s">
        <v>824</v>
      </c>
      <c r="E14" t="s">
        <v>48</v>
      </c>
      <c r="F14" t="s">
        <v>305</v>
      </c>
      <c r="G14">
        <v>48.433332999999998</v>
      </c>
      <c r="H14">
        <v>-4.5</v>
      </c>
      <c r="J14" t="s">
        <v>14</v>
      </c>
      <c r="K14" t="s">
        <v>25</v>
      </c>
      <c r="L14" t="s">
        <v>143</v>
      </c>
      <c r="M14" t="s">
        <v>26</v>
      </c>
      <c r="N14" t="s">
        <v>85</v>
      </c>
      <c r="O14" t="s">
        <v>462</v>
      </c>
      <c r="P14" t="s">
        <v>72</v>
      </c>
      <c r="Q14">
        <v>7</v>
      </c>
      <c r="R14" t="s">
        <v>213</v>
      </c>
      <c r="S14" t="s">
        <v>9</v>
      </c>
      <c r="T14">
        <v>10</v>
      </c>
      <c r="U14" t="s">
        <v>28</v>
      </c>
      <c r="V14" t="s">
        <v>28</v>
      </c>
      <c r="W14">
        <v>15</v>
      </c>
      <c r="X14">
        <v>13.18</v>
      </c>
      <c r="Y14">
        <f t="shared" si="0"/>
        <v>1.7102113876420835</v>
      </c>
      <c r="AA14">
        <v>12.19</v>
      </c>
      <c r="AB14">
        <v>14.31</v>
      </c>
    </row>
    <row r="15" spans="1:28" x14ac:dyDescent="0.2">
      <c r="A15" t="s">
        <v>24</v>
      </c>
      <c r="B15">
        <v>1982</v>
      </c>
      <c r="C15" t="s">
        <v>826</v>
      </c>
      <c r="D15" t="s">
        <v>824</v>
      </c>
      <c r="E15" t="s">
        <v>48</v>
      </c>
      <c r="F15" t="s">
        <v>305</v>
      </c>
      <c r="G15">
        <v>48.433332999999998</v>
      </c>
      <c r="H15">
        <v>-4.5</v>
      </c>
      <c r="J15" t="s">
        <v>14</v>
      </c>
      <c r="K15" t="s">
        <v>25</v>
      </c>
      <c r="L15" t="s">
        <v>143</v>
      </c>
      <c r="M15" t="s">
        <v>26</v>
      </c>
      <c r="N15" t="s">
        <v>85</v>
      </c>
      <c r="O15" t="s">
        <v>462</v>
      </c>
      <c r="P15" t="s">
        <v>72</v>
      </c>
      <c r="Q15">
        <v>7</v>
      </c>
      <c r="R15" t="s">
        <v>213</v>
      </c>
      <c r="S15" t="s">
        <v>27</v>
      </c>
      <c r="T15">
        <v>10</v>
      </c>
      <c r="U15" t="s">
        <v>28</v>
      </c>
      <c r="V15" t="s">
        <v>28</v>
      </c>
      <c r="W15">
        <v>20</v>
      </c>
      <c r="X15">
        <v>10.34</v>
      </c>
      <c r="Y15">
        <f t="shared" si="0"/>
        <v>1.7586135967262926</v>
      </c>
      <c r="AA15">
        <v>9.2100000000000009</v>
      </c>
      <c r="AB15">
        <v>11.39</v>
      </c>
    </row>
    <row r="16" spans="1:28" x14ac:dyDescent="0.2">
      <c r="A16" t="s">
        <v>24</v>
      </c>
      <c r="B16">
        <v>1982</v>
      </c>
      <c r="C16" t="s">
        <v>826</v>
      </c>
      <c r="D16" t="s">
        <v>824</v>
      </c>
      <c r="E16" t="s">
        <v>48</v>
      </c>
      <c r="F16" t="s">
        <v>308</v>
      </c>
      <c r="G16">
        <v>69.333332999999996</v>
      </c>
      <c r="H16">
        <v>-82.5</v>
      </c>
      <c r="J16" t="s">
        <v>7</v>
      </c>
      <c r="K16" t="s">
        <v>25</v>
      </c>
      <c r="L16" t="s">
        <v>143</v>
      </c>
      <c r="M16" t="s">
        <v>26</v>
      </c>
      <c r="N16" t="s">
        <v>85</v>
      </c>
      <c r="O16" t="s">
        <v>462</v>
      </c>
      <c r="P16" t="s">
        <v>72</v>
      </c>
      <c r="Q16">
        <v>7</v>
      </c>
      <c r="R16" t="s">
        <v>213</v>
      </c>
      <c r="S16" t="s">
        <v>7</v>
      </c>
      <c r="T16">
        <v>10</v>
      </c>
      <c r="U16" t="s">
        <v>28</v>
      </c>
      <c r="V16" t="s">
        <v>28</v>
      </c>
      <c r="W16">
        <v>10</v>
      </c>
      <c r="X16">
        <v>19.53</v>
      </c>
      <c r="Y16">
        <f t="shared" si="0"/>
        <v>2.0732279557736573</v>
      </c>
      <c r="AA16">
        <v>18.21</v>
      </c>
      <c r="AB16">
        <v>20.78</v>
      </c>
    </row>
    <row r="17" spans="1:28" x14ac:dyDescent="0.2">
      <c r="A17" t="s">
        <v>24</v>
      </c>
      <c r="B17">
        <v>1982</v>
      </c>
      <c r="C17" t="s">
        <v>826</v>
      </c>
      <c r="D17" t="s">
        <v>824</v>
      </c>
      <c r="E17" t="s">
        <v>48</v>
      </c>
      <c r="F17" t="s">
        <v>308</v>
      </c>
      <c r="G17">
        <v>69.333332999999996</v>
      </c>
      <c r="H17">
        <v>-82.5</v>
      </c>
      <c r="J17" t="s">
        <v>14</v>
      </c>
      <c r="K17" t="s">
        <v>25</v>
      </c>
      <c r="L17" t="s">
        <v>143</v>
      </c>
      <c r="M17" t="s">
        <v>26</v>
      </c>
      <c r="N17" t="s">
        <v>85</v>
      </c>
      <c r="O17" t="s">
        <v>462</v>
      </c>
      <c r="P17" t="s">
        <v>72</v>
      </c>
      <c r="Q17">
        <v>7</v>
      </c>
      <c r="R17" t="s">
        <v>213</v>
      </c>
      <c r="S17" t="s">
        <v>9</v>
      </c>
      <c r="T17">
        <v>10</v>
      </c>
      <c r="U17" t="s">
        <v>28</v>
      </c>
      <c r="V17" t="s">
        <v>28</v>
      </c>
      <c r="W17">
        <v>15</v>
      </c>
      <c r="X17">
        <v>10.81</v>
      </c>
      <c r="Y17">
        <f t="shared" si="0"/>
        <v>3.3074842874210102</v>
      </c>
      <c r="AA17">
        <v>8.61</v>
      </c>
      <c r="AB17">
        <v>12.71</v>
      </c>
    </row>
    <row r="18" spans="1:28" x14ac:dyDescent="0.2">
      <c r="A18" t="s">
        <v>24</v>
      </c>
      <c r="B18">
        <v>1982</v>
      </c>
      <c r="C18" t="s">
        <v>826</v>
      </c>
      <c r="D18" t="s">
        <v>824</v>
      </c>
      <c r="E18" t="s">
        <v>48</v>
      </c>
      <c r="F18" t="s">
        <v>308</v>
      </c>
      <c r="G18">
        <v>69.333332999999996</v>
      </c>
      <c r="H18">
        <v>-82.5</v>
      </c>
      <c r="J18" t="s">
        <v>14</v>
      </c>
      <c r="K18" t="s">
        <v>25</v>
      </c>
      <c r="L18" t="s">
        <v>143</v>
      </c>
      <c r="M18" t="s">
        <v>26</v>
      </c>
      <c r="N18" t="s">
        <v>85</v>
      </c>
      <c r="O18" t="s">
        <v>462</v>
      </c>
      <c r="P18" t="s">
        <v>72</v>
      </c>
      <c r="Q18">
        <v>7</v>
      </c>
      <c r="R18" t="s">
        <v>213</v>
      </c>
      <c r="S18" t="s">
        <v>27</v>
      </c>
      <c r="T18">
        <v>10</v>
      </c>
      <c r="U18" t="s">
        <v>28</v>
      </c>
      <c r="V18" t="s">
        <v>28</v>
      </c>
      <c r="W18">
        <v>20</v>
      </c>
      <c r="X18">
        <v>8.01</v>
      </c>
      <c r="Y18">
        <f t="shared" si="0"/>
        <v>1.9118872588262907</v>
      </c>
      <c r="AA18">
        <v>6.89</v>
      </c>
      <c r="AB18">
        <v>9.26</v>
      </c>
    </row>
    <row r="19" spans="1:28" x14ac:dyDescent="0.2">
      <c r="A19" t="s">
        <v>24</v>
      </c>
      <c r="B19">
        <v>1982</v>
      </c>
      <c r="C19" t="s">
        <v>826</v>
      </c>
      <c r="D19" t="s">
        <v>824</v>
      </c>
      <c r="E19" t="s">
        <v>48</v>
      </c>
      <c r="F19" t="s">
        <v>308</v>
      </c>
      <c r="G19">
        <v>69.333332999999996</v>
      </c>
      <c r="H19">
        <v>-82.5</v>
      </c>
      <c r="J19" t="s">
        <v>14</v>
      </c>
      <c r="K19" t="s">
        <v>25</v>
      </c>
      <c r="L19" t="s">
        <v>143</v>
      </c>
      <c r="M19" t="s">
        <v>26</v>
      </c>
      <c r="N19" t="s">
        <v>85</v>
      </c>
      <c r="O19" t="s">
        <v>462</v>
      </c>
      <c r="P19" t="s">
        <v>72</v>
      </c>
      <c r="Q19">
        <v>7</v>
      </c>
      <c r="R19" t="s">
        <v>213</v>
      </c>
      <c r="S19" t="s">
        <v>13</v>
      </c>
      <c r="T19">
        <v>10</v>
      </c>
      <c r="U19" t="s">
        <v>28</v>
      </c>
      <c r="V19" t="s">
        <v>28</v>
      </c>
      <c r="W19">
        <v>23</v>
      </c>
      <c r="X19">
        <v>0</v>
      </c>
      <c r="Y19">
        <f t="shared" si="0"/>
        <v>0</v>
      </c>
      <c r="AA19">
        <v>0</v>
      </c>
      <c r="AB19">
        <v>0</v>
      </c>
    </row>
    <row r="20" spans="1:28" x14ac:dyDescent="0.2">
      <c r="A20" t="s">
        <v>24</v>
      </c>
      <c r="B20">
        <v>1982</v>
      </c>
      <c r="C20" t="s">
        <v>826</v>
      </c>
      <c r="D20" t="s">
        <v>824</v>
      </c>
      <c r="E20" t="s">
        <v>48</v>
      </c>
      <c r="F20" t="s">
        <v>309</v>
      </c>
      <c r="G20">
        <v>44.066667000000002</v>
      </c>
      <c r="H20">
        <v>-63.916666999999997</v>
      </c>
      <c r="J20" t="s">
        <v>7</v>
      </c>
      <c r="K20" t="s">
        <v>25</v>
      </c>
      <c r="L20" t="s">
        <v>143</v>
      </c>
      <c r="M20" t="s">
        <v>26</v>
      </c>
      <c r="N20" t="s">
        <v>85</v>
      </c>
      <c r="O20" t="s">
        <v>462</v>
      </c>
      <c r="P20" t="s">
        <v>72</v>
      </c>
      <c r="Q20">
        <v>7</v>
      </c>
      <c r="R20" t="s">
        <v>213</v>
      </c>
      <c r="S20" t="s">
        <v>7</v>
      </c>
      <c r="T20">
        <v>10</v>
      </c>
      <c r="U20" t="s">
        <v>28</v>
      </c>
      <c r="V20" t="s">
        <v>28</v>
      </c>
      <c r="W20">
        <v>10</v>
      </c>
      <c r="X20">
        <v>19.28</v>
      </c>
      <c r="Y20">
        <f t="shared" si="0"/>
        <v>1.5650047603894515</v>
      </c>
      <c r="AA20">
        <v>18.37</v>
      </c>
      <c r="AB20">
        <v>20.309999999999999</v>
      </c>
    </row>
    <row r="21" spans="1:28" x14ac:dyDescent="0.2">
      <c r="A21" t="s">
        <v>24</v>
      </c>
      <c r="B21">
        <v>1982</v>
      </c>
      <c r="C21" t="s">
        <v>826</v>
      </c>
      <c r="D21" t="s">
        <v>824</v>
      </c>
      <c r="E21" t="s">
        <v>48</v>
      </c>
      <c r="F21" t="s">
        <v>309</v>
      </c>
      <c r="G21">
        <v>44.066667000000002</v>
      </c>
      <c r="H21">
        <v>-63.916666999999997</v>
      </c>
      <c r="J21" t="s">
        <v>14</v>
      </c>
      <c r="K21" t="s">
        <v>25</v>
      </c>
      <c r="L21" t="s">
        <v>143</v>
      </c>
      <c r="M21" t="s">
        <v>26</v>
      </c>
      <c r="N21" t="s">
        <v>85</v>
      </c>
      <c r="O21" t="s">
        <v>462</v>
      </c>
      <c r="P21" t="s">
        <v>72</v>
      </c>
      <c r="Q21">
        <v>7</v>
      </c>
      <c r="R21" t="s">
        <v>213</v>
      </c>
      <c r="S21" t="s">
        <v>9</v>
      </c>
      <c r="T21">
        <v>10</v>
      </c>
      <c r="U21" t="s">
        <v>28</v>
      </c>
      <c r="V21" t="s">
        <v>28</v>
      </c>
      <c r="W21">
        <v>15</v>
      </c>
      <c r="X21">
        <v>15.53</v>
      </c>
      <c r="Y21">
        <f t="shared" si="0"/>
        <v>1.3794629588999825</v>
      </c>
      <c r="AA21">
        <v>14.68</v>
      </c>
      <c r="AB21">
        <v>16.39</v>
      </c>
    </row>
    <row r="22" spans="1:28" x14ac:dyDescent="0.2">
      <c r="A22" t="s">
        <v>24</v>
      </c>
      <c r="B22">
        <v>1982</v>
      </c>
      <c r="C22" t="s">
        <v>826</v>
      </c>
      <c r="D22" t="s">
        <v>824</v>
      </c>
      <c r="E22" t="s">
        <v>48</v>
      </c>
      <c r="F22" t="s">
        <v>309</v>
      </c>
      <c r="G22">
        <v>44.066667000000002</v>
      </c>
      <c r="H22">
        <v>-63.916666999999997</v>
      </c>
      <c r="J22" t="s">
        <v>14</v>
      </c>
      <c r="K22" t="s">
        <v>25</v>
      </c>
      <c r="L22" t="s">
        <v>143</v>
      </c>
      <c r="M22" t="s">
        <v>26</v>
      </c>
      <c r="N22" t="s">
        <v>85</v>
      </c>
      <c r="O22" t="s">
        <v>462</v>
      </c>
      <c r="P22" t="s">
        <v>72</v>
      </c>
      <c r="Q22">
        <v>7</v>
      </c>
      <c r="R22" t="s">
        <v>213</v>
      </c>
      <c r="S22" t="s">
        <v>27</v>
      </c>
      <c r="T22">
        <v>10</v>
      </c>
      <c r="U22" t="s">
        <v>28</v>
      </c>
      <c r="V22" t="s">
        <v>28</v>
      </c>
      <c r="W22">
        <v>20</v>
      </c>
      <c r="X22">
        <v>9.7100000000000009</v>
      </c>
      <c r="Y22">
        <f t="shared" si="0"/>
        <v>1.2100552271052472</v>
      </c>
      <c r="AA22">
        <v>8.93</v>
      </c>
      <c r="AB22">
        <v>10.43</v>
      </c>
    </row>
    <row r="23" spans="1:28" x14ac:dyDescent="0.2">
      <c r="A23" t="s">
        <v>24</v>
      </c>
      <c r="B23">
        <v>1982</v>
      </c>
      <c r="C23" t="s">
        <v>816</v>
      </c>
      <c r="D23" t="s">
        <v>817</v>
      </c>
      <c r="E23" t="s">
        <v>31</v>
      </c>
      <c r="F23" t="s">
        <v>309</v>
      </c>
      <c r="G23">
        <v>44.066667000000002</v>
      </c>
      <c r="H23">
        <v>-63.916666999999997</v>
      </c>
      <c r="J23" t="s">
        <v>7</v>
      </c>
      <c r="K23" t="s">
        <v>25</v>
      </c>
      <c r="L23" t="s">
        <v>143</v>
      </c>
      <c r="M23" t="s">
        <v>26</v>
      </c>
      <c r="N23" t="s">
        <v>85</v>
      </c>
      <c r="O23" t="s">
        <v>462</v>
      </c>
      <c r="P23" t="s">
        <v>72</v>
      </c>
      <c r="Q23">
        <v>7</v>
      </c>
      <c r="R23" t="s">
        <v>213</v>
      </c>
      <c r="S23" t="s">
        <v>7</v>
      </c>
      <c r="T23">
        <v>10</v>
      </c>
      <c r="U23" t="s">
        <v>28</v>
      </c>
      <c r="V23" t="s">
        <v>28</v>
      </c>
      <c r="W23">
        <v>10</v>
      </c>
      <c r="X23">
        <v>10.26</v>
      </c>
      <c r="Y23">
        <f t="shared" si="0"/>
        <v>0.55662540446841335</v>
      </c>
      <c r="AA23">
        <v>9.92</v>
      </c>
      <c r="AB23">
        <v>10.61</v>
      </c>
    </row>
    <row r="24" spans="1:28" x14ac:dyDescent="0.2">
      <c r="A24" t="s">
        <v>24</v>
      </c>
      <c r="B24">
        <v>1982</v>
      </c>
      <c r="C24" t="s">
        <v>816</v>
      </c>
      <c r="D24" t="s">
        <v>817</v>
      </c>
      <c r="E24" t="s">
        <v>31</v>
      </c>
      <c r="F24" t="s">
        <v>309</v>
      </c>
      <c r="G24">
        <v>44.066667000000002</v>
      </c>
      <c r="H24">
        <v>-63.916666999999997</v>
      </c>
      <c r="J24" t="s">
        <v>14</v>
      </c>
      <c r="K24" t="s">
        <v>25</v>
      </c>
      <c r="L24" t="s">
        <v>143</v>
      </c>
      <c r="M24" t="s">
        <v>26</v>
      </c>
      <c r="N24" t="s">
        <v>85</v>
      </c>
      <c r="O24" t="s">
        <v>462</v>
      </c>
      <c r="P24" t="s">
        <v>72</v>
      </c>
      <c r="Q24">
        <v>7</v>
      </c>
      <c r="R24" t="s">
        <v>213</v>
      </c>
      <c r="S24" t="s">
        <v>9</v>
      </c>
      <c r="T24">
        <v>10</v>
      </c>
      <c r="U24" t="s">
        <v>28</v>
      </c>
      <c r="V24" t="s">
        <v>28</v>
      </c>
      <c r="W24">
        <v>15</v>
      </c>
      <c r="X24">
        <v>7.87</v>
      </c>
      <c r="Y24">
        <f t="shared" si="0"/>
        <v>1.2745915058841946</v>
      </c>
      <c r="AA24">
        <v>7.14</v>
      </c>
      <c r="AB24">
        <v>8.7200000000000006</v>
      </c>
    </row>
    <row r="25" spans="1:28" x14ac:dyDescent="0.2">
      <c r="A25" t="s">
        <v>24</v>
      </c>
      <c r="B25">
        <v>1982</v>
      </c>
      <c r="C25" t="s">
        <v>816</v>
      </c>
      <c r="D25" t="s">
        <v>817</v>
      </c>
      <c r="E25" t="s">
        <v>31</v>
      </c>
      <c r="F25" t="s">
        <v>309</v>
      </c>
      <c r="G25">
        <v>44.066667000000002</v>
      </c>
      <c r="H25">
        <v>-63.916666999999997</v>
      </c>
      <c r="J25" t="s">
        <v>14</v>
      </c>
      <c r="K25" t="s">
        <v>25</v>
      </c>
      <c r="L25" t="s">
        <v>143</v>
      </c>
      <c r="M25" t="s">
        <v>26</v>
      </c>
      <c r="N25" t="s">
        <v>85</v>
      </c>
      <c r="O25" t="s">
        <v>462</v>
      </c>
      <c r="P25" t="s">
        <v>72</v>
      </c>
      <c r="Q25">
        <v>7</v>
      </c>
      <c r="R25" t="s">
        <v>213</v>
      </c>
      <c r="S25" t="s">
        <v>27</v>
      </c>
      <c r="T25">
        <v>10</v>
      </c>
      <c r="U25" t="s">
        <v>28</v>
      </c>
      <c r="V25" t="s">
        <v>28</v>
      </c>
      <c r="W25">
        <v>20</v>
      </c>
      <c r="X25">
        <v>4.41</v>
      </c>
      <c r="Y25">
        <f t="shared" si="0"/>
        <v>0.7663683104999901</v>
      </c>
      <c r="AA25">
        <v>3.92</v>
      </c>
      <c r="AB25">
        <v>4.87</v>
      </c>
    </row>
    <row r="26" spans="1:28" x14ac:dyDescent="0.2">
      <c r="A26" t="s">
        <v>24</v>
      </c>
      <c r="B26">
        <v>1982</v>
      </c>
      <c r="C26" t="s">
        <v>816</v>
      </c>
      <c r="D26" t="s">
        <v>817</v>
      </c>
      <c r="E26" t="s">
        <v>31</v>
      </c>
      <c r="F26" t="s">
        <v>309</v>
      </c>
      <c r="G26">
        <v>44.066667000000002</v>
      </c>
      <c r="H26">
        <v>-63.916666999999997</v>
      </c>
      <c r="J26" t="s">
        <v>14</v>
      </c>
      <c r="K26" t="s">
        <v>25</v>
      </c>
      <c r="L26" t="s">
        <v>143</v>
      </c>
      <c r="M26" t="s">
        <v>26</v>
      </c>
      <c r="N26" t="s">
        <v>85</v>
      </c>
      <c r="O26" t="s">
        <v>462</v>
      </c>
      <c r="P26" t="s">
        <v>72</v>
      </c>
      <c r="Q26">
        <v>7</v>
      </c>
      <c r="R26" t="s">
        <v>213</v>
      </c>
      <c r="S26" t="s">
        <v>13</v>
      </c>
      <c r="T26">
        <v>10</v>
      </c>
      <c r="U26" t="s">
        <v>28</v>
      </c>
      <c r="V26" t="s">
        <v>28</v>
      </c>
      <c r="W26">
        <v>23</v>
      </c>
      <c r="X26">
        <v>0</v>
      </c>
      <c r="Y26">
        <f t="shared" si="0"/>
        <v>0</v>
      </c>
      <c r="AA26">
        <v>0</v>
      </c>
      <c r="AB26">
        <v>0</v>
      </c>
    </row>
    <row r="27" spans="1:28" x14ac:dyDescent="0.2">
      <c r="A27" t="s">
        <v>24</v>
      </c>
      <c r="B27">
        <v>1982</v>
      </c>
      <c r="C27" t="s">
        <v>816</v>
      </c>
      <c r="D27" t="s">
        <v>817</v>
      </c>
      <c r="E27" t="s">
        <v>31</v>
      </c>
      <c r="F27" t="s">
        <v>307</v>
      </c>
      <c r="G27">
        <v>54.466667000000001</v>
      </c>
      <c r="H27">
        <v>7.8833330000000004</v>
      </c>
      <c r="J27" t="s">
        <v>7</v>
      </c>
      <c r="K27" t="s">
        <v>25</v>
      </c>
      <c r="L27" t="s">
        <v>143</v>
      </c>
      <c r="M27" t="s">
        <v>26</v>
      </c>
      <c r="N27" t="s">
        <v>85</v>
      </c>
      <c r="O27" t="s">
        <v>462</v>
      </c>
      <c r="P27" t="s">
        <v>72</v>
      </c>
      <c r="Q27">
        <v>7</v>
      </c>
      <c r="R27" t="s">
        <v>213</v>
      </c>
      <c r="S27" t="s">
        <v>7</v>
      </c>
      <c r="T27">
        <v>10</v>
      </c>
      <c r="U27" t="s">
        <v>28</v>
      </c>
      <c r="V27" t="s">
        <v>28</v>
      </c>
      <c r="W27">
        <v>10</v>
      </c>
      <c r="X27">
        <v>11.92</v>
      </c>
      <c r="Y27">
        <f t="shared" si="0"/>
        <v>0.85510569382104173</v>
      </c>
      <c r="AA27">
        <v>11.41</v>
      </c>
      <c r="AB27">
        <v>12.47</v>
      </c>
    </row>
    <row r="28" spans="1:28" x14ac:dyDescent="0.2">
      <c r="A28" t="s">
        <v>24</v>
      </c>
      <c r="B28">
        <v>1982</v>
      </c>
      <c r="C28" t="s">
        <v>816</v>
      </c>
      <c r="D28" t="s">
        <v>817</v>
      </c>
      <c r="E28" t="s">
        <v>31</v>
      </c>
      <c r="F28" t="s">
        <v>307</v>
      </c>
      <c r="G28">
        <v>54.466667000000001</v>
      </c>
      <c r="H28">
        <v>7.8833330000000004</v>
      </c>
      <c r="J28" t="s">
        <v>14</v>
      </c>
      <c r="K28" t="s">
        <v>25</v>
      </c>
      <c r="L28" t="s">
        <v>143</v>
      </c>
      <c r="M28" t="s">
        <v>26</v>
      </c>
      <c r="N28" t="s">
        <v>85</v>
      </c>
      <c r="O28" t="s">
        <v>462</v>
      </c>
      <c r="P28" t="s">
        <v>72</v>
      </c>
      <c r="Q28">
        <v>7</v>
      </c>
      <c r="R28" t="s">
        <v>213</v>
      </c>
      <c r="S28" t="s">
        <v>9</v>
      </c>
      <c r="T28">
        <v>10</v>
      </c>
      <c r="U28" t="s">
        <v>28</v>
      </c>
      <c r="V28" t="s">
        <v>28</v>
      </c>
      <c r="W28">
        <v>15</v>
      </c>
      <c r="X28">
        <v>9.59</v>
      </c>
      <c r="Y28">
        <f t="shared" si="0"/>
        <v>1.1213178437841962</v>
      </c>
      <c r="AA28">
        <v>8.94</v>
      </c>
      <c r="AB28">
        <v>10.33</v>
      </c>
    </row>
    <row r="29" spans="1:28" x14ac:dyDescent="0.2">
      <c r="A29" t="s">
        <v>24</v>
      </c>
      <c r="B29">
        <v>1982</v>
      </c>
      <c r="C29" t="s">
        <v>816</v>
      </c>
      <c r="D29" t="s">
        <v>817</v>
      </c>
      <c r="E29" t="s">
        <v>31</v>
      </c>
      <c r="F29" t="s">
        <v>307</v>
      </c>
      <c r="G29">
        <v>54.466667000000001</v>
      </c>
      <c r="H29">
        <v>7.8833330000000004</v>
      </c>
      <c r="J29" t="s">
        <v>14</v>
      </c>
      <c r="K29" t="s">
        <v>25</v>
      </c>
      <c r="L29" t="s">
        <v>143</v>
      </c>
      <c r="M29" t="s">
        <v>26</v>
      </c>
      <c r="N29" t="s">
        <v>85</v>
      </c>
      <c r="O29" t="s">
        <v>462</v>
      </c>
      <c r="P29" t="s">
        <v>72</v>
      </c>
      <c r="Q29">
        <v>7</v>
      </c>
      <c r="R29" t="s">
        <v>213</v>
      </c>
      <c r="S29" t="s">
        <v>27</v>
      </c>
      <c r="T29">
        <v>10</v>
      </c>
      <c r="U29" t="s">
        <v>28</v>
      </c>
      <c r="V29" t="s">
        <v>28</v>
      </c>
      <c r="W29">
        <v>20</v>
      </c>
      <c r="X29">
        <v>7.11</v>
      </c>
      <c r="Y29">
        <f t="shared" si="0"/>
        <v>1.1858541225631423</v>
      </c>
      <c r="AA29">
        <v>6.45</v>
      </c>
      <c r="AB29">
        <v>7.92</v>
      </c>
    </row>
    <row r="30" spans="1:28" x14ac:dyDescent="0.2">
      <c r="A30" t="s">
        <v>24</v>
      </c>
      <c r="B30">
        <v>1982</v>
      </c>
      <c r="C30" t="s">
        <v>816</v>
      </c>
      <c r="D30" t="s">
        <v>817</v>
      </c>
      <c r="E30" t="s">
        <v>31</v>
      </c>
      <c r="F30" t="s">
        <v>307</v>
      </c>
      <c r="G30">
        <v>54.466667000000001</v>
      </c>
      <c r="H30">
        <v>7.8833330000000004</v>
      </c>
      <c r="J30" t="s">
        <v>14</v>
      </c>
      <c r="K30" t="s">
        <v>25</v>
      </c>
      <c r="L30" t="s">
        <v>143</v>
      </c>
      <c r="M30" t="s">
        <v>26</v>
      </c>
      <c r="N30" t="s">
        <v>85</v>
      </c>
      <c r="O30" t="s">
        <v>462</v>
      </c>
      <c r="P30" t="s">
        <v>72</v>
      </c>
      <c r="Q30">
        <v>7</v>
      </c>
      <c r="R30" t="s">
        <v>213</v>
      </c>
      <c r="S30" t="s">
        <v>13</v>
      </c>
      <c r="T30">
        <v>10</v>
      </c>
      <c r="U30" t="s">
        <v>28</v>
      </c>
      <c r="V30" t="s">
        <v>28</v>
      </c>
      <c r="W30">
        <v>23</v>
      </c>
      <c r="X30">
        <v>0</v>
      </c>
      <c r="Y30">
        <f t="shared" si="0"/>
        <v>0</v>
      </c>
      <c r="AA30">
        <v>0</v>
      </c>
      <c r="AB30">
        <v>0</v>
      </c>
    </row>
    <row r="31" spans="1:28" x14ac:dyDescent="0.2">
      <c r="A31" t="s">
        <v>24</v>
      </c>
      <c r="B31">
        <v>1982</v>
      </c>
      <c r="C31" t="s">
        <v>816</v>
      </c>
      <c r="D31" t="s">
        <v>817</v>
      </c>
      <c r="E31" t="s">
        <v>32</v>
      </c>
      <c r="F31" t="s">
        <v>307</v>
      </c>
      <c r="G31">
        <v>54.466667000000001</v>
      </c>
      <c r="H31">
        <v>7.8833330000000004</v>
      </c>
      <c r="J31" t="s">
        <v>7</v>
      </c>
      <c r="K31" t="s">
        <v>25</v>
      </c>
      <c r="L31" t="s">
        <v>143</v>
      </c>
      <c r="M31" t="s">
        <v>26</v>
      </c>
      <c r="N31" t="s">
        <v>85</v>
      </c>
      <c r="O31" t="s">
        <v>462</v>
      </c>
      <c r="P31" t="s">
        <v>72</v>
      </c>
      <c r="Q31">
        <v>7</v>
      </c>
      <c r="R31" t="s">
        <v>213</v>
      </c>
      <c r="S31" t="s">
        <v>7</v>
      </c>
      <c r="T31">
        <v>10</v>
      </c>
      <c r="U31" t="s">
        <v>28</v>
      </c>
      <c r="V31" t="s">
        <v>28</v>
      </c>
      <c r="W31">
        <v>10</v>
      </c>
      <c r="X31">
        <v>4.88</v>
      </c>
      <c r="Y31">
        <f t="shared" si="0"/>
        <v>1.0164463907684076</v>
      </c>
      <c r="AA31">
        <v>4.29</v>
      </c>
      <c r="AB31">
        <v>5.55</v>
      </c>
    </row>
    <row r="32" spans="1:28" x14ac:dyDescent="0.2">
      <c r="A32" t="s">
        <v>24</v>
      </c>
      <c r="B32">
        <v>1982</v>
      </c>
      <c r="C32" t="s">
        <v>816</v>
      </c>
      <c r="D32" t="s">
        <v>817</v>
      </c>
      <c r="E32" t="s">
        <v>32</v>
      </c>
      <c r="F32" t="s">
        <v>307</v>
      </c>
      <c r="G32">
        <v>54.466667000000001</v>
      </c>
      <c r="H32">
        <v>7.8833330000000004</v>
      </c>
      <c r="J32" t="s">
        <v>14</v>
      </c>
      <c r="K32" t="s">
        <v>25</v>
      </c>
      <c r="L32" t="s">
        <v>143</v>
      </c>
      <c r="M32" t="s">
        <v>26</v>
      </c>
      <c r="N32" t="s">
        <v>85</v>
      </c>
      <c r="O32" t="s">
        <v>462</v>
      </c>
      <c r="P32" t="s">
        <v>72</v>
      </c>
      <c r="Q32">
        <v>7</v>
      </c>
      <c r="R32" t="s">
        <v>213</v>
      </c>
      <c r="S32" t="s">
        <v>9</v>
      </c>
      <c r="T32">
        <v>10</v>
      </c>
      <c r="U32" t="s">
        <v>28</v>
      </c>
      <c r="V32" t="s">
        <v>28</v>
      </c>
      <c r="W32">
        <v>15</v>
      </c>
      <c r="X32">
        <v>6.43</v>
      </c>
      <c r="Y32">
        <f t="shared" si="0"/>
        <v>0.94384307714209281</v>
      </c>
      <c r="AA32">
        <v>5.85</v>
      </c>
      <c r="AB32">
        <v>7.02</v>
      </c>
    </row>
    <row r="33" spans="1:28" x14ac:dyDescent="0.2">
      <c r="A33" t="s">
        <v>24</v>
      </c>
      <c r="B33">
        <v>1982</v>
      </c>
      <c r="C33" t="s">
        <v>816</v>
      </c>
      <c r="D33" t="s">
        <v>817</v>
      </c>
      <c r="E33" t="s">
        <v>32</v>
      </c>
      <c r="F33" t="s">
        <v>307</v>
      </c>
      <c r="G33">
        <v>54.466667000000001</v>
      </c>
      <c r="H33">
        <v>7.8833330000000004</v>
      </c>
      <c r="J33" t="s">
        <v>14</v>
      </c>
      <c r="K33" t="s">
        <v>25</v>
      </c>
      <c r="L33" t="s">
        <v>143</v>
      </c>
      <c r="M33" t="s">
        <v>26</v>
      </c>
      <c r="N33" t="s">
        <v>85</v>
      </c>
      <c r="O33" t="s">
        <v>462</v>
      </c>
      <c r="P33" t="s">
        <v>72</v>
      </c>
      <c r="Q33">
        <v>7</v>
      </c>
      <c r="R33" t="s">
        <v>213</v>
      </c>
      <c r="S33" t="s">
        <v>27</v>
      </c>
      <c r="T33">
        <v>10</v>
      </c>
      <c r="U33" t="s">
        <v>28</v>
      </c>
      <c r="V33" t="s">
        <v>28</v>
      </c>
      <c r="W33">
        <v>20</v>
      </c>
      <c r="X33">
        <v>3.26</v>
      </c>
      <c r="Y33">
        <f t="shared" si="0"/>
        <v>0.74216720595788488</v>
      </c>
      <c r="AA33">
        <v>2.85</v>
      </c>
      <c r="AB33">
        <v>3.77</v>
      </c>
    </row>
    <row r="34" spans="1:28" x14ac:dyDescent="0.2">
      <c r="A34" t="s">
        <v>24</v>
      </c>
      <c r="B34">
        <v>1982</v>
      </c>
      <c r="C34" t="s">
        <v>816</v>
      </c>
      <c r="D34" t="s">
        <v>817</v>
      </c>
      <c r="E34" t="s">
        <v>32</v>
      </c>
      <c r="F34" t="s">
        <v>307</v>
      </c>
      <c r="G34">
        <v>54.466667000000001</v>
      </c>
      <c r="H34">
        <v>7.8833330000000004</v>
      </c>
      <c r="J34" t="s">
        <v>14</v>
      </c>
      <c r="K34" t="s">
        <v>25</v>
      </c>
      <c r="L34" t="s">
        <v>143</v>
      </c>
      <c r="M34" t="s">
        <v>26</v>
      </c>
      <c r="N34" t="s">
        <v>85</v>
      </c>
      <c r="O34" t="s">
        <v>462</v>
      </c>
      <c r="P34" t="s">
        <v>72</v>
      </c>
      <c r="Q34">
        <v>7</v>
      </c>
      <c r="R34" t="s">
        <v>213</v>
      </c>
      <c r="S34" t="s">
        <v>13</v>
      </c>
      <c r="T34">
        <v>10</v>
      </c>
      <c r="U34" t="s">
        <v>28</v>
      </c>
      <c r="V34" t="s">
        <v>28</v>
      </c>
      <c r="W34">
        <v>23</v>
      </c>
      <c r="X34">
        <v>0</v>
      </c>
      <c r="Y34">
        <f t="shared" si="0"/>
        <v>0</v>
      </c>
      <c r="AA34">
        <v>0</v>
      </c>
      <c r="AB34">
        <v>0</v>
      </c>
    </row>
    <row r="35" spans="1:28" x14ac:dyDescent="0.2">
      <c r="A35" t="s">
        <v>33</v>
      </c>
      <c r="B35">
        <v>2017</v>
      </c>
      <c r="C35" t="s">
        <v>816</v>
      </c>
      <c r="D35" t="s">
        <v>820</v>
      </c>
      <c r="E35" t="s">
        <v>34</v>
      </c>
      <c r="F35" t="s">
        <v>319</v>
      </c>
      <c r="G35">
        <v>-45.797499999999999</v>
      </c>
      <c r="H35">
        <v>170.64416700000001</v>
      </c>
      <c r="J35" t="s">
        <v>5</v>
      </c>
      <c r="K35" t="s">
        <v>36</v>
      </c>
      <c r="L35" t="s">
        <v>300</v>
      </c>
      <c r="M35" t="s">
        <v>727</v>
      </c>
      <c r="N35" t="s">
        <v>85</v>
      </c>
      <c r="O35" t="s">
        <v>71</v>
      </c>
      <c r="P35" t="s">
        <v>70</v>
      </c>
      <c r="Q35">
        <v>5</v>
      </c>
      <c r="R35" t="s">
        <v>213</v>
      </c>
      <c r="S35" t="s">
        <v>27</v>
      </c>
      <c r="T35">
        <v>6</v>
      </c>
      <c r="U35">
        <v>7.2</v>
      </c>
      <c r="V35">
        <v>3160.42</v>
      </c>
      <c r="W35" t="s">
        <v>28</v>
      </c>
      <c r="X35">
        <v>92.43</v>
      </c>
      <c r="Y35">
        <v>3.97</v>
      </c>
    </row>
    <row r="36" spans="1:28" x14ac:dyDescent="0.2">
      <c r="A36" t="s">
        <v>33</v>
      </c>
      <c r="B36">
        <v>2017</v>
      </c>
      <c r="C36" t="s">
        <v>816</v>
      </c>
      <c r="D36" t="s">
        <v>820</v>
      </c>
      <c r="E36" t="s">
        <v>34</v>
      </c>
      <c r="F36" t="s">
        <v>319</v>
      </c>
      <c r="G36">
        <v>-45.797499999999999</v>
      </c>
      <c r="H36">
        <v>170.64416700000001</v>
      </c>
      <c r="J36" t="s">
        <v>5</v>
      </c>
      <c r="K36" t="s">
        <v>36</v>
      </c>
      <c r="L36" t="s">
        <v>300</v>
      </c>
      <c r="M36" t="s">
        <v>727</v>
      </c>
      <c r="N36" t="s">
        <v>85</v>
      </c>
      <c r="O36" t="s">
        <v>71</v>
      </c>
      <c r="P36" t="s">
        <v>70</v>
      </c>
      <c r="Q36">
        <v>5</v>
      </c>
      <c r="R36" t="s">
        <v>213</v>
      </c>
      <c r="S36" t="s">
        <v>9</v>
      </c>
      <c r="T36">
        <v>6</v>
      </c>
      <c r="U36">
        <v>7.65</v>
      </c>
      <c r="V36">
        <v>1078.29</v>
      </c>
      <c r="W36" t="s">
        <v>28</v>
      </c>
      <c r="X36">
        <v>96.33</v>
      </c>
      <c r="Y36">
        <v>3.16</v>
      </c>
    </row>
    <row r="37" spans="1:28" x14ac:dyDescent="0.2">
      <c r="A37" t="s">
        <v>33</v>
      </c>
      <c r="B37">
        <v>2017</v>
      </c>
      <c r="C37" t="s">
        <v>816</v>
      </c>
      <c r="D37" t="s">
        <v>820</v>
      </c>
      <c r="E37" t="s">
        <v>34</v>
      </c>
      <c r="F37" t="s">
        <v>319</v>
      </c>
      <c r="G37">
        <v>-45.797499999999999</v>
      </c>
      <c r="H37">
        <v>170.64416700000001</v>
      </c>
      <c r="J37" t="s">
        <v>7</v>
      </c>
      <c r="K37" t="s">
        <v>36</v>
      </c>
      <c r="L37" t="s">
        <v>300</v>
      </c>
      <c r="M37" t="s">
        <v>727</v>
      </c>
      <c r="N37" t="s">
        <v>85</v>
      </c>
      <c r="O37" t="s">
        <v>71</v>
      </c>
      <c r="P37" t="s">
        <v>70</v>
      </c>
      <c r="Q37">
        <v>5</v>
      </c>
      <c r="R37" t="s">
        <v>213</v>
      </c>
      <c r="S37" t="s">
        <v>7</v>
      </c>
      <c r="T37">
        <v>6</v>
      </c>
      <c r="U37">
        <v>8.0299999999999994</v>
      </c>
      <c r="V37">
        <v>447.7</v>
      </c>
      <c r="W37">
        <v>12</v>
      </c>
      <c r="X37">
        <v>92.33</v>
      </c>
      <c r="Y37">
        <v>3.04</v>
      </c>
    </row>
    <row r="38" spans="1:28" x14ac:dyDescent="0.2">
      <c r="A38" t="s">
        <v>33</v>
      </c>
      <c r="B38">
        <v>2017</v>
      </c>
      <c r="C38" t="s">
        <v>807</v>
      </c>
      <c r="D38" t="s">
        <v>825</v>
      </c>
      <c r="E38" t="s">
        <v>35</v>
      </c>
      <c r="F38" t="s">
        <v>319</v>
      </c>
      <c r="G38">
        <v>-45.797499999999999</v>
      </c>
      <c r="H38">
        <v>170.64416700000001</v>
      </c>
      <c r="J38" t="s">
        <v>5</v>
      </c>
      <c r="K38" t="s">
        <v>36</v>
      </c>
      <c r="L38" t="s">
        <v>300</v>
      </c>
      <c r="M38" t="s">
        <v>727</v>
      </c>
      <c r="N38" t="s">
        <v>85</v>
      </c>
      <c r="O38" t="s">
        <v>71</v>
      </c>
      <c r="P38" t="s">
        <v>70</v>
      </c>
      <c r="Q38">
        <v>5</v>
      </c>
      <c r="R38" t="s">
        <v>213</v>
      </c>
      <c r="S38" t="s">
        <v>27</v>
      </c>
      <c r="T38">
        <v>6</v>
      </c>
      <c r="U38">
        <v>7.2</v>
      </c>
      <c r="V38">
        <v>3160.42</v>
      </c>
      <c r="W38" t="s">
        <v>28</v>
      </c>
      <c r="X38">
        <v>98.29</v>
      </c>
      <c r="Y38">
        <v>1.91</v>
      </c>
    </row>
    <row r="39" spans="1:28" x14ac:dyDescent="0.2">
      <c r="A39" t="s">
        <v>33</v>
      </c>
      <c r="B39">
        <v>2017</v>
      </c>
      <c r="C39" t="s">
        <v>807</v>
      </c>
      <c r="D39" t="s">
        <v>825</v>
      </c>
      <c r="E39" t="s">
        <v>35</v>
      </c>
      <c r="F39" t="s">
        <v>319</v>
      </c>
      <c r="G39">
        <v>-45.797499999999999</v>
      </c>
      <c r="H39">
        <v>170.64416700000001</v>
      </c>
      <c r="J39" t="s">
        <v>5</v>
      </c>
      <c r="K39" t="s">
        <v>36</v>
      </c>
      <c r="L39" t="s">
        <v>300</v>
      </c>
      <c r="M39" t="s">
        <v>727</v>
      </c>
      <c r="N39" t="s">
        <v>85</v>
      </c>
      <c r="O39" t="s">
        <v>71</v>
      </c>
      <c r="P39" t="s">
        <v>70</v>
      </c>
      <c r="Q39">
        <v>5</v>
      </c>
      <c r="R39" t="s">
        <v>213</v>
      </c>
      <c r="S39" t="s">
        <v>9</v>
      </c>
      <c r="T39">
        <v>6</v>
      </c>
      <c r="U39">
        <v>7.65</v>
      </c>
      <c r="V39">
        <v>1078.29</v>
      </c>
      <c r="W39" t="s">
        <v>28</v>
      </c>
      <c r="X39">
        <v>97.62</v>
      </c>
      <c r="Y39">
        <v>2.2999999999999998</v>
      </c>
    </row>
    <row r="40" spans="1:28" x14ac:dyDescent="0.2">
      <c r="A40" t="s">
        <v>33</v>
      </c>
      <c r="B40">
        <v>2017</v>
      </c>
      <c r="C40" t="s">
        <v>807</v>
      </c>
      <c r="D40" t="s">
        <v>825</v>
      </c>
      <c r="E40" t="s">
        <v>35</v>
      </c>
      <c r="F40" t="s">
        <v>319</v>
      </c>
      <c r="G40">
        <v>-45.797499999999999</v>
      </c>
      <c r="H40">
        <v>170.64416700000001</v>
      </c>
      <c r="J40" t="s">
        <v>7</v>
      </c>
      <c r="K40" t="s">
        <v>36</v>
      </c>
      <c r="L40" t="s">
        <v>300</v>
      </c>
      <c r="M40" t="s">
        <v>727</v>
      </c>
      <c r="N40" t="s">
        <v>85</v>
      </c>
      <c r="O40" t="s">
        <v>71</v>
      </c>
      <c r="P40" t="s">
        <v>70</v>
      </c>
      <c r="Q40">
        <v>5</v>
      </c>
      <c r="R40" t="s">
        <v>213</v>
      </c>
      <c r="S40" t="s">
        <v>7</v>
      </c>
      <c r="T40">
        <v>6</v>
      </c>
      <c r="U40">
        <v>8.0299999999999994</v>
      </c>
      <c r="V40">
        <v>447.7</v>
      </c>
      <c r="W40">
        <v>12</v>
      </c>
      <c r="X40">
        <v>95.1</v>
      </c>
      <c r="Y40">
        <v>3.55</v>
      </c>
    </row>
    <row r="41" spans="1:28" x14ac:dyDescent="0.2">
      <c r="A41" t="s">
        <v>33</v>
      </c>
      <c r="B41">
        <v>2017</v>
      </c>
      <c r="C41" t="s">
        <v>816</v>
      </c>
      <c r="D41" t="s">
        <v>820</v>
      </c>
      <c r="E41" t="s">
        <v>34</v>
      </c>
      <c r="F41" t="s">
        <v>319</v>
      </c>
      <c r="G41">
        <v>-45.797499999999999</v>
      </c>
      <c r="H41">
        <v>170.64416700000001</v>
      </c>
      <c r="J41" t="s">
        <v>16</v>
      </c>
      <c r="K41" t="s">
        <v>36</v>
      </c>
      <c r="L41" t="s">
        <v>300</v>
      </c>
      <c r="M41" t="s">
        <v>727</v>
      </c>
      <c r="N41" t="s">
        <v>85</v>
      </c>
      <c r="O41" t="s">
        <v>71</v>
      </c>
      <c r="P41" t="s">
        <v>70</v>
      </c>
      <c r="Q41">
        <v>5</v>
      </c>
      <c r="R41" t="s">
        <v>213</v>
      </c>
      <c r="S41" t="s">
        <v>37</v>
      </c>
      <c r="T41">
        <v>6</v>
      </c>
      <c r="U41">
        <v>7.2</v>
      </c>
      <c r="V41">
        <v>2739.61</v>
      </c>
      <c r="W41">
        <v>16</v>
      </c>
      <c r="X41">
        <v>90.9</v>
      </c>
      <c r="Y41">
        <v>2.11</v>
      </c>
    </row>
    <row r="42" spans="1:28" x14ac:dyDescent="0.2">
      <c r="A42" t="s">
        <v>33</v>
      </c>
      <c r="B42">
        <v>2017</v>
      </c>
      <c r="C42" t="s">
        <v>816</v>
      </c>
      <c r="D42" t="s">
        <v>820</v>
      </c>
      <c r="E42" t="s">
        <v>34</v>
      </c>
      <c r="F42" t="s">
        <v>319</v>
      </c>
      <c r="G42">
        <v>-45.797499999999999</v>
      </c>
      <c r="H42">
        <v>170.64416700000001</v>
      </c>
      <c r="J42" t="s">
        <v>16</v>
      </c>
      <c r="K42" t="s">
        <v>36</v>
      </c>
      <c r="L42" t="s">
        <v>300</v>
      </c>
      <c r="M42" t="s">
        <v>727</v>
      </c>
      <c r="N42" t="s">
        <v>85</v>
      </c>
      <c r="O42" t="s">
        <v>71</v>
      </c>
      <c r="P42" t="s">
        <v>70</v>
      </c>
      <c r="Q42">
        <v>5</v>
      </c>
      <c r="R42" t="s">
        <v>213</v>
      </c>
      <c r="S42" t="s">
        <v>15</v>
      </c>
      <c r="T42">
        <v>6</v>
      </c>
      <c r="U42">
        <v>7.65</v>
      </c>
      <c r="V42">
        <v>913.19</v>
      </c>
      <c r="W42">
        <v>16</v>
      </c>
      <c r="X42">
        <v>95.48</v>
      </c>
      <c r="Y42">
        <v>3.75</v>
      </c>
    </row>
    <row r="43" spans="1:28" x14ac:dyDescent="0.2">
      <c r="A43" t="s">
        <v>33</v>
      </c>
      <c r="B43">
        <v>2017</v>
      </c>
      <c r="C43" t="s">
        <v>816</v>
      </c>
      <c r="D43" t="s">
        <v>820</v>
      </c>
      <c r="E43" t="s">
        <v>34</v>
      </c>
      <c r="F43" t="s">
        <v>319</v>
      </c>
      <c r="G43">
        <v>-45.797499999999999</v>
      </c>
      <c r="H43">
        <v>170.64416700000001</v>
      </c>
      <c r="J43" t="s">
        <v>14</v>
      </c>
      <c r="K43" t="s">
        <v>36</v>
      </c>
      <c r="L43" t="s">
        <v>300</v>
      </c>
      <c r="M43" t="s">
        <v>727</v>
      </c>
      <c r="N43" t="s">
        <v>85</v>
      </c>
      <c r="O43" t="s">
        <v>71</v>
      </c>
      <c r="P43" t="s">
        <v>70</v>
      </c>
      <c r="Q43">
        <v>5</v>
      </c>
      <c r="R43" t="s">
        <v>213</v>
      </c>
      <c r="S43" t="s">
        <v>13</v>
      </c>
      <c r="T43">
        <v>6</v>
      </c>
      <c r="U43" t="s">
        <v>28</v>
      </c>
      <c r="V43" t="s">
        <v>28</v>
      </c>
      <c r="W43">
        <v>16</v>
      </c>
      <c r="X43">
        <v>95</v>
      </c>
      <c r="Y43">
        <v>2.0699999999999998</v>
      </c>
    </row>
    <row r="44" spans="1:28" x14ac:dyDescent="0.2">
      <c r="A44" t="s">
        <v>33</v>
      </c>
      <c r="B44">
        <v>2017</v>
      </c>
      <c r="C44" t="s">
        <v>807</v>
      </c>
      <c r="D44" t="s">
        <v>825</v>
      </c>
      <c r="E44" t="s">
        <v>35</v>
      </c>
      <c r="F44" t="s">
        <v>319</v>
      </c>
      <c r="G44">
        <v>-45.797499999999999</v>
      </c>
      <c r="H44">
        <v>170.64416700000001</v>
      </c>
      <c r="J44" t="s">
        <v>16</v>
      </c>
      <c r="K44" t="s">
        <v>36</v>
      </c>
      <c r="L44" t="s">
        <v>300</v>
      </c>
      <c r="M44" t="s">
        <v>727</v>
      </c>
      <c r="N44" t="s">
        <v>85</v>
      </c>
      <c r="O44" t="s">
        <v>71</v>
      </c>
      <c r="P44" t="s">
        <v>70</v>
      </c>
      <c r="Q44">
        <v>5</v>
      </c>
      <c r="R44" t="s">
        <v>213</v>
      </c>
      <c r="S44" t="s">
        <v>37</v>
      </c>
      <c r="T44">
        <v>6</v>
      </c>
      <c r="U44">
        <v>7.2</v>
      </c>
      <c r="V44">
        <v>2739.61</v>
      </c>
      <c r="W44">
        <v>16</v>
      </c>
      <c r="X44">
        <v>95.9</v>
      </c>
      <c r="Y44">
        <v>3.52</v>
      </c>
    </row>
    <row r="45" spans="1:28" x14ac:dyDescent="0.2">
      <c r="A45" t="s">
        <v>33</v>
      </c>
      <c r="B45">
        <v>2017</v>
      </c>
      <c r="C45" t="s">
        <v>807</v>
      </c>
      <c r="D45" t="s">
        <v>825</v>
      </c>
      <c r="E45" t="s">
        <v>35</v>
      </c>
      <c r="F45" t="s">
        <v>319</v>
      </c>
      <c r="G45">
        <v>-45.797499999999999</v>
      </c>
      <c r="H45">
        <v>170.64416700000001</v>
      </c>
      <c r="J45" t="s">
        <v>16</v>
      </c>
      <c r="K45" t="s">
        <v>36</v>
      </c>
      <c r="L45" t="s">
        <v>300</v>
      </c>
      <c r="M45" t="s">
        <v>727</v>
      </c>
      <c r="N45" t="s">
        <v>85</v>
      </c>
      <c r="O45" t="s">
        <v>71</v>
      </c>
      <c r="P45" t="s">
        <v>70</v>
      </c>
      <c r="Q45">
        <v>5</v>
      </c>
      <c r="R45" t="s">
        <v>213</v>
      </c>
      <c r="S45" t="s">
        <v>15</v>
      </c>
      <c r="T45">
        <v>6</v>
      </c>
      <c r="U45">
        <v>7.65</v>
      </c>
      <c r="V45">
        <v>913.19</v>
      </c>
      <c r="W45">
        <v>16</v>
      </c>
      <c r="X45">
        <v>96.05</v>
      </c>
      <c r="Y45">
        <v>1.79</v>
      </c>
    </row>
    <row r="46" spans="1:28" x14ac:dyDescent="0.2">
      <c r="A46" t="s">
        <v>33</v>
      </c>
      <c r="B46">
        <v>2017</v>
      </c>
      <c r="C46" t="s">
        <v>807</v>
      </c>
      <c r="D46" t="s">
        <v>825</v>
      </c>
      <c r="E46" t="s">
        <v>35</v>
      </c>
      <c r="F46" t="s">
        <v>319</v>
      </c>
      <c r="G46">
        <v>-45.797499999999999</v>
      </c>
      <c r="H46">
        <v>170.64416700000001</v>
      </c>
      <c r="J46" t="s">
        <v>14</v>
      </c>
      <c r="K46" t="s">
        <v>36</v>
      </c>
      <c r="L46" t="s">
        <v>300</v>
      </c>
      <c r="M46" t="s">
        <v>727</v>
      </c>
      <c r="N46" t="s">
        <v>85</v>
      </c>
      <c r="O46" t="s">
        <v>71</v>
      </c>
      <c r="P46" t="s">
        <v>70</v>
      </c>
      <c r="Q46">
        <v>5</v>
      </c>
      <c r="R46" t="s">
        <v>213</v>
      </c>
      <c r="S46" t="s">
        <v>13</v>
      </c>
      <c r="T46">
        <v>6</v>
      </c>
      <c r="U46" t="s">
        <v>28</v>
      </c>
      <c r="V46" t="s">
        <v>28</v>
      </c>
      <c r="W46">
        <v>16</v>
      </c>
      <c r="X46">
        <v>94.29</v>
      </c>
      <c r="Y46">
        <v>4.3899999999999997</v>
      </c>
    </row>
    <row r="47" spans="1:28" x14ac:dyDescent="0.2">
      <c r="A47" t="s">
        <v>33</v>
      </c>
      <c r="B47">
        <v>2017</v>
      </c>
      <c r="C47" t="s">
        <v>816</v>
      </c>
      <c r="D47" t="s">
        <v>820</v>
      </c>
      <c r="E47" t="s">
        <v>34</v>
      </c>
      <c r="F47" t="s">
        <v>319</v>
      </c>
      <c r="G47">
        <v>-45.797499999999999</v>
      </c>
      <c r="H47">
        <v>170.64416700000001</v>
      </c>
      <c r="J47" t="s">
        <v>5</v>
      </c>
      <c r="K47" t="s">
        <v>39</v>
      </c>
      <c r="L47" t="s">
        <v>300</v>
      </c>
      <c r="M47" t="s">
        <v>26</v>
      </c>
      <c r="N47" t="s">
        <v>85</v>
      </c>
      <c r="O47" t="s">
        <v>840</v>
      </c>
      <c r="P47" t="s">
        <v>72</v>
      </c>
      <c r="Q47">
        <v>13</v>
      </c>
      <c r="R47" t="s">
        <v>213</v>
      </c>
      <c r="S47" t="s">
        <v>27</v>
      </c>
      <c r="T47">
        <v>6</v>
      </c>
      <c r="U47">
        <v>7.2</v>
      </c>
      <c r="V47">
        <v>3160.42</v>
      </c>
      <c r="W47" t="s">
        <v>28</v>
      </c>
      <c r="X47">
        <v>31.83</v>
      </c>
      <c r="Y47">
        <v>1.9</v>
      </c>
    </row>
    <row r="48" spans="1:28" x14ac:dyDescent="0.2">
      <c r="A48" t="s">
        <v>33</v>
      </c>
      <c r="B48">
        <v>2017</v>
      </c>
      <c r="C48" t="s">
        <v>816</v>
      </c>
      <c r="D48" t="s">
        <v>820</v>
      </c>
      <c r="E48" t="s">
        <v>34</v>
      </c>
      <c r="F48" t="s">
        <v>319</v>
      </c>
      <c r="G48">
        <v>-45.797499999999999</v>
      </c>
      <c r="H48">
        <v>170.64416700000001</v>
      </c>
      <c r="J48" t="s">
        <v>5</v>
      </c>
      <c r="K48" t="s">
        <v>39</v>
      </c>
      <c r="L48" t="s">
        <v>300</v>
      </c>
      <c r="M48" t="s">
        <v>26</v>
      </c>
      <c r="N48" t="s">
        <v>85</v>
      </c>
      <c r="O48" t="s">
        <v>840</v>
      </c>
      <c r="P48" t="s">
        <v>72</v>
      </c>
      <c r="Q48">
        <v>13</v>
      </c>
      <c r="R48" t="s">
        <v>213</v>
      </c>
      <c r="S48" t="s">
        <v>9</v>
      </c>
      <c r="T48">
        <v>6</v>
      </c>
      <c r="U48">
        <v>7.65</v>
      </c>
      <c r="V48">
        <v>1078.29</v>
      </c>
      <c r="W48" t="s">
        <v>28</v>
      </c>
      <c r="X48">
        <v>35.74</v>
      </c>
      <c r="Y48">
        <v>3.02</v>
      </c>
    </row>
    <row r="49" spans="1:25" x14ac:dyDescent="0.2">
      <c r="A49" t="s">
        <v>33</v>
      </c>
      <c r="B49">
        <v>2017</v>
      </c>
      <c r="C49" t="s">
        <v>816</v>
      </c>
      <c r="D49" t="s">
        <v>820</v>
      </c>
      <c r="E49" t="s">
        <v>34</v>
      </c>
      <c r="F49" t="s">
        <v>319</v>
      </c>
      <c r="G49">
        <v>-45.797499999999999</v>
      </c>
      <c r="H49">
        <v>170.64416700000001</v>
      </c>
      <c r="J49" t="s">
        <v>7</v>
      </c>
      <c r="K49" t="s">
        <v>39</v>
      </c>
      <c r="L49" t="s">
        <v>300</v>
      </c>
      <c r="M49" t="s">
        <v>26</v>
      </c>
      <c r="N49" t="s">
        <v>85</v>
      </c>
      <c r="O49" t="s">
        <v>840</v>
      </c>
      <c r="P49" t="s">
        <v>72</v>
      </c>
      <c r="Q49">
        <v>13</v>
      </c>
      <c r="R49" t="s">
        <v>213</v>
      </c>
      <c r="S49" t="s">
        <v>7</v>
      </c>
      <c r="T49">
        <v>6</v>
      </c>
      <c r="U49">
        <v>8.0299999999999994</v>
      </c>
      <c r="V49">
        <v>447.7</v>
      </c>
      <c r="W49">
        <v>12</v>
      </c>
      <c r="X49">
        <v>31.93</v>
      </c>
      <c r="Y49">
        <v>2.5</v>
      </c>
    </row>
    <row r="50" spans="1:25" x14ac:dyDescent="0.2">
      <c r="A50" t="s">
        <v>33</v>
      </c>
      <c r="B50">
        <v>2017</v>
      </c>
      <c r="C50" t="s">
        <v>807</v>
      </c>
      <c r="D50" t="s">
        <v>825</v>
      </c>
      <c r="E50" t="s">
        <v>35</v>
      </c>
      <c r="F50" t="s">
        <v>319</v>
      </c>
      <c r="G50">
        <v>-45.797499999999999</v>
      </c>
      <c r="H50">
        <v>170.64416700000001</v>
      </c>
      <c r="J50" t="s">
        <v>5</v>
      </c>
      <c r="K50" t="s">
        <v>39</v>
      </c>
      <c r="L50" t="s">
        <v>300</v>
      </c>
      <c r="M50" t="s">
        <v>26</v>
      </c>
      <c r="N50" t="s">
        <v>85</v>
      </c>
      <c r="O50" t="s">
        <v>840</v>
      </c>
      <c r="P50" t="s">
        <v>72</v>
      </c>
      <c r="Q50">
        <v>13</v>
      </c>
      <c r="R50" t="s">
        <v>213</v>
      </c>
      <c r="S50" t="s">
        <v>27</v>
      </c>
      <c r="T50">
        <v>6</v>
      </c>
      <c r="U50">
        <v>7.2</v>
      </c>
      <c r="V50">
        <v>3160.42</v>
      </c>
      <c r="W50" t="s">
        <v>28</v>
      </c>
      <c r="X50">
        <v>33.15</v>
      </c>
      <c r="Y50">
        <v>3.48</v>
      </c>
    </row>
    <row r="51" spans="1:25" x14ac:dyDescent="0.2">
      <c r="A51" t="s">
        <v>33</v>
      </c>
      <c r="B51">
        <v>2017</v>
      </c>
      <c r="C51" t="s">
        <v>807</v>
      </c>
      <c r="D51" t="s">
        <v>825</v>
      </c>
      <c r="E51" t="s">
        <v>35</v>
      </c>
      <c r="F51" t="s">
        <v>319</v>
      </c>
      <c r="G51">
        <v>-45.797499999999999</v>
      </c>
      <c r="H51">
        <v>170.64416700000001</v>
      </c>
      <c r="J51" t="s">
        <v>5</v>
      </c>
      <c r="K51" t="s">
        <v>39</v>
      </c>
      <c r="L51" t="s">
        <v>300</v>
      </c>
      <c r="M51" t="s">
        <v>26</v>
      </c>
      <c r="N51" t="s">
        <v>85</v>
      </c>
      <c r="O51" t="s">
        <v>840</v>
      </c>
      <c r="P51" t="s">
        <v>72</v>
      </c>
      <c r="Q51">
        <v>13</v>
      </c>
      <c r="R51" t="s">
        <v>213</v>
      </c>
      <c r="S51" t="s">
        <v>9</v>
      </c>
      <c r="T51">
        <v>6</v>
      </c>
      <c r="U51">
        <v>7.65</v>
      </c>
      <c r="V51">
        <v>1078.29</v>
      </c>
      <c r="W51" t="s">
        <v>28</v>
      </c>
      <c r="X51">
        <v>30.93</v>
      </c>
      <c r="Y51">
        <v>3.27</v>
      </c>
    </row>
    <row r="52" spans="1:25" x14ac:dyDescent="0.2">
      <c r="A52" t="s">
        <v>33</v>
      </c>
      <c r="B52">
        <v>2017</v>
      </c>
      <c r="C52" t="s">
        <v>807</v>
      </c>
      <c r="D52" t="s">
        <v>825</v>
      </c>
      <c r="E52" t="s">
        <v>35</v>
      </c>
      <c r="F52" t="s">
        <v>319</v>
      </c>
      <c r="G52">
        <v>-45.797499999999999</v>
      </c>
      <c r="H52">
        <v>170.64416700000001</v>
      </c>
      <c r="J52" t="s">
        <v>7</v>
      </c>
      <c r="K52" t="s">
        <v>39</v>
      </c>
      <c r="L52" t="s">
        <v>300</v>
      </c>
      <c r="M52" t="s">
        <v>26</v>
      </c>
      <c r="N52" t="s">
        <v>85</v>
      </c>
      <c r="O52" t="s">
        <v>840</v>
      </c>
      <c r="P52" t="s">
        <v>72</v>
      </c>
      <c r="Q52">
        <v>13</v>
      </c>
      <c r="R52" t="s">
        <v>213</v>
      </c>
      <c r="S52" t="s">
        <v>7</v>
      </c>
      <c r="T52">
        <v>6</v>
      </c>
      <c r="U52">
        <v>8.0299999999999994</v>
      </c>
      <c r="V52">
        <v>447.7</v>
      </c>
      <c r="W52">
        <v>12</v>
      </c>
      <c r="X52">
        <v>30.92</v>
      </c>
      <c r="Y52">
        <v>3.46</v>
      </c>
    </row>
    <row r="53" spans="1:25" x14ac:dyDescent="0.2">
      <c r="A53" t="s">
        <v>33</v>
      </c>
      <c r="B53">
        <v>2017</v>
      </c>
      <c r="C53" t="s">
        <v>816</v>
      </c>
      <c r="D53" t="s">
        <v>820</v>
      </c>
      <c r="E53" t="s">
        <v>34</v>
      </c>
      <c r="F53" t="s">
        <v>319</v>
      </c>
      <c r="G53">
        <v>-45.797499999999999</v>
      </c>
      <c r="H53">
        <v>170.64416700000001</v>
      </c>
      <c r="J53" t="s">
        <v>16</v>
      </c>
      <c r="K53" t="s">
        <v>39</v>
      </c>
      <c r="L53" t="s">
        <v>300</v>
      </c>
      <c r="M53" t="s">
        <v>26</v>
      </c>
      <c r="N53" t="s">
        <v>85</v>
      </c>
      <c r="O53" t="s">
        <v>840</v>
      </c>
      <c r="P53" t="s">
        <v>72</v>
      </c>
      <c r="Q53">
        <v>13</v>
      </c>
      <c r="R53" t="s">
        <v>213</v>
      </c>
      <c r="S53" t="s">
        <v>37</v>
      </c>
      <c r="T53">
        <v>6</v>
      </c>
      <c r="U53">
        <v>7.2</v>
      </c>
      <c r="V53">
        <v>2739.61</v>
      </c>
      <c r="W53">
        <v>16</v>
      </c>
      <c r="X53">
        <v>38.17</v>
      </c>
      <c r="Y53">
        <v>3.67</v>
      </c>
    </row>
    <row r="54" spans="1:25" x14ac:dyDescent="0.2">
      <c r="A54" t="s">
        <v>33</v>
      </c>
      <c r="B54">
        <v>2017</v>
      </c>
      <c r="C54" t="s">
        <v>816</v>
      </c>
      <c r="D54" t="s">
        <v>820</v>
      </c>
      <c r="E54" t="s">
        <v>34</v>
      </c>
      <c r="F54" t="s">
        <v>319</v>
      </c>
      <c r="G54">
        <v>-45.797499999999999</v>
      </c>
      <c r="H54">
        <v>170.64416700000001</v>
      </c>
      <c r="J54" t="s">
        <v>16</v>
      </c>
      <c r="K54" t="s">
        <v>39</v>
      </c>
      <c r="L54" t="s">
        <v>300</v>
      </c>
      <c r="M54" t="s">
        <v>26</v>
      </c>
      <c r="N54" t="s">
        <v>85</v>
      </c>
      <c r="O54" t="s">
        <v>840</v>
      </c>
      <c r="P54" t="s">
        <v>72</v>
      </c>
      <c r="Q54">
        <v>13</v>
      </c>
      <c r="R54" t="s">
        <v>213</v>
      </c>
      <c r="S54" t="s">
        <v>15</v>
      </c>
      <c r="T54">
        <v>6</v>
      </c>
      <c r="U54">
        <v>7.65</v>
      </c>
      <c r="V54">
        <v>913.19</v>
      </c>
      <c r="W54">
        <v>16</v>
      </c>
      <c r="X54">
        <v>36.76</v>
      </c>
      <c r="Y54">
        <v>2.36</v>
      </c>
    </row>
    <row r="55" spans="1:25" x14ac:dyDescent="0.2">
      <c r="A55" t="s">
        <v>33</v>
      </c>
      <c r="B55">
        <v>2017</v>
      </c>
      <c r="C55" t="s">
        <v>816</v>
      </c>
      <c r="D55" t="s">
        <v>820</v>
      </c>
      <c r="E55" t="s">
        <v>34</v>
      </c>
      <c r="F55" t="s">
        <v>319</v>
      </c>
      <c r="G55">
        <v>-45.797499999999999</v>
      </c>
      <c r="H55">
        <v>170.64416700000001</v>
      </c>
      <c r="J55" t="s">
        <v>14</v>
      </c>
      <c r="K55" t="s">
        <v>39</v>
      </c>
      <c r="L55" t="s">
        <v>300</v>
      </c>
      <c r="M55" t="s">
        <v>26</v>
      </c>
      <c r="N55" t="s">
        <v>85</v>
      </c>
      <c r="O55" t="s">
        <v>840</v>
      </c>
      <c r="P55" t="s">
        <v>72</v>
      </c>
      <c r="Q55">
        <v>13</v>
      </c>
      <c r="R55" t="s">
        <v>213</v>
      </c>
      <c r="S55" t="s">
        <v>13</v>
      </c>
      <c r="T55">
        <v>6</v>
      </c>
      <c r="U55" t="s">
        <v>28</v>
      </c>
      <c r="V55" t="s">
        <v>28</v>
      </c>
      <c r="W55">
        <v>16</v>
      </c>
      <c r="X55">
        <v>37.18</v>
      </c>
      <c r="Y55">
        <v>2.06</v>
      </c>
    </row>
    <row r="56" spans="1:25" x14ac:dyDescent="0.2">
      <c r="A56" t="s">
        <v>33</v>
      </c>
      <c r="B56">
        <v>2017</v>
      </c>
      <c r="C56" t="s">
        <v>807</v>
      </c>
      <c r="D56" t="s">
        <v>825</v>
      </c>
      <c r="E56" t="s">
        <v>35</v>
      </c>
      <c r="F56" t="s">
        <v>319</v>
      </c>
      <c r="G56">
        <v>-45.797499999999999</v>
      </c>
      <c r="H56">
        <v>170.64416700000001</v>
      </c>
      <c r="J56" t="s">
        <v>16</v>
      </c>
      <c r="K56" t="s">
        <v>39</v>
      </c>
      <c r="L56" t="s">
        <v>300</v>
      </c>
      <c r="M56" t="s">
        <v>26</v>
      </c>
      <c r="N56" t="s">
        <v>85</v>
      </c>
      <c r="O56" t="s">
        <v>840</v>
      </c>
      <c r="P56" t="s">
        <v>72</v>
      </c>
      <c r="Q56">
        <v>13</v>
      </c>
      <c r="R56" t="s">
        <v>213</v>
      </c>
      <c r="S56" t="s">
        <v>37</v>
      </c>
      <c r="T56">
        <v>6</v>
      </c>
      <c r="U56">
        <v>7.2</v>
      </c>
      <c r="V56">
        <v>2739.61</v>
      </c>
      <c r="W56">
        <v>16</v>
      </c>
      <c r="X56">
        <v>38.729999999999997</v>
      </c>
      <c r="Y56">
        <v>5.32</v>
      </c>
    </row>
    <row r="57" spans="1:25" x14ac:dyDescent="0.2">
      <c r="A57" t="s">
        <v>33</v>
      </c>
      <c r="B57">
        <v>2017</v>
      </c>
      <c r="C57" t="s">
        <v>807</v>
      </c>
      <c r="D57" t="s">
        <v>825</v>
      </c>
      <c r="E57" t="s">
        <v>35</v>
      </c>
      <c r="F57" t="s">
        <v>319</v>
      </c>
      <c r="G57">
        <v>-45.797499999999999</v>
      </c>
      <c r="H57">
        <v>170.64416700000001</v>
      </c>
      <c r="J57" t="s">
        <v>16</v>
      </c>
      <c r="K57" t="s">
        <v>39</v>
      </c>
      <c r="L57" t="s">
        <v>300</v>
      </c>
      <c r="M57" t="s">
        <v>26</v>
      </c>
      <c r="N57" t="s">
        <v>85</v>
      </c>
      <c r="O57" t="s">
        <v>840</v>
      </c>
      <c r="P57" t="s">
        <v>72</v>
      </c>
      <c r="Q57">
        <v>13</v>
      </c>
      <c r="R57" t="s">
        <v>213</v>
      </c>
      <c r="S57" t="s">
        <v>15</v>
      </c>
      <c r="T57">
        <v>6</v>
      </c>
      <c r="U57">
        <v>7.65</v>
      </c>
      <c r="V57">
        <v>913.19</v>
      </c>
      <c r="W57">
        <v>16</v>
      </c>
      <c r="X57">
        <v>37.54</v>
      </c>
      <c r="Y57">
        <v>4.1100000000000003</v>
      </c>
    </row>
    <row r="58" spans="1:25" x14ac:dyDescent="0.2">
      <c r="A58" t="s">
        <v>33</v>
      </c>
      <c r="B58">
        <v>2017</v>
      </c>
      <c r="C58" t="s">
        <v>807</v>
      </c>
      <c r="D58" t="s">
        <v>825</v>
      </c>
      <c r="E58" t="s">
        <v>35</v>
      </c>
      <c r="F58" t="s">
        <v>319</v>
      </c>
      <c r="G58">
        <v>-45.797499999999999</v>
      </c>
      <c r="H58">
        <v>170.64416700000001</v>
      </c>
      <c r="J58" t="s">
        <v>14</v>
      </c>
      <c r="K58" t="s">
        <v>39</v>
      </c>
      <c r="L58" t="s">
        <v>300</v>
      </c>
      <c r="M58" t="s">
        <v>26</v>
      </c>
      <c r="N58" t="s">
        <v>85</v>
      </c>
      <c r="O58" t="s">
        <v>840</v>
      </c>
      <c r="P58" t="s">
        <v>72</v>
      </c>
      <c r="Q58">
        <v>13</v>
      </c>
      <c r="R58" t="s">
        <v>213</v>
      </c>
      <c r="S58" t="s">
        <v>13</v>
      </c>
      <c r="T58">
        <v>6</v>
      </c>
      <c r="U58" t="s">
        <v>28</v>
      </c>
      <c r="V58" t="s">
        <v>28</v>
      </c>
      <c r="W58">
        <v>16</v>
      </c>
      <c r="X58">
        <v>35.4</v>
      </c>
      <c r="Y58">
        <v>2.4900000000000002</v>
      </c>
    </row>
    <row r="59" spans="1:25" x14ac:dyDescent="0.2">
      <c r="A59" t="s">
        <v>33</v>
      </c>
      <c r="B59">
        <v>2017</v>
      </c>
      <c r="C59" t="s">
        <v>816</v>
      </c>
      <c r="D59" t="s">
        <v>820</v>
      </c>
      <c r="E59" t="s">
        <v>34</v>
      </c>
      <c r="F59" t="s">
        <v>319</v>
      </c>
      <c r="G59">
        <v>-45.797499999999999</v>
      </c>
      <c r="H59">
        <v>170.64416700000001</v>
      </c>
      <c r="J59" t="s">
        <v>5</v>
      </c>
      <c r="K59" t="s">
        <v>40</v>
      </c>
      <c r="L59" t="s">
        <v>3</v>
      </c>
      <c r="M59" t="s">
        <v>26</v>
      </c>
      <c r="N59" t="s">
        <v>85</v>
      </c>
      <c r="O59" t="s">
        <v>80</v>
      </c>
      <c r="P59" t="s">
        <v>79</v>
      </c>
      <c r="Q59">
        <v>15</v>
      </c>
      <c r="R59" t="s">
        <v>213</v>
      </c>
      <c r="S59" t="s">
        <v>27</v>
      </c>
      <c r="T59">
        <v>6</v>
      </c>
      <c r="U59">
        <v>7.2</v>
      </c>
      <c r="V59">
        <v>3160.42</v>
      </c>
      <c r="W59" t="s">
        <v>28</v>
      </c>
      <c r="X59">
        <v>695.56</v>
      </c>
      <c r="Y59">
        <v>79.48</v>
      </c>
    </row>
    <row r="60" spans="1:25" x14ac:dyDescent="0.2">
      <c r="A60" t="s">
        <v>33</v>
      </c>
      <c r="B60">
        <v>2017</v>
      </c>
      <c r="C60" t="s">
        <v>816</v>
      </c>
      <c r="D60" t="s">
        <v>820</v>
      </c>
      <c r="E60" t="s">
        <v>34</v>
      </c>
      <c r="F60" t="s">
        <v>319</v>
      </c>
      <c r="G60">
        <v>-45.797499999999999</v>
      </c>
      <c r="H60">
        <v>170.64416700000001</v>
      </c>
      <c r="J60" t="s">
        <v>5</v>
      </c>
      <c r="K60" t="s">
        <v>40</v>
      </c>
      <c r="L60" t="s">
        <v>3</v>
      </c>
      <c r="M60" t="s">
        <v>26</v>
      </c>
      <c r="N60" t="s">
        <v>85</v>
      </c>
      <c r="O60" t="s">
        <v>80</v>
      </c>
      <c r="P60" t="s">
        <v>79</v>
      </c>
      <c r="Q60">
        <v>15</v>
      </c>
      <c r="R60" t="s">
        <v>213</v>
      </c>
      <c r="S60" t="s">
        <v>9</v>
      </c>
      <c r="T60">
        <v>6</v>
      </c>
      <c r="U60">
        <v>7.65</v>
      </c>
      <c r="V60">
        <v>1078.29</v>
      </c>
      <c r="W60" t="s">
        <v>28</v>
      </c>
      <c r="X60">
        <v>915.76</v>
      </c>
      <c r="Y60">
        <v>86.25</v>
      </c>
    </row>
    <row r="61" spans="1:25" x14ac:dyDescent="0.2">
      <c r="A61" t="s">
        <v>33</v>
      </c>
      <c r="B61">
        <v>2017</v>
      </c>
      <c r="C61" t="s">
        <v>816</v>
      </c>
      <c r="D61" t="s">
        <v>820</v>
      </c>
      <c r="E61" t="s">
        <v>34</v>
      </c>
      <c r="F61" t="s">
        <v>319</v>
      </c>
      <c r="G61">
        <v>-45.797499999999999</v>
      </c>
      <c r="H61">
        <v>170.64416700000001</v>
      </c>
      <c r="J61" t="s">
        <v>7</v>
      </c>
      <c r="K61" t="s">
        <v>40</v>
      </c>
      <c r="L61" t="s">
        <v>3</v>
      </c>
      <c r="M61" t="s">
        <v>26</v>
      </c>
      <c r="N61" t="s">
        <v>85</v>
      </c>
      <c r="O61" t="s">
        <v>80</v>
      </c>
      <c r="P61" t="s">
        <v>79</v>
      </c>
      <c r="Q61">
        <v>15</v>
      </c>
      <c r="R61" t="s">
        <v>213</v>
      </c>
      <c r="S61" t="s">
        <v>7</v>
      </c>
      <c r="T61">
        <v>6</v>
      </c>
      <c r="U61">
        <v>8.0299999999999994</v>
      </c>
      <c r="V61">
        <v>447.7</v>
      </c>
      <c r="W61">
        <v>12</v>
      </c>
      <c r="X61">
        <v>571.96</v>
      </c>
      <c r="Y61">
        <v>114.04</v>
      </c>
    </row>
    <row r="62" spans="1:25" x14ac:dyDescent="0.2">
      <c r="A62" t="s">
        <v>33</v>
      </c>
      <c r="B62">
        <v>2017</v>
      </c>
      <c r="C62" t="s">
        <v>807</v>
      </c>
      <c r="D62" t="s">
        <v>825</v>
      </c>
      <c r="E62" t="s">
        <v>35</v>
      </c>
      <c r="F62" t="s">
        <v>319</v>
      </c>
      <c r="G62">
        <v>-45.797499999999999</v>
      </c>
      <c r="H62">
        <v>170.64416700000001</v>
      </c>
      <c r="J62" t="s">
        <v>5</v>
      </c>
      <c r="K62" t="s">
        <v>40</v>
      </c>
      <c r="L62" t="s">
        <v>3</v>
      </c>
      <c r="M62" t="s">
        <v>26</v>
      </c>
      <c r="N62" t="s">
        <v>85</v>
      </c>
      <c r="O62" t="s">
        <v>80</v>
      </c>
      <c r="P62" t="s">
        <v>79</v>
      </c>
      <c r="Q62">
        <v>15</v>
      </c>
      <c r="R62" t="s">
        <v>213</v>
      </c>
      <c r="S62" t="s">
        <v>27</v>
      </c>
      <c r="T62">
        <v>6</v>
      </c>
      <c r="U62">
        <v>7.2</v>
      </c>
      <c r="V62">
        <v>3160.42</v>
      </c>
      <c r="W62" t="s">
        <v>28</v>
      </c>
      <c r="X62">
        <v>726.41</v>
      </c>
      <c r="Y62">
        <v>189.42</v>
      </c>
    </row>
    <row r="63" spans="1:25" x14ac:dyDescent="0.2">
      <c r="A63" t="s">
        <v>33</v>
      </c>
      <c r="B63">
        <v>2017</v>
      </c>
      <c r="C63" t="s">
        <v>807</v>
      </c>
      <c r="D63" t="s">
        <v>825</v>
      </c>
      <c r="E63" t="s">
        <v>35</v>
      </c>
      <c r="F63" t="s">
        <v>319</v>
      </c>
      <c r="G63">
        <v>-45.797499999999999</v>
      </c>
      <c r="H63">
        <v>170.64416700000001</v>
      </c>
      <c r="J63" t="s">
        <v>5</v>
      </c>
      <c r="K63" t="s">
        <v>40</v>
      </c>
      <c r="L63" t="s">
        <v>3</v>
      </c>
      <c r="M63" t="s">
        <v>26</v>
      </c>
      <c r="N63" t="s">
        <v>85</v>
      </c>
      <c r="O63" t="s">
        <v>80</v>
      </c>
      <c r="P63" t="s">
        <v>79</v>
      </c>
      <c r="Q63">
        <v>15</v>
      </c>
      <c r="R63" t="s">
        <v>213</v>
      </c>
      <c r="S63" t="s">
        <v>9</v>
      </c>
      <c r="T63">
        <v>6</v>
      </c>
      <c r="U63">
        <v>7.65</v>
      </c>
      <c r="V63">
        <v>1078.29</v>
      </c>
      <c r="W63" t="s">
        <v>28</v>
      </c>
      <c r="X63">
        <v>646.41999999999996</v>
      </c>
      <c r="Y63">
        <v>168.67</v>
      </c>
    </row>
    <row r="64" spans="1:25" x14ac:dyDescent="0.2">
      <c r="A64" t="s">
        <v>33</v>
      </c>
      <c r="B64">
        <v>2017</v>
      </c>
      <c r="C64" t="s">
        <v>807</v>
      </c>
      <c r="D64" t="s">
        <v>825</v>
      </c>
      <c r="E64" t="s">
        <v>35</v>
      </c>
      <c r="F64" t="s">
        <v>319</v>
      </c>
      <c r="G64">
        <v>-45.797499999999999</v>
      </c>
      <c r="H64">
        <v>170.64416700000001</v>
      </c>
      <c r="J64" t="s">
        <v>7</v>
      </c>
      <c r="K64" t="s">
        <v>40</v>
      </c>
      <c r="L64" t="s">
        <v>3</v>
      </c>
      <c r="M64" t="s">
        <v>26</v>
      </c>
      <c r="N64" t="s">
        <v>85</v>
      </c>
      <c r="O64" t="s">
        <v>80</v>
      </c>
      <c r="P64" t="s">
        <v>79</v>
      </c>
      <c r="Q64">
        <v>15</v>
      </c>
      <c r="R64" t="s">
        <v>213</v>
      </c>
      <c r="S64" t="s">
        <v>7</v>
      </c>
      <c r="T64">
        <v>6</v>
      </c>
      <c r="U64">
        <v>8.0299999999999994</v>
      </c>
      <c r="V64">
        <v>447.7</v>
      </c>
      <c r="W64">
        <v>12</v>
      </c>
      <c r="X64">
        <v>522.91999999999996</v>
      </c>
      <c r="Y64">
        <v>102.49</v>
      </c>
    </row>
    <row r="65" spans="1:25" x14ac:dyDescent="0.2">
      <c r="A65" t="s">
        <v>33</v>
      </c>
      <c r="B65">
        <v>2017</v>
      </c>
      <c r="C65" t="s">
        <v>816</v>
      </c>
      <c r="D65" t="s">
        <v>820</v>
      </c>
      <c r="E65" t="s">
        <v>34</v>
      </c>
      <c r="F65" t="s">
        <v>319</v>
      </c>
      <c r="G65">
        <v>-45.797499999999999</v>
      </c>
      <c r="H65">
        <v>170.64416700000001</v>
      </c>
      <c r="J65" t="s">
        <v>16</v>
      </c>
      <c r="K65" t="s">
        <v>40</v>
      </c>
      <c r="L65" t="s">
        <v>3</v>
      </c>
      <c r="M65" t="s">
        <v>26</v>
      </c>
      <c r="N65" t="s">
        <v>85</v>
      </c>
      <c r="O65" t="s">
        <v>80</v>
      </c>
      <c r="P65" t="s">
        <v>79</v>
      </c>
      <c r="Q65">
        <v>15</v>
      </c>
      <c r="R65" t="s">
        <v>213</v>
      </c>
      <c r="S65" t="s">
        <v>37</v>
      </c>
      <c r="T65">
        <v>6</v>
      </c>
      <c r="U65">
        <v>7.2</v>
      </c>
      <c r="V65">
        <v>2739.61</v>
      </c>
      <c r="W65">
        <v>16</v>
      </c>
      <c r="X65">
        <v>847.6</v>
      </c>
      <c r="Y65">
        <v>191.02</v>
      </c>
    </row>
    <row r="66" spans="1:25" x14ac:dyDescent="0.2">
      <c r="A66" t="s">
        <v>33</v>
      </c>
      <c r="B66">
        <v>2017</v>
      </c>
      <c r="C66" t="s">
        <v>816</v>
      </c>
      <c r="D66" t="s">
        <v>820</v>
      </c>
      <c r="E66" t="s">
        <v>34</v>
      </c>
      <c r="F66" t="s">
        <v>319</v>
      </c>
      <c r="G66">
        <v>-45.797499999999999</v>
      </c>
      <c r="H66">
        <v>170.64416700000001</v>
      </c>
      <c r="J66" t="s">
        <v>16</v>
      </c>
      <c r="K66" t="s">
        <v>40</v>
      </c>
      <c r="L66" t="s">
        <v>3</v>
      </c>
      <c r="M66" t="s">
        <v>26</v>
      </c>
      <c r="N66" t="s">
        <v>85</v>
      </c>
      <c r="O66" t="s">
        <v>80</v>
      </c>
      <c r="P66" t="s">
        <v>79</v>
      </c>
      <c r="Q66">
        <v>15</v>
      </c>
      <c r="R66" t="s">
        <v>213</v>
      </c>
      <c r="S66" t="s">
        <v>15</v>
      </c>
      <c r="T66">
        <v>6</v>
      </c>
      <c r="U66">
        <v>7.65</v>
      </c>
      <c r="V66">
        <v>913.19</v>
      </c>
      <c r="W66">
        <v>16</v>
      </c>
      <c r="X66">
        <v>905.15</v>
      </c>
      <c r="Y66">
        <v>142.01</v>
      </c>
    </row>
    <row r="67" spans="1:25" x14ac:dyDescent="0.2">
      <c r="A67" t="s">
        <v>33</v>
      </c>
      <c r="B67">
        <v>2017</v>
      </c>
      <c r="C67" t="s">
        <v>816</v>
      </c>
      <c r="D67" t="s">
        <v>820</v>
      </c>
      <c r="E67" t="s">
        <v>34</v>
      </c>
      <c r="F67" t="s">
        <v>319</v>
      </c>
      <c r="G67">
        <v>-45.797499999999999</v>
      </c>
      <c r="H67">
        <v>170.64416700000001</v>
      </c>
      <c r="J67" t="s">
        <v>14</v>
      </c>
      <c r="K67" t="s">
        <v>40</v>
      </c>
      <c r="L67" t="s">
        <v>3</v>
      </c>
      <c r="M67" t="s">
        <v>26</v>
      </c>
      <c r="N67" t="s">
        <v>85</v>
      </c>
      <c r="O67" t="s">
        <v>80</v>
      </c>
      <c r="P67" t="s">
        <v>79</v>
      </c>
      <c r="Q67">
        <v>15</v>
      </c>
      <c r="R67" t="s">
        <v>213</v>
      </c>
      <c r="S67" t="s">
        <v>13</v>
      </c>
      <c r="T67">
        <v>6</v>
      </c>
      <c r="U67" t="s">
        <v>28</v>
      </c>
      <c r="V67" t="s">
        <v>28</v>
      </c>
      <c r="W67">
        <v>16</v>
      </c>
      <c r="X67">
        <v>949.53</v>
      </c>
      <c r="Y67">
        <v>206.47</v>
      </c>
    </row>
    <row r="68" spans="1:25" x14ac:dyDescent="0.2">
      <c r="A68" t="s">
        <v>33</v>
      </c>
      <c r="B68">
        <v>2017</v>
      </c>
      <c r="C68" t="s">
        <v>807</v>
      </c>
      <c r="D68" t="s">
        <v>825</v>
      </c>
      <c r="E68" t="s">
        <v>35</v>
      </c>
      <c r="F68" t="s">
        <v>319</v>
      </c>
      <c r="G68">
        <v>-45.797499999999999</v>
      </c>
      <c r="H68">
        <v>170.64416700000001</v>
      </c>
      <c r="J68" t="s">
        <v>16</v>
      </c>
      <c r="K68" t="s">
        <v>40</v>
      </c>
      <c r="L68" t="s">
        <v>3</v>
      </c>
      <c r="M68" t="s">
        <v>26</v>
      </c>
      <c r="N68" t="s">
        <v>85</v>
      </c>
      <c r="O68" t="s">
        <v>80</v>
      </c>
      <c r="P68" t="s">
        <v>79</v>
      </c>
      <c r="Q68">
        <v>15</v>
      </c>
      <c r="R68" t="s">
        <v>213</v>
      </c>
      <c r="S68" t="s">
        <v>37</v>
      </c>
      <c r="T68">
        <v>6</v>
      </c>
      <c r="U68">
        <v>7.2</v>
      </c>
      <c r="V68">
        <v>2739.61</v>
      </c>
      <c r="W68">
        <v>16</v>
      </c>
      <c r="X68">
        <v>777.73</v>
      </c>
      <c r="Y68">
        <v>235.57</v>
      </c>
    </row>
    <row r="69" spans="1:25" x14ac:dyDescent="0.2">
      <c r="A69" t="s">
        <v>33</v>
      </c>
      <c r="B69">
        <v>2017</v>
      </c>
      <c r="C69" t="s">
        <v>807</v>
      </c>
      <c r="D69" t="s">
        <v>825</v>
      </c>
      <c r="E69" t="s">
        <v>35</v>
      </c>
      <c r="F69" t="s">
        <v>319</v>
      </c>
      <c r="G69">
        <v>-45.797499999999999</v>
      </c>
      <c r="H69">
        <v>170.64416700000001</v>
      </c>
      <c r="J69" t="s">
        <v>16</v>
      </c>
      <c r="K69" t="s">
        <v>40</v>
      </c>
      <c r="L69" t="s">
        <v>3</v>
      </c>
      <c r="M69" t="s">
        <v>26</v>
      </c>
      <c r="N69" t="s">
        <v>85</v>
      </c>
      <c r="O69" t="s">
        <v>80</v>
      </c>
      <c r="P69" t="s">
        <v>79</v>
      </c>
      <c r="Q69">
        <v>15</v>
      </c>
      <c r="R69" t="s">
        <v>213</v>
      </c>
      <c r="S69" t="s">
        <v>15</v>
      </c>
      <c r="T69">
        <v>6</v>
      </c>
      <c r="U69">
        <v>7.65</v>
      </c>
      <c r="V69">
        <v>913.19</v>
      </c>
      <c r="W69">
        <v>16</v>
      </c>
      <c r="X69">
        <v>567.52</v>
      </c>
      <c r="Y69">
        <v>211.19</v>
      </c>
    </row>
    <row r="70" spans="1:25" x14ac:dyDescent="0.2">
      <c r="A70" t="s">
        <v>33</v>
      </c>
      <c r="B70">
        <v>2017</v>
      </c>
      <c r="C70" t="s">
        <v>807</v>
      </c>
      <c r="D70" t="s">
        <v>825</v>
      </c>
      <c r="E70" t="s">
        <v>35</v>
      </c>
      <c r="F70" t="s">
        <v>319</v>
      </c>
      <c r="G70">
        <v>-45.797499999999999</v>
      </c>
      <c r="H70">
        <v>170.64416700000001</v>
      </c>
      <c r="J70" t="s">
        <v>14</v>
      </c>
      <c r="K70" t="s">
        <v>40</v>
      </c>
      <c r="L70" t="s">
        <v>3</v>
      </c>
      <c r="M70" t="s">
        <v>26</v>
      </c>
      <c r="N70" t="s">
        <v>85</v>
      </c>
      <c r="O70" t="s">
        <v>80</v>
      </c>
      <c r="P70" t="s">
        <v>79</v>
      </c>
      <c r="Q70">
        <v>15</v>
      </c>
      <c r="R70" t="s">
        <v>213</v>
      </c>
      <c r="S70" t="s">
        <v>13</v>
      </c>
      <c r="T70">
        <v>6</v>
      </c>
      <c r="U70" t="s">
        <v>28</v>
      </c>
      <c r="V70" t="s">
        <v>28</v>
      </c>
      <c r="W70">
        <v>16</v>
      </c>
      <c r="X70">
        <v>455.71</v>
      </c>
      <c r="Y70">
        <v>120.1</v>
      </c>
    </row>
    <row r="71" spans="1:25" x14ac:dyDescent="0.2">
      <c r="A71" t="s">
        <v>33</v>
      </c>
      <c r="B71">
        <v>2017</v>
      </c>
      <c r="C71" t="s">
        <v>816</v>
      </c>
      <c r="D71" t="s">
        <v>820</v>
      </c>
      <c r="E71" t="s">
        <v>34</v>
      </c>
      <c r="F71" t="s">
        <v>319</v>
      </c>
      <c r="G71">
        <v>-45.797499999999999</v>
      </c>
      <c r="H71">
        <v>170.64416700000001</v>
      </c>
      <c r="J71" t="s">
        <v>5</v>
      </c>
      <c r="K71" t="s">
        <v>41</v>
      </c>
      <c r="L71" t="s">
        <v>3</v>
      </c>
      <c r="M71" t="s">
        <v>26</v>
      </c>
      <c r="N71" t="s">
        <v>85</v>
      </c>
      <c r="O71" t="s">
        <v>80</v>
      </c>
      <c r="P71" t="s">
        <v>79</v>
      </c>
      <c r="Q71">
        <v>15</v>
      </c>
      <c r="R71" t="s">
        <v>213</v>
      </c>
      <c r="S71" t="s">
        <v>27</v>
      </c>
      <c r="T71">
        <v>6</v>
      </c>
      <c r="U71">
        <v>7.2</v>
      </c>
      <c r="V71">
        <v>3160.42</v>
      </c>
      <c r="W71" t="s">
        <v>28</v>
      </c>
      <c r="X71">
        <v>504.21</v>
      </c>
      <c r="Y71">
        <v>73.94</v>
      </c>
    </row>
    <row r="72" spans="1:25" x14ac:dyDescent="0.2">
      <c r="A72" t="s">
        <v>33</v>
      </c>
      <c r="B72">
        <v>2017</v>
      </c>
      <c r="C72" t="s">
        <v>816</v>
      </c>
      <c r="D72" t="s">
        <v>820</v>
      </c>
      <c r="E72" t="s">
        <v>34</v>
      </c>
      <c r="F72" t="s">
        <v>319</v>
      </c>
      <c r="G72">
        <v>-45.797499999999999</v>
      </c>
      <c r="H72">
        <v>170.64416700000001</v>
      </c>
      <c r="J72" t="s">
        <v>5</v>
      </c>
      <c r="K72" t="s">
        <v>41</v>
      </c>
      <c r="L72" t="s">
        <v>3</v>
      </c>
      <c r="M72" t="s">
        <v>26</v>
      </c>
      <c r="N72" t="s">
        <v>85</v>
      </c>
      <c r="O72" t="s">
        <v>80</v>
      </c>
      <c r="P72" t="s">
        <v>79</v>
      </c>
      <c r="Q72">
        <v>15</v>
      </c>
      <c r="R72" t="s">
        <v>213</v>
      </c>
      <c r="S72" t="s">
        <v>9</v>
      </c>
      <c r="T72">
        <v>6</v>
      </c>
      <c r="U72">
        <v>7.65</v>
      </c>
      <c r="V72">
        <v>1078.29</v>
      </c>
      <c r="W72" t="s">
        <v>28</v>
      </c>
      <c r="X72">
        <v>601.32000000000005</v>
      </c>
      <c r="Y72">
        <v>68.8</v>
      </c>
    </row>
    <row r="73" spans="1:25" x14ac:dyDescent="0.2">
      <c r="A73" t="s">
        <v>33</v>
      </c>
      <c r="B73">
        <v>2017</v>
      </c>
      <c r="C73" t="s">
        <v>816</v>
      </c>
      <c r="D73" t="s">
        <v>820</v>
      </c>
      <c r="E73" t="s">
        <v>34</v>
      </c>
      <c r="F73" t="s">
        <v>319</v>
      </c>
      <c r="G73">
        <v>-45.797499999999999</v>
      </c>
      <c r="H73">
        <v>170.64416700000001</v>
      </c>
      <c r="J73" t="s">
        <v>7</v>
      </c>
      <c r="K73" t="s">
        <v>41</v>
      </c>
      <c r="L73" t="s">
        <v>3</v>
      </c>
      <c r="M73" t="s">
        <v>26</v>
      </c>
      <c r="N73" t="s">
        <v>85</v>
      </c>
      <c r="O73" t="s">
        <v>80</v>
      </c>
      <c r="P73" t="s">
        <v>79</v>
      </c>
      <c r="Q73">
        <v>15</v>
      </c>
      <c r="R73" t="s">
        <v>213</v>
      </c>
      <c r="S73" t="s">
        <v>7</v>
      </c>
      <c r="T73">
        <v>6</v>
      </c>
      <c r="U73">
        <v>8.0299999999999994</v>
      </c>
      <c r="V73">
        <v>447.7</v>
      </c>
      <c r="W73">
        <v>12</v>
      </c>
      <c r="X73">
        <v>484.41</v>
      </c>
      <c r="Y73">
        <v>57.92</v>
      </c>
    </row>
    <row r="74" spans="1:25" x14ac:dyDescent="0.2">
      <c r="A74" t="s">
        <v>33</v>
      </c>
      <c r="B74">
        <v>2017</v>
      </c>
      <c r="C74" t="s">
        <v>807</v>
      </c>
      <c r="D74" t="s">
        <v>825</v>
      </c>
      <c r="E74" t="s">
        <v>35</v>
      </c>
      <c r="F74" t="s">
        <v>319</v>
      </c>
      <c r="G74">
        <v>-45.797499999999999</v>
      </c>
      <c r="H74">
        <v>170.64416700000001</v>
      </c>
      <c r="J74" t="s">
        <v>5</v>
      </c>
      <c r="K74" t="s">
        <v>41</v>
      </c>
      <c r="L74" t="s">
        <v>3</v>
      </c>
      <c r="M74" t="s">
        <v>26</v>
      </c>
      <c r="N74" t="s">
        <v>85</v>
      </c>
      <c r="O74" t="s">
        <v>80</v>
      </c>
      <c r="P74" t="s">
        <v>79</v>
      </c>
      <c r="Q74">
        <v>15</v>
      </c>
      <c r="R74" t="s">
        <v>213</v>
      </c>
      <c r="S74" t="s">
        <v>27</v>
      </c>
      <c r="T74">
        <v>6</v>
      </c>
      <c r="U74">
        <v>7.2</v>
      </c>
      <c r="V74">
        <v>3160.42</v>
      </c>
      <c r="W74" t="s">
        <v>28</v>
      </c>
      <c r="X74">
        <v>908.62</v>
      </c>
      <c r="Y74">
        <v>71.98</v>
      </c>
    </row>
    <row r="75" spans="1:25" x14ac:dyDescent="0.2">
      <c r="A75" t="s">
        <v>33</v>
      </c>
      <c r="B75">
        <v>2017</v>
      </c>
      <c r="C75" t="s">
        <v>807</v>
      </c>
      <c r="D75" t="s">
        <v>825</v>
      </c>
      <c r="E75" t="s">
        <v>35</v>
      </c>
      <c r="F75" t="s">
        <v>319</v>
      </c>
      <c r="G75">
        <v>-45.797499999999999</v>
      </c>
      <c r="H75">
        <v>170.64416700000001</v>
      </c>
      <c r="J75" t="s">
        <v>5</v>
      </c>
      <c r="K75" t="s">
        <v>41</v>
      </c>
      <c r="L75" t="s">
        <v>3</v>
      </c>
      <c r="M75" t="s">
        <v>26</v>
      </c>
      <c r="N75" t="s">
        <v>85</v>
      </c>
      <c r="O75" t="s">
        <v>80</v>
      </c>
      <c r="P75" t="s">
        <v>79</v>
      </c>
      <c r="Q75">
        <v>15</v>
      </c>
      <c r="R75" t="s">
        <v>213</v>
      </c>
      <c r="S75" t="s">
        <v>9</v>
      </c>
      <c r="T75">
        <v>6</v>
      </c>
      <c r="U75">
        <v>7.65</v>
      </c>
      <c r="V75">
        <v>1078.29</v>
      </c>
      <c r="W75" t="s">
        <v>28</v>
      </c>
      <c r="X75">
        <v>720.85</v>
      </c>
      <c r="Y75">
        <v>95.78</v>
      </c>
    </row>
    <row r="76" spans="1:25" x14ac:dyDescent="0.2">
      <c r="A76" t="s">
        <v>33</v>
      </c>
      <c r="B76">
        <v>2017</v>
      </c>
      <c r="C76" t="s">
        <v>807</v>
      </c>
      <c r="D76" t="s">
        <v>825</v>
      </c>
      <c r="E76" t="s">
        <v>35</v>
      </c>
      <c r="F76" t="s">
        <v>319</v>
      </c>
      <c r="G76">
        <v>-45.797499999999999</v>
      </c>
      <c r="H76">
        <v>170.64416700000001</v>
      </c>
      <c r="J76" t="s">
        <v>7</v>
      </c>
      <c r="K76" t="s">
        <v>41</v>
      </c>
      <c r="L76" t="s">
        <v>3</v>
      </c>
      <c r="M76" t="s">
        <v>26</v>
      </c>
      <c r="N76" t="s">
        <v>85</v>
      </c>
      <c r="O76" t="s">
        <v>80</v>
      </c>
      <c r="P76" t="s">
        <v>79</v>
      </c>
      <c r="Q76">
        <v>15</v>
      </c>
      <c r="R76" t="s">
        <v>213</v>
      </c>
      <c r="S76" t="s">
        <v>7</v>
      </c>
      <c r="T76">
        <v>6</v>
      </c>
      <c r="U76">
        <v>8.0299999999999994</v>
      </c>
      <c r="V76">
        <v>447.7</v>
      </c>
      <c r="W76">
        <v>12</v>
      </c>
      <c r="X76">
        <v>715.39</v>
      </c>
      <c r="Y76">
        <v>89.05</v>
      </c>
    </row>
    <row r="77" spans="1:25" x14ac:dyDescent="0.2">
      <c r="A77" t="s">
        <v>33</v>
      </c>
      <c r="B77">
        <v>2017</v>
      </c>
      <c r="C77" t="s">
        <v>816</v>
      </c>
      <c r="D77" t="s">
        <v>820</v>
      </c>
      <c r="E77" t="s">
        <v>34</v>
      </c>
      <c r="F77" t="s">
        <v>319</v>
      </c>
      <c r="G77">
        <v>-45.797499999999999</v>
      </c>
      <c r="H77">
        <v>170.64416700000001</v>
      </c>
      <c r="J77" t="s">
        <v>16</v>
      </c>
      <c r="K77" t="s">
        <v>41</v>
      </c>
      <c r="L77" t="s">
        <v>3</v>
      </c>
      <c r="M77" t="s">
        <v>26</v>
      </c>
      <c r="N77" t="s">
        <v>85</v>
      </c>
      <c r="O77" t="s">
        <v>80</v>
      </c>
      <c r="P77" t="s">
        <v>79</v>
      </c>
      <c r="Q77">
        <v>15</v>
      </c>
      <c r="R77" t="s">
        <v>213</v>
      </c>
      <c r="S77" t="s">
        <v>37</v>
      </c>
      <c r="T77">
        <v>6</v>
      </c>
      <c r="U77">
        <v>7.2</v>
      </c>
      <c r="V77">
        <v>2739.61</v>
      </c>
      <c r="W77">
        <v>16</v>
      </c>
      <c r="X77">
        <v>794.64</v>
      </c>
      <c r="Y77">
        <v>131.16</v>
      </c>
    </row>
    <row r="78" spans="1:25" x14ac:dyDescent="0.2">
      <c r="A78" t="s">
        <v>33</v>
      </c>
      <c r="B78">
        <v>2017</v>
      </c>
      <c r="C78" t="s">
        <v>816</v>
      </c>
      <c r="D78" t="s">
        <v>820</v>
      </c>
      <c r="E78" t="s">
        <v>34</v>
      </c>
      <c r="F78" t="s">
        <v>319</v>
      </c>
      <c r="G78">
        <v>-45.797499999999999</v>
      </c>
      <c r="H78">
        <v>170.64416700000001</v>
      </c>
      <c r="J78" t="s">
        <v>16</v>
      </c>
      <c r="K78" t="s">
        <v>41</v>
      </c>
      <c r="L78" t="s">
        <v>3</v>
      </c>
      <c r="M78" t="s">
        <v>26</v>
      </c>
      <c r="N78" t="s">
        <v>85</v>
      </c>
      <c r="O78" t="s">
        <v>80</v>
      </c>
      <c r="P78" t="s">
        <v>79</v>
      </c>
      <c r="Q78">
        <v>15</v>
      </c>
      <c r="R78" t="s">
        <v>213</v>
      </c>
      <c r="S78" t="s">
        <v>15</v>
      </c>
      <c r="T78">
        <v>6</v>
      </c>
      <c r="U78">
        <v>7.65</v>
      </c>
      <c r="V78">
        <v>913.19</v>
      </c>
      <c r="W78">
        <v>16</v>
      </c>
      <c r="X78">
        <v>728.39</v>
      </c>
      <c r="Y78">
        <v>205.59</v>
      </c>
    </row>
    <row r="79" spans="1:25" x14ac:dyDescent="0.2">
      <c r="A79" t="s">
        <v>33</v>
      </c>
      <c r="B79">
        <v>2017</v>
      </c>
      <c r="C79" t="s">
        <v>816</v>
      </c>
      <c r="D79" t="s">
        <v>820</v>
      </c>
      <c r="E79" t="s">
        <v>34</v>
      </c>
      <c r="F79" t="s">
        <v>319</v>
      </c>
      <c r="G79">
        <v>-45.797499999999999</v>
      </c>
      <c r="H79">
        <v>170.64416700000001</v>
      </c>
      <c r="J79" t="s">
        <v>14</v>
      </c>
      <c r="K79" t="s">
        <v>41</v>
      </c>
      <c r="L79" t="s">
        <v>3</v>
      </c>
      <c r="M79" t="s">
        <v>26</v>
      </c>
      <c r="N79" t="s">
        <v>85</v>
      </c>
      <c r="O79" t="s">
        <v>80</v>
      </c>
      <c r="P79" t="s">
        <v>79</v>
      </c>
      <c r="Q79">
        <v>15</v>
      </c>
      <c r="R79" t="s">
        <v>213</v>
      </c>
      <c r="S79" t="s">
        <v>13</v>
      </c>
      <c r="T79">
        <v>6</v>
      </c>
      <c r="U79" t="s">
        <v>28</v>
      </c>
      <c r="V79" t="s">
        <v>28</v>
      </c>
      <c r="W79">
        <v>16</v>
      </c>
      <c r="X79">
        <v>768.35</v>
      </c>
      <c r="Y79">
        <v>168.54</v>
      </c>
    </row>
    <row r="80" spans="1:25" x14ac:dyDescent="0.2">
      <c r="A80" t="s">
        <v>33</v>
      </c>
      <c r="B80">
        <v>2017</v>
      </c>
      <c r="C80" t="s">
        <v>807</v>
      </c>
      <c r="D80" t="s">
        <v>825</v>
      </c>
      <c r="E80" t="s">
        <v>35</v>
      </c>
      <c r="F80" t="s">
        <v>319</v>
      </c>
      <c r="G80">
        <v>-45.797499999999999</v>
      </c>
      <c r="H80">
        <v>170.64416700000001</v>
      </c>
      <c r="J80" t="s">
        <v>16</v>
      </c>
      <c r="K80" t="s">
        <v>41</v>
      </c>
      <c r="L80" t="s">
        <v>3</v>
      </c>
      <c r="M80" t="s">
        <v>26</v>
      </c>
      <c r="N80" t="s">
        <v>85</v>
      </c>
      <c r="O80" t="s">
        <v>80</v>
      </c>
      <c r="P80" t="s">
        <v>79</v>
      </c>
      <c r="Q80">
        <v>15</v>
      </c>
      <c r="R80" t="s">
        <v>213</v>
      </c>
      <c r="S80" t="s">
        <v>37</v>
      </c>
      <c r="T80">
        <v>6</v>
      </c>
      <c r="U80">
        <v>7.2</v>
      </c>
      <c r="V80">
        <v>2739.61</v>
      </c>
      <c r="W80">
        <v>16</v>
      </c>
      <c r="X80">
        <v>931.46</v>
      </c>
      <c r="Y80">
        <v>53.32</v>
      </c>
    </row>
    <row r="81" spans="1:28" x14ac:dyDescent="0.2">
      <c r="A81" t="s">
        <v>33</v>
      </c>
      <c r="B81">
        <v>2017</v>
      </c>
      <c r="C81" t="s">
        <v>807</v>
      </c>
      <c r="D81" t="s">
        <v>825</v>
      </c>
      <c r="E81" t="s">
        <v>35</v>
      </c>
      <c r="F81" t="s">
        <v>319</v>
      </c>
      <c r="G81">
        <v>-45.797499999999999</v>
      </c>
      <c r="H81">
        <v>170.64416700000001</v>
      </c>
      <c r="J81" t="s">
        <v>16</v>
      </c>
      <c r="K81" t="s">
        <v>41</v>
      </c>
      <c r="L81" t="s">
        <v>3</v>
      </c>
      <c r="M81" t="s">
        <v>26</v>
      </c>
      <c r="N81" t="s">
        <v>85</v>
      </c>
      <c r="O81" t="s">
        <v>80</v>
      </c>
      <c r="P81" t="s">
        <v>79</v>
      </c>
      <c r="Q81">
        <v>15</v>
      </c>
      <c r="R81" t="s">
        <v>213</v>
      </c>
      <c r="S81" t="s">
        <v>15</v>
      </c>
      <c r="T81">
        <v>6</v>
      </c>
      <c r="U81">
        <v>7.65</v>
      </c>
      <c r="V81">
        <v>913.19</v>
      </c>
      <c r="W81">
        <v>16</v>
      </c>
      <c r="X81">
        <v>744.94</v>
      </c>
      <c r="Y81">
        <v>121.97</v>
      </c>
    </row>
    <row r="82" spans="1:28" x14ac:dyDescent="0.2">
      <c r="A82" t="s">
        <v>33</v>
      </c>
      <c r="B82">
        <v>2017</v>
      </c>
      <c r="C82" t="s">
        <v>807</v>
      </c>
      <c r="D82" t="s">
        <v>825</v>
      </c>
      <c r="E82" t="s">
        <v>35</v>
      </c>
      <c r="F82" t="s">
        <v>319</v>
      </c>
      <c r="G82">
        <v>-45.797499999999999</v>
      </c>
      <c r="H82">
        <v>170.64416700000001</v>
      </c>
      <c r="J82" t="s">
        <v>14</v>
      </c>
      <c r="K82" t="s">
        <v>41</v>
      </c>
      <c r="L82" t="s">
        <v>3</v>
      </c>
      <c r="M82" t="s">
        <v>26</v>
      </c>
      <c r="N82" t="s">
        <v>85</v>
      </c>
      <c r="O82" t="s">
        <v>80</v>
      </c>
      <c r="P82" t="s">
        <v>79</v>
      </c>
      <c r="Q82">
        <v>15</v>
      </c>
      <c r="R82" t="s">
        <v>213</v>
      </c>
      <c r="S82" t="s">
        <v>13</v>
      </c>
      <c r="T82">
        <v>6</v>
      </c>
      <c r="U82" t="s">
        <v>28</v>
      </c>
      <c r="V82" t="s">
        <v>28</v>
      </c>
      <c r="W82">
        <v>16</v>
      </c>
      <c r="X82">
        <v>763.1</v>
      </c>
      <c r="Y82">
        <v>235.35</v>
      </c>
    </row>
    <row r="83" spans="1:28" x14ac:dyDescent="0.2">
      <c r="A83" t="s">
        <v>33</v>
      </c>
      <c r="B83">
        <v>2017</v>
      </c>
      <c r="C83" t="s">
        <v>816</v>
      </c>
      <c r="D83" t="s">
        <v>820</v>
      </c>
      <c r="E83" t="s">
        <v>34</v>
      </c>
      <c r="F83" t="s">
        <v>319</v>
      </c>
      <c r="G83">
        <v>-45.797499999999999</v>
      </c>
      <c r="H83">
        <v>170.64416700000001</v>
      </c>
      <c r="J83" t="s">
        <v>5</v>
      </c>
      <c r="K83" t="s">
        <v>3</v>
      </c>
      <c r="L83" t="s">
        <v>3</v>
      </c>
      <c r="M83" t="s">
        <v>727</v>
      </c>
      <c r="N83" t="s">
        <v>85</v>
      </c>
      <c r="O83" t="s">
        <v>42</v>
      </c>
      <c r="P83" t="s">
        <v>743</v>
      </c>
      <c r="Q83">
        <v>15</v>
      </c>
      <c r="R83" t="s">
        <v>213</v>
      </c>
      <c r="S83" t="s">
        <v>27</v>
      </c>
      <c r="T83">
        <v>6</v>
      </c>
      <c r="U83">
        <v>7.2</v>
      </c>
      <c r="V83">
        <v>3160.42</v>
      </c>
      <c r="W83" t="s">
        <v>28</v>
      </c>
      <c r="X83" s="2">
        <v>0.52</v>
      </c>
      <c r="Y83">
        <v>7.4505995000000005E-2</v>
      </c>
    </row>
    <row r="84" spans="1:28" x14ac:dyDescent="0.2">
      <c r="A84" t="s">
        <v>33</v>
      </c>
      <c r="B84">
        <v>2017</v>
      </c>
      <c r="C84" t="s">
        <v>816</v>
      </c>
      <c r="D84" t="s">
        <v>820</v>
      </c>
      <c r="E84" t="s">
        <v>34</v>
      </c>
      <c r="F84" t="s">
        <v>319</v>
      </c>
      <c r="G84">
        <v>-45.797499999999999</v>
      </c>
      <c r="H84">
        <v>170.64416700000001</v>
      </c>
      <c r="J84" t="s">
        <v>5</v>
      </c>
      <c r="K84" t="s">
        <v>3</v>
      </c>
      <c r="L84" t="s">
        <v>3</v>
      </c>
      <c r="M84" t="s">
        <v>727</v>
      </c>
      <c r="N84" t="s">
        <v>85</v>
      </c>
      <c r="O84" t="s">
        <v>42</v>
      </c>
      <c r="P84" t="s">
        <v>743</v>
      </c>
      <c r="Q84">
        <v>15</v>
      </c>
      <c r="R84" t="s">
        <v>213</v>
      </c>
      <c r="S84" t="s">
        <v>9</v>
      </c>
      <c r="T84">
        <v>6</v>
      </c>
      <c r="U84">
        <v>7.65</v>
      </c>
      <c r="V84">
        <v>1078.29</v>
      </c>
      <c r="W84" t="s">
        <v>28</v>
      </c>
      <c r="X84" s="2">
        <v>0.55000000000000004</v>
      </c>
      <c r="Y84">
        <v>8.9444388999999999E-2</v>
      </c>
    </row>
    <row r="85" spans="1:28" x14ac:dyDescent="0.2">
      <c r="A85" t="s">
        <v>33</v>
      </c>
      <c r="B85">
        <v>2017</v>
      </c>
      <c r="C85" t="s">
        <v>816</v>
      </c>
      <c r="D85" t="s">
        <v>820</v>
      </c>
      <c r="E85" t="s">
        <v>34</v>
      </c>
      <c r="F85" t="s">
        <v>319</v>
      </c>
      <c r="G85">
        <v>-45.797499999999999</v>
      </c>
      <c r="H85">
        <v>170.64416700000001</v>
      </c>
      <c r="J85" t="s">
        <v>7</v>
      </c>
      <c r="K85" t="s">
        <v>3</v>
      </c>
      <c r="L85" t="s">
        <v>3</v>
      </c>
      <c r="M85" t="s">
        <v>727</v>
      </c>
      <c r="N85" t="s">
        <v>85</v>
      </c>
      <c r="O85" t="s">
        <v>42</v>
      </c>
      <c r="P85" t="s">
        <v>743</v>
      </c>
      <c r="Q85">
        <v>15</v>
      </c>
      <c r="R85" t="s">
        <v>213</v>
      </c>
      <c r="S85" t="s">
        <v>7</v>
      </c>
      <c r="T85">
        <v>6</v>
      </c>
      <c r="U85">
        <v>8.0299999999999994</v>
      </c>
      <c r="V85">
        <v>447.7</v>
      </c>
      <c r="W85">
        <v>12</v>
      </c>
      <c r="X85" s="2">
        <v>0.56999999999999995</v>
      </c>
      <c r="Y85">
        <v>0.16312803000000001</v>
      </c>
    </row>
    <row r="86" spans="1:28" x14ac:dyDescent="0.2">
      <c r="A86" t="s">
        <v>33</v>
      </c>
      <c r="B86">
        <v>2017</v>
      </c>
      <c r="C86" t="s">
        <v>807</v>
      </c>
      <c r="D86" t="s">
        <v>825</v>
      </c>
      <c r="E86" t="s">
        <v>35</v>
      </c>
      <c r="F86" t="s">
        <v>319</v>
      </c>
      <c r="G86">
        <v>-45.797499999999999</v>
      </c>
      <c r="H86">
        <v>170.64416700000001</v>
      </c>
      <c r="J86" t="s">
        <v>5</v>
      </c>
      <c r="K86" t="s">
        <v>3</v>
      </c>
      <c r="L86" t="s">
        <v>3</v>
      </c>
      <c r="M86" t="s">
        <v>727</v>
      </c>
      <c r="N86" t="s">
        <v>85</v>
      </c>
      <c r="O86" t="s">
        <v>42</v>
      </c>
      <c r="P86" t="s">
        <v>743</v>
      </c>
      <c r="Q86">
        <v>15</v>
      </c>
      <c r="R86" t="s">
        <v>213</v>
      </c>
      <c r="S86" t="s">
        <v>27</v>
      </c>
      <c r="T86">
        <v>6</v>
      </c>
      <c r="U86">
        <v>7.2</v>
      </c>
      <c r="V86">
        <v>3160.42</v>
      </c>
      <c r="W86" t="s">
        <v>28</v>
      </c>
      <c r="X86" s="2">
        <v>0.48</v>
      </c>
      <c r="Y86">
        <v>0.11923558300000001</v>
      </c>
    </row>
    <row r="87" spans="1:28" x14ac:dyDescent="0.2">
      <c r="A87" t="s">
        <v>33</v>
      </c>
      <c r="B87">
        <v>2017</v>
      </c>
      <c r="C87" t="s">
        <v>807</v>
      </c>
      <c r="D87" t="s">
        <v>825</v>
      </c>
      <c r="E87" t="s">
        <v>35</v>
      </c>
      <c r="F87" t="s">
        <v>319</v>
      </c>
      <c r="G87">
        <v>-45.797499999999999</v>
      </c>
      <c r="H87">
        <v>170.64416700000001</v>
      </c>
      <c r="J87" t="s">
        <v>5</v>
      </c>
      <c r="K87" t="s">
        <v>3</v>
      </c>
      <c r="L87" t="s">
        <v>3</v>
      </c>
      <c r="M87" t="s">
        <v>727</v>
      </c>
      <c r="N87" t="s">
        <v>85</v>
      </c>
      <c r="O87" t="s">
        <v>42</v>
      </c>
      <c r="P87" t="s">
        <v>743</v>
      </c>
      <c r="Q87">
        <v>15</v>
      </c>
      <c r="R87" t="s">
        <v>213</v>
      </c>
      <c r="S87" t="s">
        <v>9</v>
      </c>
      <c r="T87">
        <v>6</v>
      </c>
      <c r="U87">
        <v>7.65</v>
      </c>
      <c r="V87">
        <v>1078.29</v>
      </c>
      <c r="W87" t="s">
        <v>28</v>
      </c>
      <c r="X87" s="2">
        <v>0.45</v>
      </c>
      <c r="Y87">
        <v>6.8055539999999998E-2</v>
      </c>
    </row>
    <row r="88" spans="1:28" x14ac:dyDescent="0.2">
      <c r="A88" t="s">
        <v>33</v>
      </c>
      <c r="B88">
        <v>2017</v>
      </c>
      <c r="C88" t="s">
        <v>807</v>
      </c>
      <c r="D88" t="s">
        <v>825</v>
      </c>
      <c r="E88" t="s">
        <v>35</v>
      </c>
      <c r="F88" t="s">
        <v>319</v>
      </c>
      <c r="G88">
        <v>-45.797499999999999</v>
      </c>
      <c r="H88">
        <v>170.64416700000001</v>
      </c>
      <c r="J88" t="s">
        <v>7</v>
      </c>
      <c r="K88" t="s">
        <v>3</v>
      </c>
      <c r="L88" t="s">
        <v>3</v>
      </c>
      <c r="M88" t="s">
        <v>727</v>
      </c>
      <c r="N88" t="s">
        <v>85</v>
      </c>
      <c r="O88" t="s">
        <v>42</v>
      </c>
      <c r="P88" t="s">
        <v>743</v>
      </c>
      <c r="Q88">
        <v>15</v>
      </c>
      <c r="R88" t="s">
        <v>213</v>
      </c>
      <c r="S88" t="s">
        <v>7</v>
      </c>
      <c r="T88">
        <v>6</v>
      </c>
      <c r="U88">
        <v>8.0299999999999994</v>
      </c>
      <c r="V88">
        <v>447.7</v>
      </c>
      <c r="W88">
        <v>12</v>
      </c>
      <c r="X88" s="2">
        <v>0.5</v>
      </c>
      <c r="Y88">
        <v>6.3613370000000002E-2</v>
      </c>
    </row>
    <row r="89" spans="1:28" x14ac:dyDescent="0.2">
      <c r="A89" t="s">
        <v>33</v>
      </c>
      <c r="B89">
        <v>2017</v>
      </c>
      <c r="C89" t="s">
        <v>816</v>
      </c>
      <c r="D89" t="s">
        <v>820</v>
      </c>
      <c r="E89" t="s">
        <v>34</v>
      </c>
      <c r="F89" t="s">
        <v>319</v>
      </c>
      <c r="G89">
        <v>-45.797499999999999</v>
      </c>
      <c r="H89">
        <v>170.64416700000001</v>
      </c>
      <c r="J89" t="s">
        <v>16</v>
      </c>
      <c r="K89" t="s">
        <v>3</v>
      </c>
      <c r="L89" t="s">
        <v>3</v>
      </c>
      <c r="M89" t="s">
        <v>727</v>
      </c>
      <c r="N89" t="s">
        <v>85</v>
      </c>
      <c r="O89" t="s">
        <v>42</v>
      </c>
      <c r="P89" t="s">
        <v>743</v>
      </c>
      <c r="Q89">
        <v>15</v>
      </c>
      <c r="R89" t="s">
        <v>213</v>
      </c>
      <c r="S89" t="s">
        <v>37</v>
      </c>
      <c r="T89">
        <v>6</v>
      </c>
      <c r="U89">
        <v>7.2</v>
      </c>
      <c r="V89">
        <v>2739.61</v>
      </c>
      <c r="W89">
        <v>16</v>
      </c>
      <c r="X89" s="2">
        <v>0.61</v>
      </c>
      <c r="Y89">
        <v>8.5391349000000005E-2</v>
      </c>
    </row>
    <row r="90" spans="1:28" x14ac:dyDescent="0.2">
      <c r="A90" t="s">
        <v>33</v>
      </c>
      <c r="B90">
        <v>2017</v>
      </c>
      <c r="C90" t="s">
        <v>816</v>
      </c>
      <c r="D90" t="s">
        <v>820</v>
      </c>
      <c r="E90" t="s">
        <v>34</v>
      </c>
      <c r="F90" t="s">
        <v>319</v>
      </c>
      <c r="G90">
        <v>-45.797499999999999</v>
      </c>
      <c r="H90">
        <v>170.64416700000001</v>
      </c>
      <c r="J90" t="s">
        <v>16</v>
      </c>
      <c r="K90" t="s">
        <v>3</v>
      </c>
      <c r="L90" t="s">
        <v>3</v>
      </c>
      <c r="M90" t="s">
        <v>727</v>
      </c>
      <c r="N90" t="s">
        <v>85</v>
      </c>
      <c r="O90" t="s">
        <v>42</v>
      </c>
      <c r="P90" t="s">
        <v>743</v>
      </c>
      <c r="Q90">
        <v>15</v>
      </c>
      <c r="R90" t="s">
        <v>213</v>
      </c>
      <c r="S90" t="s">
        <v>15</v>
      </c>
      <c r="T90">
        <v>6</v>
      </c>
      <c r="U90">
        <v>7.65</v>
      </c>
      <c r="V90">
        <v>913.19</v>
      </c>
      <c r="W90">
        <v>16</v>
      </c>
      <c r="X90" s="2">
        <v>0.53</v>
      </c>
      <c r="Y90">
        <v>0.129345355</v>
      </c>
    </row>
    <row r="91" spans="1:28" x14ac:dyDescent="0.2">
      <c r="A91" t="s">
        <v>33</v>
      </c>
      <c r="B91">
        <v>2017</v>
      </c>
      <c r="C91" t="s">
        <v>816</v>
      </c>
      <c r="D91" t="s">
        <v>820</v>
      </c>
      <c r="E91" t="s">
        <v>34</v>
      </c>
      <c r="F91" t="s">
        <v>319</v>
      </c>
      <c r="G91">
        <v>-45.797499999999999</v>
      </c>
      <c r="H91">
        <v>170.64416700000001</v>
      </c>
      <c r="J91" t="s">
        <v>14</v>
      </c>
      <c r="K91" t="s">
        <v>3</v>
      </c>
      <c r="L91" t="s">
        <v>3</v>
      </c>
      <c r="M91" t="s">
        <v>727</v>
      </c>
      <c r="N91" t="s">
        <v>85</v>
      </c>
      <c r="O91" t="s">
        <v>42</v>
      </c>
      <c r="P91" t="s">
        <v>743</v>
      </c>
      <c r="Q91">
        <v>15</v>
      </c>
      <c r="R91" t="s">
        <v>213</v>
      </c>
      <c r="S91" t="s">
        <v>13</v>
      </c>
      <c r="T91">
        <v>6</v>
      </c>
      <c r="U91" t="s">
        <v>28</v>
      </c>
      <c r="V91" t="s">
        <v>28</v>
      </c>
      <c r="W91">
        <v>16</v>
      </c>
      <c r="X91" s="2">
        <v>0.51</v>
      </c>
      <c r="Y91">
        <v>4.8905349000000001E-2</v>
      </c>
    </row>
    <row r="92" spans="1:28" x14ac:dyDescent="0.2">
      <c r="A92" t="s">
        <v>33</v>
      </c>
      <c r="B92">
        <v>2017</v>
      </c>
      <c r="C92" t="s">
        <v>807</v>
      </c>
      <c r="D92" t="s">
        <v>825</v>
      </c>
      <c r="E92" t="s">
        <v>35</v>
      </c>
      <c r="F92" t="s">
        <v>319</v>
      </c>
      <c r="G92">
        <v>-45.797499999999999</v>
      </c>
      <c r="H92">
        <v>170.64416700000001</v>
      </c>
      <c r="J92" t="s">
        <v>16</v>
      </c>
      <c r="K92" t="s">
        <v>3</v>
      </c>
      <c r="L92" t="s">
        <v>3</v>
      </c>
      <c r="M92" t="s">
        <v>727</v>
      </c>
      <c r="N92" t="s">
        <v>85</v>
      </c>
      <c r="O92" t="s">
        <v>42</v>
      </c>
      <c r="P92" t="s">
        <v>743</v>
      </c>
      <c r="Q92">
        <v>15</v>
      </c>
      <c r="R92" t="s">
        <v>213</v>
      </c>
      <c r="S92" t="s">
        <v>37</v>
      </c>
      <c r="T92">
        <v>6</v>
      </c>
      <c r="U92">
        <v>7.2</v>
      </c>
      <c r="V92">
        <v>2739.61</v>
      </c>
      <c r="W92">
        <v>16</v>
      </c>
      <c r="X92" s="2">
        <v>0.46</v>
      </c>
      <c r="Y92">
        <v>4.3821216000000003E-2</v>
      </c>
    </row>
    <row r="93" spans="1:28" x14ac:dyDescent="0.2">
      <c r="A93" t="s">
        <v>33</v>
      </c>
      <c r="B93">
        <v>2017</v>
      </c>
      <c r="C93" t="s">
        <v>807</v>
      </c>
      <c r="D93" t="s">
        <v>825</v>
      </c>
      <c r="E93" t="s">
        <v>35</v>
      </c>
      <c r="F93" t="s">
        <v>319</v>
      </c>
      <c r="G93">
        <v>-45.797499999999999</v>
      </c>
      <c r="H93">
        <v>170.64416700000001</v>
      </c>
      <c r="J93" t="s">
        <v>16</v>
      </c>
      <c r="K93" t="s">
        <v>3</v>
      </c>
      <c r="L93" t="s">
        <v>3</v>
      </c>
      <c r="M93" t="s">
        <v>727</v>
      </c>
      <c r="N93" t="s">
        <v>85</v>
      </c>
      <c r="O93" t="s">
        <v>42</v>
      </c>
      <c r="P93" t="s">
        <v>743</v>
      </c>
      <c r="Q93">
        <v>15</v>
      </c>
      <c r="R93" t="s">
        <v>213</v>
      </c>
      <c r="S93" t="s">
        <v>15</v>
      </c>
      <c r="T93">
        <v>6</v>
      </c>
      <c r="U93">
        <v>7.65</v>
      </c>
      <c r="V93">
        <v>913.19</v>
      </c>
      <c r="W93">
        <v>16</v>
      </c>
      <c r="X93" s="2">
        <v>0.64</v>
      </c>
      <c r="Y93">
        <v>0.10259618600000001</v>
      </c>
    </row>
    <row r="94" spans="1:28" x14ac:dyDescent="0.2">
      <c r="A94" t="s">
        <v>33</v>
      </c>
      <c r="B94">
        <v>2017</v>
      </c>
      <c r="C94" t="s">
        <v>807</v>
      </c>
      <c r="D94" t="s">
        <v>825</v>
      </c>
      <c r="E94" t="s">
        <v>35</v>
      </c>
      <c r="F94" t="s">
        <v>319</v>
      </c>
      <c r="G94">
        <v>-45.797499999999999</v>
      </c>
      <c r="H94">
        <v>170.64416700000001</v>
      </c>
      <c r="J94" t="s">
        <v>14</v>
      </c>
      <c r="K94" t="s">
        <v>3</v>
      </c>
      <c r="L94" t="s">
        <v>3</v>
      </c>
      <c r="M94" t="s">
        <v>727</v>
      </c>
      <c r="N94" t="s">
        <v>85</v>
      </c>
      <c r="O94" t="s">
        <v>42</v>
      </c>
      <c r="P94" t="s">
        <v>743</v>
      </c>
      <c r="Q94">
        <v>15</v>
      </c>
      <c r="R94" t="s">
        <v>213</v>
      </c>
      <c r="S94" t="s">
        <v>13</v>
      </c>
      <c r="T94">
        <v>6</v>
      </c>
      <c r="U94" t="s">
        <v>28</v>
      </c>
      <c r="V94" t="s">
        <v>28</v>
      </c>
      <c r="W94">
        <v>16</v>
      </c>
      <c r="X94" s="2">
        <v>0.48</v>
      </c>
      <c r="Y94">
        <v>5.3221922999999997E-2</v>
      </c>
    </row>
    <row r="95" spans="1:28" x14ac:dyDescent="0.2">
      <c r="A95" t="s">
        <v>43</v>
      </c>
      <c r="B95">
        <v>1980</v>
      </c>
      <c r="C95" t="s">
        <v>826</v>
      </c>
      <c r="D95" t="s">
        <v>824</v>
      </c>
      <c r="E95" t="s">
        <v>48</v>
      </c>
      <c r="F95" t="s">
        <v>307</v>
      </c>
      <c r="G95">
        <v>54.193665000000003</v>
      </c>
      <c r="H95">
        <v>7.8804689999999997</v>
      </c>
      <c r="I95" t="s">
        <v>762</v>
      </c>
      <c r="J95" t="s">
        <v>7</v>
      </c>
      <c r="K95" t="s">
        <v>45</v>
      </c>
      <c r="L95" t="s">
        <v>144</v>
      </c>
      <c r="M95" t="s">
        <v>26</v>
      </c>
      <c r="N95" t="s">
        <v>85</v>
      </c>
      <c r="O95" t="s">
        <v>462</v>
      </c>
      <c r="P95" t="s">
        <v>72</v>
      </c>
      <c r="Q95">
        <v>7</v>
      </c>
      <c r="R95" t="s">
        <v>213</v>
      </c>
      <c r="S95" t="s">
        <v>7</v>
      </c>
      <c r="T95">
        <v>10</v>
      </c>
      <c r="U95" t="s">
        <v>28</v>
      </c>
      <c r="V95" t="s">
        <v>28</v>
      </c>
      <c r="W95">
        <v>10</v>
      </c>
      <c r="X95">
        <v>7.92</v>
      </c>
      <c r="Y95">
        <f>SQRT(T95) * (AB95-AA95)/3.92</f>
        <v>1.2181222619526162</v>
      </c>
      <c r="AA95">
        <v>7.14</v>
      </c>
      <c r="AB95">
        <v>8.65</v>
      </c>
    </row>
    <row r="96" spans="1:28" x14ac:dyDescent="0.2">
      <c r="A96" t="s">
        <v>43</v>
      </c>
      <c r="B96">
        <v>1980</v>
      </c>
      <c r="C96" t="s">
        <v>826</v>
      </c>
      <c r="D96" t="s">
        <v>824</v>
      </c>
      <c r="E96" t="s">
        <v>48</v>
      </c>
      <c r="F96" t="s">
        <v>307</v>
      </c>
      <c r="G96">
        <v>54.193665000000003</v>
      </c>
      <c r="H96">
        <v>7.8804689999999997</v>
      </c>
      <c r="I96" t="s">
        <v>762</v>
      </c>
      <c r="J96" t="s">
        <v>14</v>
      </c>
      <c r="K96" t="s">
        <v>45</v>
      </c>
      <c r="L96" t="s">
        <v>144</v>
      </c>
      <c r="M96" t="s">
        <v>26</v>
      </c>
      <c r="N96" t="s">
        <v>85</v>
      </c>
      <c r="O96" t="s">
        <v>462</v>
      </c>
      <c r="P96" t="s">
        <v>72</v>
      </c>
      <c r="Q96">
        <v>7</v>
      </c>
      <c r="R96" t="s">
        <v>213</v>
      </c>
      <c r="S96" t="s">
        <v>9</v>
      </c>
      <c r="T96">
        <v>10</v>
      </c>
      <c r="U96" t="s">
        <v>28</v>
      </c>
      <c r="V96" t="s">
        <v>28</v>
      </c>
      <c r="W96">
        <v>15</v>
      </c>
      <c r="X96">
        <v>9.2200000000000006</v>
      </c>
      <c r="Y96">
        <f>SQRT(T96) * (AB96-AA96)/3.92</f>
        <v>0.79056941504209521</v>
      </c>
      <c r="AA96">
        <v>8.73</v>
      </c>
      <c r="AB96">
        <v>9.7100000000000009</v>
      </c>
    </row>
    <row r="97" spans="1:28" x14ac:dyDescent="0.2">
      <c r="A97" t="s">
        <v>43</v>
      </c>
      <c r="B97">
        <v>1980</v>
      </c>
      <c r="C97" t="s">
        <v>826</v>
      </c>
      <c r="D97" t="s">
        <v>824</v>
      </c>
      <c r="E97" t="s">
        <v>48</v>
      </c>
      <c r="F97" t="s">
        <v>307</v>
      </c>
      <c r="G97">
        <v>54.193665000000003</v>
      </c>
      <c r="H97">
        <v>7.8804689999999997</v>
      </c>
      <c r="I97" t="s">
        <v>762</v>
      </c>
      <c r="J97" t="s">
        <v>14</v>
      </c>
      <c r="K97" t="s">
        <v>45</v>
      </c>
      <c r="L97" t="s">
        <v>144</v>
      </c>
      <c r="M97" t="s">
        <v>26</v>
      </c>
      <c r="N97" t="s">
        <v>85</v>
      </c>
      <c r="O97" t="s">
        <v>462</v>
      </c>
      <c r="P97" t="s">
        <v>72</v>
      </c>
      <c r="Q97">
        <v>7</v>
      </c>
      <c r="R97" t="s">
        <v>213</v>
      </c>
      <c r="S97" t="s">
        <v>27</v>
      </c>
      <c r="T97">
        <v>10</v>
      </c>
      <c r="U97" t="s">
        <v>28</v>
      </c>
      <c r="V97" t="s">
        <v>28</v>
      </c>
      <c r="W97">
        <v>20</v>
      </c>
      <c r="X97">
        <v>5.76</v>
      </c>
      <c r="Y97">
        <f>SQRT(T97) * (AB97-AA97)/3.92</f>
        <v>1.1858541225631423</v>
      </c>
      <c r="AA97">
        <v>5.04</v>
      </c>
      <c r="AB97">
        <v>6.51</v>
      </c>
    </row>
    <row r="98" spans="1:28" x14ac:dyDescent="0.2">
      <c r="A98" t="s">
        <v>47</v>
      </c>
      <c r="B98">
        <v>2016</v>
      </c>
      <c r="C98" t="s">
        <v>826</v>
      </c>
      <c r="D98" t="s">
        <v>824</v>
      </c>
      <c r="E98" t="s">
        <v>48</v>
      </c>
      <c r="F98" t="s">
        <v>310</v>
      </c>
      <c r="G98">
        <v>50.356183000000001</v>
      </c>
      <c r="H98">
        <v>-4.1278829999999997</v>
      </c>
      <c r="I98" t="s">
        <v>762</v>
      </c>
      <c r="J98" t="s">
        <v>7</v>
      </c>
      <c r="K98" t="s">
        <v>46</v>
      </c>
      <c r="L98" t="s">
        <v>144</v>
      </c>
      <c r="M98" t="s">
        <v>172</v>
      </c>
      <c r="N98" t="s">
        <v>86</v>
      </c>
      <c r="O98" t="s">
        <v>62</v>
      </c>
      <c r="P98" t="s">
        <v>64</v>
      </c>
      <c r="Q98">
        <v>28</v>
      </c>
      <c r="R98" t="s">
        <v>213</v>
      </c>
      <c r="S98" t="s">
        <v>7</v>
      </c>
      <c r="T98">
        <v>13</v>
      </c>
      <c r="U98">
        <v>7.96</v>
      </c>
      <c r="V98">
        <v>623</v>
      </c>
      <c r="W98" t="s">
        <v>28</v>
      </c>
      <c r="X98">
        <v>-3.9455898000000003E-2</v>
      </c>
      <c r="Y98">
        <v>2.9204593540888234E-2</v>
      </c>
    </row>
    <row r="99" spans="1:28" x14ac:dyDescent="0.2">
      <c r="A99" t="s">
        <v>47</v>
      </c>
      <c r="B99">
        <v>2016</v>
      </c>
      <c r="C99" t="s">
        <v>826</v>
      </c>
      <c r="D99" t="s">
        <v>824</v>
      </c>
      <c r="E99" t="s">
        <v>48</v>
      </c>
      <c r="F99" t="s">
        <v>310</v>
      </c>
      <c r="G99">
        <v>50.356183000000001</v>
      </c>
      <c r="H99">
        <v>-4.1278829999999997</v>
      </c>
      <c r="I99" t="s">
        <v>762</v>
      </c>
      <c r="J99" t="s">
        <v>5</v>
      </c>
      <c r="K99" t="s">
        <v>46</v>
      </c>
      <c r="L99" t="s">
        <v>144</v>
      </c>
      <c r="M99" t="s">
        <v>172</v>
      </c>
      <c r="N99" t="s">
        <v>86</v>
      </c>
      <c r="O99" t="s">
        <v>62</v>
      </c>
      <c r="P99" t="s">
        <v>64</v>
      </c>
      <c r="Q99">
        <v>28</v>
      </c>
      <c r="R99" t="s">
        <v>213</v>
      </c>
      <c r="S99" t="s">
        <v>9</v>
      </c>
      <c r="T99">
        <v>5</v>
      </c>
      <c r="U99">
        <v>7.66</v>
      </c>
      <c r="V99">
        <v>1351</v>
      </c>
      <c r="W99" t="s">
        <v>28</v>
      </c>
      <c r="X99">
        <v>-0.10116567300000001</v>
      </c>
      <c r="Y99">
        <v>5.273902189253972E-2</v>
      </c>
    </row>
    <row r="100" spans="1:28" x14ac:dyDescent="0.2">
      <c r="A100" t="s">
        <v>47</v>
      </c>
      <c r="B100">
        <v>2016</v>
      </c>
      <c r="C100" t="s">
        <v>826</v>
      </c>
      <c r="D100" t="s">
        <v>824</v>
      </c>
      <c r="E100" t="s">
        <v>48</v>
      </c>
      <c r="F100" t="s">
        <v>310</v>
      </c>
      <c r="G100">
        <v>50.356183000000001</v>
      </c>
      <c r="H100">
        <v>-4.1278829999999997</v>
      </c>
      <c r="I100" t="s">
        <v>762</v>
      </c>
      <c r="J100" t="s">
        <v>7</v>
      </c>
      <c r="K100" t="s">
        <v>46</v>
      </c>
      <c r="L100" t="s">
        <v>144</v>
      </c>
      <c r="M100" t="s">
        <v>73</v>
      </c>
      <c r="N100" t="s">
        <v>85</v>
      </c>
      <c r="O100" t="s">
        <v>146</v>
      </c>
      <c r="P100" t="s">
        <v>64</v>
      </c>
      <c r="Q100">
        <v>28</v>
      </c>
      <c r="R100" t="s">
        <v>213</v>
      </c>
      <c r="S100" t="s">
        <v>7</v>
      </c>
      <c r="T100">
        <v>13</v>
      </c>
      <c r="U100">
        <v>7.96</v>
      </c>
      <c r="V100">
        <v>623</v>
      </c>
      <c r="W100" t="s">
        <v>28</v>
      </c>
      <c r="X100">
        <v>0.10200482323076922</v>
      </c>
      <c r="Y100">
        <v>8.6996680396994111E-2</v>
      </c>
    </row>
    <row r="101" spans="1:28" x14ac:dyDescent="0.2">
      <c r="A101" t="s">
        <v>47</v>
      </c>
      <c r="B101">
        <v>2016</v>
      </c>
      <c r="C101" t="s">
        <v>826</v>
      </c>
      <c r="D101" t="s">
        <v>824</v>
      </c>
      <c r="E101" t="s">
        <v>48</v>
      </c>
      <c r="F101" t="s">
        <v>310</v>
      </c>
      <c r="G101">
        <v>50.356183000000001</v>
      </c>
      <c r="H101">
        <v>-4.1278829999999997</v>
      </c>
      <c r="I101" t="s">
        <v>762</v>
      </c>
      <c r="J101" t="s">
        <v>5</v>
      </c>
      <c r="K101" t="s">
        <v>46</v>
      </c>
      <c r="L101" t="s">
        <v>144</v>
      </c>
      <c r="M101" t="s">
        <v>73</v>
      </c>
      <c r="N101" t="s">
        <v>85</v>
      </c>
      <c r="O101" t="s">
        <v>146</v>
      </c>
      <c r="P101" t="s">
        <v>64</v>
      </c>
      <c r="Q101">
        <v>28</v>
      </c>
      <c r="R101" t="s">
        <v>213</v>
      </c>
      <c r="S101" t="s">
        <v>9</v>
      </c>
      <c r="T101">
        <v>5</v>
      </c>
      <c r="U101">
        <v>7.66</v>
      </c>
      <c r="V101">
        <v>1351</v>
      </c>
      <c r="W101" t="s">
        <v>28</v>
      </c>
      <c r="X101">
        <v>0.2046790332</v>
      </c>
      <c r="Y101">
        <v>0.23763161922200185</v>
      </c>
    </row>
    <row r="102" spans="1:28" x14ac:dyDescent="0.2">
      <c r="A102" t="s">
        <v>47</v>
      </c>
      <c r="B102">
        <v>2016</v>
      </c>
      <c r="C102" t="s">
        <v>826</v>
      </c>
      <c r="D102" t="s">
        <v>824</v>
      </c>
      <c r="E102" t="s">
        <v>48</v>
      </c>
      <c r="F102" t="s">
        <v>310</v>
      </c>
      <c r="G102">
        <v>50.356183000000001</v>
      </c>
      <c r="H102">
        <v>-4.1278829999999997</v>
      </c>
      <c r="I102" t="s">
        <v>762</v>
      </c>
      <c r="J102" t="s">
        <v>7</v>
      </c>
      <c r="K102" t="s">
        <v>46</v>
      </c>
      <c r="L102" t="s">
        <v>144</v>
      </c>
      <c r="M102" t="s">
        <v>637</v>
      </c>
      <c r="N102" t="s">
        <v>86</v>
      </c>
      <c r="O102" t="s">
        <v>68</v>
      </c>
      <c r="P102" t="s">
        <v>67</v>
      </c>
      <c r="Q102">
        <v>28</v>
      </c>
      <c r="R102" t="s">
        <v>213</v>
      </c>
      <c r="S102" t="s">
        <v>7</v>
      </c>
      <c r="T102">
        <v>54</v>
      </c>
      <c r="U102">
        <v>7.96</v>
      </c>
      <c r="V102">
        <v>623</v>
      </c>
      <c r="W102" t="s">
        <v>28</v>
      </c>
      <c r="X102">
        <v>7.1956993432962957</v>
      </c>
      <c r="Y102">
        <v>7.7348412142079885</v>
      </c>
    </row>
    <row r="103" spans="1:28" x14ac:dyDescent="0.2">
      <c r="A103" t="s">
        <v>47</v>
      </c>
      <c r="B103">
        <v>2016</v>
      </c>
      <c r="C103" t="s">
        <v>826</v>
      </c>
      <c r="D103" t="s">
        <v>824</v>
      </c>
      <c r="E103" t="s">
        <v>48</v>
      </c>
      <c r="F103" t="s">
        <v>310</v>
      </c>
      <c r="G103">
        <v>50.356183000000001</v>
      </c>
      <c r="H103">
        <v>-4.1278829999999997</v>
      </c>
      <c r="I103" t="s">
        <v>762</v>
      </c>
      <c r="J103" t="s">
        <v>5</v>
      </c>
      <c r="K103" t="s">
        <v>46</v>
      </c>
      <c r="L103" t="s">
        <v>144</v>
      </c>
      <c r="M103" t="s">
        <v>637</v>
      </c>
      <c r="N103" t="s">
        <v>86</v>
      </c>
      <c r="O103" t="s">
        <v>68</v>
      </c>
      <c r="P103" t="s">
        <v>67</v>
      </c>
      <c r="Q103">
        <v>28</v>
      </c>
      <c r="R103" t="s">
        <v>213</v>
      </c>
      <c r="S103" t="s">
        <v>9</v>
      </c>
      <c r="T103">
        <v>18</v>
      </c>
      <c r="U103">
        <v>7.66</v>
      </c>
      <c r="V103">
        <v>1351</v>
      </c>
      <c r="W103" t="s">
        <v>28</v>
      </c>
      <c r="X103">
        <v>6.866309784666667</v>
      </c>
      <c r="Y103">
        <v>6.3024297095349304</v>
      </c>
    </row>
    <row r="104" spans="1:28" x14ac:dyDescent="0.2">
      <c r="A104" t="s">
        <v>47</v>
      </c>
      <c r="B104">
        <v>2016</v>
      </c>
      <c r="C104" t="s">
        <v>826</v>
      </c>
      <c r="D104" t="s">
        <v>824</v>
      </c>
      <c r="E104" t="s">
        <v>48</v>
      </c>
      <c r="F104" t="s">
        <v>310</v>
      </c>
      <c r="G104">
        <v>50.356183000000001</v>
      </c>
      <c r="H104">
        <v>-4.1278829999999997</v>
      </c>
      <c r="I104" t="s">
        <v>762</v>
      </c>
      <c r="J104" t="s">
        <v>7</v>
      </c>
      <c r="K104" t="s">
        <v>46</v>
      </c>
      <c r="L104" t="s">
        <v>144</v>
      </c>
      <c r="M104" t="s">
        <v>26</v>
      </c>
      <c r="N104" t="s">
        <v>85</v>
      </c>
      <c r="O104" t="s">
        <v>76</v>
      </c>
      <c r="P104" t="s">
        <v>75</v>
      </c>
      <c r="Q104">
        <v>28</v>
      </c>
      <c r="R104" t="s">
        <v>213</v>
      </c>
      <c r="S104" t="s">
        <v>7</v>
      </c>
      <c r="T104">
        <v>16</v>
      </c>
      <c r="U104">
        <v>7.96</v>
      </c>
      <c r="V104">
        <v>623</v>
      </c>
      <c r="W104" t="s">
        <v>28</v>
      </c>
      <c r="X104">
        <v>35.342917353749996</v>
      </c>
      <c r="Y104">
        <v>22.381780723665972</v>
      </c>
    </row>
    <row r="105" spans="1:28" x14ac:dyDescent="0.2">
      <c r="A105" t="s">
        <v>47</v>
      </c>
      <c r="B105">
        <v>2016</v>
      </c>
      <c r="C105" t="s">
        <v>826</v>
      </c>
      <c r="D105" t="s">
        <v>824</v>
      </c>
      <c r="E105" t="s">
        <v>48</v>
      </c>
      <c r="F105" t="s">
        <v>310</v>
      </c>
      <c r="G105">
        <v>50.356183000000001</v>
      </c>
      <c r="H105">
        <v>-4.1278829999999997</v>
      </c>
      <c r="I105" t="s">
        <v>762</v>
      </c>
      <c r="J105" t="s">
        <v>5</v>
      </c>
      <c r="K105" t="s">
        <v>46</v>
      </c>
      <c r="L105" t="s">
        <v>144</v>
      </c>
      <c r="M105" t="s">
        <v>26</v>
      </c>
      <c r="N105" t="s">
        <v>85</v>
      </c>
      <c r="O105" t="s">
        <v>76</v>
      </c>
      <c r="P105" t="s">
        <v>75</v>
      </c>
      <c r="Q105">
        <v>28</v>
      </c>
      <c r="R105" t="s">
        <v>213</v>
      </c>
      <c r="S105" t="s">
        <v>9</v>
      </c>
      <c r="T105">
        <v>17</v>
      </c>
      <c r="U105">
        <v>7.66</v>
      </c>
      <c r="V105">
        <v>1351</v>
      </c>
      <c r="W105" t="s">
        <v>28</v>
      </c>
      <c r="X105">
        <v>40.19390601176471</v>
      </c>
      <c r="Y105">
        <v>27.255459758083706</v>
      </c>
    </row>
    <row r="106" spans="1:28" x14ac:dyDescent="0.2">
      <c r="A106" t="s">
        <v>47</v>
      </c>
      <c r="B106">
        <v>2016</v>
      </c>
      <c r="C106" t="s">
        <v>826</v>
      </c>
      <c r="D106" t="s">
        <v>824</v>
      </c>
      <c r="E106" t="s">
        <v>48</v>
      </c>
      <c r="F106" t="s">
        <v>310</v>
      </c>
      <c r="G106">
        <v>50.356183000000001</v>
      </c>
      <c r="H106">
        <v>-4.1278829999999997</v>
      </c>
      <c r="I106" t="s">
        <v>762</v>
      </c>
      <c r="J106" t="s">
        <v>7</v>
      </c>
      <c r="K106" t="s">
        <v>46</v>
      </c>
      <c r="L106" t="s">
        <v>144</v>
      </c>
      <c r="M106" t="s">
        <v>26</v>
      </c>
      <c r="N106" t="s">
        <v>85</v>
      </c>
      <c r="O106" t="s">
        <v>462</v>
      </c>
      <c r="P106" t="s">
        <v>77</v>
      </c>
      <c r="Q106">
        <v>28</v>
      </c>
      <c r="R106" t="s">
        <v>213</v>
      </c>
      <c r="S106" t="s">
        <v>7</v>
      </c>
      <c r="T106">
        <v>9</v>
      </c>
      <c r="U106">
        <v>7.96</v>
      </c>
      <c r="V106">
        <v>623</v>
      </c>
      <c r="W106" t="s">
        <v>28</v>
      </c>
      <c r="X106">
        <v>2.1666666666666665</v>
      </c>
      <c r="Y106">
        <v>0.66143782776614768</v>
      </c>
    </row>
    <row r="107" spans="1:28" x14ac:dyDescent="0.2">
      <c r="A107" t="s">
        <v>47</v>
      </c>
      <c r="B107">
        <v>2016</v>
      </c>
      <c r="C107" t="s">
        <v>826</v>
      </c>
      <c r="D107" t="s">
        <v>824</v>
      </c>
      <c r="E107" t="s">
        <v>48</v>
      </c>
      <c r="F107" t="s">
        <v>310</v>
      </c>
      <c r="G107">
        <v>50.356183000000001</v>
      </c>
      <c r="H107">
        <v>-4.1278829999999997</v>
      </c>
      <c r="I107" t="s">
        <v>762</v>
      </c>
      <c r="J107" t="s">
        <v>5</v>
      </c>
      <c r="K107" t="s">
        <v>46</v>
      </c>
      <c r="L107" t="s">
        <v>144</v>
      </c>
      <c r="M107" t="s">
        <v>26</v>
      </c>
      <c r="N107" t="s">
        <v>85</v>
      </c>
      <c r="O107" t="s">
        <v>462</v>
      </c>
      <c r="P107" t="s">
        <v>77</v>
      </c>
      <c r="Q107">
        <v>28</v>
      </c>
      <c r="R107" t="s">
        <v>213</v>
      </c>
      <c r="S107" t="s">
        <v>9</v>
      </c>
      <c r="T107">
        <v>9</v>
      </c>
      <c r="U107">
        <v>7.66</v>
      </c>
      <c r="V107">
        <v>1351</v>
      </c>
      <c r="W107" t="s">
        <v>28</v>
      </c>
      <c r="X107">
        <v>2.2777777777777777</v>
      </c>
      <c r="Y107">
        <v>1.4385563751360058</v>
      </c>
    </row>
    <row r="108" spans="1:28" x14ac:dyDescent="0.2">
      <c r="A108" t="s">
        <v>49</v>
      </c>
      <c r="B108">
        <v>1988</v>
      </c>
      <c r="C108" t="s">
        <v>826</v>
      </c>
      <c r="D108" t="s">
        <v>824</v>
      </c>
      <c r="E108" t="s">
        <v>48</v>
      </c>
      <c r="F108" t="s">
        <v>52</v>
      </c>
      <c r="G108">
        <v>40.966667000000001</v>
      </c>
      <c r="H108">
        <v>-73.158332999999999</v>
      </c>
      <c r="I108" t="s">
        <v>773</v>
      </c>
      <c r="J108" t="s">
        <v>7</v>
      </c>
      <c r="K108" t="s">
        <v>50</v>
      </c>
      <c r="L108" t="s">
        <v>143</v>
      </c>
      <c r="M108" t="s">
        <v>26</v>
      </c>
      <c r="N108" t="s">
        <v>85</v>
      </c>
      <c r="O108" t="s">
        <v>839</v>
      </c>
      <c r="P108" t="s">
        <v>72</v>
      </c>
      <c r="Q108">
        <v>21</v>
      </c>
      <c r="R108" t="s">
        <v>213</v>
      </c>
      <c r="S108" t="s">
        <v>7</v>
      </c>
      <c r="T108">
        <f>AVERAGE(12,25)</f>
        <v>18.5</v>
      </c>
      <c r="U108" t="s">
        <v>28</v>
      </c>
      <c r="V108" t="s">
        <v>28</v>
      </c>
      <c r="W108">
        <v>8</v>
      </c>
      <c r="X108">
        <v>4.6900000000000004</v>
      </c>
      <c r="Y108">
        <f t="shared" ref="Y108:Y148" si="1">Z108*SQRT(T108)</f>
        <v>1.0322790320451161</v>
      </c>
      <c r="Z108">
        <f>X108-4.45</f>
        <v>0.24000000000000021</v>
      </c>
    </row>
    <row r="109" spans="1:28" x14ac:dyDescent="0.2">
      <c r="A109" t="s">
        <v>49</v>
      </c>
      <c r="B109">
        <v>1988</v>
      </c>
      <c r="C109" t="s">
        <v>826</v>
      </c>
      <c r="D109" t="s">
        <v>824</v>
      </c>
      <c r="E109" t="s">
        <v>48</v>
      </c>
      <c r="F109" t="s">
        <v>52</v>
      </c>
      <c r="G109">
        <v>40.966667000000001</v>
      </c>
      <c r="H109">
        <v>-73.158332999999999</v>
      </c>
      <c r="I109" t="s">
        <v>773</v>
      </c>
      <c r="J109" t="s">
        <v>14</v>
      </c>
      <c r="K109" t="s">
        <v>50</v>
      </c>
      <c r="L109" t="s">
        <v>143</v>
      </c>
      <c r="M109" t="s">
        <v>26</v>
      </c>
      <c r="N109" t="s">
        <v>85</v>
      </c>
      <c r="O109" t="s">
        <v>839</v>
      </c>
      <c r="P109" t="s">
        <v>72</v>
      </c>
      <c r="Q109">
        <v>21</v>
      </c>
      <c r="R109" t="s">
        <v>213</v>
      </c>
      <c r="S109" t="s">
        <v>9</v>
      </c>
      <c r="T109">
        <f t="shared" ref="T109:T114" si="2">AVERAGE(12,25)</f>
        <v>18.5</v>
      </c>
      <c r="U109" t="s">
        <v>28</v>
      </c>
      <c r="V109" t="s">
        <v>28</v>
      </c>
      <c r="W109">
        <v>15</v>
      </c>
      <c r="X109">
        <v>3.94</v>
      </c>
      <c r="Y109">
        <f t="shared" si="1"/>
        <v>0.68818602136341078</v>
      </c>
      <c r="Z109">
        <f>X109-3.78</f>
        <v>0.16000000000000014</v>
      </c>
    </row>
    <row r="110" spans="1:28" x14ac:dyDescent="0.2">
      <c r="A110" t="s">
        <v>49</v>
      </c>
      <c r="B110">
        <v>1988</v>
      </c>
      <c r="C110" t="s">
        <v>826</v>
      </c>
      <c r="D110" t="s">
        <v>824</v>
      </c>
      <c r="E110" t="s">
        <v>48</v>
      </c>
      <c r="F110" t="s">
        <v>52</v>
      </c>
      <c r="G110">
        <v>40.966667000000001</v>
      </c>
      <c r="H110">
        <v>-73.158332999999999</v>
      </c>
      <c r="I110" t="s">
        <v>773</v>
      </c>
      <c r="J110" t="s">
        <v>14</v>
      </c>
      <c r="K110" t="s">
        <v>50</v>
      </c>
      <c r="L110" t="s">
        <v>143</v>
      </c>
      <c r="M110" t="s">
        <v>26</v>
      </c>
      <c r="N110" t="s">
        <v>85</v>
      </c>
      <c r="O110" t="s">
        <v>839</v>
      </c>
      <c r="P110" t="s">
        <v>72</v>
      </c>
      <c r="Q110">
        <v>21</v>
      </c>
      <c r="R110" t="s">
        <v>213</v>
      </c>
      <c r="S110" t="s">
        <v>27</v>
      </c>
      <c r="T110">
        <f t="shared" si="2"/>
        <v>18.5</v>
      </c>
      <c r="U110" t="s">
        <v>28</v>
      </c>
      <c r="V110" t="s">
        <v>28</v>
      </c>
      <c r="W110">
        <v>18</v>
      </c>
      <c r="X110">
        <v>3.4</v>
      </c>
      <c r="Y110">
        <f t="shared" si="1"/>
        <v>0.73119764769862294</v>
      </c>
      <c r="Z110">
        <f>X110-3.23</f>
        <v>0.16999999999999993</v>
      </c>
    </row>
    <row r="111" spans="1:28" x14ac:dyDescent="0.2">
      <c r="A111" t="s">
        <v>49</v>
      </c>
      <c r="B111">
        <v>1988</v>
      </c>
      <c r="C111" t="s">
        <v>826</v>
      </c>
      <c r="D111" t="s">
        <v>824</v>
      </c>
      <c r="E111" t="s">
        <v>48</v>
      </c>
      <c r="F111" t="s">
        <v>52</v>
      </c>
      <c r="G111">
        <v>40.966667000000001</v>
      </c>
      <c r="H111">
        <v>-73.158332999999999</v>
      </c>
      <c r="I111" t="s">
        <v>773</v>
      </c>
      <c r="J111" t="s">
        <v>14</v>
      </c>
      <c r="K111" t="s">
        <v>50</v>
      </c>
      <c r="L111" t="s">
        <v>143</v>
      </c>
      <c r="M111" t="s">
        <v>26</v>
      </c>
      <c r="N111" t="s">
        <v>85</v>
      </c>
      <c r="O111" t="s">
        <v>839</v>
      </c>
      <c r="P111" t="s">
        <v>72</v>
      </c>
      <c r="Q111">
        <v>21</v>
      </c>
      <c r="R111" t="s">
        <v>213</v>
      </c>
      <c r="S111" t="s">
        <v>13</v>
      </c>
      <c r="T111">
        <f t="shared" si="2"/>
        <v>18.5</v>
      </c>
      <c r="U111" t="s">
        <v>28</v>
      </c>
      <c r="V111" t="s">
        <v>28</v>
      </c>
      <c r="W111">
        <v>20</v>
      </c>
      <c r="X111">
        <v>0.91</v>
      </c>
      <c r="Y111">
        <f t="shared" si="1"/>
        <v>1.0752906583803283</v>
      </c>
      <c r="Z111">
        <f>X111-0.66</f>
        <v>0.25</v>
      </c>
    </row>
    <row r="112" spans="1:28" x14ac:dyDescent="0.2">
      <c r="A112" t="s">
        <v>49</v>
      </c>
      <c r="B112">
        <v>1988</v>
      </c>
      <c r="C112" t="s">
        <v>826</v>
      </c>
      <c r="D112" t="s">
        <v>824</v>
      </c>
      <c r="E112" t="s">
        <v>48</v>
      </c>
      <c r="F112" t="s">
        <v>53</v>
      </c>
      <c r="G112">
        <v>43.166666999999997</v>
      </c>
      <c r="H112">
        <v>-70.608333000000002</v>
      </c>
      <c r="I112" t="s">
        <v>773</v>
      </c>
      <c r="J112" t="s">
        <v>7</v>
      </c>
      <c r="K112" t="s">
        <v>50</v>
      </c>
      <c r="L112" t="s">
        <v>143</v>
      </c>
      <c r="M112" t="s">
        <v>26</v>
      </c>
      <c r="N112" t="s">
        <v>85</v>
      </c>
      <c r="O112" t="s">
        <v>839</v>
      </c>
      <c r="P112" t="s">
        <v>72</v>
      </c>
      <c r="Q112">
        <v>21</v>
      </c>
      <c r="R112" t="s">
        <v>213</v>
      </c>
      <c r="S112" t="s">
        <v>7</v>
      </c>
      <c r="T112">
        <f>AVERAGE(12,25)</f>
        <v>18.5</v>
      </c>
      <c r="U112" t="s">
        <v>28</v>
      </c>
      <c r="V112" t="s">
        <v>28</v>
      </c>
      <c r="W112">
        <v>8</v>
      </c>
      <c r="X112">
        <v>3.84</v>
      </c>
      <c r="Y112">
        <f t="shared" si="1"/>
        <v>0.98926740570990201</v>
      </c>
      <c r="Z112">
        <f>X112-3.61</f>
        <v>0.22999999999999998</v>
      </c>
    </row>
    <row r="113" spans="1:26" x14ac:dyDescent="0.2">
      <c r="A113" t="s">
        <v>49</v>
      </c>
      <c r="B113">
        <v>1988</v>
      </c>
      <c r="C113" t="s">
        <v>826</v>
      </c>
      <c r="D113" t="s">
        <v>824</v>
      </c>
      <c r="E113" t="s">
        <v>48</v>
      </c>
      <c r="F113" t="s">
        <v>53</v>
      </c>
      <c r="G113">
        <v>43.166666999999997</v>
      </c>
      <c r="H113">
        <v>-70.608333000000002</v>
      </c>
      <c r="I113" t="s">
        <v>773</v>
      </c>
      <c r="J113" t="s">
        <v>14</v>
      </c>
      <c r="K113" t="s">
        <v>50</v>
      </c>
      <c r="L113" t="s">
        <v>143</v>
      </c>
      <c r="M113" t="s">
        <v>26</v>
      </c>
      <c r="N113" t="s">
        <v>85</v>
      </c>
      <c r="O113" t="s">
        <v>839</v>
      </c>
      <c r="P113" t="s">
        <v>72</v>
      </c>
      <c r="Q113">
        <v>21</v>
      </c>
      <c r="R113" t="s">
        <v>213</v>
      </c>
      <c r="S113" t="s">
        <v>9</v>
      </c>
      <c r="T113">
        <f t="shared" si="2"/>
        <v>18.5</v>
      </c>
      <c r="U113" t="s">
        <v>28</v>
      </c>
      <c r="V113" t="s">
        <v>28</v>
      </c>
      <c r="W113">
        <v>15</v>
      </c>
      <c r="X113">
        <v>3.67</v>
      </c>
      <c r="Y113">
        <f t="shared" si="1"/>
        <v>0.68818602136341078</v>
      </c>
      <c r="Z113">
        <f>X113-3.51</f>
        <v>0.16000000000000014</v>
      </c>
    </row>
    <row r="114" spans="1:26" x14ac:dyDescent="0.2">
      <c r="A114" t="s">
        <v>49</v>
      </c>
      <c r="B114">
        <v>1988</v>
      </c>
      <c r="C114" t="s">
        <v>826</v>
      </c>
      <c r="D114" t="s">
        <v>824</v>
      </c>
      <c r="E114" t="s">
        <v>48</v>
      </c>
      <c r="F114" t="s">
        <v>53</v>
      </c>
      <c r="G114">
        <v>43.166666999999997</v>
      </c>
      <c r="H114">
        <v>-70.608333000000002</v>
      </c>
      <c r="I114" t="s">
        <v>773</v>
      </c>
      <c r="J114" t="s">
        <v>14</v>
      </c>
      <c r="K114" t="s">
        <v>50</v>
      </c>
      <c r="L114" t="s">
        <v>143</v>
      </c>
      <c r="M114" t="s">
        <v>26</v>
      </c>
      <c r="N114" t="s">
        <v>85</v>
      </c>
      <c r="O114" t="s">
        <v>839</v>
      </c>
      <c r="P114" t="s">
        <v>72</v>
      </c>
      <c r="Q114">
        <v>21</v>
      </c>
      <c r="R114" t="s">
        <v>213</v>
      </c>
      <c r="S114" t="s">
        <v>27</v>
      </c>
      <c r="T114">
        <f t="shared" si="2"/>
        <v>18.5</v>
      </c>
      <c r="U114" t="s">
        <v>28</v>
      </c>
      <c r="V114" t="s">
        <v>28</v>
      </c>
      <c r="W114">
        <v>18</v>
      </c>
      <c r="X114">
        <v>2.99</v>
      </c>
      <c r="Y114">
        <f t="shared" si="1"/>
        <v>0.64517439502819851</v>
      </c>
      <c r="Z114">
        <f>X114-2.84</f>
        <v>0.15000000000000036</v>
      </c>
    </row>
    <row r="115" spans="1:26" x14ac:dyDescent="0.2">
      <c r="A115" t="s">
        <v>49</v>
      </c>
      <c r="B115">
        <v>1988</v>
      </c>
      <c r="C115" t="s">
        <v>826</v>
      </c>
      <c r="D115" t="s">
        <v>824</v>
      </c>
      <c r="E115" t="s">
        <v>48</v>
      </c>
      <c r="F115" t="s">
        <v>52</v>
      </c>
      <c r="G115">
        <v>40.966667000000001</v>
      </c>
      <c r="H115">
        <v>-73.158332999999999</v>
      </c>
      <c r="I115" t="s">
        <v>773</v>
      </c>
      <c r="J115" t="s">
        <v>7</v>
      </c>
      <c r="K115" t="s">
        <v>50</v>
      </c>
      <c r="L115" t="s">
        <v>143</v>
      </c>
      <c r="M115" t="s">
        <v>172</v>
      </c>
      <c r="N115" t="s">
        <v>86</v>
      </c>
      <c r="O115" t="s">
        <v>62</v>
      </c>
      <c r="P115" t="s">
        <v>63</v>
      </c>
      <c r="Q115">
        <v>21</v>
      </c>
      <c r="R115" t="s">
        <v>213</v>
      </c>
      <c r="S115" t="s">
        <v>7</v>
      </c>
      <c r="T115">
        <f>AVERAGE(4,9)</f>
        <v>6.5</v>
      </c>
      <c r="U115" t="s">
        <v>28</v>
      </c>
      <c r="V115" t="s">
        <v>28</v>
      </c>
      <c r="W115">
        <v>8</v>
      </c>
      <c r="X115">
        <v>0.09</v>
      </c>
      <c r="Y115">
        <f t="shared" si="1"/>
        <v>5.099019513592782E-2</v>
      </c>
      <c r="Z115">
        <f>X115-0.07</f>
        <v>1.999999999999999E-2</v>
      </c>
    </row>
    <row r="116" spans="1:26" x14ac:dyDescent="0.2">
      <c r="A116" t="s">
        <v>49</v>
      </c>
      <c r="B116">
        <v>1988</v>
      </c>
      <c r="C116" t="s">
        <v>826</v>
      </c>
      <c r="D116" t="s">
        <v>824</v>
      </c>
      <c r="E116" t="s">
        <v>48</v>
      </c>
      <c r="F116" t="s">
        <v>52</v>
      </c>
      <c r="G116">
        <v>40.966667000000001</v>
      </c>
      <c r="H116">
        <v>-73.158332999999999</v>
      </c>
      <c r="I116" t="s">
        <v>773</v>
      </c>
      <c r="J116" t="s">
        <v>14</v>
      </c>
      <c r="K116" t="s">
        <v>50</v>
      </c>
      <c r="L116" t="s">
        <v>143</v>
      </c>
      <c r="M116" t="s">
        <v>172</v>
      </c>
      <c r="N116" t="s">
        <v>86</v>
      </c>
      <c r="O116" t="s">
        <v>62</v>
      </c>
      <c r="P116" t="s">
        <v>63</v>
      </c>
      <c r="Q116">
        <v>21</v>
      </c>
      <c r="R116" t="s">
        <v>213</v>
      </c>
      <c r="S116" t="s">
        <v>9</v>
      </c>
      <c r="T116">
        <f t="shared" ref="T116:T141" si="3">AVERAGE(4,9)</f>
        <v>6.5</v>
      </c>
      <c r="U116" t="s">
        <v>28</v>
      </c>
      <c r="V116" t="s">
        <v>28</v>
      </c>
      <c r="W116">
        <v>15</v>
      </c>
      <c r="X116">
        <v>0.19</v>
      </c>
      <c r="Y116">
        <f t="shared" si="1"/>
        <v>5.099019513592782E-2</v>
      </c>
      <c r="Z116">
        <f>X116-0.17</f>
        <v>1.999999999999999E-2</v>
      </c>
    </row>
    <row r="117" spans="1:26" x14ac:dyDescent="0.2">
      <c r="A117" t="s">
        <v>49</v>
      </c>
      <c r="B117">
        <v>1988</v>
      </c>
      <c r="C117" t="s">
        <v>826</v>
      </c>
      <c r="D117" t="s">
        <v>824</v>
      </c>
      <c r="E117" t="s">
        <v>48</v>
      </c>
      <c r="F117" t="s">
        <v>52</v>
      </c>
      <c r="G117">
        <v>40.966667000000001</v>
      </c>
      <c r="H117">
        <v>-73.158332999999999</v>
      </c>
      <c r="I117" t="s">
        <v>773</v>
      </c>
      <c r="J117" t="s">
        <v>14</v>
      </c>
      <c r="K117" t="s">
        <v>50</v>
      </c>
      <c r="L117" t="s">
        <v>143</v>
      </c>
      <c r="M117" t="s">
        <v>172</v>
      </c>
      <c r="N117" t="s">
        <v>86</v>
      </c>
      <c r="O117" t="s">
        <v>62</v>
      </c>
      <c r="P117" t="s">
        <v>63</v>
      </c>
      <c r="Q117">
        <v>21</v>
      </c>
      <c r="R117" t="s">
        <v>213</v>
      </c>
      <c r="S117" t="s">
        <v>27</v>
      </c>
      <c r="T117">
        <f t="shared" si="3"/>
        <v>6.5</v>
      </c>
      <c r="U117" t="s">
        <v>28</v>
      </c>
      <c r="V117" t="s">
        <v>28</v>
      </c>
      <c r="W117">
        <v>18</v>
      </c>
      <c r="X117">
        <v>0.2</v>
      </c>
      <c r="Y117">
        <f t="shared" si="1"/>
        <v>7.6485292703891761E-2</v>
      </c>
      <c r="Z117">
        <f>0.23-X117</f>
        <v>0.03</v>
      </c>
    </row>
    <row r="118" spans="1:26" x14ac:dyDescent="0.2">
      <c r="A118" t="s">
        <v>49</v>
      </c>
      <c r="B118">
        <v>1988</v>
      </c>
      <c r="C118" t="s">
        <v>826</v>
      </c>
      <c r="D118" t="s">
        <v>824</v>
      </c>
      <c r="E118" t="s">
        <v>48</v>
      </c>
      <c r="F118" t="s">
        <v>52</v>
      </c>
      <c r="G118">
        <v>40.966667000000001</v>
      </c>
      <c r="H118">
        <v>-73.158332999999999</v>
      </c>
      <c r="I118" t="s">
        <v>773</v>
      </c>
      <c r="J118" t="s">
        <v>14</v>
      </c>
      <c r="K118" t="s">
        <v>50</v>
      </c>
      <c r="L118" t="s">
        <v>143</v>
      </c>
      <c r="M118" t="s">
        <v>172</v>
      </c>
      <c r="N118" t="s">
        <v>86</v>
      </c>
      <c r="O118" t="s">
        <v>62</v>
      </c>
      <c r="P118" t="s">
        <v>63</v>
      </c>
      <c r="Q118">
        <v>21</v>
      </c>
      <c r="R118" t="s">
        <v>213</v>
      </c>
      <c r="S118" t="s">
        <v>13</v>
      </c>
      <c r="T118">
        <f t="shared" si="3"/>
        <v>6.5</v>
      </c>
      <c r="U118" t="s">
        <v>28</v>
      </c>
      <c r="V118" t="s">
        <v>28</v>
      </c>
      <c r="W118">
        <v>20</v>
      </c>
      <c r="X118">
        <v>0.3</v>
      </c>
      <c r="Y118">
        <f t="shared" si="1"/>
        <v>0.20396078054371136</v>
      </c>
      <c r="Z118">
        <f>X118-0.22</f>
        <v>7.9999999999999988E-2</v>
      </c>
    </row>
    <row r="119" spans="1:26" x14ac:dyDescent="0.2">
      <c r="A119" t="s">
        <v>49</v>
      </c>
      <c r="B119">
        <v>1988</v>
      </c>
      <c r="C119" t="s">
        <v>826</v>
      </c>
      <c r="D119" t="s">
        <v>824</v>
      </c>
      <c r="E119" t="s">
        <v>48</v>
      </c>
      <c r="F119" t="s">
        <v>52</v>
      </c>
      <c r="G119">
        <v>40.966667000000001</v>
      </c>
      <c r="H119">
        <v>-73.158332999999999</v>
      </c>
      <c r="I119" t="s">
        <v>773</v>
      </c>
      <c r="J119" t="s">
        <v>14</v>
      </c>
      <c r="K119" t="s">
        <v>50</v>
      </c>
      <c r="L119" t="s">
        <v>143</v>
      </c>
      <c r="M119" t="s">
        <v>172</v>
      </c>
      <c r="N119" t="s">
        <v>86</v>
      </c>
      <c r="O119" t="s">
        <v>62</v>
      </c>
      <c r="P119" t="s">
        <v>63</v>
      </c>
      <c r="Q119">
        <v>7</v>
      </c>
      <c r="R119" t="s">
        <v>214</v>
      </c>
      <c r="S119" t="s">
        <v>13</v>
      </c>
      <c r="T119">
        <f t="shared" si="3"/>
        <v>6.5</v>
      </c>
      <c r="U119" t="s">
        <v>28</v>
      </c>
      <c r="V119" t="s">
        <v>28</v>
      </c>
      <c r="W119">
        <v>20</v>
      </c>
      <c r="X119">
        <v>0.3</v>
      </c>
      <c r="Y119">
        <f t="shared" si="1"/>
        <v>0.10198039027185564</v>
      </c>
      <c r="Z119">
        <f>X119-0.26</f>
        <v>3.999999999999998E-2</v>
      </c>
    </row>
    <row r="120" spans="1:26" x14ac:dyDescent="0.2">
      <c r="A120" t="s">
        <v>49</v>
      </c>
      <c r="B120">
        <v>1988</v>
      </c>
      <c r="C120" t="s">
        <v>826</v>
      </c>
      <c r="D120" t="s">
        <v>824</v>
      </c>
      <c r="E120" t="s">
        <v>48</v>
      </c>
      <c r="F120" t="s">
        <v>53</v>
      </c>
      <c r="G120">
        <v>43.166666999999997</v>
      </c>
      <c r="H120">
        <v>-70.608333000000002</v>
      </c>
      <c r="I120" t="s">
        <v>773</v>
      </c>
      <c r="J120" t="s">
        <v>7</v>
      </c>
      <c r="K120" t="s">
        <v>50</v>
      </c>
      <c r="L120" t="s">
        <v>143</v>
      </c>
      <c r="M120" t="s">
        <v>172</v>
      </c>
      <c r="N120" t="s">
        <v>86</v>
      </c>
      <c r="O120" t="s">
        <v>62</v>
      </c>
      <c r="P120" t="s">
        <v>63</v>
      </c>
      <c r="Q120">
        <v>21</v>
      </c>
      <c r="R120" t="s">
        <v>213</v>
      </c>
      <c r="S120" t="s">
        <v>7</v>
      </c>
      <c r="T120">
        <f>AVERAGE(4,9)</f>
        <v>6.5</v>
      </c>
      <c r="U120" t="s">
        <v>28</v>
      </c>
      <c r="V120" t="s">
        <v>28</v>
      </c>
      <c r="W120">
        <v>8</v>
      </c>
      <c r="X120">
        <v>0.1</v>
      </c>
      <c r="Y120">
        <f t="shared" si="1"/>
        <v>7.6485292703891761E-2</v>
      </c>
      <c r="Z120">
        <f>0.13-X120</f>
        <v>0.03</v>
      </c>
    </row>
    <row r="121" spans="1:26" x14ac:dyDescent="0.2">
      <c r="A121" t="s">
        <v>49</v>
      </c>
      <c r="B121">
        <v>1988</v>
      </c>
      <c r="C121" t="s">
        <v>826</v>
      </c>
      <c r="D121" t="s">
        <v>824</v>
      </c>
      <c r="E121" t="s">
        <v>48</v>
      </c>
      <c r="F121" t="s">
        <v>53</v>
      </c>
      <c r="G121">
        <v>43.166666999999997</v>
      </c>
      <c r="H121">
        <v>-70.608333000000002</v>
      </c>
      <c r="I121" t="s">
        <v>773</v>
      </c>
      <c r="J121" t="s">
        <v>14</v>
      </c>
      <c r="K121" t="s">
        <v>50</v>
      </c>
      <c r="L121" t="s">
        <v>143</v>
      </c>
      <c r="M121" t="s">
        <v>172</v>
      </c>
      <c r="N121" t="s">
        <v>86</v>
      </c>
      <c r="O121" t="s">
        <v>62</v>
      </c>
      <c r="P121" t="s">
        <v>63</v>
      </c>
      <c r="Q121">
        <v>21</v>
      </c>
      <c r="R121" t="s">
        <v>213</v>
      </c>
      <c r="S121" t="s">
        <v>9</v>
      </c>
      <c r="T121">
        <f t="shared" si="3"/>
        <v>6.5</v>
      </c>
      <c r="U121" t="s">
        <v>28</v>
      </c>
      <c r="V121" t="s">
        <v>28</v>
      </c>
      <c r="W121">
        <v>15</v>
      </c>
      <c r="X121">
        <v>0.2</v>
      </c>
      <c r="Y121">
        <f t="shared" si="1"/>
        <v>7.6485292703891761E-2</v>
      </c>
      <c r="Z121">
        <f>0.23-X121</f>
        <v>0.03</v>
      </c>
    </row>
    <row r="122" spans="1:26" x14ac:dyDescent="0.2">
      <c r="A122" t="s">
        <v>49</v>
      </c>
      <c r="B122">
        <v>1988</v>
      </c>
      <c r="C122" t="s">
        <v>826</v>
      </c>
      <c r="D122" t="s">
        <v>824</v>
      </c>
      <c r="E122" t="s">
        <v>48</v>
      </c>
      <c r="F122" t="s">
        <v>53</v>
      </c>
      <c r="G122">
        <v>43.166666999999997</v>
      </c>
      <c r="H122">
        <v>-70.608333000000002</v>
      </c>
      <c r="I122" t="s">
        <v>773</v>
      </c>
      <c r="J122" t="s">
        <v>14</v>
      </c>
      <c r="K122" t="s">
        <v>50</v>
      </c>
      <c r="L122" t="s">
        <v>143</v>
      </c>
      <c r="M122" t="s">
        <v>172</v>
      </c>
      <c r="N122" t="s">
        <v>86</v>
      </c>
      <c r="O122" t="s">
        <v>62</v>
      </c>
      <c r="P122" t="s">
        <v>63</v>
      </c>
      <c r="Q122">
        <v>21</v>
      </c>
      <c r="R122" t="s">
        <v>213</v>
      </c>
      <c r="S122" t="s">
        <v>27</v>
      </c>
      <c r="T122">
        <f t="shared" si="3"/>
        <v>6.5</v>
      </c>
      <c r="U122" t="s">
        <v>28</v>
      </c>
      <c r="V122" t="s">
        <v>28</v>
      </c>
      <c r="W122">
        <v>18</v>
      </c>
      <c r="X122">
        <v>0.18</v>
      </c>
      <c r="Y122">
        <f t="shared" si="1"/>
        <v>7.6485292703891761E-2</v>
      </c>
      <c r="Z122">
        <f>X122-0.15</f>
        <v>0.03</v>
      </c>
    </row>
    <row r="123" spans="1:26" x14ac:dyDescent="0.2">
      <c r="A123" t="s">
        <v>49</v>
      </c>
      <c r="B123">
        <v>1988</v>
      </c>
      <c r="C123" t="s">
        <v>826</v>
      </c>
      <c r="D123" t="s">
        <v>824</v>
      </c>
      <c r="E123" t="s">
        <v>48</v>
      </c>
      <c r="F123" t="s">
        <v>53</v>
      </c>
      <c r="G123">
        <v>43.166666999999997</v>
      </c>
      <c r="H123">
        <v>-70.608333000000002</v>
      </c>
      <c r="I123" t="s">
        <v>773</v>
      </c>
      <c r="J123" t="s">
        <v>14</v>
      </c>
      <c r="K123" t="s">
        <v>50</v>
      </c>
      <c r="L123" t="s">
        <v>143</v>
      </c>
      <c r="M123" t="s">
        <v>172</v>
      </c>
      <c r="N123" t="s">
        <v>86</v>
      </c>
      <c r="O123" t="s">
        <v>62</v>
      </c>
      <c r="P123" t="s">
        <v>63</v>
      </c>
      <c r="Q123">
        <v>7</v>
      </c>
      <c r="R123" t="s">
        <v>214</v>
      </c>
      <c r="S123" t="s">
        <v>13</v>
      </c>
      <c r="T123">
        <f t="shared" si="3"/>
        <v>6.5</v>
      </c>
      <c r="U123" t="s">
        <v>28</v>
      </c>
      <c r="V123" t="s">
        <v>28</v>
      </c>
      <c r="W123">
        <v>20</v>
      </c>
      <c r="X123">
        <v>0.22</v>
      </c>
      <c r="Y123">
        <f t="shared" si="1"/>
        <v>7.6485292703891761E-2</v>
      </c>
      <c r="Z123">
        <f>X123-0.19</f>
        <v>0.03</v>
      </c>
    </row>
    <row r="124" spans="1:26" x14ac:dyDescent="0.2">
      <c r="A124" t="s">
        <v>49</v>
      </c>
      <c r="B124">
        <v>1988</v>
      </c>
      <c r="C124" t="s">
        <v>826</v>
      </c>
      <c r="D124" t="s">
        <v>824</v>
      </c>
      <c r="E124" t="s">
        <v>48</v>
      </c>
      <c r="F124" t="s">
        <v>52</v>
      </c>
      <c r="G124">
        <v>40.966667000000001</v>
      </c>
      <c r="H124">
        <v>-73.158332999999999</v>
      </c>
      <c r="I124" t="s">
        <v>773</v>
      </c>
      <c r="J124" t="s">
        <v>7</v>
      </c>
      <c r="K124" t="s">
        <v>50</v>
      </c>
      <c r="L124" t="s">
        <v>143</v>
      </c>
      <c r="M124" t="s">
        <v>726</v>
      </c>
      <c r="N124" t="s">
        <v>85</v>
      </c>
      <c r="O124" t="s">
        <v>58</v>
      </c>
      <c r="P124" t="s">
        <v>59</v>
      </c>
      <c r="Q124">
        <v>21</v>
      </c>
      <c r="R124" t="s">
        <v>213</v>
      </c>
      <c r="S124" t="s">
        <v>7</v>
      </c>
      <c r="T124">
        <f>AVERAGE(4,9)</f>
        <v>6.5</v>
      </c>
      <c r="U124" t="s">
        <v>28</v>
      </c>
      <c r="V124" t="s">
        <v>28</v>
      </c>
      <c r="W124">
        <v>8</v>
      </c>
      <c r="X124">
        <v>7.16</v>
      </c>
      <c r="Y124">
        <f t="shared" si="1"/>
        <v>2.8809460251799228</v>
      </c>
      <c r="Z124">
        <f>X124-6.03</f>
        <v>1.1299999999999999</v>
      </c>
    </row>
    <row r="125" spans="1:26" x14ac:dyDescent="0.2">
      <c r="A125" t="s">
        <v>49</v>
      </c>
      <c r="B125">
        <v>1988</v>
      </c>
      <c r="C125" t="s">
        <v>826</v>
      </c>
      <c r="D125" t="s">
        <v>824</v>
      </c>
      <c r="E125" t="s">
        <v>48</v>
      </c>
      <c r="F125" t="s">
        <v>52</v>
      </c>
      <c r="G125">
        <v>40.966667000000001</v>
      </c>
      <c r="H125">
        <v>-73.158332999999999</v>
      </c>
      <c r="I125" t="s">
        <v>773</v>
      </c>
      <c r="J125" t="s">
        <v>14</v>
      </c>
      <c r="K125" t="s">
        <v>50</v>
      </c>
      <c r="L125" t="s">
        <v>143</v>
      </c>
      <c r="M125" t="s">
        <v>726</v>
      </c>
      <c r="N125" t="s">
        <v>85</v>
      </c>
      <c r="O125" t="s">
        <v>58</v>
      </c>
      <c r="P125" t="s">
        <v>59</v>
      </c>
      <c r="Q125">
        <v>21</v>
      </c>
      <c r="R125" t="s">
        <v>213</v>
      </c>
      <c r="S125" t="s">
        <v>9</v>
      </c>
      <c r="T125">
        <f t="shared" si="3"/>
        <v>6.5</v>
      </c>
      <c r="U125" t="s">
        <v>28</v>
      </c>
      <c r="V125" t="s">
        <v>28</v>
      </c>
      <c r="W125">
        <v>15</v>
      </c>
      <c r="X125">
        <v>15.41</v>
      </c>
      <c r="Y125">
        <f t="shared" si="1"/>
        <v>5.4814459771122443</v>
      </c>
      <c r="Z125">
        <f>X125-13.26</f>
        <v>2.1500000000000004</v>
      </c>
    </row>
    <row r="126" spans="1:26" x14ac:dyDescent="0.2">
      <c r="A126" t="s">
        <v>49</v>
      </c>
      <c r="B126">
        <v>1988</v>
      </c>
      <c r="C126" t="s">
        <v>826</v>
      </c>
      <c r="D126" t="s">
        <v>824</v>
      </c>
      <c r="E126" t="s">
        <v>48</v>
      </c>
      <c r="F126" t="s">
        <v>52</v>
      </c>
      <c r="G126">
        <v>40.966667000000001</v>
      </c>
      <c r="H126">
        <v>-73.158332999999999</v>
      </c>
      <c r="I126" t="s">
        <v>773</v>
      </c>
      <c r="J126" t="s">
        <v>14</v>
      </c>
      <c r="K126" t="s">
        <v>50</v>
      </c>
      <c r="L126" t="s">
        <v>143</v>
      </c>
      <c r="M126" t="s">
        <v>726</v>
      </c>
      <c r="N126" t="s">
        <v>85</v>
      </c>
      <c r="O126" t="s">
        <v>58</v>
      </c>
      <c r="P126" t="s">
        <v>59</v>
      </c>
      <c r="Q126">
        <v>21</v>
      </c>
      <c r="R126" t="s">
        <v>213</v>
      </c>
      <c r="S126" t="s">
        <v>27</v>
      </c>
      <c r="T126">
        <f t="shared" si="3"/>
        <v>6.5</v>
      </c>
      <c r="U126" t="s">
        <v>28</v>
      </c>
      <c r="V126" t="s">
        <v>28</v>
      </c>
      <c r="W126">
        <v>18</v>
      </c>
      <c r="X126">
        <v>17.68</v>
      </c>
      <c r="Y126">
        <f t="shared" si="1"/>
        <v>5.0990195135927845</v>
      </c>
      <c r="Z126">
        <f>X126-15.68</f>
        <v>2</v>
      </c>
    </row>
    <row r="127" spans="1:26" x14ac:dyDescent="0.2">
      <c r="A127" t="s">
        <v>49</v>
      </c>
      <c r="B127">
        <v>1988</v>
      </c>
      <c r="C127" t="s">
        <v>826</v>
      </c>
      <c r="D127" t="s">
        <v>824</v>
      </c>
      <c r="E127" t="s">
        <v>48</v>
      </c>
      <c r="F127" t="s">
        <v>52</v>
      </c>
      <c r="G127">
        <v>40.966667000000001</v>
      </c>
      <c r="H127">
        <v>-73.158332999999999</v>
      </c>
      <c r="I127" t="s">
        <v>773</v>
      </c>
      <c r="J127" t="s">
        <v>14</v>
      </c>
      <c r="K127" t="s">
        <v>50</v>
      </c>
      <c r="L127" t="s">
        <v>143</v>
      </c>
      <c r="M127" t="s">
        <v>726</v>
      </c>
      <c r="N127" t="s">
        <v>85</v>
      </c>
      <c r="O127" t="s">
        <v>58</v>
      </c>
      <c r="P127" t="s">
        <v>59</v>
      </c>
      <c r="Q127">
        <v>21</v>
      </c>
      <c r="R127" t="s">
        <v>213</v>
      </c>
      <c r="S127" t="s">
        <v>13</v>
      </c>
      <c r="T127">
        <f t="shared" si="3"/>
        <v>6.5</v>
      </c>
      <c r="U127" t="s">
        <v>28</v>
      </c>
      <c r="V127" t="s">
        <v>28</v>
      </c>
      <c r="W127">
        <v>20</v>
      </c>
      <c r="X127">
        <v>16.55</v>
      </c>
      <c r="Y127">
        <f t="shared" si="1"/>
        <v>2.3455489762526809</v>
      </c>
      <c r="Z127">
        <f>X127-15.63</f>
        <v>0.91999999999999993</v>
      </c>
    </row>
    <row r="128" spans="1:26" x14ac:dyDescent="0.2">
      <c r="A128" t="s">
        <v>49</v>
      </c>
      <c r="B128">
        <v>1988</v>
      </c>
      <c r="C128" t="s">
        <v>826</v>
      </c>
      <c r="D128" t="s">
        <v>824</v>
      </c>
      <c r="E128" t="s">
        <v>48</v>
      </c>
      <c r="F128" t="s">
        <v>52</v>
      </c>
      <c r="G128">
        <v>40.966667000000001</v>
      </c>
      <c r="H128">
        <v>-73.158332999999999</v>
      </c>
      <c r="I128" t="s">
        <v>773</v>
      </c>
      <c r="J128" t="s">
        <v>14</v>
      </c>
      <c r="K128" t="s">
        <v>50</v>
      </c>
      <c r="L128" t="s">
        <v>143</v>
      </c>
      <c r="M128" t="s">
        <v>726</v>
      </c>
      <c r="N128" t="s">
        <v>85</v>
      </c>
      <c r="O128" t="s">
        <v>58</v>
      </c>
      <c r="P128" t="s">
        <v>59</v>
      </c>
      <c r="Q128">
        <v>7</v>
      </c>
      <c r="R128" t="s">
        <v>214</v>
      </c>
      <c r="S128" t="s">
        <v>13</v>
      </c>
      <c r="T128">
        <f t="shared" si="3"/>
        <v>6.5</v>
      </c>
      <c r="U128" t="s">
        <v>28</v>
      </c>
      <c r="V128" t="s">
        <v>28</v>
      </c>
      <c r="W128">
        <v>20</v>
      </c>
      <c r="X128">
        <v>22.05</v>
      </c>
      <c r="Y128">
        <f t="shared" si="1"/>
        <v>5.3539704892724274</v>
      </c>
      <c r="Z128">
        <f>X128-19.95</f>
        <v>2.1000000000000014</v>
      </c>
    </row>
    <row r="129" spans="1:26" x14ac:dyDescent="0.2">
      <c r="A129" t="s">
        <v>49</v>
      </c>
      <c r="B129">
        <v>1988</v>
      </c>
      <c r="C129" t="s">
        <v>826</v>
      </c>
      <c r="D129" t="s">
        <v>824</v>
      </c>
      <c r="E129" t="s">
        <v>48</v>
      </c>
      <c r="F129" t="s">
        <v>53</v>
      </c>
      <c r="G129">
        <v>43.166666999999997</v>
      </c>
      <c r="H129">
        <v>-70.608333000000002</v>
      </c>
      <c r="I129" t="s">
        <v>773</v>
      </c>
      <c r="J129" t="s">
        <v>7</v>
      </c>
      <c r="K129" t="s">
        <v>50</v>
      </c>
      <c r="L129" t="s">
        <v>143</v>
      </c>
      <c r="M129" t="s">
        <v>726</v>
      </c>
      <c r="N129" t="s">
        <v>85</v>
      </c>
      <c r="O129" t="s">
        <v>58</v>
      </c>
      <c r="P129" t="s">
        <v>59</v>
      </c>
      <c r="Q129">
        <v>21</v>
      </c>
      <c r="R129" t="s">
        <v>213</v>
      </c>
      <c r="S129" t="s">
        <v>7</v>
      </c>
      <c r="T129">
        <f>AVERAGE(4,9)</f>
        <v>6.5</v>
      </c>
      <c r="U129" t="s">
        <v>28</v>
      </c>
      <c r="V129" t="s">
        <v>28</v>
      </c>
      <c r="W129">
        <v>8</v>
      </c>
      <c r="X129">
        <v>8.56</v>
      </c>
      <c r="Y129">
        <f t="shared" si="1"/>
        <v>1.504210756509871</v>
      </c>
      <c r="Z129">
        <f>9.15-X129</f>
        <v>0.58999999999999986</v>
      </c>
    </row>
    <row r="130" spans="1:26" x14ac:dyDescent="0.2">
      <c r="A130" t="s">
        <v>49</v>
      </c>
      <c r="B130">
        <v>1988</v>
      </c>
      <c r="C130" t="s">
        <v>826</v>
      </c>
      <c r="D130" t="s">
        <v>824</v>
      </c>
      <c r="E130" t="s">
        <v>48</v>
      </c>
      <c r="F130" t="s">
        <v>53</v>
      </c>
      <c r="G130">
        <v>43.166666999999997</v>
      </c>
      <c r="H130">
        <v>-70.608333000000002</v>
      </c>
      <c r="I130" t="s">
        <v>773</v>
      </c>
      <c r="J130" t="s">
        <v>14</v>
      </c>
      <c r="K130" t="s">
        <v>50</v>
      </c>
      <c r="L130" t="s">
        <v>143</v>
      </c>
      <c r="M130" t="s">
        <v>726</v>
      </c>
      <c r="N130" t="s">
        <v>85</v>
      </c>
      <c r="O130" t="s">
        <v>58</v>
      </c>
      <c r="P130" t="s">
        <v>59</v>
      </c>
      <c r="Q130">
        <v>21</v>
      </c>
      <c r="R130" t="s">
        <v>213</v>
      </c>
      <c r="S130" t="s">
        <v>9</v>
      </c>
      <c r="T130">
        <f t="shared" si="3"/>
        <v>6.5</v>
      </c>
      <c r="U130" t="s">
        <v>28</v>
      </c>
      <c r="V130" t="s">
        <v>28</v>
      </c>
      <c r="W130">
        <v>15</v>
      </c>
      <c r="X130">
        <v>16.12</v>
      </c>
      <c r="Y130">
        <f t="shared" si="1"/>
        <v>5.6344165625200198</v>
      </c>
      <c r="Z130">
        <f>18.33-X130</f>
        <v>2.2099999999999973</v>
      </c>
    </row>
    <row r="131" spans="1:26" x14ac:dyDescent="0.2">
      <c r="A131" t="s">
        <v>49</v>
      </c>
      <c r="B131">
        <v>1988</v>
      </c>
      <c r="C131" t="s">
        <v>826</v>
      </c>
      <c r="D131" t="s">
        <v>824</v>
      </c>
      <c r="E131" t="s">
        <v>48</v>
      </c>
      <c r="F131" t="s">
        <v>53</v>
      </c>
      <c r="G131">
        <v>43.166666999999997</v>
      </c>
      <c r="H131">
        <v>-70.608333000000002</v>
      </c>
      <c r="I131" t="s">
        <v>773</v>
      </c>
      <c r="J131" t="s">
        <v>14</v>
      </c>
      <c r="K131" t="s">
        <v>50</v>
      </c>
      <c r="L131" t="s">
        <v>143</v>
      </c>
      <c r="M131" t="s">
        <v>726</v>
      </c>
      <c r="N131" t="s">
        <v>85</v>
      </c>
      <c r="O131" t="s">
        <v>58</v>
      </c>
      <c r="P131" t="s">
        <v>59</v>
      </c>
      <c r="Q131">
        <v>21</v>
      </c>
      <c r="R131" t="s">
        <v>213</v>
      </c>
      <c r="S131" t="s">
        <v>27</v>
      </c>
      <c r="T131">
        <f t="shared" si="3"/>
        <v>6.5</v>
      </c>
      <c r="U131" t="s">
        <v>28</v>
      </c>
      <c r="V131" t="s">
        <v>28</v>
      </c>
      <c r="W131">
        <v>18</v>
      </c>
      <c r="X131">
        <v>13.53</v>
      </c>
      <c r="Y131">
        <f t="shared" si="1"/>
        <v>3.4418381716751285</v>
      </c>
      <c r="Z131">
        <f>X131-12.18</f>
        <v>1.3499999999999996</v>
      </c>
    </row>
    <row r="132" spans="1:26" x14ac:dyDescent="0.2">
      <c r="A132" t="s">
        <v>49</v>
      </c>
      <c r="B132">
        <v>1988</v>
      </c>
      <c r="C132" t="s">
        <v>826</v>
      </c>
      <c r="D132" t="s">
        <v>824</v>
      </c>
      <c r="E132" t="s">
        <v>48</v>
      </c>
      <c r="F132" t="s">
        <v>53</v>
      </c>
      <c r="G132">
        <v>43.166666999999997</v>
      </c>
      <c r="H132">
        <v>-70.608333000000002</v>
      </c>
      <c r="I132" t="s">
        <v>773</v>
      </c>
      <c r="J132" t="s">
        <v>14</v>
      </c>
      <c r="K132" t="s">
        <v>50</v>
      </c>
      <c r="L132" t="s">
        <v>143</v>
      </c>
      <c r="M132" t="s">
        <v>726</v>
      </c>
      <c r="N132" t="s">
        <v>85</v>
      </c>
      <c r="O132" t="s">
        <v>58</v>
      </c>
      <c r="P132" t="s">
        <v>59</v>
      </c>
      <c r="Q132">
        <v>7</v>
      </c>
      <c r="R132" t="s">
        <v>214</v>
      </c>
      <c r="S132" t="s">
        <v>13</v>
      </c>
      <c r="T132">
        <f t="shared" si="3"/>
        <v>6.5</v>
      </c>
      <c r="U132" t="s">
        <v>28</v>
      </c>
      <c r="V132" t="s">
        <v>28</v>
      </c>
      <c r="W132">
        <v>20</v>
      </c>
      <c r="X132">
        <v>14.12</v>
      </c>
      <c r="Y132">
        <f t="shared" si="1"/>
        <v>2.7534705373401036</v>
      </c>
      <c r="Z132">
        <f>X132-13.04</f>
        <v>1.08</v>
      </c>
    </row>
    <row r="133" spans="1:26" x14ac:dyDescent="0.2">
      <c r="A133" t="s">
        <v>49</v>
      </c>
      <c r="B133">
        <v>1988</v>
      </c>
      <c r="C133" t="s">
        <v>826</v>
      </c>
      <c r="D133" t="s">
        <v>824</v>
      </c>
      <c r="E133" t="s">
        <v>48</v>
      </c>
      <c r="F133" t="s">
        <v>52</v>
      </c>
      <c r="G133">
        <v>40.966667000000001</v>
      </c>
      <c r="H133">
        <v>-73.158332999999999</v>
      </c>
      <c r="I133" t="s">
        <v>773</v>
      </c>
      <c r="J133" t="s">
        <v>7</v>
      </c>
      <c r="K133" t="s">
        <v>50</v>
      </c>
      <c r="L133" t="s">
        <v>143</v>
      </c>
      <c r="M133" t="s">
        <v>73</v>
      </c>
      <c r="N133" t="s">
        <v>85</v>
      </c>
      <c r="O133" t="s">
        <v>410</v>
      </c>
      <c r="P133" t="s">
        <v>63</v>
      </c>
      <c r="Q133">
        <v>21</v>
      </c>
      <c r="R133" t="s">
        <v>213</v>
      </c>
      <c r="S133" t="s">
        <v>7</v>
      </c>
      <c r="T133">
        <f>AVERAGE(4,9)</f>
        <v>6.5</v>
      </c>
      <c r="U133" t="s">
        <v>28</v>
      </c>
      <c r="V133" t="s">
        <v>28</v>
      </c>
      <c r="W133">
        <v>8</v>
      </c>
      <c r="X133">
        <v>0.5</v>
      </c>
      <c r="Y133">
        <f t="shared" si="1"/>
        <v>0.20396078054371142</v>
      </c>
      <c r="Z133">
        <f>X133-0.42</f>
        <v>8.0000000000000016E-2</v>
      </c>
    </row>
    <row r="134" spans="1:26" x14ac:dyDescent="0.2">
      <c r="A134" t="s">
        <v>49</v>
      </c>
      <c r="B134">
        <v>1988</v>
      </c>
      <c r="C134" t="s">
        <v>826</v>
      </c>
      <c r="D134" t="s">
        <v>824</v>
      </c>
      <c r="E134" t="s">
        <v>48</v>
      </c>
      <c r="F134" t="s">
        <v>52</v>
      </c>
      <c r="G134">
        <v>40.966667000000001</v>
      </c>
      <c r="H134">
        <v>-73.158332999999999</v>
      </c>
      <c r="I134" t="s">
        <v>773</v>
      </c>
      <c r="J134" t="s">
        <v>14</v>
      </c>
      <c r="K134" t="s">
        <v>50</v>
      </c>
      <c r="L134" t="s">
        <v>143</v>
      </c>
      <c r="M134" t="s">
        <v>73</v>
      </c>
      <c r="N134" t="s">
        <v>85</v>
      </c>
      <c r="O134" t="s">
        <v>410</v>
      </c>
      <c r="P134" t="s">
        <v>63</v>
      </c>
      <c r="Q134">
        <v>21</v>
      </c>
      <c r="R134" t="s">
        <v>213</v>
      </c>
      <c r="S134" t="s">
        <v>9</v>
      </c>
      <c r="T134">
        <f t="shared" si="3"/>
        <v>6.5</v>
      </c>
      <c r="U134" t="s">
        <v>28</v>
      </c>
      <c r="V134" t="s">
        <v>28</v>
      </c>
      <c r="W134">
        <v>15</v>
      </c>
      <c r="X134">
        <v>0.81</v>
      </c>
      <c r="Y134">
        <f t="shared" si="1"/>
        <v>0.25495097567963942</v>
      </c>
      <c r="Z134">
        <f>X134-0.71</f>
        <v>0.10000000000000009</v>
      </c>
    </row>
    <row r="135" spans="1:26" x14ac:dyDescent="0.2">
      <c r="A135" t="s">
        <v>49</v>
      </c>
      <c r="B135">
        <v>1988</v>
      </c>
      <c r="C135" t="s">
        <v>826</v>
      </c>
      <c r="D135" t="s">
        <v>824</v>
      </c>
      <c r="E135" t="s">
        <v>48</v>
      </c>
      <c r="F135" t="s">
        <v>52</v>
      </c>
      <c r="G135">
        <v>40.966667000000001</v>
      </c>
      <c r="H135">
        <v>-73.158332999999999</v>
      </c>
      <c r="I135" t="s">
        <v>773</v>
      </c>
      <c r="J135" t="s">
        <v>14</v>
      </c>
      <c r="K135" t="s">
        <v>50</v>
      </c>
      <c r="L135" t="s">
        <v>143</v>
      </c>
      <c r="M135" t="s">
        <v>73</v>
      </c>
      <c r="N135" t="s">
        <v>85</v>
      </c>
      <c r="O135" t="s">
        <v>410</v>
      </c>
      <c r="P135" t="s">
        <v>63</v>
      </c>
      <c r="Q135">
        <v>21</v>
      </c>
      <c r="R135" t="s">
        <v>213</v>
      </c>
      <c r="S135" t="s">
        <v>27</v>
      </c>
      <c r="T135">
        <f t="shared" si="3"/>
        <v>6.5</v>
      </c>
      <c r="U135" t="s">
        <v>28</v>
      </c>
      <c r="V135" t="s">
        <v>28</v>
      </c>
      <c r="W135">
        <v>18</v>
      </c>
      <c r="X135">
        <v>1.19</v>
      </c>
      <c r="Y135">
        <f t="shared" si="1"/>
        <v>0.30594117081556677</v>
      </c>
      <c r="Z135">
        <f>X135-1.07</f>
        <v>0.11999999999999988</v>
      </c>
    </row>
    <row r="136" spans="1:26" x14ac:dyDescent="0.2">
      <c r="A136" t="s">
        <v>49</v>
      </c>
      <c r="B136">
        <v>1988</v>
      </c>
      <c r="C136" t="s">
        <v>826</v>
      </c>
      <c r="D136" t="s">
        <v>824</v>
      </c>
      <c r="E136" t="s">
        <v>48</v>
      </c>
      <c r="F136" t="s">
        <v>52</v>
      </c>
      <c r="G136">
        <v>40.966667000000001</v>
      </c>
      <c r="H136">
        <v>-73.158332999999999</v>
      </c>
      <c r="I136" t="s">
        <v>773</v>
      </c>
      <c r="J136" t="s">
        <v>14</v>
      </c>
      <c r="K136" t="s">
        <v>50</v>
      </c>
      <c r="L136" t="s">
        <v>143</v>
      </c>
      <c r="M136" t="s">
        <v>73</v>
      </c>
      <c r="N136" t="s">
        <v>85</v>
      </c>
      <c r="O136" t="s">
        <v>410</v>
      </c>
      <c r="P136" t="s">
        <v>63</v>
      </c>
      <c r="Q136">
        <v>21</v>
      </c>
      <c r="R136" t="s">
        <v>213</v>
      </c>
      <c r="S136" t="s">
        <v>13</v>
      </c>
      <c r="T136">
        <f t="shared" si="3"/>
        <v>6.5</v>
      </c>
      <c r="U136" t="s">
        <v>28</v>
      </c>
      <c r="V136" t="s">
        <v>28</v>
      </c>
      <c r="W136">
        <v>20</v>
      </c>
      <c r="X136">
        <v>1.17</v>
      </c>
      <c r="Y136">
        <f t="shared" si="1"/>
        <v>0.15297058540778311</v>
      </c>
      <c r="Z136">
        <f>X136-1.11</f>
        <v>5.9999999999999831E-2</v>
      </c>
    </row>
    <row r="137" spans="1:26" x14ac:dyDescent="0.2">
      <c r="A137" t="s">
        <v>49</v>
      </c>
      <c r="B137">
        <v>1988</v>
      </c>
      <c r="C137" t="s">
        <v>826</v>
      </c>
      <c r="D137" t="s">
        <v>824</v>
      </c>
      <c r="E137" t="s">
        <v>48</v>
      </c>
      <c r="F137" t="s">
        <v>52</v>
      </c>
      <c r="G137">
        <v>40.966667000000001</v>
      </c>
      <c r="H137">
        <v>-73.158332999999999</v>
      </c>
      <c r="I137" t="s">
        <v>773</v>
      </c>
      <c r="J137" t="s">
        <v>14</v>
      </c>
      <c r="K137" t="s">
        <v>50</v>
      </c>
      <c r="L137" t="s">
        <v>143</v>
      </c>
      <c r="M137" t="s">
        <v>73</v>
      </c>
      <c r="N137" t="s">
        <v>85</v>
      </c>
      <c r="O137" t="s">
        <v>410</v>
      </c>
      <c r="P137" t="s">
        <v>63</v>
      </c>
      <c r="Q137">
        <v>7</v>
      </c>
      <c r="R137" t="s">
        <v>214</v>
      </c>
      <c r="S137" t="s">
        <v>13</v>
      </c>
      <c r="T137">
        <f t="shared" si="3"/>
        <v>6.5</v>
      </c>
      <c r="U137" t="s">
        <v>28</v>
      </c>
      <c r="V137" t="s">
        <v>28</v>
      </c>
      <c r="W137">
        <v>20</v>
      </c>
      <c r="X137">
        <v>1.4</v>
      </c>
      <c r="Y137">
        <f t="shared" si="1"/>
        <v>0.203960780543711</v>
      </c>
      <c r="Z137">
        <f>X137-1.32</f>
        <v>7.9999999999999849E-2</v>
      </c>
    </row>
    <row r="138" spans="1:26" x14ac:dyDescent="0.2">
      <c r="A138" t="s">
        <v>49</v>
      </c>
      <c r="B138">
        <v>1988</v>
      </c>
      <c r="C138" t="s">
        <v>826</v>
      </c>
      <c r="D138" t="s">
        <v>824</v>
      </c>
      <c r="E138" t="s">
        <v>48</v>
      </c>
      <c r="F138" t="s">
        <v>53</v>
      </c>
      <c r="G138">
        <v>43.166666999999997</v>
      </c>
      <c r="H138">
        <v>-70.608333000000002</v>
      </c>
      <c r="I138" t="s">
        <v>773</v>
      </c>
      <c r="J138" t="s">
        <v>7</v>
      </c>
      <c r="K138" t="s">
        <v>50</v>
      </c>
      <c r="L138" t="s">
        <v>143</v>
      </c>
      <c r="M138" t="s">
        <v>73</v>
      </c>
      <c r="N138" t="s">
        <v>85</v>
      </c>
      <c r="O138" t="s">
        <v>410</v>
      </c>
      <c r="P138" t="s">
        <v>63</v>
      </c>
      <c r="Q138">
        <v>21</v>
      </c>
      <c r="R138" t="s">
        <v>213</v>
      </c>
      <c r="S138" t="s">
        <v>7</v>
      </c>
      <c r="T138">
        <f>AVERAGE(4,9)</f>
        <v>6.5</v>
      </c>
      <c r="U138" t="s">
        <v>28</v>
      </c>
      <c r="V138" t="s">
        <v>28</v>
      </c>
      <c r="W138">
        <v>8</v>
      </c>
      <c r="X138">
        <v>0.57999999999999996</v>
      </c>
      <c r="Y138">
        <f t="shared" si="1"/>
        <v>0.12747548783981971</v>
      </c>
      <c r="Z138">
        <f>0.63-X138</f>
        <v>5.0000000000000044E-2</v>
      </c>
    </row>
    <row r="139" spans="1:26" x14ac:dyDescent="0.2">
      <c r="A139" t="s">
        <v>49</v>
      </c>
      <c r="B139">
        <v>1988</v>
      </c>
      <c r="C139" t="s">
        <v>826</v>
      </c>
      <c r="D139" t="s">
        <v>824</v>
      </c>
      <c r="E139" t="s">
        <v>48</v>
      </c>
      <c r="F139" t="s">
        <v>53</v>
      </c>
      <c r="G139">
        <v>43.166666999999997</v>
      </c>
      <c r="H139">
        <v>-70.608333000000002</v>
      </c>
      <c r="I139" t="s">
        <v>773</v>
      </c>
      <c r="J139" t="s">
        <v>14</v>
      </c>
      <c r="K139" t="s">
        <v>50</v>
      </c>
      <c r="L139" t="s">
        <v>143</v>
      </c>
      <c r="M139" t="s">
        <v>73</v>
      </c>
      <c r="N139" t="s">
        <v>85</v>
      </c>
      <c r="O139" t="s">
        <v>410</v>
      </c>
      <c r="P139" t="s">
        <v>63</v>
      </c>
      <c r="Q139">
        <v>21</v>
      </c>
      <c r="R139" t="s">
        <v>213</v>
      </c>
      <c r="S139" t="s">
        <v>9</v>
      </c>
      <c r="T139">
        <f t="shared" si="3"/>
        <v>6.5</v>
      </c>
      <c r="U139" t="s">
        <v>28</v>
      </c>
      <c r="V139" t="s">
        <v>28</v>
      </c>
      <c r="W139">
        <v>15</v>
      </c>
      <c r="X139">
        <v>0.86</v>
      </c>
      <c r="Y139">
        <f t="shared" si="1"/>
        <v>0.38242646351945891</v>
      </c>
      <c r="Z139">
        <f>1.01-X139</f>
        <v>0.15000000000000002</v>
      </c>
    </row>
    <row r="140" spans="1:26" x14ac:dyDescent="0.2">
      <c r="A140" t="s">
        <v>49</v>
      </c>
      <c r="B140">
        <v>1988</v>
      </c>
      <c r="C140" t="s">
        <v>826</v>
      </c>
      <c r="D140" t="s">
        <v>824</v>
      </c>
      <c r="E140" t="s">
        <v>48</v>
      </c>
      <c r="F140" t="s">
        <v>53</v>
      </c>
      <c r="G140">
        <v>43.166666999999997</v>
      </c>
      <c r="H140">
        <v>-70.608333000000002</v>
      </c>
      <c r="I140" t="s">
        <v>773</v>
      </c>
      <c r="J140" t="s">
        <v>14</v>
      </c>
      <c r="K140" t="s">
        <v>50</v>
      </c>
      <c r="L140" t="s">
        <v>143</v>
      </c>
      <c r="M140" t="s">
        <v>73</v>
      </c>
      <c r="N140" t="s">
        <v>85</v>
      </c>
      <c r="O140" t="s">
        <v>410</v>
      </c>
      <c r="P140" t="s">
        <v>63</v>
      </c>
      <c r="Q140">
        <v>21</v>
      </c>
      <c r="R140" t="s">
        <v>213</v>
      </c>
      <c r="S140" t="s">
        <v>27</v>
      </c>
      <c r="T140">
        <f t="shared" si="3"/>
        <v>6.5</v>
      </c>
      <c r="U140" t="s">
        <v>28</v>
      </c>
      <c r="V140" t="s">
        <v>28</v>
      </c>
      <c r="W140">
        <v>18</v>
      </c>
      <c r="X140">
        <v>0.84</v>
      </c>
      <c r="Y140">
        <f t="shared" si="1"/>
        <v>0.20396078054371156</v>
      </c>
      <c r="Z140">
        <f>0.92-X140</f>
        <v>8.0000000000000071E-2</v>
      </c>
    </row>
    <row r="141" spans="1:26" x14ac:dyDescent="0.2">
      <c r="A141" t="s">
        <v>49</v>
      </c>
      <c r="B141">
        <v>1988</v>
      </c>
      <c r="C141" t="s">
        <v>826</v>
      </c>
      <c r="D141" t="s">
        <v>824</v>
      </c>
      <c r="E141" t="s">
        <v>48</v>
      </c>
      <c r="F141" t="s">
        <v>53</v>
      </c>
      <c r="G141">
        <v>43.166666999999997</v>
      </c>
      <c r="H141">
        <v>-70.608333000000002</v>
      </c>
      <c r="I141" t="s">
        <v>773</v>
      </c>
      <c r="J141" t="s">
        <v>14</v>
      </c>
      <c r="K141" t="s">
        <v>50</v>
      </c>
      <c r="L141" t="s">
        <v>143</v>
      </c>
      <c r="M141" t="s">
        <v>73</v>
      </c>
      <c r="N141" t="s">
        <v>85</v>
      </c>
      <c r="O141" t="s">
        <v>410</v>
      </c>
      <c r="P141" t="s">
        <v>63</v>
      </c>
      <c r="Q141">
        <v>7</v>
      </c>
      <c r="R141" t="s">
        <v>214</v>
      </c>
      <c r="S141" t="s">
        <v>13</v>
      </c>
      <c r="T141">
        <f t="shared" si="3"/>
        <v>6.5</v>
      </c>
      <c r="U141" t="s">
        <v>28</v>
      </c>
      <c r="V141" t="s">
        <v>28</v>
      </c>
      <c r="W141">
        <v>20</v>
      </c>
      <c r="X141">
        <v>0.8</v>
      </c>
      <c r="Y141">
        <f t="shared" si="1"/>
        <v>0.15297058540778338</v>
      </c>
      <c r="Z141">
        <f>0.86-X141</f>
        <v>5.9999999999999942E-2</v>
      </c>
    </row>
    <row r="142" spans="1:26" x14ac:dyDescent="0.2">
      <c r="A142" t="s">
        <v>49</v>
      </c>
      <c r="B142">
        <v>1988</v>
      </c>
      <c r="C142" t="s">
        <v>826</v>
      </c>
      <c r="D142" t="s">
        <v>824</v>
      </c>
      <c r="E142" t="s">
        <v>48</v>
      </c>
      <c r="F142" t="s">
        <v>52</v>
      </c>
      <c r="G142">
        <v>40.966667000000001</v>
      </c>
      <c r="H142">
        <v>-73.158332999999999</v>
      </c>
      <c r="I142" t="s">
        <v>773</v>
      </c>
      <c r="J142" t="s">
        <v>7</v>
      </c>
      <c r="K142" t="s">
        <v>50</v>
      </c>
      <c r="L142" t="s">
        <v>143</v>
      </c>
      <c r="M142" t="s">
        <v>553</v>
      </c>
      <c r="N142" t="s">
        <v>85</v>
      </c>
      <c r="O142" t="s">
        <v>61</v>
      </c>
      <c r="P142" t="s">
        <v>60</v>
      </c>
      <c r="Q142">
        <v>21</v>
      </c>
      <c r="R142" t="s">
        <v>213</v>
      </c>
      <c r="S142" t="s">
        <v>7</v>
      </c>
      <c r="T142">
        <v>4</v>
      </c>
      <c r="U142" t="s">
        <v>28</v>
      </c>
      <c r="V142" t="s">
        <v>28</v>
      </c>
      <c r="W142">
        <v>8</v>
      </c>
      <c r="X142">
        <v>8.1999999999999993</v>
      </c>
      <c r="Y142">
        <f t="shared" si="1"/>
        <v>1.8</v>
      </c>
      <c r="Z142">
        <v>0.9</v>
      </c>
    </row>
    <row r="143" spans="1:26" x14ac:dyDescent="0.2">
      <c r="A143" t="s">
        <v>49</v>
      </c>
      <c r="B143">
        <v>1988</v>
      </c>
      <c r="C143" t="s">
        <v>826</v>
      </c>
      <c r="D143" t="s">
        <v>824</v>
      </c>
      <c r="E143" t="s">
        <v>48</v>
      </c>
      <c r="F143" t="s">
        <v>52</v>
      </c>
      <c r="G143">
        <v>40.966667000000001</v>
      </c>
      <c r="H143">
        <v>-73.158332999999999</v>
      </c>
      <c r="I143" t="s">
        <v>773</v>
      </c>
      <c r="J143" t="s">
        <v>14</v>
      </c>
      <c r="K143" t="s">
        <v>50</v>
      </c>
      <c r="L143" t="s">
        <v>143</v>
      </c>
      <c r="M143" t="s">
        <v>553</v>
      </c>
      <c r="N143" t="s">
        <v>85</v>
      </c>
      <c r="O143" t="s">
        <v>61</v>
      </c>
      <c r="P143" t="s">
        <v>60</v>
      </c>
      <c r="Q143">
        <v>21</v>
      </c>
      <c r="R143" t="s">
        <v>213</v>
      </c>
      <c r="S143" t="s">
        <v>27</v>
      </c>
      <c r="T143">
        <v>8</v>
      </c>
      <c r="U143" t="s">
        <v>28</v>
      </c>
      <c r="V143" t="s">
        <v>28</v>
      </c>
      <c r="W143">
        <v>18</v>
      </c>
      <c r="X143">
        <v>17.5</v>
      </c>
      <c r="Y143">
        <f t="shared" si="1"/>
        <v>4.8083261120685235</v>
      </c>
      <c r="Z143">
        <v>1.7</v>
      </c>
    </row>
    <row r="144" spans="1:26" x14ac:dyDescent="0.2">
      <c r="A144" t="s">
        <v>49</v>
      </c>
      <c r="B144">
        <v>1988</v>
      </c>
      <c r="C144" t="s">
        <v>826</v>
      </c>
      <c r="D144" t="s">
        <v>824</v>
      </c>
      <c r="E144" t="s">
        <v>48</v>
      </c>
      <c r="F144" t="s">
        <v>52</v>
      </c>
      <c r="G144">
        <v>40.966667000000001</v>
      </c>
      <c r="H144">
        <v>-73.158332999999999</v>
      </c>
      <c r="I144" t="s">
        <v>773</v>
      </c>
      <c r="J144" t="s">
        <v>14</v>
      </c>
      <c r="K144" t="s">
        <v>50</v>
      </c>
      <c r="L144" t="s">
        <v>143</v>
      </c>
      <c r="M144" t="s">
        <v>553</v>
      </c>
      <c r="N144" t="s">
        <v>85</v>
      </c>
      <c r="O144" t="s">
        <v>61</v>
      </c>
      <c r="P144" t="s">
        <v>60</v>
      </c>
      <c r="Q144">
        <v>7</v>
      </c>
      <c r="R144" t="s">
        <v>214</v>
      </c>
      <c r="S144" t="s">
        <v>13</v>
      </c>
      <c r="T144">
        <v>3</v>
      </c>
      <c r="U144" t="s">
        <v>28</v>
      </c>
      <c r="V144" t="s">
        <v>28</v>
      </c>
      <c r="W144">
        <v>20</v>
      </c>
      <c r="X144">
        <v>24.5</v>
      </c>
      <c r="Y144">
        <f t="shared" si="1"/>
        <v>12.124355652982141</v>
      </c>
      <c r="Z144">
        <v>7</v>
      </c>
    </row>
    <row r="145" spans="1:28" x14ac:dyDescent="0.2">
      <c r="A145" t="s">
        <v>49</v>
      </c>
      <c r="B145">
        <v>1988</v>
      </c>
      <c r="C145" t="s">
        <v>826</v>
      </c>
      <c r="D145" t="s">
        <v>824</v>
      </c>
      <c r="E145" t="s">
        <v>48</v>
      </c>
      <c r="F145" t="s">
        <v>52</v>
      </c>
      <c r="G145">
        <v>40.966667000000001</v>
      </c>
      <c r="H145">
        <v>-73.158332999999999</v>
      </c>
      <c r="I145" t="s">
        <v>773</v>
      </c>
      <c r="J145" t="s">
        <v>14</v>
      </c>
      <c r="K145" t="s">
        <v>50</v>
      </c>
      <c r="L145" t="s">
        <v>143</v>
      </c>
      <c r="M145" t="s">
        <v>553</v>
      </c>
      <c r="N145" t="s">
        <v>85</v>
      </c>
      <c r="O145" t="s">
        <v>61</v>
      </c>
      <c r="P145" t="s">
        <v>60</v>
      </c>
      <c r="Q145">
        <v>21</v>
      </c>
      <c r="R145" t="s">
        <v>213</v>
      </c>
      <c r="S145" t="s">
        <v>13</v>
      </c>
      <c r="T145">
        <v>4</v>
      </c>
      <c r="U145" t="s">
        <v>28</v>
      </c>
      <c r="V145" t="s">
        <v>28</v>
      </c>
      <c r="W145">
        <v>20</v>
      </c>
      <c r="X145">
        <v>19.2</v>
      </c>
      <c r="Y145">
        <f t="shared" si="1"/>
        <v>3.6</v>
      </c>
      <c r="Z145">
        <v>1.8</v>
      </c>
    </row>
    <row r="146" spans="1:28" x14ac:dyDescent="0.2">
      <c r="A146" t="s">
        <v>49</v>
      </c>
      <c r="B146">
        <v>1988</v>
      </c>
      <c r="C146" t="s">
        <v>826</v>
      </c>
      <c r="D146" t="s">
        <v>824</v>
      </c>
      <c r="E146" t="s">
        <v>48</v>
      </c>
      <c r="F146" t="s">
        <v>53</v>
      </c>
      <c r="G146">
        <v>43.166666999999997</v>
      </c>
      <c r="H146">
        <v>-70.608333000000002</v>
      </c>
      <c r="I146" t="s">
        <v>773</v>
      </c>
      <c r="J146" t="s">
        <v>7</v>
      </c>
      <c r="K146" t="s">
        <v>50</v>
      </c>
      <c r="L146" t="s">
        <v>143</v>
      </c>
      <c r="M146" t="s">
        <v>553</v>
      </c>
      <c r="N146" t="s">
        <v>85</v>
      </c>
      <c r="O146" t="s">
        <v>61</v>
      </c>
      <c r="P146" t="s">
        <v>60</v>
      </c>
      <c r="Q146">
        <v>21</v>
      </c>
      <c r="R146" t="s">
        <v>213</v>
      </c>
      <c r="S146" t="s">
        <v>7</v>
      </c>
      <c r="T146">
        <v>5</v>
      </c>
      <c r="U146" t="s">
        <v>28</v>
      </c>
      <c r="V146" t="s">
        <v>28</v>
      </c>
      <c r="W146">
        <v>8</v>
      </c>
      <c r="X146">
        <v>10.9</v>
      </c>
      <c r="Y146">
        <f t="shared" si="1"/>
        <v>1.1180339887498949</v>
      </c>
      <c r="Z146">
        <v>0.5</v>
      </c>
    </row>
    <row r="147" spans="1:28" x14ac:dyDescent="0.2">
      <c r="A147" t="s">
        <v>49</v>
      </c>
      <c r="B147">
        <v>1988</v>
      </c>
      <c r="C147" t="s">
        <v>826</v>
      </c>
      <c r="D147" t="s">
        <v>824</v>
      </c>
      <c r="E147" t="s">
        <v>48</v>
      </c>
      <c r="F147" t="s">
        <v>53</v>
      </c>
      <c r="G147">
        <v>43.166666999999997</v>
      </c>
      <c r="H147">
        <v>-70.608333000000002</v>
      </c>
      <c r="I147" t="s">
        <v>773</v>
      </c>
      <c r="J147" t="s">
        <v>14</v>
      </c>
      <c r="K147" t="s">
        <v>50</v>
      </c>
      <c r="L147" t="s">
        <v>143</v>
      </c>
      <c r="M147" t="s">
        <v>553</v>
      </c>
      <c r="N147" t="s">
        <v>85</v>
      </c>
      <c r="O147" t="s">
        <v>61</v>
      </c>
      <c r="P147" t="s">
        <v>60</v>
      </c>
      <c r="Q147">
        <v>21</v>
      </c>
      <c r="R147" t="s">
        <v>213</v>
      </c>
      <c r="S147" t="s">
        <v>27</v>
      </c>
      <c r="T147">
        <v>7</v>
      </c>
      <c r="U147" t="s">
        <v>28</v>
      </c>
      <c r="V147" t="s">
        <v>28</v>
      </c>
      <c r="W147">
        <v>18</v>
      </c>
      <c r="X147">
        <v>17.7</v>
      </c>
      <c r="Y147">
        <f t="shared" si="1"/>
        <v>8.201829064300231</v>
      </c>
      <c r="Z147">
        <v>3.1</v>
      </c>
    </row>
    <row r="148" spans="1:28" x14ac:dyDescent="0.2">
      <c r="A148" t="s">
        <v>49</v>
      </c>
      <c r="B148">
        <v>1988</v>
      </c>
      <c r="C148" t="s">
        <v>826</v>
      </c>
      <c r="D148" t="s">
        <v>824</v>
      </c>
      <c r="E148" t="s">
        <v>48</v>
      </c>
      <c r="F148" t="s">
        <v>53</v>
      </c>
      <c r="G148">
        <v>43.166666999999997</v>
      </c>
      <c r="H148">
        <v>-70.608333000000002</v>
      </c>
      <c r="I148" t="s">
        <v>773</v>
      </c>
      <c r="J148" t="s">
        <v>14</v>
      </c>
      <c r="K148" t="s">
        <v>50</v>
      </c>
      <c r="L148" t="s">
        <v>143</v>
      </c>
      <c r="M148" t="s">
        <v>553</v>
      </c>
      <c r="N148" t="s">
        <v>85</v>
      </c>
      <c r="O148" t="s">
        <v>61</v>
      </c>
      <c r="P148" t="s">
        <v>60</v>
      </c>
      <c r="Q148">
        <v>7</v>
      </c>
      <c r="R148" t="s">
        <v>214</v>
      </c>
      <c r="S148" t="s">
        <v>13</v>
      </c>
      <c r="T148">
        <v>10</v>
      </c>
      <c r="U148" t="s">
        <v>28</v>
      </c>
      <c r="V148" t="s">
        <v>28</v>
      </c>
      <c r="W148">
        <v>20</v>
      </c>
      <c r="X148">
        <v>9.4</v>
      </c>
      <c r="Y148">
        <f t="shared" si="1"/>
        <v>2.529822128134704</v>
      </c>
      <c r="Z148">
        <v>0.8</v>
      </c>
    </row>
    <row r="149" spans="1:28" x14ac:dyDescent="0.2">
      <c r="A149" t="s">
        <v>54</v>
      </c>
      <c r="B149">
        <v>1980</v>
      </c>
      <c r="C149" t="s">
        <v>816</v>
      </c>
      <c r="D149" t="s">
        <v>817</v>
      </c>
      <c r="E149" t="s">
        <v>32</v>
      </c>
      <c r="F149" t="s">
        <v>307</v>
      </c>
      <c r="G149">
        <v>54.179352999999999</v>
      </c>
      <c r="H149">
        <v>7.8771579999999997</v>
      </c>
      <c r="J149" t="s">
        <v>7</v>
      </c>
      <c r="K149" t="s">
        <v>41</v>
      </c>
      <c r="L149" t="s">
        <v>3</v>
      </c>
      <c r="M149" t="s">
        <v>26</v>
      </c>
      <c r="N149" t="s">
        <v>85</v>
      </c>
      <c r="O149" t="s">
        <v>66</v>
      </c>
      <c r="P149" t="s">
        <v>65</v>
      </c>
      <c r="Q149">
        <v>7</v>
      </c>
      <c r="R149" t="s">
        <v>213</v>
      </c>
      <c r="S149" t="s">
        <v>7</v>
      </c>
      <c r="T149">
        <v>20</v>
      </c>
      <c r="U149" t="s">
        <v>28</v>
      </c>
      <c r="V149" t="s">
        <v>28</v>
      </c>
      <c r="W149">
        <v>10</v>
      </c>
      <c r="X149">
        <v>12.52</v>
      </c>
      <c r="Y149">
        <f t="shared" ref="Y149:Y164" si="4">SQRT(T149) * (AB149-AA149)/3.92</f>
        <v>1.1522595190177507</v>
      </c>
      <c r="AA149">
        <v>12.04</v>
      </c>
      <c r="AB149">
        <v>13.05</v>
      </c>
    </row>
    <row r="150" spans="1:28" x14ac:dyDescent="0.2">
      <c r="A150" t="s">
        <v>54</v>
      </c>
      <c r="B150">
        <v>1980</v>
      </c>
      <c r="C150" t="s">
        <v>816</v>
      </c>
      <c r="D150" t="s">
        <v>817</v>
      </c>
      <c r="E150" t="s">
        <v>32</v>
      </c>
      <c r="F150" t="s">
        <v>307</v>
      </c>
      <c r="G150">
        <v>54.179352999999999</v>
      </c>
      <c r="H150">
        <v>7.8771579999999997</v>
      </c>
      <c r="J150" t="s">
        <v>14</v>
      </c>
      <c r="K150" t="s">
        <v>41</v>
      </c>
      <c r="L150" t="s">
        <v>3</v>
      </c>
      <c r="M150" t="s">
        <v>26</v>
      </c>
      <c r="N150" t="s">
        <v>85</v>
      </c>
      <c r="O150" t="s">
        <v>66</v>
      </c>
      <c r="P150" t="s">
        <v>65</v>
      </c>
      <c r="Q150">
        <v>7</v>
      </c>
      <c r="R150" t="s">
        <v>213</v>
      </c>
      <c r="S150" t="s">
        <v>9</v>
      </c>
      <c r="T150">
        <v>20</v>
      </c>
      <c r="U150" t="s">
        <v>28</v>
      </c>
      <c r="V150" t="s">
        <v>28</v>
      </c>
      <c r="W150">
        <v>15</v>
      </c>
      <c r="X150">
        <v>12.66</v>
      </c>
      <c r="Y150">
        <f t="shared" si="4"/>
        <v>0.90127229705348566</v>
      </c>
      <c r="AA150">
        <v>12.25</v>
      </c>
      <c r="AB150">
        <v>13.04</v>
      </c>
    </row>
    <row r="151" spans="1:28" x14ac:dyDescent="0.2">
      <c r="A151" t="s">
        <v>54</v>
      </c>
      <c r="B151">
        <v>1980</v>
      </c>
      <c r="C151" t="s">
        <v>816</v>
      </c>
      <c r="D151" t="s">
        <v>817</v>
      </c>
      <c r="E151" t="s">
        <v>32</v>
      </c>
      <c r="F151" t="s">
        <v>307</v>
      </c>
      <c r="G151">
        <v>54.179352999999999</v>
      </c>
      <c r="H151">
        <v>7.8771579999999997</v>
      </c>
      <c r="J151" t="s">
        <v>14</v>
      </c>
      <c r="K151" t="s">
        <v>41</v>
      </c>
      <c r="L151" t="s">
        <v>3</v>
      </c>
      <c r="M151" t="s">
        <v>26</v>
      </c>
      <c r="N151" t="s">
        <v>85</v>
      </c>
      <c r="O151" t="s">
        <v>66</v>
      </c>
      <c r="P151" t="s">
        <v>65</v>
      </c>
      <c r="Q151">
        <v>7</v>
      </c>
      <c r="R151" t="s">
        <v>213</v>
      </c>
      <c r="S151" t="s">
        <v>27</v>
      </c>
      <c r="T151">
        <v>20</v>
      </c>
      <c r="U151" t="s">
        <v>28</v>
      </c>
      <c r="V151" t="s">
        <v>28</v>
      </c>
      <c r="W151">
        <v>18</v>
      </c>
      <c r="X151">
        <v>10.31</v>
      </c>
      <c r="Y151">
        <f t="shared" si="4"/>
        <v>1.0153573979463337</v>
      </c>
      <c r="AA151">
        <v>9.86</v>
      </c>
      <c r="AB151">
        <v>10.75</v>
      </c>
    </row>
    <row r="152" spans="1:28" x14ac:dyDescent="0.2">
      <c r="A152" t="s">
        <v>54</v>
      </c>
      <c r="B152">
        <v>1980</v>
      </c>
      <c r="C152" t="s">
        <v>816</v>
      </c>
      <c r="D152" t="s">
        <v>817</v>
      </c>
      <c r="E152" t="s">
        <v>32</v>
      </c>
      <c r="F152" t="s">
        <v>307</v>
      </c>
      <c r="G152">
        <v>54.179352999999999</v>
      </c>
      <c r="H152">
        <v>7.8771579999999997</v>
      </c>
      <c r="J152" t="s">
        <v>14</v>
      </c>
      <c r="K152" t="s">
        <v>41</v>
      </c>
      <c r="L152" t="s">
        <v>3</v>
      </c>
      <c r="M152" t="s">
        <v>26</v>
      </c>
      <c r="N152" t="s">
        <v>85</v>
      </c>
      <c r="O152" t="s">
        <v>66</v>
      </c>
      <c r="P152" t="s">
        <v>65</v>
      </c>
      <c r="Q152">
        <v>7</v>
      </c>
      <c r="R152" t="s">
        <v>213</v>
      </c>
      <c r="S152" t="s">
        <v>13</v>
      </c>
      <c r="T152">
        <v>20</v>
      </c>
      <c r="U152" t="s">
        <v>28</v>
      </c>
      <c r="V152" t="s">
        <v>28</v>
      </c>
      <c r="W152">
        <v>19</v>
      </c>
      <c r="X152">
        <v>9.7899999999999991</v>
      </c>
      <c r="Y152">
        <f t="shared" si="4"/>
        <v>0.70732762553564688</v>
      </c>
      <c r="AA152">
        <v>9.48</v>
      </c>
      <c r="AB152">
        <v>10.1</v>
      </c>
    </row>
    <row r="153" spans="1:28" x14ac:dyDescent="0.2">
      <c r="A153" t="s">
        <v>54</v>
      </c>
      <c r="B153">
        <v>1980</v>
      </c>
      <c r="C153" t="s">
        <v>816</v>
      </c>
      <c r="D153" t="s">
        <v>817</v>
      </c>
      <c r="E153" t="s">
        <v>32</v>
      </c>
      <c r="F153" t="s">
        <v>307</v>
      </c>
      <c r="G153">
        <v>54.179352999999999</v>
      </c>
      <c r="H153">
        <v>7.8771579999999997</v>
      </c>
      <c r="J153" t="s">
        <v>14</v>
      </c>
      <c r="K153" t="s">
        <v>41</v>
      </c>
      <c r="L153" t="s">
        <v>3</v>
      </c>
      <c r="M153" t="s">
        <v>26</v>
      </c>
      <c r="N153" t="s">
        <v>85</v>
      </c>
      <c r="O153" t="s">
        <v>66</v>
      </c>
      <c r="P153" t="s">
        <v>65</v>
      </c>
      <c r="Q153">
        <v>7</v>
      </c>
      <c r="R153" t="s">
        <v>213</v>
      </c>
      <c r="S153" t="s">
        <v>15</v>
      </c>
      <c r="T153">
        <v>20</v>
      </c>
      <c r="U153" t="s">
        <v>28</v>
      </c>
      <c r="V153" t="s">
        <v>28</v>
      </c>
      <c r="W153">
        <v>20</v>
      </c>
      <c r="X153">
        <v>6.5</v>
      </c>
      <c r="Y153">
        <f t="shared" si="4"/>
        <v>1.0381744181249015</v>
      </c>
      <c r="AA153">
        <v>6.15</v>
      </c>
      <c r="AB153">
        <v>7.06</v>
      </c>
    </row>
    <row r="154" spans="1:28" x14ac:dyDescent="0.2">
      <c r="A154" t="s">
        <v>54</v>
      </c>
      <c r="B154">
        <v>1980</v>
      </c>
      <c r="C154" t="s">
        <v>816</v>
      </c>
      <c r="D154" t="s">
        <v>817</v>
      </c>
      <c r="E154" t="s">
        <v>31</v>
      </c>
      <c r="F154" t="s">
        <v>307</v>
      </c>
      <c r="G154">
        <v>54.179352999999999</v>
      </c>
      <c r="H154">
        <v>7.8771579999999997</v>
      </c>
      <c r="J154" t="s">
        <v>7</v>
      </c>
      <c r="K154" t="s">
        <v>41</v>
      </c>
      <c r="L154" t="s">
        <v>3</v>
      </c>
      <c r="M154" t="s">
        <v>26</v>
      </c>
      <c r="N154" t="s">
        <v>85</v>
      </c>
      <c r="O154" t="s">
        <v>66</v>
      </c>
      <c r="P154" t="s">
        <v>65</v>
      </c>
      <c r="Q154">
        <v>7</v>
      </c>
      <c r="R154" t="s">
        <v>213</v>
      </c>
      <c r="S154" t="s">
        <v>7</v>
      </c>
      <c r="T154">
        <v>20</v>
      </c>
      <c r="U154" t="s">
        <v>28</v>
      </c>
      <c r="V154" t="s">
        <v>28</v>
      </c>
      <c r="W154">
        <v>10</v>
      </c>
      <c r="X154">
        <v>11.95</v>
      </c>
      <c r="Y154">
        <f t="shared" si="4"/>
        <v>1.1180339887498956</v>
      </c>
      <c r="AA154">
        <v>11.44</v>
      </c>
      <c r="AB154">
        <v>12.42</v>
      </c>
    </row>
    <row r="155" spans="1:28" x14ac:dyDescent="0.2">
      <c r="A155" t="s">
        <v>54</v>
      </c>
      <c r="B155">
        <v>1980</v>
      </c>
      <c r="C155" t="s">
        <v>816</v>
      </c>
      <c r="D155" t="s">
        <v>817</v>
      </c>
      <c r="E155" t="s">
        <v>31</v>
      </c>
      <c r="F155" t="s">
        <v>307</v>
      </c>
      <c r="G155">
        <v>54.179352999999999</v>
      </c>
      <c r="H155">
        <v>7.8771579999999997</v>
      </c>
      <c r="J155" t="s">
        <v>14</v>
      </c>
      <c r="K155" t="s">
        <v>41</v>
      </c>
      <c r="L155" t="s">
        <v>3</v>
      </c>
      <c r="M155" t="s">
        <v>26</v>
      </c>
      <c r="N155" t="s">
        <v>85</v>
      </c>
      <c r="O155" t="s">
        <v>66</v>
      </c>
      <c r="P155" t="s">
        <v>65</v>
      </c>
      <c r="Q155">
        <v>7</v>
      </c>
      <c r="R155" t="s">
        <v>213</v>
      </c>
      <c r="S155" t="s">
        <v>9</v>
      </c>
      <c r="T155">
        <v>20</v>
      </c>
      <c r="U155" t="s">
        <v>28</v>
      </c>
      <c r="V155" t="s">
        <v>28</v>
      </c>
      <c r="W155">
        <v>15</v>
      </c>
      <c r="X155">
        <v>14.67</v>
      </c>
      <c r="Y155">
        <f t="shared" si="4"/>
        <v>0.69591911544636453</v>
      </c>
      <c r="AA155">
        <v>14.37</v>
      </c>
      <c r="AB155">
        <v>14.98</v>
      </c>
    </row>
    <row r="156" spans="1:28" x14ac:dyDescent="0.2">
      <c r="A156" t="s">
        <v>54</v>
      </c>
      <c r="B156">
        <v>1980</v>
      </c>
      <c r="C156" t="s">
        <v>816</v>
      </c>
      <c r="D156" t="s">
        <v>817</v>
      </c>
      <c r="E156" t="s">
        <v>31</v>
      </c>
      <c r="F156" t="s">
        <v>307</v>
      </c>
      <c r="G156">
        <v>54.179352999999999</v>
      </c>
      <c r="H156">
        <v>7.8771579999999997</v>
      </c>
      <c r="J156" t="s">
        <v>14</v>
      </c>
      <c r="K156" t="s">
        <v>41</v>
      </c>
      <c r="L156" t="s">
        <v>3</v>
      </c>
      <c r="M156" t="s">
        <v>26</v>
      </c>
      <c r="N156" t="s">
        <v>85</v>
      </c>
      <c r="O156" t="s">
        <v>66</v>
      </c>
      <c r="P156" t="s">
        <v>65</v>
      </c>
      <c r="Q156">
        <v>7</v>
      </c>
      <c r="R156" t="s">
        <v>213</v>
      </c>
      <c r="S156" t="s">
        <v>27</v>
      </c>
      <c r="T156">
        <v>20</v>
      </c>
      <c r="U156" t="s">
        <v>28</v>
      </c>
      <c r="V156" t="s">
        <v>28</v>
      </c>
      <c r="W156">
        <v>18</v>
      </c>
      <c r="X156">
        <v>13.86</v>
      </c>
      <c r="Y156">
        <f t="shared" si="4"/>
        <v>0.6388765649999405</v>
      </c>
      <c r="AA156">
        <v>13.58</v>
      </c>
      <c r="AB156">
        <v>14.14</v>
      </c>
    </row>
    <row r="157" spans="1:28" x14ac:dyDescent="0.2">
      <c r="A157" t="s">
        <v>54</v>
      </c>
      <c r="B157">
        <v>1980</v>
      </c>
      <c r="C157" t="s">
        <v>816</v>
      </c>
      <c r="D157" t="s">
        <v>817</v>
      </c>
      <c r="E157" t="s">
        <v>31</v>
      </c>
      <c r="F157" t="s">
        <v>307</v>
      </c>
      <c r="G157">
        <v>54.179352999999999</v>
      </c>
      <c r="H157">
        <v>7.8771579999999997</v>
      </c>
      <c r="J157" t="s">
        <v>14</v>
      </c>
      <c r="K157" t="s">
        <v>41</v>
      </c>
      <c r="L157" t="s">
        <v>3</v>
      </c>
      <c r="M157" t="s">
        <v>26</v>
      </c>
      <c r="N157" t="s">
        <v>85</v>
      </c>
      <c r="O157" t="s">
        <v>66</v>
      </c>
      <c r="P157" t="s">
        <v>65</v>
      </c>
      <c r="Q157">
        <v>7</v>
      </c>
      <c r="R157" t="s">
        <v>213</v>
      </c>
      <c r="S157" t="s">
        <v>13</v>
      </c>
      <c r="T157">
        <v>20</v>
      </c>
      <c r="U157" t="s">
        <v>28</v>
      </c>
      <c r="V157" t="s">
        <v>28</v>
      </c>
      <c r="W157">
        <v>19</v>
      </c>
      <c r="X157">
        <v>8.89</v>
      </c>
      <c r="Y157">
        <f t="shared" si="4"/>
        <v>0.73014464571421567</v>
      </c>
      <c r="AA157">
        <v>8.56</v>
      </c>
      <c r="AB157">
        <v>9.1999999999999993</v>
      </c>
    </row>
    <row r="158" spans="1:28" x14ac:dyDescent="0.2">
      <c r="A158" t="s">
        <v>54</v>
      </c>
      <c r="B158">
        <v>1980</v>
      </c>
      <c r="C158" t="s">
        <v>816</v>
      </c>
      <c r="D158" t="s">
        <v>817</v>
      </c>
      <c r="E158" t="s">
        <v>31</v>
      </c>
      <c r="F158" t="s">
        <v>307</v>
      </c>
      <c r="G158">
        <v>54.179352999999999</v>
      </c>
      <c r="H158">
        <v>7.8771579999999997</v>
      </c>
      <c r="J158" t="s">
        <v>14</v>
      </c>
      <c r="K158" t="s">
        <v>41</v>
      </c>
      <c r="L158" t="s">
        <v>3</v>
      </c>
      <c r="M158" t="s">
        <v>26</v>
      </c>
      <c r="N158" t="s">
        <v>85</v>
      </c>
      <c r="O158" t="s">
        <v>66</v>
      </c>
      <c r="P158" t="s">
        <v>65</v>
      </c>
      <c r="Q158">
        <v>7</v>
      </c>
      <c r="R158" t="s">
        <v>213</v>
      </c>
      <c r="S158" t="s">
        <v>15</v>
      </c>
      <c r="T158">
        <v>20</v>
      </c>
      <c r="U158" t="s">
        <v>28</v>
      </c>
      <c r="V158" t="s">
        <v>28</v>
      </c>
      <c r="W158">
        <v>20</v>
      </c>
      <c r="X158">
        <v>6.51</v>
      </c>
      <c r="Y158">
        <f t="shared" si="4"/>
        <v>0.31943828249996925</v>
      </c>
      <c r="AA158">
        <v>6.4</v>
      </c>
      <c r="AB158">
        <v>6.68</v>
      </c>
    </row>
    <row r="159" spans="1:28" x14ac:dyDescent="0.2">
      <c r="A159" t="s">
        <v>54</v>
      </c>
      <c r="B159">
        <v>1980</v>
      </c>
      <c r="C159" t="s">
        <v>826</v>
      </c>
      <c r="D159" t="s">
        <v>824</v>
      </c>
      <c r="E159" t="s">
        <v>48</v>
      </c>
      <c r="F159" t="s">
        <v>307</v>
      </c>
      <c r="G159">
        <v>54.179352999999999</v>
      </c>
      <c r="H159">
        <v>7.8771579999999997</v>
      </c>
      <c r="J159" t="s">
        <v>7</v>
      </c>
      <c r="K159" t="s">
        <v>41</v>
      </c>
      <c r="L159" t="s">
        <v>3</v>
      </c>
      <c r="M159" t="s">
        <v>26</v>
      </c>
      <c r="N159" t="s">
        <v>85</v>
      </c>
      <c r="O159" t="s">
        <v>66</v>
      </c>
      <c r="P159" t="s">
        <v>65</v>
      </c>
      <c r="Q159">
        <v>7</v>
      </c>
      <c r="R159" t="s">
        <v>213</v>
      </c>
      <c r="S159" t="s">
        <v>7</v>
      </c>
      <c r="T159">
        <v>20</v>
      </c>
      <c r="U159" t="s">
        <v>28</v>
      </c>
      <c r="V159" t="s">
        <v>28</v>
      </c>
      <c r="W159">
        <v>10</v>
      </c>
      <c r="X159">
        <v>16.5</v>
      </c>
      <c r="Y159">
        <f t="shared" si="4"/>
        <v>0.99254037776776494</v>
      </c>
      <c r="AA159">
        <v>16.07</v>
      </c>
      <c r="AB159">
        <v>16.940000000000001</v>
      </c>
    </row>
    <row r="160" spans="1:28" x14ac:dyDescent="0.2">
      <c r="A160" t="s">
        <v>54</v>
      </c>
      <c r="B160">
        <v>1980</v>
      </c>
      <c r="C160" t="s">
        <v>826</v>
      </c>
      <c r="D160" t="s">
        <v>824</v>
      </c>
      <c r="E160" t="s">
        <v>48</v>
      </c>
      <c r="F160" t="s">
        <v>307</v>
      </c>
      <c r="G160">
        <v>54.179352999999999</v>
      </c>
      <c r="H160">
        <v>7.8771579999999997</v>
      </c>
      <c r="J160" t="s">
        <v>14</v>
      </c>
      <c r="K160" t="s">
        <v>41</v>
      </c>
      <c r="L160" t="s">
        <v>3</v>
      </c>
      <c r="M160" t="s">
        <v>26</v>
      </c>
      <c r="N160" t="s">
        <v>85</v>
      </c>
      <c r="O160" t="s">
        <v>66</v>
      </c>
      <c r="P160" t="s">
        <v>65</v>
      </c>
      <c r="Q160">
        <v>7</v>
      </c>
      <c r="R160" t="s">
        <v>213</v>
      </c>
      <c r="S160" t="s">
        <v>9</v>
      </c>
      <c r="T160">
        <v>20</v>
      </c>
      <c r="U160" t="s">
        <v>28</v>
      </c>
      <c r="V160" t="s">
        <v>28</v>
      </c>
      <c r="W160">
        <v>15</v>
      </c>
      <c r="X160">
        <v>17.05</v>
      </c>
      <c r="Y160">
        <f t="shared" si="4"/>
        <v>1.0267659080356202</v>
      </c>
      <c r="AA160">
        <v>16.61</v>
      </c>
      <c r="AB160">
        <v>17.510000000000002</v>
      </c>
    </row>
    <row r="161" spans="1:28" x14ac:dyDescent="0.2">
      <c r="A161" t="s">
        <v>54</v>
      </c>
      <c r="B161">
        <v>1980</v>
      </c>
      <c r="C161" t="s">
        <v>826</v>
      </c>
      <c r="D161" t="s">
        <v>824</v>
      </c>
      <c r="E161" t="s">
        <v>48</v>
      </c>
      <c r="F161" t="s">
        <v>307</v>
      </c>
      <c r="G161">
        <v>54.179352999999999</v>
      </c>
      <c r="H161">
        <v>7.8771579999999997</v>
      </c>
      <c r="J161" t="s">
        <v>14</v>
      </c>
      <c r="K161" t="s">
        <v>41</v>
      </c>
      <c r="L161" t="s">
        <v>3</v>
      </c>
      <c r="M161" t="s">
        <v>26</v>
      </c>
      <c r="N161" t="s">
        <v>85</v>
      </c>
      <c r="O161" t="s">
        <v>66</v>
      </c>
      <c r="P161" t="s">
        <v>65</v>
      </c>
      <c r="Q161">
        <v>7</v>
      </c>
      <c r="R161" t="s">
        <v>213</v>
      </c>
      <c r="S161" t="s">
        <v>27</v>
      </c>
      <c r="T161">
        <v>20</v>
      </c>
      <c r="U161" t="s">
        <v>28</v>
      </c>
      <c r="V161" t="s">
        <v>28</v>
      </c>
      <c r="W161">
        <v>18</v>
      </c>
      <c r="X161">
        <v>16.440000000000001</v>
      </c>
      <c r="Y161">
        <f t="shared" si="4"/>
        <v>1.0153573979463337</v>
      </c>
      <c r="AA161">
        <v>15.98</v>
      </c>
      <c r="AB161">
        <v>16.87</v>
      </c>
    </row>
    <row r="162" spans="1:28" x14ac:dyDescent="0.2">
      <c r="A162" t="s">
        <v>54</v>
      </c>
      <c r="B162">
        <v>1980</v>
      </c>
      <c r="C162" t="s">
        <v>826</v>
      </c>
      <c r="D162" t="s">
        <v>824</v>
      </c>
      <c r="E162" t="s">
        <v>48</v>
      </c>
      <c r="F162" t="s">
        <v>307</v>
      </c>
      <c r="G162">
        <v>54.179352999999999</v>
      </c>
      <c r="H162">
        <v>7.8771579999999997</v>
      </c>
      <c r="J162" t="s">
        <v>14</v>
      </c>
      <c r="K162" t="s">
        <v>41</v>
      </c>
      <c r="L162" t="s">
        <v>3</v>
      </c>
      <c r="M162" t="s">
        <v>26</v>
      </c>
      <c r="N162" t="s">
        <v>85</v>
      </c>
      <c r="O162" t="s">
        <v>66</v>
      </c>
      <c r="P162" t="s">
        <v>65</v>
      </c>
      <c r="Q162">
        <v>7</v>
      </c>
      <c r="R162" t="s">
        <v>213</v>
      </c>
      <c r="S162" t="s">
        <v>13</v>
      </c>
      <c r="T162">
        <v>20</v>
      </c>
      <c r="U162" t="s">
        <v>28</v>
      </c>
      <c r="V162" t="s">
        <v>28</v>
      </c>
      <c r="W162">
        <v>19</v>
      </c>
      <c r="X162">
        <v>16.3</v>
      </c>
      <c r="Y162">
        <f t="shared" si="4"/>
        <v>1.4260637611605802</v>
      </c>
      <c r="AA162">
        <v>15.64</v>
      </c>
      <c r="AB162">
        <v>16.89</v>
      </c>
    </row>
    <row r="163" spans="1:28" x14ac:dyDescent="0.2">
      <c r="A163" t="s">
        <v>54</v>
      </c>
      <c r="B163">
        <v>1980</v>
      </c>
      <c r="C163" t="s">
        <v>826</v>
      </c>
      <c r="D163" t="s">
        <v>824</v>
      </c>
      <c r="E163" t="s">
        <v>48</v>
      </c>
      <c r="F163" t="s">
        <v>307</v>
      </c>
      <c r="G163">
        <v>54.179352999999999</v>
      </c>
      <c r="H163">
        <v>7.8771579999999997</v>
      </c>
      <c r="J163" t="s">
        <v>14</v>
      </c>
      <c r="K163" t="s">
        <v>41</v>
      </c>
      <c r="L163" t="s">
        <v>3</v>
      </c>
      <c r="M163" t="s">
        <v>26</v>
      </c>
      <c r="N163" t="s">
        <v>85</v>
      </c>
      <c r="O163" t="s">
        <v>66</v>
      </c>
      <c r="P163" t="s">
        <v>65</v>
      </c>
      <c r="Q163">
        <v>7</v>
      </c>
      <c r="R163" t="s">
        <v>213</v>
      </c>
      <c r="S163" t="s">
        <v>15</v>
      </c>
      <c r="T163">
        <v>20</v>
      </c>
      <c r="U163" t="s">
        <v>28</v>
      </c>
      <c r="V163" t="s">
        <v>28</v>
      </c>
      <c r="W163">
        <v>20</v>
      </c>
      <c r="X163">
        <v>11.16</v>
      </c>
      <c r="Y163">
        <f t="shared" si="4"/>
        <v>0.90127229705348777</v>
      </c>
      <c r="AA163">
        <v>10.77</v>
      </c>
      <c r="AB163">
        <v>11.56</v>
      </c>
    </row>
    <row r="164" spans="1:28" x14ac:dyDescent="0.2">
      <c r="A164" t="s">
        <v>54</v>
      </c>
      <c r="B164">
        <v>1980</v>
      </c>
      <c r="C164" t="s">
        <v>826</v>
      </c>
      <c r="D164" t="s">
        <v>824</v>
      </c>
      <c r="E164" t="s">
        <v>48</v>
      </c>
      <c r="F164" t="s">
        <v>307</v>
      </c>
      <c r="G164">
        <v>54.179352999999999</v>
      </c>
      <c r="H164">
        <v>7.8771579999999997</v>
      </c>
      <c r="J164" t="s">
        <v>14</v>
      </c>
      <c r="K164" t="s">
        <v>41</v>
      </c>
      <c r="L164" t="s">
        <v>3</v>
      </c>
      <c r="M164" t="s">
        <v>26</v>
      </c>
      <c r="N164" t="s">
        <v>85</v>
      </c>
      <c r="O164" t="s">
        <v>66</v>
      </c>
      <c r="P164" t="s">
        <v>65</v>
      </c>
      <c r="Q164">
        <v>7</v>
      </c>
      <c r="R164" t="s">
        <v>213</v>
      </c>
      <c r="S164" t="s">
        <v>37</v>
      </c>
      <c r="T164">
        <v>20</v>
      </c>
      <c r="U164" t="s">
        <v>28</v>
      </c>
      <c r="V164" t="s">
        <v>28</v>
      </c>
      <c r="W164">
        <v>21</v>
      </c>
      <c r="X164">
        <v>9.6300000000000008</v>
      </c>
      <c r="Y164">
        <f t="shared" si="4"/>
        <v>0.75296166589278657</v>
      </c>
      <c r="AA164">
        <v>9.2799999999999994</v>
      </c>
      <c r="AB164">
        <v>9.94</v>
      </c>
    </row>
    <row r="165" spans="1:28" x14ac:dyDescent="0.2">
      <c r="A165" t="s">
        <v>55</v>
      </c>
      <c r="B165">
        <v>2013</v>
      </c>
      <c r="C165" t="s">
        <v>826</v>
      </c>
      <c r="D165" t="s">
        <v>824</v>
      </c>
      <c r="E165" t="s">
        <v>48</v>
      </c>
      <c r="F165" t="s">
        <v>323</v>
      </c>
      <c r="G165">
        <v>60.407718000000003</v>
      </c>
      <c r="H165">
        <v>5.2857050000000001</v>
      </c>
      <c r="I165" t="s">
        <v>762</v>
      </c>
      <c r="J165" t="s">
        <v>7</v>
      </c>
      <c r="K165" t="s">
        <v>56</v>
      </c>
      <c r="L165" t="s">
        <v>143</v>
      </c>
      <c r="M165" t="s">
        <v>73</v>
      </c>
      <c r="N165" t="s">
        <v>85</v>
      </c>
      <c r="O165" t="s">
        <v>834</v>
      </c>
      <c r="P165" t="s">
        <v>78</v>
      </c>
      <c r="Q165">
        <v>25</v>
      </c>
      <c r="R165" t="s">
        <v>213</v>
      </c>
      <c r="S165" t="s">
        <v>7</v>
      </c>
      <c r="T165">
        <v>4</v>
      </c>
      <c r="U165" t="s">
        <v>28</v>
      </c>
      <c r="V165" t="s">
        <v>28</v>
      </c>
      <c r="W165">
        <v>10</v>
      </c>
      <c r="X165">
        <v>18.84</v>
      </c>
      <c r="Y165">
        <f>X165-15.11</f>
        <v>3.7300000000000004</v>
      </c>
    </row>
    <row r="166" spans="1:28" x14ac:dyDescent="0.2">
      <c r="A166" t="s">
        <v>55</v>
      </c>
      <c r="B166">
        <v>2013</v>
      </c>
      <c r="C166" t="s">
        <v>826</v>
      </c>
      <c r="D166" t="s">
        <v>824</v>
      </c>
      <c r="E166" t="s">
        <v>48</v>
      </c>
      <c r="F166" t="s">
        <v>328</v>
      </c>
      <c r="G166">
        <v>58.339689</v>
      </c>
      <c r="H166">
        <v>8.5986630000000002</v>
      </c>
      <c r="I166" t="s">
        <v>762</v>
      </c>
      <c r="J166" t="s">
        <v>7</v>
      </c>
      <c r="K166" t="s">
        <v>56</v>
      </c>
      <c r="L166" t="s">
        <v>143</v>
      </c>
      <c r="M166" t="s">
        <v>73</v>
      </c>
      <c r="N166" t="s">
        <v>85</v>
      </c>
      <c r="O166" t="s">
        <v>834</v>
      </c>
      <c r="P166" t="s">
        <v>78</v>
      </c>
      <c r="Q166">
        <v>25</v>
      </c>
      <c r="R166" t="s">
        <v>213</v>
      </c>
      <c r="S166" t="s">
        <v>7</v>
      </c>
      <c r="T166">
        <v>4</v>
      </c>
      <c r="U166" t="s">
        <v>28</v>
      </c>
      <c r="V166" t="s">
        <v>28</v>
      </c>
      <c r="W166">
        <v>10</v>
      </c>
      <c r="X166">
        <v>17.09</v>
      </c>
      <c r="Y166">
        <f>X166-13.83</f>
        <v>3.26</v>
      </c>
    </row>
    <row r="167" spans="1:28" x14ac:dyDescent="0.2">
      <c r="A167" t="s">
        <v>55</v>
      </c>
      <c r="B167">
        <v>2013</v>
      </c>
      <c r="C167" t="s">
        <v>826</v>
      </c>
      <c r="D167" t="s">
        <v>824</v>
      </c>
      <c r="E167" t="s">
        <v>48</v>
      </c>
      <c r="F167" t="s">
        <v>326</v>
      </c>
      <c r="G167">
        <v>59.644638</v>
      </c>
      <c r="H167">
        <v>10.62823</v>
      </c>
      <c r="I167" t="s">
        <v>762</v>
      </c>
      <c r="J167" t="s">
        <v>7</v>
      </c>
      <c r="K167" t="s">
        <v>56</v>
      </c>
      <c r="L167" t="s">
        <v>143</v>
      </c>
      <c r="M167" t="s">
        <v>73</v>
      </c>
      <c r="N167" t="s">
        <v>85</v>
      </c>
      <c r="O167" t="s">
        <v>834</v>
      </c>
      <c r="P167" t="s">
        <v>78</v>
      </c>
      <c r="Q167">
        <v>25</v>
      </c>
      <c r="R167" t="s">
        <v>213</v>
      </c>
      <c r="S167" t="s">
        <v>7</v>
      </c>
      <c r="T167">
        <v>4</v>
      </c>
      <c r="U167" t="s">
        <v>28</v>
      </c>
      <c r="V167" t="s">
        <v>28</v>
      </c>
      <c r="W167">
        <v>10</v>
      </c>
      <c r="X167">
        <v>24.44</v>
      </c>
      <c r="Y167">
        <f>X167-19.07</f>
        <v>5.370000000000001</v>
      </c>
    </row>
    <row r="168" spans="1:28" x14ac:dyDescent="0.2">
      <c r="A168" t="s">
        <v>55</v>
      </c>
      <c r="B168">
        <v>2013</v>
      </c>
      <c r="C168" t="s">
        <v>826</v>
      </c>
      <c r="D168" t="s">
        <v>824</v>
      </c>
      <c r="E168" t="s">
        <v>48</v>
      </c>
      <c r="F168" t="s">
        <v>323</v>
      </c>
      <c r="G168">
        <v>60.407718000000003</v>
      </c>
      <c r="H168">
        <v>5.2857050000000001</v>
      </c>
      <c r="I168" t="s">
        <v>762</v>
      </c>
      <c r="J168" t="s">
        <v>14</v>
      </c>
      <c r="K168" t="s">
        <v>56</v>
      </c>
      <c r="L168" t="s">
        <v>143</v>
      </c>
      <c r="M168" t="s">
        <v>73</v>
      </c>
      <c r="N168" t="s">
        <v>85</v>
      </c>
      <c r="O168" t="s">
        <v>834</v>
      </c>
      <c r="P168" t="s">
        <v>78</v>
      </c>
      <c r="Q168">
        <v>25</v>
      </c>
      <c r="R168" t="s">
        <v>213</v>
      </c>
      <c r="S168" t="s">
        <v>9</v>
      </c>
      <c r="T168">
        <v>4</v>
      </c>
      <c r="U168" t="s">
        <v>28</v>
      </c>
      <c r="V168" t="s">
        <v>28</v>
      </c>
      <c r="W168">
        <v>15</v>
      </c>
      <c r="X168">
        <v>24.07</v>
      </c>
      <c r="Y168">
        <f>X168-18.84</f>
        <v>5.23</v>
      </c>
    </row>
    <row r="169" spans="1:28" x14ac:dyDescent="0.2">
      <c r="A169" t="s">
        <v>55</v>
      </c>
      <c r="B169">
        <v>2013</v>
      </c>
      <c r="C169" t="s">
        <v>826</v>
      </c>
      <c r="D169" t="s">
        <v>824</v>
      </c>
      <c r="E169" t="s">
        <v>48</v>
      </c>
      <c r="F169" t="s">
        <v>328</v>
      </c>
      <c r="G169">
        <v>58.339689</v>
      </c>
      <c r="H169">
        <v>8.5986630000000002</v>
      </c>
      <c r="I169" t="s">
        <v>762</v>
      </c>
      <c r="J169" t="s">
        <v>14</v>
      </c>
      <c r="K169" t="s">
        <v>56</v>
      </c>
      <c r="L169" t="s">
        <v>143</v>
      </c>
      <c r="M169" t="s">
        <v>73</v>
      </c>
      <c r="N169" t="s">
        <v>85</v>
      </c>
      <c r="O169" t="s">
        <v>834</v>
      </c>
      <c r="P169" t="s">
        <v>78</v>
      </c>
      <c r="Q169">
        <v>25</v>
      </c>
      <c r="R169" t="s">
        <v>213</v>
      </c>
      <c r="S169" t="s">
        <v>9</v>
      </c>
      <c r="T169">
        <v>4</v>
      </c>
      <c r="U169" t="s">
        <v>28</v>
      </c>
      <c r="V169" t="s">
        <v>28</v>
      </c>
      <c r="W169">
        <v>15</v>
      </c>
      <c r="X169">
        <v>18.559999999999999</v>
      </c>
      <c r="Y169">
        <f>X169-16.22</f>
        <v>2.34</v>
      </c>
    </row>
    <row r="170" spans="1:28" x14ac:dyDescent="0.2">
      <c r="A170" t="s">
        <v>55</v>
      </c>
      <c r="B170">
        <v>2013</v>
      </c>
      <c r="C170" t="s">
        <v>826</v>
      </c>
      <c r="D170" t="s">
        <v>824</v>
      </c>
      <c r="E170" t="s">
        <v>48</v>
      </c>
      <c r="F170" t="s">
        <v>326</v>
      </c>
      <c r="G170">
        <v>59.644638</v>
      </c>
      <c r="H170">
        <v>10.62823</v>
      </c>
      <c r="I170" t="s">
        <v>762</v>
      </c>
      <c r="J170" t="s">
        <v>14</v>
      </c>
      <c r="K170" t="s">
        <v>56</v>
      </c>
      <c r="L170" t="s">
        <v>143</v>
      </c>
      <c r="M170" t="s">
        <v>73</v>
      </c>
      <c r="N170" t="s">
        <v>85</v>
      </c>
      <c r="O170" t="s">
        <v>834</v>
      </c>
      <c r="P170" t="s">
        <v>78</v>
      </c>
      <c r="Q170">
        <v>25</v>
      </c>
      <c r="R170" t="s">
        <v>213</v>
      </c>
      <c r="S170" t="s">
        <v>9</v>
      </c>
      <c r="T170">
        <v>4</v>
      </c>
      <c r="U170" t="s">
        <v>28</v>
      </c>
      <c r="V170" t="s">
        <v>28</v>
      </c>
      <c r="W170">
        <v>15</v>
      </c>
      <c r="X170">
        <v>24.81</v>
      </c>
      <c r="Y170">
        <f>X170-21.23</f>
        <v>3.5799999999999983</v>
      </c>
    </row>
    <row r="171" spans="1:28" x14ac:dyDescent="0.2">
      <c r="A171" t="s">
        <v>55</v>
      </c>
      <c r="B171">
        <v>2013</v>
      </c>
      <c r="C171" t="s">
        <v>826</v>
      </c>
      <c r="D171" t="s">
        <v>824</v>
      </c>
      <c r="E171" t="s">
        <v>48</v>
      </c>
      <c r="F171" t="s">
        <v>323</v>
      </c>
      <c r="G171">
        <v>60.407718000000003</v>
      </c>
      <c r="H171">
        <v>5.2857050000000001</v>
      </c>
      <c r="I171" t="s">
        <v>762</v>
      </c>
      <c r="J171" t="s">
        <v>14</v>
      </c>
      <c r="K171" t="s">
        <v>56</v>
      </c>
      <c r="L171" t="s">
        <v>143</v>
      </c>
      <c r="M171" t="s">
        <v>73</v>
      </c>
      <c r="N171" t="s">
        <v>85</v>
      </c>
      <c r="O171" t="s">
        <v>834</v>
      </c>
      <c r="P171" t="s">
        <v>78</v>
      </c>
      <c r="Q171">
        <v>25</v>
      </c>
      <c r="R171" t="s">
        <v>213</v>
      </c>
      <c r="S171" t="s">
        <v>27</v>
      </c>
      <c r="T171">
        <v>4</v>
      </c>
      <c r="U171" t="s">
        <v>28</v>
      </c>
      <c r="V171" t="s">
        <v>28</v>
      </c>
      <c r="W171">
        <v>20</v>
      </c>
      <c r="X171">
        <v>6.62</v>
      </c>
      <c r="Y171">
        <f>X171-3.54</f>
        <v>3.08</v>
      </c>
    </row>
    <row r="172" spans="1:28" x14ac:dyDescent="0.2">
      <c r="A172" t="s">
        <v>55</v>
      </c>
      <c r="B172">
        <v>2013</v>
      </c>
      <c r="C172" t="s">
        <v>826</v>
      </c>
      <c r="D172" t="s">
        <v>824</v>
      </c>
      <c r="E172" t="s">
        <v>48</v>
      </c>
      <c r="F172" t="s">
        <v>328</v>
      </c>
      <c r="G172">
        <v>58.339689</v>
      </c>
      <c r="H172">
        <v>8.5986630000000002</v>
      </c>
      <c r="I172" t="s">
        <v>762</v>
      </c>
      <c r="J172" t="s">
        <v>14</v>
      </c>
      <c r="K172" t="s">
        <v>56</v>
      </c>
      <c r="L172" t="s">
        <v>143</v>
      </c>
      <c r="M172" t="s">
        <v>73</v>
      </c>
      <c r="N172" t="s">
        <v>85</v>
      </c>
      <c r="O172" t="s">
        <v>834</v>
      </c>
      <c r="P172" t="s">
        <v>78</v>
      </c>
      <c r="Q172">
        <v>25</v>
      </c>
      <c r="R172" t="s">
        <v>213</v>
      </c>
      <c r="S172" t="s">
        <v>27</v>
      </c>
      <c r="T172">
        <v>4</v>
      </c>
      <c r="U172" t="s">
        <v>28</v>
      </c>
      <c r="V172" t="s">
        <v>28</v>
      </c>
      <c r="W172">
        <v>20</v>
      </c>
      <c r="X172">
        <v>9.7899999999999991</v>
      </c>
      <c r="Y172">
        <f>X172-3.91</f>
        <v>5.879999999999999</v>
      </c>
    </row>
    <row r="173" spans="1:28" x14ac:dyDescent="0.2">
      <c r="A173" t="s">
        <v>55</v>
      </c>
      <c r="B173">
        <v>2013</v>
      </c>
      <c r="C173" t="s">
        <v>826</v>
      </c>
      <c r="D173" t="s">
        <v>824</v>
      </c>
      <c r="E173" t="s">
        <v>48</v>
      </c>
      <c r="F173" t="s">
        <v>323</v>
      </c>
      <c r="G173">
        <v>60.407718000000003</v>
      </c>
      <c r="H173">
        <v>5.2857050000000001</v>
      </c>
      <c r="I173" t="s">
        <v>762</v>
      </c>
      <c r="J173" t="s">
        <v>7</v>
      </c>
      <c r="K173" t="s">
        <v>56</v>
      </c>
      <c r="L173" t="s">
        <v>143</v>
      </c>
      <c r="M173" t="s">
        <v>726</v>
      </c>
      <c r="N173" t="s">
        <v>85</v>
      </c>
      <c r="O173" t="s">
        <v>58</v>
      </c>
      <c r="P173" t="s">
        <v>82</v>
      </c>
      <c r="Q173">
        <v>25</v>
      </c>
      <c r="R173" t="s">
        <v>213</v>
      </c>
      <c r="S173" t="s">
        <v>7</v>
      </c>
      <c r="T173">
        <v>4</v>
      </c>
      <c r="U173" t="s">
        <v>28</v>
      </c>
      <c r="V173" t="s">
        <v>28</v>
      </c>
      <c r="W173">
        <v>10</v>
      </c>
      <c r="X173">
        <v>0.23</v>
      </c>
      <c r="Y173">
        <f>X173-0.21</f>
        <v>2.0000000000000018E-2</v>
      </c>
    </row>
    <row r="174" spans="1:28" x14ac:dyDescent="0.2">
      <c r="A174" t="s">
        <v>55</v>
      </c>
      <c r="B174">
        <v>2013</v>
      </c>
      <c r="C174" t="s">
        <v>826</v>
      </c>
      <c r="D174" t="s">
        <v>824</v>
      </c>
      <c r="E174" t="s">
        <v>48</v>
      </c>
      <c r="F174" t="s">
        <v>328</v>
      </c>
      <c r="G174">
        <v>58.339689</v>
      </c>
      <c r="H174">
        <v>8.5986630000000002</v>
      </c>
      <c r="I174" t="s">
        <v>762</v>
      </c>
      <c r="J174" t="s">
        <v>7</v>
      </c>
      <c r="K174" t="s">
        <v>56</v>
      </c>
      <c r="L174" t="s">
        <v>143</v>
      </c>
      <c r="M174" t="s">
        <v>726</v>
      </c>
      <c r="N174" t="s">
        <v>85</v>
      </c>
      <c r="O174" t="s">
        <v>58</v>
      </c>
      <c r="P174" t="s">
        <v>82</v>
      </c>
      <c r="Q174">
        <v>25</v>
      </c>
      <c r="R174" t="s">
        <v>213</v>
      </c>
      <c r="S174" t="s">
        <v>7</v>
      </c>
      <c r="T174">
        <v>4</v>
      </c>
      <c r="U174" t="s">
        <v>28</v>
      </c>
      <c r="V174" t="s">
        <v>28</v>
      </c>
      <c r="W174">
        <v>10</v>
      </c>
      <c r="X174">
        <v>0.19</v>
      </c>
      <c r="Y174">
        <f>X174-0.18</f>
        <v>1.0000000000000009E-2</v>
      </c>
    </row>
    <row r="175" spans="1:28" x14ac:dyDescent="0.2">
      <c r="A175" t="s">
        <v>55</v>
      </c>
      <c r="B175">
        <v>2013</v>
      </c>
      <c r="C175" t="s">
        <v>826</v>
      </c>
      <c r="D175" t="s">
        <v>824</v>
      </c>
      <c r="E175" t="s">
        <v>48</v>
      </c>
      <c r="F175" t="s">
        <v>326</v>
      </c>
      <c r="G175">
        <v>59.644638</v>
      </c>
      <c r="H175">
        <v>10.62823</v>
      </c>
      <c r="I175" t="s">
        <v>762</v>
      </c>
      <c r="J175" t="s">
        <v>7</v>
      </c>
      <c r="K175" t="s">
        <v>56</v>
      </c>
      <c r="L175" t="s">
        <v>143</v>
      </c>
      <c r="M175" t="s">
        <v>726</v>
      </c>
      <c r="N175" t="s">
        <v>85</v>
      </c>
      <c r="O175" t="s">
        <v>58</v>
      </c>
      <c r="P175" t="s">
        <v>82</v>
      </c>
      <c r="Q175">
        <v>25</v>
      </c>
      <c r="R175" t="s">
        <v>213</v>
      </c>
      <c r="S175" t="s">
        <v>7</v>
      </c>
      <c r="T175">
        <v>4</v>
      </c>
      <c r="U175" t="s">
        <v>28</v>
      </c>
      <c r="V175" t="s">
        <v>28</v>
      </c>
      <c r="W175">
        <v>10</v>
      </c>
      <c r="X175">
        <v>0.23</v>
      </c>
      <c r="Y175">
        <f>X175-0.19</f>
        <v>4.0000000000000008E-2</v>
      </c>
    </row>
    <row r="176" spans="1:28" x14ac:dyDescent="0.2">
      <c r="A176" t="s">
        <v>55</v>
      </c>
      <c r="B176">
        <v>2013</v>
      </c>
      <c r="C176" t="s">
        <v>826</v>
      </c>
      <c r="D176" t="s">
        <v>824</v>
      </c>
      <c r="E176" t="s">
        <v>48</v>
      </c>
      <c r="F176" t="s">
        <v>323</v>
      </c>
      <c r="G176">
        <v>60.407718000000003</v>
      </c>
      <c r="H176">
        <v>5.2857050000000001</v>
      </c>
      <c r="I176" t="s">
        <v>762</v>
      </c>
      <c r="J176" t="s">
        <v>14</v>
      </c>
      <c r="K176" t="s">
        <v>56</v>
      </c>
      <c r="L176" t="s">
        <v>143</v>
      </c>
      <c r="M176" t="s">
        <v>726</v>
      </c>
      <c r="N176" t="s">
        <v>85</v>
      </c>
      <c r="O176" t="s">
        <v>58</v>
      </c>
      <c r="P176" t="s">
        <v>82</v>
      </c>
      <c r="Q176">
        <v>25</v>
      </c>
      <c r="R176" t="s">
        <v>213</v>
      </c>
      <c r="S176" t="s">
        <v>9</v>
      </c>
      <c r="T176">
        <v>4</v>
      </c>
      <c r="U176" t="s">
        <v>28</v>
      </c>
      <c r="V176" t="s">
        <v>28</v>
      </c>
      <c r="W176">
        <v>15</v>
      </c>
      <c r="X176">
        <v>0.21</v>
      </c>
      <c r="Y176">
        <f>X176-0.18</f>
        <v>0.03</v>
      </c>
    </row>
    <row r="177" spans="1:25" x14ac:dyDescent="0.2">
      <c r="A177" t="s">
        <v>55</v>
      </c>
      <c r="B177">
        <v>2013</v>
      </c>
      <c r="C177" t="s">
        <v>826</v>
      </c>
      <c r="D177" t="s">
        <v>824</v>
      </c>
      <c r="E177" t="s">
        <v>48</v>
      </c>
      <c r="F177" t="s">
        <v>328</v>
      </c>
      <c r="G177">
        <v>58.339689</v>
      </c>
      <c r="H177">
        <v>8.5986630000000002</v>
      </c>
      <c r="I177" t="s">
        <v>762</v>
      </c>
      <c r="J177" t="s">
        <v>14</v>
      </c>
      <c r="K177" t="s">
        <v>56</v>
      </c>
      <c r="L177" t="s">
        <v>143</v>
      </c>
      <c r="M177" t="s">
        <v>726</v>
      </c>
      <c r="N177" t="s">
        <v>85</v>
      </c>
      <c r="O177" t="s">
        <v>58</v>
      </c>
      <c r="P177" t="s">
        <v>82</v>
      </c>
      <c r="Q177">
        <v>25</v>
      </c>
      <c r="R177" t="s">
        <v>213</v>
      </c>
      <c r="S177" t="s">
        <v>9</v>
      </c>
      <c r="T177">
        <v>4</v>
      </c>
      <c r="U177" t="s">
        <v>28</v>
      </c>
      <c r="V177" t="s">
        <v>28</v>
      </c>
      <c r="W177">
        <v>15</v>
      </c>
      <c r="X177">
        <v>0.22</v>
      </c>
      <c r="Y177">
        <f>X177-0.19</f>
        <v>0.03</v>
      </c>
    </row>
    <row r="178" spans="1:25" x14ac:dyDescent="0.2">
      <c r="A178" t="s">
        <v>55</v>
      </c>
      <c r="B178">
        <v>2013</v>
      </c>
      <c r="C178" t="s">
        <v>826</v>
      </c>
      <c r="D178" t="s">
        <v>824</v>
      </c>
      <c r="E178" t="s">
        <v>48</v>
      </c>
      <c r="F178" t="s">
        <v>326</v>
      </c>
      <c r="G178">
        <v>59.644638</v>
      </c>
      <c r="H178">
        <v>10.62823</v>
      </c>
      <c r="I178" t="s">
        <v>762</v>
      </c>
      <c r="J178" t="s">
        <v>14</v>
      </c>
      <c r="K178" t="s">
        <v>56</v>
      </c>
      <c r="L178" t="s">
        <v>143</v>
      </c>
      <c r="M178" t="s">
        <v>726</v>
      </c>
      <c r="N178" t="s">
        <v>85</v>
      </c>
      <c r="O178" t="s">
        <v>58</v>
      </c>
      <c r="P178" t="s">
        <v>82</v>
      </c>
      <c r="Q178">
        <v>25</v>
      </c>
      <c r="R178" t="s">
        <v>213</v>
      </c>
      <c r="S178" t="s">
        <v>9</v>
      </c>
      <c r="T178">
        <v>4</v>
      </c>
      <c r="U178" t="s">
        <v>28</v>
      </c>
      <c r="V178" t="s">
        <v>28</v>
      </c>
      <c r="W178">
        <v>15</v>
      </c>
      <c r="X178">
        <v>0.26</v>
      </c>
      <c r="Y178">
        <f>X178-0.25</f>
        <v>1.0000000000000009E-2</v>
      </c>
    </row>
    <row r="179" spans="1:25" x14ac:dyDescent="0.2">
      <c r="A179" t="s">
        <v>55</v>
      </c>
      <c r="B179">
        <v>2013</v>
      </c>
      <c r="C179" t="s">
        <v>826</v>
      </c>
      <c r="D179" t="s">
        <v>824</v>
      </c>
      <c r="E179" t="s">
        <v>48</v>
      </c>
      <c r="F179" t="s">
        <v>323</v>
      </c>
      <c r="G179">
        <v>60.407718000000003</v>
      </c>
      <c r="H179">
        <v>5.2857050000000001</v>
      </c>
      <c r="I179" t="s">
        <v>762</v>
      </c>
      <c r="J179" t="s">
        <v>14</v>
      </c>
      <c r="K179" t="s">
        <v>56</v>
      </c>
      <c r="L179" t="s">
        <v>143</v>
      </c>
      <c r="M179" t="s">
        <v>726</v>
      </c>
      <c r="N179" t="s">
        <v>85</v>
      </c>
      <c r="O179" t="s">
        <v>58</v>
      </c>
      <c r="P179" t="s">
        <v>82</v>
      </c>
      <c r="Q179">
        <v>25</v>
      </c>
      <c r="R179" t="s">
        <v>213</v>
      </c>
      <c r="S179" t="s">
        <v>27</v>
      </c>
      <c r="T179">
        <v>4</v>
      </c>
      <c r="U179" t="s">
        <v>28</v>
      </c>
      <c r="V179" t="s">
        <v>28</v>
      </c>
      <c r="W179">
        <v>20</v>
      </c>
      <c r="X179">
        <v>0.11</v>
      </c>
      <c r="Y179">
        <f>X179-0.06</f>
        <v>0.05</v>
      </c>
    </row>
    <row r="180" spans="1:25" x14ac:dyDescent="0.2">
      <c r="A180" t="s">
        <v>55</v>
      </c>
      <c r="B180">
        <v>2013</v>
      </c>
      <c r="C180" t="s">
        <v>826</v>
      </c>
      <c r="D180" t="s">
        <v>824</v>
      </c>
      <c r="E180" t="s">
        <v>48</v>
      </c>
      <c r="F180" t="s">
        <v>328</v>
      </c>
      <c r="G180">
        <v>58.339689</v>
      </c>
      <c r="H180">
        <v>8.5986630000000002</v>
      </c>
      <c r="I180" t="s">
        <v>762</v>
      </c>
      <c r="J180" t="s">
        <v>14</v>
      </c>
      <c r="K180" t="s">
        <v>56</v>
      </c>
      <c r="L180" t="s">
        <v>143</v>
      </c>
      <c r="M180" t="s">
        <v>726</v>
      </c>
      <c r="N180" t="s">
        <v>85</v>
      </c>
      <c r="O180" t="s">
        <v>58</v>
      </c>
      <c r="P180" t="s">
        <v>82</v>
      </c>
      <c r="Q180">
        <v>25</v>
      </c>
      <c r="R180" t="s">
        <v>213</v>
      </c>
      <c r="S180" t="s">
        <v>27</v>
      </c>
      <c r="T180">
        <v>4</v>
      </c>
      <c r="U180" t="s">
        <v>28</v>
      </c>
      <c r="V180" t="s">
        <v>28</v>
      </c>
      <c r="W180">
        <v>20</v>
      </c>
      <c r="X180">
        <v>0.13</v>
      </c>
      <c r="Y180">
        <f>X180-0.05</f>
        <v>0.08</v>
      </c>
    </row>
    <row r="181" spans="1:25" x14ac:dyDescent="0.2">
      <c r="A181" t="s">
        <v>55</v>
      </c>
      <c r="B181">
        <v>2013</v>
      </c>
      <c r="C181" t="s">
        <v>826</v>
      </c>
      <c r="D181" t="s">
        <v>824</v>
      </c>
      <c r="E181" t="s">
        <v>48</v>
      </c>
      <c r="F181" t="s">
        <v>323</v>
      </c>
      <c r="G181">
        <v>60.407718000000003</v>
      </c>
      <c r="H181">
        <v>5.2857050000000001</v>
      </c>
      <c r="I181" t="s">
        <v>762</v>
      </c>
      <c r="J181" t="s">
        <v>7</v>
      </c>
      <c r="K181" t="s">
        <v>56</v>
      </c>
      <c r="L181" t="s">
        <v>143</v>
      </c>
      <c r="M181" t="s">
        <v>172</v>
      </c>
      <c r="N181" t="s">
        <v>86</v>
      </c>
      <c r="O181" t="s">
        <v>62</v>
      </c>
      <c r="P181" t="s">
        <v>78</v>
      </c>
      <c r="Q181">
        <v>25</v>
      </c>
      <c r="R181" t="s">
        <v>213</v>
      </c>
      <c r="S181" t="s">
        <v>7</v>
      </c>
      <c r="T181">
        <v>4</v>
      </c>
      <c r="U181" t="s">
        <v>28</v>
      </c>
      <c r="V181" t="s">
        <v>28</v>
      </c>
      <c r="W181">
        <v>10</v>
      </c>
      <c r="X181">
        <v>2.0299999999999998</v>
      </c>
      <c r="Y181">
        <f>X181-1.59</f>
        <v>0.43999999999999972</v>
      </c>
    </row>
    <row r="182" spans="1:25" x14ac:dyDescent="0.2">
      <c r="A182" t="s">
        <v>55</v>
      </c>
      <c r="B182">
        <v>2013</v>
      </c>
      <c r="C182" t="s">
        <v>826</v>
      </c>
      <c r="D182" t="s">
        <v>824</v>
      </c>
      <c r="E182" t="s">
        <v>48</v>
      </c>
      <c r="F182" t="s">
        <v>328</v>
      </c>
      <c r="G182">
        <v>58.339689</v>
      </c>
      <c r="H182">
        <v>8.5986630000000002</v>
      </c>
      <c r="I182" t="s">
        <v>762</v>
      </c>
      <c r="J182" t="s">
        <v>7</v>
      </c>
      <c r="K182" t="s">
        <v>56</v>
      </c>
      <c r="L182" t="s">
        <v>143</v>
      </c>
      <c r="M182" t="s">
        <v>172</v>
      </c>
      <c r="N182" t="s">
        <v>86</v>
      </c>
      <c r="O182" t="s">
        <v>62</v>
      </c>
      <c r="P182" t="s">
        <v>78</v>
      </c>
      <c r="Q182">
        <v>25</v>
      </c>
      <c r="R182" t="s">
        <v>213</v>
      </c>
      <c r="S182" t="s">
        <v>7</v>
      </c>
      <c r="T182">
        <v>4</v>
      </c>
      <c r="U182" t="s">
        <v>28</v>
      </c>
      <c r="V182" t="s">
        <v>28</v>
      </c>
      <c r="W182">
        <v>10</v>
      </c>
      <c r="X182">
        <v>1.39</v>
      </c>
      <c r="Y182">
        <f>X182-0.88</f>
        <v>0.5099999999999999</v>
      </c>
    </row>
    <row r="183" spans="1:25" x14ac:dyDescent="0.2">
      <c r="A183" t="s">
        <v>55</v>
      </c>
      <c r="B183">
        <v>2013</v>
      </c>
      <c r="C183" t="s">
        <v>826</v>
      </c>
      <c r="D183" t="s">
        <v>824</v>
      </c>
      <c r="E183" t="s">
        <v>48</v>
      </c>
      <c r="F183" t="s">
        <v>326</v>
      </c>
      <c r="G183">
        <v>59.644638</v>
      </c>
      <c r="H183">
        <v>10.62823</v>
      </c>
      <c r="I183" t="s">
        <v>762</v>
      </c>
      <c r="J183" t="s">
        <v>7</v>
      </c>
      <c r="K183" t="s">
        <v>56</v>
      </c>
      <c r="L183" t="s">
        <v>143</v>
      </c>
      <c r="M183" t="s">
        <v>172</v>
      </c>
      <c r="N183" t="s">
        <v>86</v>
      </c>
      <c r="O183" t="s">
        <v>62</v>
      </c>
      <c r="P183" t="s">
        <v>78</v>
      </c>
      <c r="Q183">
        <v>25</v>
      </c>
      <c r="R183" t="s">
        <v>213</v>
      </c>
      <c r="S183" t="s">
        <v>7</v>
      </c>
      <c r="T183">
        <v>4</v>
      </c>
      <c r="U183" t="s">
        <v>28</v>
      </c>
      <c r="V183" t="s">
        <v>28</v>
      </c>
      <c r="W183">
        <v>10</v>
      </c>
      <c r="X183">
        <v>1.1299999999999999</v>
      </c>
      <c r="Y183">
        <f>1.39-X183</f>
        <v>0.26</v>
      </c>
    </row>
    <row r="184" spans="1:25" x14ac:dyDescent="0.2">
      <c r="A184" t="s">
        <v>55</v>
      </c>
      <c r="B184">
        <v>2013</v>
      </c>
      <c r="C184" t="s">
        <v>826</v>
      </c>
      <c r="D184" t="s">
        <v>824</v>
      </c>
      <c r="E184" t="s">
        <v>48</v>
      </c>
      <c r="F184" t="s">
        <v>323</v>
      </c>
      <c r="G184">
        <v>60.407718000000003</v>
      </c>
      <c r="H184">
        <v>5.2857050000000001</v>
      </c>
      <c r="I184" t="s">
        <v>762</v>
      </c>
      <c r="J184" t="s">
        <v>14</v>
      </c>
      <c r="K184" t="s">
        <v>56</v>
      </c>
      <c r="L184" t="s">
        <v>143</v>
      </c>
      <c r="M184" t="s">
        <v>172</v>
      </c>
      <c r="N184" t="s">
        <v>86</v>
      </c>
      <c r="O184" t="s">
        <v>62</v>
      </c>
      <c r="P184" t="s">
        <v>78</v>
      </c>
      <c r="Q184">
        <v>25</v>
      </c>
      <c r="R184" t="s">
        <v>213</v>
      </c>
      <c r="S184" t="s">
        <v>9</v>
      </c>
      <c r="T184">
        <v>4</v>
      </c>
      <c r="U184" t="s">
        <v>28</v>
      </c>
      <c r="V184" t="s">
        <v>28</v>
      </c>
      <c r="W184">
        <v>15</v>
      </c>
      <c r="X184">
        <v>1.23</v>
      </c>
      <c r="Y184">
        <f>1.69-X184</f>
        <v>0.45999999999999996</v>
      </c>
    </row>
    <row r="185" spans="1:25" x14ac:dyDescent="0.2">
      <c r="A185" t="s">
        <v>55</v>
      </c>
      <c r="B185">
        <v>2013</v>
      </c>
      <c r="C185" t="s">
        <v>826</v>
      </c>
      <c r="D185" t="s">
        <v>824</v>
      </c>
      <c r="E185" t="s">
        <v>48</v>
      </c>
      <c r="F185" t="s">
        <v>328</v>
      </c>
      <c r="G185">
        <v>58.339689</v>
      </c>
      <c r="H185">
        <v>8.5986630000000002</v>
      </c>
      <c r="I185" t="s">
        <v>762</v>
      </c>
      <c r="J185" t="s">
        <v>14</v>
      </c>
      <c r="K185" t="s">
        <v>56</v>
      </c>
      <c r="L185" t="s">
        <v>143</v>
      </c>
      <c r="M185" t="s">
        <v>172</v>
      </c>
      <c r="N185" t="s">
        <v>86</v>
      </c>
      <c r="O185" t="s">
        <v>62</v>
      </c>
      <c r="P185" t="s">
        <v>78</v>
      </c>
      <c r="Q185">
        <v>25</v>
      </c>
      <c r="R185" t="s">
        <v>213</v>
      </c>
      <c r="S185" t="s">
        <v>9</v>
      </c>
      <c r="T185">
        <v>4</v>
      </c>
      <c r="U185" t="s">
        <v>28</v>
      </c>
      <c r="V185" t="s">
        <v>28</v>
      </c>
      <c r="W185">
        <v>15</v>
      </c>
      <c r="X185">
        <v>2.31</v>
      </c>
      <c r="Y185">
        <f>X185-1.51</f>
        <v>0.8</v>
      </c>
    </row>
    <row r="186" spans="1:25" x14ac:dyDescent="0.2">
      <c r="A186" t="s">
        <v>55</v>
      </c>
      <c r="B186">
        <v>2013</v>
      </c>
      <c r="C186" t="s">
        <v>826</v>
      </c>
      <c r="D186" t="s">
        <v>824</v>
      </c>
      <c r="E186" t="s">
        <v>48</v>
      </c>
      <c r="F186" t="s">
        <v>326</v>
      </c>
      <c r="G186">
        <v>59.644638</v>
      </c>
      <c r="H186">
        <v>10.62823</v>
      </c>
      <c r="I186" t="s">
        <v>762</v>
      </c>
      <c r="J186" t="s">
        <v>14</v>
      </c>
      <c r="K186" t="s">
        <v>56</v>
      </c>
      <c r="L186" t="s">
        <v>143</v>
      </c>
      <c r="M186" t="s">
        <v>172</v>
      </c>
      <c r="N186" t="s">
        <v>86</v>
      </c>
      <c r="O186" t="s">
        <v>62</v>
      </c>
      <c r="P186" t="s">
        <v>78</v>
      </c>
      <c r="Q186">
        <v>25</v>
      </c>
      <c r="R186" t="s">
        <v>213</v>
      </c>
      <c r="S186" t="s">
        <v>9</v>
      </c>
      <c r="T186">
        <v>4</v>
      </c>
      <c r="U186" t="s">
        <v>28</v>
      </c>
      <c r="V186" t="s">
        <v>28</v>
      </c>
      <c r="W186">
        <v>15</v>
      </c>
      <c r="X186">
        <v>1.96</v>
      </c>
      <c r="Y186">
        <f>X186-0.63</f>
        <v>1.33</v>
      </c>
    </row>
    <row r="187" spans="1:25" x14ac:dyDescent="0.2">
      <c r="A187" t="s">
        <v>55</v>
      </c>
      <c r="B187">
        <v>2013</v>
      </c>
      <c r="C187" t="s">
        <v>826</v>
      </c>
      <c r="D187" t="s">
        <v>824</v>
      </c>
      <c r="E187" t="s">
        <v>48</v>
      </c>
      <c r="F187" t="s">
        <v>323</v>
      </c>
      <c r="G187">
        <v>60.407718000000003</v>
      </c>
      <c r="H187">
        <v>5.2857050000000001</v>
      </c>
      <c r="I187" t="s">
        <v>762</v>
      </c>
      <c r="J187" t="s">
        <v>14</v>
      </c>
      <c r="K187" t="s">
        <v>56</v>
      </c>
      <c r="L187" t="s">
        <v>143</v>
      </c>
      <c r="M187" t="s">
        <v>172</v>
      </c>
      <c r="N187" t="s">
        <v>86</v>
      </c>
      <c r="O187" t="s">
        <v>62</v>
      </c>
      <c r="P187" t="s">
        <v>78</v>
      </c>
      <c r="Q187">
        <v>25</v>
      </c>
      <c r="R187" t="s">
        <v>213</v>
      </c>
      <c r="S187" t="s">
        <v>27</v>
      </c>
      <c r="T187">
        <v>4</v>
      </c>
      <c r="U187" t="s">
        <v>28</v>
      </c>
      <c r="V187" t="s">
        <v>28</v>
      </c>
      <c r="W187">
        <v>20</v>
      </c>
      <c r="X187">
        <v>5.42</v>
      </c>
      <c r="Y187">
        <f>X187-4.22</f>
        <v>1.2000000000000002</v>
      </c>
    </row>
    <row r="188" spans="1:25" x14ac:dyDescent="0.2">
      <c r="A188" t="s">
        <v>55</v>
      </c>
      <c r="B188">
        <v>2013</v>
      </c>
      <c r="C188" t="s">
        <v>826</v>
      </c>
      <c r="D188" t="s">
        <v>824</v>
      </c>
      <c r="E188" t="s">
        <v>48</v>
      </c>
      <c r="F188" t="s">
        <v>328</v>
      </c>
      <c r="G188">
        <v>58.339689</v>
      </c>
      <c r="H188">
        <v>8.5986630000000002</v>
      </c>
      <c r="I188" t="s">
        <v>762</v>
      </c>
      <c r="J188" t="s">
        <v>14</v>
      </c>
      <c r="K188" t="s">
        <v>56</v>
      </c>
      <c r="L188" t="s">
        <v>143</v>
      </c>
      <c r="M188" t="s">
        <v>172</v>
      </c>
      <c r="N188" t="s">
        <v>86</v>
      </c>
      <c r="O188" t="s">
        <v>62</v>
      </c>
      <c r="P188" t="s">
        <v>78</v>
      </c>
      <c r="Q188">
        <v>25</v>
      </c>
      <c r="R188" t="s">
        <v>213</v>
      </c>
      <c r="S188" t="s">
        <v>27</v>
      </c>
      <c r="T188">
        <v>4</v>
      </c>
      <c r="U188" t="s">
        <v>28</v>
      </c>
      <c r="V188" t="s">
        <v>28</v>
      </c>
      <c r="W188">
        <v>20</v>
      </c>
      <c r="X188">
        <v>4.9400000000000004</v>
      </c>
      <c r="Y188">
        <f>5.96-X188</f>
        <v>1.0199999999999996</v>
      </c>
    </row>
    <row r="189" spans="1:25" x14ac:dyDescent="0.2">
      <c r="A189" t="s">
        <v>55</v>
      </c>
      <c r="B189">
        <v>2013</v>
      </c>
      <c r="C189" t="s">
        <v>826</v>
      </c>
      <c r="D189" t="s">
        <v>824</v>
      </c>
      <c r="E189" t="s">
        <v>48</v>
      </c>
      <c r="F189" t="s">
        <v>323</v>
      </c>
      <c r="G189">
        <v>60.407718000000003</v>
      </c>
      <c r="H189">
        <v>5.2857050000000001</v>
      </c>
      <c r="I189" t="s">
        <v>762</v>
      </c>
      <c r="J189" t="s">
        <v>7</v>
      </c>
      <c r="K189" t="s">
        <v>56</v>
      </c>
      <c r="L189" t="s">
        <v>143</v>
      </c>
      <c r="M189" t="s">
        <v>726</v>
      </c>
      <c r="N189" t="s">
        <v>86</v>
      </c>
      <c r="O189" t="s">
        <v>480</v>
      </c>
      <c r="P189" t="s">
        <v>83</v>
      </c>
      <c r="Q189">
        <v>25</v>
      </c>
      <c r="R189" t="s">
        <v>213</v>
      </c>
      <c r="S189" t="s">
        <v>7</v>
      </c>
      <c r="T189">
        <v>4</v>
      </c>
      <c r="U189" t="s">
        <v>28</v>
      </c>
      <c r="V189" t="s">
        <v>28</v>
      </c>
      <c r="W189">
        <v>10</v>
      </c>
      <c r="X189">
        <v>2.4900000000000002</v>
      </c>
      <c r="Y189">
        <f>X189-0.34</f>
        <v>2.1500000000000004</v>
      </c>
    </row>
    <row r="190" spans="1:25" x14ac:dyDescent="0.2">
      <c r="A190" t="s">
        <v>55</v>
      </c>
      <c r="B190">
        <v>2013</v>
      </c>
      <c r="C190" t="s">
        <v>826</v>
      </c>
      <c r="D190" t="s">
        <v>824</v>
      </c>
      <c r="E190" t="s">
        <v>48</v>
      </c>
      <c r="F190" t="s">
        <v>328</v>
      </c>
      <c r="G190">
        <v>58.339689</v>
      </c>
      <c r="H190">
        <v>8.5986630000000002</v>
      </c>
      <c r="I190" t="s">
        <v>762</v>
      </c>
      <c r="J190" t="s">
        <v>7</v>
      </c>
      <c r="K190" t="s">
        <v>56</v>
      </c>
      <c r="L190" t="s">
        <v>143</v>
      </c>
      <c r="M190" t="s">
        <v>726</v>
      </c>
      <c r="N190" t="s">
        <v>86</v>
      </c>
      <c r="O190" t="s">
        <v>480</v>
      </c>
      <c r="P190" t="s">
        <v>83</v>
      </c>
      <c r="Q190">
        <v>25</v>
      </c>
      <c r="R190" t="s">
        <v>213</v>
      </c>
      <c r="S190" t="s">
        <v>7</v>
      </c>
      <c r="T190">
        <v>4</v>
      </c>
      <c r="U190" t="s">
        <v>28</v>
      </c>
      <c r="V190" t="s">
        <v>28</v>
      </c>
      <c r="W190">
        <v>10</v>
      </c>
      <c r="X190">
        <v>3.44</v>
      </c>
      <c r="Y190">
        <f>7.04-X190</f>
        <v>3.6</v>
      </c>
    </row>
    <row r="191" spans="1:25" x14ac:dyDescent="0.2">
      <c r="A191" t="s">
        <v>55</v>
      </c>
      <c r="B191">
        <v>2013</v>
      </c>
      <c r="C191" t="s">
        <v>826</v>
      </c>
      <c r="D191" t="s">
        <v>824</v>
      </c>
      <c r="E191" t="s">
        <v>48</v>
      </c>
      <c r="F191" t="s">
        <v>326</v>
      </c>
      <c r="G191">
        <v>59.644638</v>
      </c>
      <c r="H191">
        <v>10.62823</v>
      </c>
      <c r="I191" t="s">
        <v>762</v>
      </c>
      <c r="J191" t="s">
        <v>7</v>
      </c>
      <c r="K191" t="s">
        <v>56</v>
      </c>
      <c r="L191" t="s">
        <v>143</v>
      </c>
      <c r="M191" t="s">
        <v>726</v>
      </c>
      <c r="N191" t="s">
        <v>86</v>
      </c>
      <c r="O191" t="s">
        <v>480</v>
      </c>
      <c r="P191" t="s">
        <v>83</v>
      </c>
      <c r="Q191">
        <v>25</v>
      </c>
      <c r="R191" t="s">
        <v>213</v>
      </c>
      <c r="S191" t="s">
        <v>7</v>
      </c>
      <c r="T191">
        <v>4</v>
      </c>
      <c r="U191" t="s">
        <v>28</v>
      </c>
      <c r="V191" t="s">
        <v>28</v>
      </c>
      <c r="W191">
        <v>10</v>
      </c>
      <c r="X191">
        <v>2.92</v>
      </c>
      <c r="Y191">
        <f>4.55-X191</f>
        <v>1.63</v>
      </c>
    </row>
    <row r="192" spans="1:25" x14ac:dyDescent="0.2">
      <c r="A192" t="s">
        <v>55</v>
      </c>
      <c r="B192">
        <v>2013</v>
      </c>
      <c r="C192" t="s">
        <v>826</v>
      </c>
      <c r="D192" t="s">
        <v>824</v>
      </c>
      <c r="E192" t="s">
        <v>48</v>
      </c>
      <c r="F192" t="s">
        <v>323</v>
      </c>
      <c r="G192">
        <v>60.407718000000003</v>
      </c>
      <c r="H192">
        <v>5.2857050000000001</v>
      </c>
      <c r="I192" t="s">
        <v>762</v>
      </c>
      <c r="J192" t="s">
        <v>14</v>
      </c>
      <c r="K192" t="s">
        <v>56</v>
      </c>
      <c r="L192" t="s">
        <v>143</v>
      </c>
      <c r="M192" t="s">
        <v>726</v>
      </c>
      <c r="N192" t="s">
        <v>86</v>
      </c>
      <c r="O192" t="s">
        <v>480</v>
      </c>
      <c r="P192" t="s">
        <v>83</v>
      </c>
      <c r="Q192">
        <v>25</v>
      </c>
      <c r="R192" t="s">
        <v>213</v>
      </c>
      <c r="S192" t="s">
        <v>9</v>
      </c>
      <c r="T192">
        <v>4</v>
      </c>
      <c r="U192" t="s">
        <v>28</v>
      </c>
      <c r="V192" t="s">
        <v>28</v>
      </c>
      <c r="W192">
        <v>15</v>
      </c>
      <c r="X192">
        <v>3.61</v>
      </c>
      <c r="Y192">
        <f>4.64-X192</f>
        <v>1.0299999999999998</v>
      </c>
    </row>
    <row r="193" spans="1:25" x14ac:dyDescent="0.2">
      <c r="A193" t="s">
        <v>55</v>
      </c>
      <c r="B193">
        <v>2013</v>
      </c>
      <c r="C193" t="s">
        <v>826</v>
      </c>
      <c r="D193" t="s">
        <v>824</v>
      </c>
      <c r="E193" t="s">
        <v>48</v>
      </c>
      <c r="F193" t="s">
        <v>328</v>
      </c>
      <c r="G193">
        <v>58.339689</v>
      </c>
      <c r="H193">
        <v>8.5986630000000002</v>
      </c>
      <c r="I193" t="s">
        <v>762</v>
      </c>
      <c r="J193" t="s">
        <v>14</v>
      </c>
      <c r="K193" t="s">
        <v>56</v>
      </c>
      <c r="L193" t="s">
        <v>143</v>
      </c>
      <c r="M193" t="s">
        <v>726</v>
      </c>
      <c r="N193" t="s">
        <v>86</v>
      </c>
      <c r="O193" t="s">
        <v>480</v>
      </c>
      <c r="P193" t="s">
        <v>83</v>
      </c>
      <c r="Q193">
        <v>25</v>
      </c>
      <c r="R193" t="s">
        <v>213</v>
      </c>
      <c r="S193" t="s">
        <v>9</v>
      </c>
      <c r="T193">
        <v>4</v>
      </c>
      <c r="U193" t="s">
        <v>28</v>
      </c>
      <c r="V193" t="s">
        <v>28</v>
      </c>
      <c r="W193">
        <v>15</v>
      </c>
      <c r="X193">
        <v>7.04</v>
      </c>
      <c r="Y193">
        <f>X193-4.3</f>
        <v>2.74</v>
      </c>
    </row>
    <row r="194" spans="1:25" x14ac:dyDescent="0.2">
      <c r="A194" t="s">
        <v>55</v>
      </c>
      <c r="B194">
        <v>2013</v>
      </c>
      <c r="C194" t="s">
        <v>826</v>
      </c>
      <c r="D194" t="s">
        <v>824</v>
      </c>
      <c r="E194" t="s">
        <v>48</v>
      </c>
      <c r="F194" t="s">
        <v>326</v>
      </c>
      <c r="G194">
        <v>59.644638</v>
      </c>
      <c r="H194">
        <v>10.62823</v>
      </c>
      <c r="I194" t="s">
        <v>762</v>
      </c>
      <c r="J194" t="s">
        <v>14</v>
      </c>
      <c r="K194" t="s">
        <v>56</v>
      </c>
      <c r="L194" t="s">
        <v>143</v>
      </c>
      <c r="M194" t="s">
        <v>726</v>
      </c>
      <c r="N194" t="s">
        <v>86</v>
      </c>
      <c r="O194" t="s">
        <v>480</v>
      </c>
      <c r="P194" t="s">
        <v>83</v>
      </c>
      <c r="Q194">
        <v>25</v>
      </c>
      <c r="R194" t="s">
        <v>213</v>
      </c>
      <c r="S194" t="s">
        <v>9</v>
      </c>
      <c r="T194">
        <v>4</v>
      </c>
      <c r="U194" t="s">
        <v>28</v>
      </c>
      <c r="V194" t="s">
        <v>28</v>
      </c>
      <c r="W194">
        <v>15</v>
      </c>
      <c r="X194">
        <v>4.3</v>
      </c>
      <c r="Y194">
        <f>8.42-X194</f>
        <v>4.12</v>
      </c>
    </row>
    <row r="195" spans="1:25" x14ac:dyDescent="0.2">
      <c r="A195" t="s">
        <v>55</v>
      </c>
      <c r="B195">
        <v>2013</v>
      </c>
      <c r="C195" t="s">
        <v>826</v>
      </c>
      <c r="D195" t="s">
        <v>824</v>
      </c>
      <c r="E195" t="s">
        <v>48</v>
      </c>
      <c r="F195" t="s">
        <v>323</v>
      </c>
      <c r="G195">
        <v>60.407718000000003</v>
      </c>
      <c r="H195">
        <v>5.2857050000000001</v>
      </c>
      <c r="I195" t="s">
        <v>762</v>
      </c>
      <c r="J195" t="s">
        <v>14</v>
      </c>
      <c r="K195" t="s">
        <v>56</v>
      </c>
      <c r="L195" t="s">
        <v>143</v>
      </c>
      <c r="M195" t="s">
        <v>726</v>
      </c>
      <c r="N195" t="s">
        <v>86</v>
      </c>
      <c r="O195" t="s">
        <v>480</v>
      </c>
      <c r="P195" t="s">
        <v>83</v>
      </c>
      <c r="Q195">
        <v>25</v>
      </c>
      <c r="R195" t="s">
        <v>213</v>
      </c>
      <c r="S195" t="s">
        <v>27</v>
      </c>
      <c r="T195">
        <v>4</v>
      </c>
      <c r="U195" t="s">
        <v>28</v>
      </c>
      <c r="V195" t="s">
        <v>28</v>
      </c>
      <c r="W195">
        <v>20</v>
      </c>
      <c r="X195">
        <v>50.34</v>
      </c>
      <c r="Y195">
        <f>X195-27.32</f>
        <v>23.020000000000003</v>
      </c>
    </row>
    <row r="196" spans="1:25" x14ac:dyDescent="0.2">
      <c r="A196" t="s">
        <v>55</v>
      </c>
      <c r="B196">
        <v>2013</v>
      </c>
      <c r="C196" t="s">
        <v>826</v>
      </c>
      <c r="D196" t="s">
        <v>824</v>
      </c>
      <c r="E196" t="s">
        <v>48</v>
      </c>
      <c r="F196" t="s">
        <v>328</v>
      </c>
      <c r="G196">
        <v>58.339689</v>
      </c>
      <c r="H196">
        <v>8.5986630000000002</v>
      </c>
      <c r="I196" t="s">
        <v>762</v>
      </c>
      <c r="J196" t="s">
        <v>14</v>
      </c>
      <c r="K196" t="s">
        <v>56</v>
      </c>
      <c r="L196" t="s">
        <v>143</v>
      </c>
      <c r="M196" t="s">
        <v>726</v>
      </c>
      <c r="N196" t="s">
        <v>86</v>
      </c>
      <c r="O196" t="s">
        <v>480</v>
      </c>
      <c r="P196" t="s">
        <v>83</v>
      </c>
      <c r="Q196">
        <v>25</v>
      </c>
      <c r="R196" t="s">
        <v>213</v>
      </c>
      <c r="S196" t="s">
        <v>27</v>
      </c>
      <c r="T196">
        <v>4</v>
      </c>
      <c r="U196" t="s">
        <v>28</v>
      </c>
      <c r="V196" t="s">
        <v>28</v>
      </c>
      <c r="W196">
        <v>20</v>
      </c>
      <c r="X196">
        <v>50.69</v>
      </c>
      <c r="Y196">
        <f>X196-17.87</f>
        <v>32.819999999999993</v>
      </c>
    </row>
    <row r="197" spans="1:25" x14ac:dyDescent="0.2">
      <c r="A197" t="s">
        <v>55</v>
      </c>
      <c r="B197">
        <v>2013</v>
      </c>
      <c r="C197" t="s">
        <v>826</v>
      </c>
      <c r="D197" t="s">
        <v>824</v>
      </c>
      <c r="E197" t="s">
        <v>48</v>
      </c>
      <c r="F197" t="s">
        <v>323</v>
      </c>
      <c r="G197">
        <v>60.407718000000003</v>
      </c>
      <c r="H197">
        <v>5.2857050000000001</v>
      </c>
      <c r="I197" t="s">
        <v>762</v>
      </c>
      <c r="J197" t="s">
        <v>7</v>
      </c>
      <c r="K197" t="s">
        <v>56</v>
      </c>
      <c r="L197" t="s">
        <v>143</v>
      </c>
      <c r="M197" t="s">
        <v>726</v>
      </c>
      <c r="N197" t="s">
        <v>85</v>
      </c>
      <c r="O197" t="s">
        <v>196</v>
      </c>
      <c r="P197" t="s">
        <v>83</v>
      </c>
      <c r="Q197">
        <v>25</v>
      </c>
      <c r="R197" t="s">
        <v>213</v>
      </c>
      <c r="S197" t="s">
        <v>7</v>
      </c>
      <c r="T197">
        <v>4</v>
      </c>
      <c r="U197" t="s">
        <v>28</v>
      </c>
      <c r="V197" t="s">
        <v>28</v>
      </c>
      <c r="W197">
        <v>10</v>
      </c>
      <c r="X197">
        <v>85.05</v>
      </c>
      <c r="Y197">
        <f>X197-61.17</f>
        <v>23.879999999999995</v>
      </c>
    </row>
    <row r="198" spans="1:25" x14ac:dyDescent="0.2">
      <c r="A198" t="s">
        <v>55</v>
      </c>
      <c r="B198">
        <v>2013</v>
      </c>
      <c r="C198" t="s">
        <v>826</v>
      </c>
      <c r="D198" t="s">
        <v>824</v>
      </c>
      <c r="E198" t="s">
        <v>48</v>
      </c>
      <c r="F198" t="s">
        <v>328</v>
      </c>
      <c r="G198">
        <v>58.339689</v>
      </c>
      <c r="H198">
        <v>8.5986630000000002</v>
      </c>
      <c r="I198" t="s">
        <v>762</v>
      </c>
      <c r="J198" t="s">
        <v>7</v>
      </c>
      <c r="K198" t="s">
        <v>56</v>
      </c>
      <c r="L198" t="s">
        <v>143</v>
      </c>
      <c r="M198" t="s">
        <v>726</v>
      </c>
      <c r="N198" t="s">
        <v>85</v>
      </c>
      <c r="O198" t="s">
        <v>196</v>
      </c>
      <c r="P198" t="s">
        <v>83</v>
      </c>
      <c r="Q198">
        <v>25</v>
      </c>
      <c r="R198" t="s">
        <v>213</v>
      </c>
      <c r="S198" t="s">
        <v>7</v>
      </c>
      <c r="T198">
        <v>4</v>
      </c>
      <c r="U198" t="s">
        <v>28</v>
      </c>
      <c r="V198" t="s">
        <v>28</v>
      </c>
      <c r="W198">
        <v>10</v>
      </c>
      <c r="X198">
        <v>92.61</v>
      </c>
      <c r="Y198">
        <f>X198-72.16</f>
        <v>20.450000000000003</v>
      </c>
    </row>
    <row r="199" spans="1:25" x14ac:dyDescent="0.2">
      <c r="A199" t="s">
        <v>55</v>
      </c>
      <c r="B199">
        <v>2013</v>
      </c>
      <c r="C199" t="s">
        <v>826</v>
      </c>
      <c r="D199" t="s">
        <v>824</v>
      </c>
      <c r="E199" t="s">
        <v>48</v>
      </c>
      <c r="F199" t="s">
        <v>326</v>
      </c>
      <c r="G199">
        <v>59.644638</v>
      </c>
      <c r="H199">
        <v>10.62823</v>
      </c>
      <c r="I199" t="s">
        <v>762</v>
      </c>
      <c r="J199" t="s">
        <v>7</v>
      </c>
      <c r="K199" t="s">
        <v>56</v>
      </c>
      <c r="L199" t="s">
        <v>143</v>
      </c>
      <c r="M199" t="s">
        <v>726</v>
      </c>
      <c r="N199" t="s">
        <v>85</v>
      </c>
      <c r="O199" t="s">
        <v>196</v>
      </c>
      <c r="P199" t="s">
        <v>83</v>
      </c>
      <c r="Q199">
        <v>25</v>
      </c>
      <c r="R199" t="s">
        <v>213</v>
      </c>
      <c r="S199" t="s">
        <v>7</v>
      </c>
      <c r="T199">
        <v>4</v>
      </c>
      <c r="U199" t="s">
        <v>28</v>
      </c>
      <c r="V199" t="s">
        <v>28</v>
      </c>
      <c r="W199">
        <v>10</v>
      </c>
      <c r="X199">
        <v>106.87</v>
      </c>
      <c r="Y199">
        <f>X199-91.75</f>
        <v>15.120000000000005</v>
      </c>
    </row>
    <row r="200" spans="1:25" x14ac:dyDescent="0.2">
      <c r="A200" t="s">
        <v>55</v>
      </c>
      <c r="B200">
        <v>2013</v>
      </c>
      <c r="C200" t="s">
        <v>826</v>
      </c>
      <c r="D200" t="s">
        <v>824</v>
      </c>
      <c r="E200" t="s">
        <v>48</v>
      </c>
      <c r="F200" t="s">
        <v>323</v>
      </c>
      <c r="G200">
        <v>60.407718000000003</v>
      </c>
      <c r="H200">
        <v>5.2857050000000001</v>
      </c>
      <c r="I200" t="s">
        <v>762</v>
      </c>
      <c r="J200" t="s">
        <v>14</v>
      </c>
      <c r="K200" t="s">
        <v>56</v>
      </c>
      <c r="L200" t="s">
        <v>143</v>
      </c>
      <c r="M200" t="s">
        <v>726</v>
      </c>
      <c r="N200" t="s">
        <v>85</v>
      </c>
      <c r="O200" t="s">
        <v>196</v>
      </c>
      <c r="P200" t="s">
        <v>83</v>
      </c>
      <c r="Q200">
        <v>25</v>
      </c>
      <c r="R200" t="s">
        <v>213</v>
      </c>
      <c r="S200" t="s">
        <v>9</v>
      </c>
      <c r="T200">
        <v>4</v>
      </c>
      <c r="U200" t="s">
        <v>28</v>
      </c>
      <c r="V200" t="s">
        <v>28</v>
      </c>
      <c r="W200">
        <v>15</v>
      </c>
      <c r="X200">
        <v>116.84</v>
      </c>
      <c r="Y200">
        <f>X200-108.93</f>
        <v>7.9099999999999966</v>
      </c>
    </row>
    <row r="201" spans="1:25" x14ac:dyDescent="0.2">
      <c r="A201" t="s">
        <v>55</v>
      </c>
      <c r="B201">
        <v>2013</v>
      </c>
      <c r="C201" t="s">
        <v>826</v>
      </c>
      <c r="D201" t="s">
        <v>824</v>
      </c>
      <c r="E201" t="s">
        <v>48</v>
      </c>
      <c r="F201" t="s">
        <v>328</v>
      </c>
      <c r="G201">
        <v>58.339689</v>
      </c>
      <c r="H201">
        <v>8.5986630000000002</v>
      </c>
      <c r="I201" t="s">
        <v>762</v>
      </c>
      <c r="J201" t="s">
        <v>14</v>
      </c>
      <c r="K201" t="s">
        <v>56</v>
      </c>
      <c r="L201" t="s">
        <v>143</v>
      </c>
      <c r="M201" t="s">
        <v>726</v>
      </c>
      <c r="N201" t="s">
        <v>85</v>
      </c>
      <c r="O201" t="s">
        <v>196</v>
      </c>
      <c r="P201" t="s">
        <v>83</v>
      </c>
      <c r="Q201">
        <v>25</v>
      </c>
      <c r="R201" t="s">
        <v>213</v>
      </c>
      <c r="S201" t="s">
        <v>9</v>
      </c>
      <c r="T201">
        <v>4</v>
      </c>
      <c r="U201" t="s">
        <v>28</v>
      </c>
      <c r="V201" t="s">
        <v>28</v>
      </c>
      <c r="W201">
        <v>15</v>
      </c>
      <c r="X201">
        <v>92.61</v>
      </c>
      <c r="Y201">
        <f>X201-84.88</f>
        <v>7.730000000000004</v>
      </c>
    </row>
    <row r="202" spans="1:25" x14ac:dyDescent="0.2">
      <c r="A202" t="s">
        <v>55</v>
      </c>
      <c r="B202">
        <v>2013</v>
      </c>
      <c r="C202" t="s">
        <v>826</v>
      </c>
      <c r="D202" t="s">
        <v>824</v>
      </c>
      <c r="E202" t="s">
        <v>48</v>
      </c>
      <c r="F202" t="s">
        <v>326</v>
      </c>
      <c r="G202">
        <v>59.644638</v>
      </c>
      <c r="H202">
        <v>10.62823</v>
      </c>
      <c r="I202" t="s">
        <v>762</v>
      </c>
      <c r="J202" t="s">
        <v>14</v>
      </c>
      <c r="K202" t="s">
        <v>56</v>
      </c>
      <c r="L202" t="s">
        <v>143</v>
      </c>
      <c r="M202" t="s">
        <v>726</v>
      </c>
      <c r="N202" t="s">
        <v>85</v>
      </c>
      <c r="O202" t="s">
        <v>196</v>
      </c>
      <c r="P202" t="s">
        <v>83</v>
      </c>
      <c r="Q202">
        <v>25</v>
      </c>
      <c r="R202" t="s">
        <v>213</v>
      </c>
      <c r="S202" t="s">
        <v>9</v>
      </c>
      <c r="T202">
        <v>4</v>
      </c>
      <c r="U202" t="s">
        <v>28</v>
      </c>
      <c r="V202" t="s">
        <v>28</v>
      </c>
      <c r="W202">
        <v>15</v>
      </c>
      <c r="X202">
        <v>100.34</v>
      </c>
      <c r="Y202">
        <f>X202-87.63</f>
        <v>12.710000000000008</v>
      </c>
    </row>
    <row r="203" spans="1:25" x14ac:dyDescent="0.2">
      <c r="A203" t="s">
        <v>55</v>
      </c>
      <c r="B203">
        <v>2013</v>
      </c>
      <c r="C203" t="s">
        <v>826</v>
      </c>
      <c r="D203" t="s">
        <v>824</v>
      </c>
      <c r="E203" t="s">
        <v>48</v>
      </c>
      <c r="F203" t="s">
        <v>323</v>
      </c>
      <c r="G203">
        <v>60.407718000000003</v>
      </c>
      <c r="H203">
        <v>5.2857050000000001</v>
      </c>
      <c r="I203" t="s">
        <v>762</v>
      </c>
      <c r="J203" t="s">
        <v>14</v>
      </c>
      <c r="K203" t="s">
        <v>56</v>
      </c>
      <c r="L203" t="s">
        <v>143</v>
      </c>
      <c r="M203" t="s">
        <v>726</v>
      </c>
      <c r="N203" t="s">
        <v>85</v>
      </c>
      <c r="O203" t="s">
        <v>196</v>
      </c>
      <c r="P203" t="s">
        <v>83</v>
      </c>
      <c r="Q203">
        <v>25</v>
      </c>
      <c r="R203" t="s">
        <v>213</v>
      </c>
      <c r="S203" t="s">
        <v>27</v>
      </c>
      <c r="T203">
        <v>4</v>
      </c>
      <c r="U203" t="s">
        <v>28</v>
      </c>
      <c r="V203" t="s">
        <v>28</v>
      </c>
      <c r="W203">
        <v>20</v>
      </c>
      <c r="X203">
        <v>111</v>
      </c>
      <c r="Y203">
        <f>X203-79.04</f>
        <v>31.959999999999994</v>
      </c>
    </row>
    <row r="204" spans="1:25" x14ac:dyDescent="0.2">
      <c r="A204" t="s">
        <v>55</v>
      </c>
      <c r="B204">
        <v>2013</v>
      </c>
      <c r="C204" t="s">
        <v>826</v>
      </c>
      <c r="D204" t="s">
        <v>824</v>
      </c>
      <c r="E204" t="s">
        <v>48</v>
      </c>
      <c r="F204" t="s">
        <v>328</v>
      </c>
      <c r="G204">
        <v>58.339689</v>
      </c>
      <c r="H204">
        <v>8.5986630000000002</v>
      </c>
      <c r="I204" t="s">
        <v>762</v>
      </c>
      <c r="J204" t="s">
        <v>14</v>
      </c>
      <c r="K204" t="s">
        <v>56</v>
      </c>
      <c r="L204" t="s">
        <v>143</v>
      </c>
      <c r="M204" t="s">
        <v>726</v>
      </c>
      <c r="N204" t="s">
        <v>85</v>
      </c>
      <c r="O204" t="s">
        <v>196</v>
      </c>
      <c r="P204" t="s">
        <v>83</v>
      </c>
      <c r="Q204">
        <v>25</v>
      </c>
      <c r="R204" t="s">
        <v>213</v>
      </c>
      <c r="S204" t="s">
        <v>27</v>
      </c>
      <c r="T204">
        <v>4</v>
      </c>
      <c r="U204" t="s">
        <v>28</v>
      </c>
      <c r="V204" t="s">
        <v>28</v>
      </c>
      <c r="W204">
        <v>20</v>
      </c>
      <c r="X204">
        <v>129.21</v>
      </c>
      <c r="Y204">
        <f>X204-88.32</f>
        <v>40.890000000000015</v>
      </c>
    </row>
    <row r="205" spans="1:25" x14ac:dyDescent="0.2">
      <c r="A205" t="s">
        <v>55</v>
      </c>
      <c r="B205">
        <v>2013</v>
      </c>
      <c r="C205" t="s">
        <v>826</v>
      </c>
      <c r="D205" t="s">
        <v>824</v>
      </c>
      <c r="E205" t="s">
        <v>48</v>
      </c>
      <c r="F205" t="s">
        <v>323</v>
      </c>
      <c r="G205">
        <v>60.407718000000003</v>
      </c>
      <c r="H205">
        <v>5.2857050000000001</v>
      </c>
      <c r="I205" t="s">
        <v>762</v>
      </c>
      <c r="J205" t="s">
        <v>7</v>
      </c>
      <c r="K205" t="s">
        <v>56</v>
      </c>
      <c r="L205" t="s">
        <v>143</v>
      </c>
      <c r="M205" t="s">
        <v>726</v>
      </c>
      <c r="N205" t="s">
        <v>85</v>
      </c>
      <c r="O205" t="s">
        <v>84</v>
      </c>
      <c r="Q205">
        <v>25</v>
      </c>
      <c r="R205" t="s">
        <v>213</v>
      </c>
      <c r="S205" t="s">
        <v>7</v>
      </c>
      <c r="T205">
        <v>4</v>
      </c>
      <c r="U205" t="s">
        <v>28</v>
      </c>
      <c r="V205" t="s">
        <v>28</v>
      </c>
      <c r="W205">
        <v>10</v>
      </c>
      <c r="X205">
        <v>0.6</v>
      </c>
      <c r="Y205">
        <f>X205-0.52</f>
        <v>7.999999999999996E-2</v>
      </c>
    </row>
    <row r="206" spans="1:25" x14ac:dyDescent="0.2">
      <c r="A206" t="s">
        <v>55</v>
      </c>
      <c r="B206">
        <v>2013</v>
      </c>
      <c r="C206" t="s">
        <v>826</v>
      </c>
      <c r="D206" t="s">
        <v>824</v>
      </c>
      <c r="E206" t="s">
        <v>48</v>
      </c>
      <c r="F206" t="s">
        <v>328</v>
      </c>
      <c r="G206">
        <v>58.339689</v>
      </c>
      <c r="H206">
        <v>8.5986630000000002</v>
      </c>
      <c r="I206" t="s">
        <v>762</v>
      </c>
      <c r="J206" t="s">
        <v>7</v>
      </c>
      <c r="K206" t="s">
        <v>56</v>
      </c>
      <c r="L206" t="s">
        <v>143</v>
      </c>
      <c r="M206" t="s">
        <v>726</v>
      </c>
      <c r="N206" t="s">
        <v>85</v>
      </c>
      <c r="O206" t="s">
        <v>84</v>
      </c>
      <c r="Q206">
        <v>25</v>
      </c>
      <c r="R206" t="s">
        <v>213</v>
      </c>
      <c r="S206" t="s">
        <v>7</v>
      </c>
      <c r="T206">
        <v>4</v>
      </c>
      <c r="U206" t="s">
        <v>28</v>
      </c>
      <c r="V206" t="s">
        <v>28</v>
      </c>
      <c r="W206">
        <v>10</v>
      </c>
      <c r="X206">
        <v>0.65</v>
      </c>
      <c r="Y206">
        <f>X206-0.62</f>
        <v>3.0000000000000027E-2</v>
      </c>
    </row>
    <row r="207" spans="1:25" x14ac:dyDescent="0.2">
      <c r="A207" t="s">
        <v>55</v>
      </c>
      <c r="B207">
        <v>2013</v>
      </c>
      <c r="C207" t="s">
        <v>826</v>
      </c>
      <c r="D207" t="s">
        <v>824</v>
      </c>
      <c r="E207" t="s">
        <v>48</v>
      </c>
      <c r="F207" t="s">
        <v>326</v>
      </c>
      <c r="G207">
        <v>59.644638</v>
      </c>
      <c r="H207">
        <v>10.62823</v>
      </c>
      <c r="I207" t="s">
        <v>762</v>
      </c>
      <c r="J207" t="s">
        <v>7</v>
      </c>
      <c r="K207" t="s">
        <v>56</v>
      </c>
      <c r="L207" t="s">
        <v>143</v>
      </c>
      <c r="M207" t="s">
        <v>726</v>
      </c>
      <c r="N207" t="s">
        <v>85</v>
      </c>
      <c r="O207" t="s">
        <v>84</v>
      </c>
      <c r="Q207">
        <v>25</v>
      </c>
      <c r="R207" t="s">
        <v>213</v>
      </c>
      <c r="S207" t="s">
        <v>7</v>
      </c>
      <c r="T207">
        <v>4</v>
      </c>
      <c r="U207" t="s">
        <v>28</v>
      </c>
      <c r="V207" t="s">
        <v>28</v>
      </c>
      <c r="W207">
        <v>10</v>
      </c>
      <c r="X207">
        <v>0.62</v>
      </c>
      <c r="Y207">
        <f>X207-0.59</f>
        <v>3.0000000000000027E-2</v>
      </c>
    </row>
    <row r="208" spans="1:25" x14ac:dyDescent="0.2">
      <c r="A208" t="s">
        <v>55</v>
      </c>
      <c r="B208">
        <v>2013</v>
      </c>
      <c r="C208" t="s">
        <v>826</v>
      </c>
      <c r="D208" t="s">
        <v>824</v>
      </c>
      <c r="E208" t="s">
        <v>48</v>
      </c>
      <c r="F208" t="s">
        <v>323</v>
      </c>
      <c r="G208">
        <v>60.407718000000003</v>
      </c>
      <c r="H208">
        <v>5.2857050000000001</v>
      </c>
      <c r="I208" t="s">
        <v>762</v>
      </c>
      <c r="J208" t="s">
        <v>14</v>
      </c>
      <c r="K208" t="s">
        <v>56</v>
      </c>
      <c r="L208" t="s">
        <v>143</v>
      </c>
      <c r="M208" t="s">
        <v>726</v>
      </c>
      <c r="N208" t="s">
        <v>85</v>
      </c>
      <c r="O208" t="s">
        <v>84</v>
      </c>
      <c r="Q208">
        <v>25</v>
      </c>
      <c r="R208" t="s">
        <v>213</v>
      </c>
      <c r="S208" t="s">
        <v>9</v>
      </c>
      <c r="T208">
        <v>4</v>
      </c>
      <c r="U208" t="s">
        <v>28</v>
      </c>
      <c r="V208" t="s">
        <v>28</v>
      </c>
      <c r="W208">
        <v>15</v>
      </c>
      <c r="X208">
        <v>0.56999999999999995</v>
      </c>
      <c r="Y208">
        <f>X208-0.53</f>
        <v>3.9999999999999925E-2</v>
      </c>
    </row>
    <row r="209" spans="1:25" x14ac:dyDescent="0.2">
      <c r="A209" t="s">
        <v>55</v>
      </c>
      <c r="B209">
        <v>2013</v>
      </c>
      <c r="C209" t="s">
        <v>826</v>
      </c>
      <c r="D209" t="s">
        <v>824</v>
      </c>
      <c r="E209" t="s">
        <v>48</v>
      </c>
      <c r="F209" t="s">
        <v>328</v>
      </c>
      <c r="G209">
        <v>58.339689</v>
      </c>
      <c r="H209">
        <v>8.5986630000000002</v>
      </c>
      <c r="I209" t="s">
        <v>762</v>
      </c>
      <c r="J209" t="s">
        <v>14</v>
      </c>
      <c r="K209" t="s">
        <v>56</v>
      </c>
      <c r="L209" t="s">
        <v>143</v>
      </c>
      <c r="M209" t="s">
        <v>726</v>
      </c>
      <c r="N209" t="s">
        <v>85</v>
      </c>
      <c r="O209" t="s">
        <v>84</v>
      </c>
      <c r="Q209">
        <v>25</v>
      </c>
      <c r="R209" t="s">
        <v>213</v>
      </c>
      <c r="S209" t="s">
        <v>9</v>
      </c>
      <c r="T209">
        <v>4</v>
      </c>
      <c r="U209" t="s">
        <v>28</v>
      </c>
      <c r="V209" t="s">
        <v>28</v>
      </c>
      <c r="W209">
        <v>15</v>
      </c>
      <c r="X209">
        <v>0.56999999999999995</v>
      </c>
      <c r="Y209">
        <f>X209-0.55</f>
        <v>1.9999999999999907E-2</v>
      </c>
    </row>
    <row r="210" spans="1:25" x14ac:dyDescent="0.2">
      <c r="A210" t="s">
        <v>55</v>
      </c>
      <c r="B210">
        <v>2013</v>
      </c>
      <c r="C210" t="s">
        <v>826</v>
      </c>
      <c r="D210" t="s">
        <v>824</v>
      </c>
      <c r="E210" t="s">
        <v>48</v>
      </c>
      <c r="F210" t="s">
        <v>326</v>
      </c>
      <c r="G210">
        <v>59.644638</v>
      </c>
      <c r="H210">
        <v>10.62823</v>
      </c>
      <c r="I210" t="s">
        <v>762</v>
      </c>
      <c r="J210" t="s">
        <v>14</v>
      </c>
      <c r="K210" t="s">
        <v>56</v>
      </c>
      <c r="L210" t="s">
        <v>143</v>
      </c>
      <c r="M210" t="s">
        <v>726</v>
      </c>
      <c r="N210" t="s">
        <v>85</v>
      </c>
      <c r="O210" t="s">
        <v>84</v>
      </c>
      <c r="Q210">
        <v>25</v>
      </c>
      <c r="R210" t="s">
        <v>213</v>
      </c>
      <c r="S210" t="s">
        <v>9</v>
      </c>
      <c r="T210">
        <v>4</v>
      </c>
      <c r="U210" t="s">
        <v>28</v>
      </c>
      <c r="V210" t="s">
        <v>28</v>
      </c>
      <c r="W210">
        <v>15</v>
      </c>
      <c r="X210">
        <v>0.6</v>
      </c>
      <c r="Y210">
        <f>X210-0.57</f>
        <v>3.0000000000000027E-2</v>
      </c>
    </row>
    <row r="211" spans="1:25" x14ac:dyDescent="0.2">
      <c r="A211" t="s">
        <v>55</v>
      </c>
      <c r="B211">
        <v>2013</v>
      </c>
      <c r="C211" t="s">
        <v>826</v>
      </c>
      <c r="D211" t="s">
        <v>824</v>
      </c>
      <c r="E211" t="s">
        <v>48</v>
      </c>
      <c r="F211" t="s">
        <v>323</v>
      </c>
      <c r="G211">
        <v>60.407718000000003</v>
      </c>
      <c r="H211">
        <v>5.2857050000000001</v>
      </c>
      <c r="I211" t="s">
        <v>762</v>
      </c>
      <c r="J211" t="s">
        <v>14</v>
      </c>
      <c r="K211" t="s">
        <v>56</v>
      </c>
      <c r="L211" t="s">
        <v>143</v>
      </c>
      <c r="M211" t="s">
        <v>726</v>
      </c>
      <c r="N211" t="s">
        <v>85</v>
      </c>
      <c r="O211" t="s">
        <v>84</v>
      </c>
      <c r="Q211">
        <v>25</v>
      </c>
      <c r="R211" t="s">
        <v>213</v>
      </c>
      <c r="S211" t="s">
        <v>27</v>
      </c>
      <c r="T211">
        <v>4</v>
      </c>
      <c r="U211" t="s">
        <v>28</v>
      </c>
      <c r="V211" t="s">
        <v>28</v>
      </c>
      <c r="W211">
        <v>20</v>
      </c>
      <c r="X211">
        <v>0.54</v>
      </c>
      <c r="Y211">
        <f>X211-0.49</f>
        <v>5.0000000000000044E-2</v>
      </c>
    </row>
    <row r="212" spans="1:25" x14ac:dyDescent="0.2">
      <c r="A212" t="s">
        <v>55</v>
      </c>
      <c r="B212">
        <v>2013</v>
      </c>
      <c r="C212" t="s">
        <v>826</v>
      </c>
      <c r="D212" t="s">
        <v>824</v>
      </c>
      <c r="E212" t="s">
        <v>48</v>
      </c>
      <c r="F212" t="s">
        <v>328</v>
      </c>
      <c r="G212">
        <v>58.339689</v>
      </c>
      <c r="H212">
        <v>8.5986630000000002</v>
      </c>
      <c r="I212" t="s">
        <v>762</v>
      </c>
      <c r="J212" t="s">
        <v>14</v>
      </c>
      <c r="K212" t="s">
        <v>56</v>
      </c>
      <c r="L212" t="s">
        <v>143</v>
      </c>
      <c r="M212" t="s">
        <v>726</v>
      </c>
      <c r="N212" t="s">
        <v>85</v>
      </c>
      <c r="O212" t="s">
        <v>84</v>
      </c>
      <c r="Q212">
        <v>25</v>
      </c>
      <c r="R212" t="s">
        <v>213</v>
      </c>
      <c r="S212" t="s">
        <v>27</v>
      </c>
      <c r="T212">
        <v>4</v>
      </c>
      <c r="U212" t="s">
        <v>28</v>
      </c>
      <c r="V212" t="s">
        <v>28</v>
      </c>
      <c r="W212">
        <v>20</v>
      </c>
      <c r="X212">
        <v>0.55000000000000004</v>
      </c>
      <c r="Y212">
        <f>X212-0.53</f>
        <v>2.0000000000000018E-2</v>
      </c>
    </row>
    <row r="213" spans="1:25" x14ac:dyDescent="0.2">
      <c r="A213" t="s">
        <v>55</v>
      </c>
      <c r="B213">
        <v>2013</v>
      </c>
      <c r="C213" t="s">
        <v>826</v>
      </c>
      <c r="D213" t="s">
        <v>824</v>
      </c>
      <c r="E213" t="s">
        <v>48</v>
      </c>
      <c r="F213" t="s">
        <v>323</v>
      </c>
      <c r="G213">
        <v>60.407718000000003</v>
      </c>
      <c r="H213">
        <v>5.2857050000000001</v>
      </c>
      <c r="I213" t="s">
        <v>762</v>
      </c>
      <c r="J213" t="s">
        <v>7</v>
      </c>
      <c r="K213" t="s">
        <v>56</v>
      </c>
      <c r="L213" t="s">
        <v>143</v>
      </c>
      <c r="M213" t="s">
        <v>726</v>
      </c>
      <c r="N213" t="s">
        <v>85</v>
      </c>
      <c r="O213" s="6" t="s">
        <v>208</v>
      </c>
      <c r="Q213">
        <v>25</v>
      </c>
      <c r="R213" t="s">
        <v>213</v>
      </c>
      <c r="S213" t="s">
        <v>7</v>
      </c>
      <c r="T213">
        <v>4</v>
      </c>
      <c r="U213" t="s">
        <v>28</v>
      </c>
      <c r="V213" t="s">
        <v>28</v>
      </c>
      <c r="W213">
        <v>10</v>
      </c>
      <c r="X213">
        <v>3.2099999999999997E-2</v>
      </c>
      <c r="Y213">
        <f>X213-0.027</f>
        <v>5.0999999999999969E-3</v>
      </c>
    </row>
    <row r="214" spans="1:25" x14ac:dyDescent="0.2">
      <c r="A214" t="s">
        <v>55</v>
      </c>
      <c r="B214">
        <v>2013</v>
      </c>
      <c r="C214" t="s">
        <v>826</v>
      </c>
      <c r="D214" t="s">
        <v>824</v>
      </c>
      <c r="E214" t="s">
        <v>48</v>
      </c>
      <c r="F214" t="s">
        <v>328</v>
      </c>
      <c r="G214">
        <v>58.339689</v>
      </c>
      <c r="H214">
        <v>8.5986630000000002</v>
      </c>
      <c r="I214" t="s">
        <v>762</v>
      </c>
      <c r="J214" t="s">
        <v>7</v>
      </c>
      <c r="K214" t="s">
        <v>56</v>
      </c>
      <c r="L214" t="s">
        <v>143</v>
      </c>
      <c r="M214" t="s">
        <v>726</v>
      </c>
      <c r="N214" t="s">
        <v>85</v>
      </c>
      <c r="O214" s="6" t="s">
        <v>208</v>
      </c>
      <c r="Q214">
        <v>25</v>
      </c>
      <c r="R214" t="s">
        <v>213</v>
      </c>
      <c r="S214" t="s">
        <v>7</v>
      </c>
      <c r="T214">
        <v>4</v>
      </c>
      <c r="U214" t="s">
        <v>28</v>
      </c>
      <c r="V214" t="s">
        <v>28</v>
      </c>
      <c r="W214">
        <v>10</v>
      </c>
      <c r="X214">
        <v>5.8999999999999997E-2</v>
      </c>
      <c r="Y214">
        <f>X214-0.0502</f>
        <v>8.7999999999999953E-3</v>
      </c>
    </row>
    <row r="215" spans="1:25" x14ac:dyDescent="0.2">
      <c r="A215" t="s">
        <v>55</v>
      </c>
      <c r="B215">
        <v>2013</v>
      </c>
      <c r="C215" t="s">
        <v>826</v>
      </c>
      <c r="D215" t="s">
        <v>824</v>
      </c>
      <c r="E215" t="s">
        <v>48</v>
      </c>
      <c r="F215" t="s">
        <v>326</v>
      </c>
      <c r="G215">
        <v>59.644638</v>
      </c>
      <c r="H215">
        <v>10.62823</v>
      </c>
      <c r="I215" t="s">
        <v>762</v>
      </c>
      <c r="J215" t="s">
        <v>7</v>
      </c>
      <c r="K215" t="s">
        <v>56</v>
      </c>
      <c r="L215" t="s">
        <v>143</v>
      </c>
      <c r="M215" t="s">
        <v>726</v>
      </c>
      <c r="N215" t="s">
        <v>85</v>
      </c>
      <c r="O215" s="6" t="s">
        <v>208</v>
      </c>
      <c r="Q215">
        <v>25</v>
      </c>
      <c r="R215" t="s">
        <v>213</v>
      </c>
      <c r="S215" t="s">
        <v>7</v>
      </c>
      <c r="T215">
        <v>4</v>
      </c>
      <c r="U215" t="s">
        <v>28</v>
      </c>
      <c r="V215" t="s">
        <v>28</v>
      </c>
      <c r="W215">
        <v>10</v>
      </c>
      <c r="X215">
        <v>4.6100000000000002E-2</v>
      </c>
      <c r="Y215">
        <f>X215-0.0391</f>
        <v>6.9999999999999993E-3</v>
      </c>
    </row>
    <row r="216" spans="1:25" x14ac:dyDescent="0.2">
      <c r="A216" t="s">
        <v>55</v>
      </c>
      <c r="B216">
        <v>2013</v>
      </c>
      <c r="C216" t="s">
        <v>826</v>
      </c>
      <c r="D216" t="s">
        <v>824</v>
      </c>
      <c r="E216" t="s">
        <v>48</v>
      </c>
      <c r="F216" t="s">
        <v>323</v>
      </c>
      <c r="G216">
        <v>60.407718000000003</v>
      </c>
      <c r="H216">
        <v>5.2857050000000001</v>
      </c>
      <c r="I216" t="s">
        <v>762</v>
      </c>
      <c r="J216" t="s">
        <v>14</v>
      </c>
      <c r="K216" t="s">
        <v>56</v>
      </c>
      <c r="L216" t="s">
        <v>143</v>
      </c>
      <c r="M216" t="s">
        <v>726</v>
      </c>
      <c r="N216" t="s">
        <v>85</v>
      </c>
      <c r="O216" s="6" t="s">
        <v>208</v>
      </c>
      <c r="Q216">
        <v>25</v>
      </c>
      <c r="R216" t="s">
        <v>213</v>
      </c>
      <c r="S216" t="s">
        <v>9</v>
      </c>
      <c r="T216">
        <v>4</v>
      </c>
      <c r="U216" t="s">
        <v>28</v>
      </c>
      <c r="V216" t="s">
        <v>28</v>
      </c>
      <c r="W216">
        <v>15</v>
      </c>
      <c r="X216">
        <v>2.6100000000000002E-2</v>
      </c>
      <c r="Y216">
        <f>X216-0.0238</f>
        <v>2.3E-3</v>
      </c>
    </row>
    <row r="217" spans="1:25" x14ac:dyDescent="0.2">
      <c r="A217" t="s">
        <v>55</v>
      </c>
      <c r="B217">
        <v>2013</v>
      </c>
      <c r="C217" t="s">
        <v>826</v>
      </c>
      <c r="D217" t="s">
        <v>824</v>
      </c>
      <c r="E217" t="s">
        <v>48</v>
      </c>
      <c r="F217" t="s">
        <v>328</v>
      </c>
      <c r="G217">
        <v>58.339689</v>
      </c>
      <c r="H217">
        <v>8.5986630000000002</v>
      </c>
      <c r="I217" t="s">
        <v>762</v>
      </c>
      <c r="J217" t="s">
        <v>14</v>
      </c>
      <c r="K217" t="s">
        <v>56</v>
      </c>
      <c r="L217" t="s">
        <v>143</v>
      </c>
      <c r="M217" t="s">
        <v>726</v>
      </c>
      <c r="N217" t="s">
        <v>85</v>
      </c>
      <c r="O217" s="6" t="s">
        <v>208</v>
      </c>
      <c r="Q217">
        <v>25</v>
      </c>
      <c r="R217" t="s">
        <v>213</v>
      </c>
      <c r="S217" t="s">
        <v>9</v>
      </c>
      <c r="T217">
        <v>4</v>
      </c>
      <c r="U217" t="s">
        <v>28</v>
      </c>
      <c r="V217" t="s">
        <v>28</v>
      </c>
      <c r="W217">
        <v>15</v>
      </c>
      <c r="X217">
        <v>2.5999999999999999E-2</v>
      </c>
      <c r="Y217">
        <f>X217-0.0201</f>
        <v>5.899999999999999E-3</v>
      </c>
    </row>
    <row r="218" spans="1:25" x14ac:dyDescent="0.2">
      <c r="A218" t="s">
        <v>55</v>
      </c>
      <c r="B218">
        <v>2013</v>
      </c>
      <c r="C218" t="s">
        <v>826</v>
      </c>
      <c r="D218" t="s">
        <v>824</v>
      </c>
      <c r="E218" t="s">
        <v>48</v>
      </c>
      <c r="F218" t="s">
        <v>326</v>
      </c>
      <c r="G218">
        <v>59.644638</v>
      </c>
      <c r="H218">
        <v>10.62823</v>
      </c>
      <c r="I218" t="s">
        <v>762</v>
      </c>
      <c r="J218" t="s">
        <v>14</v>
      </c>
      <c r="K218" t="s">
        <v>56</v>
      </c>
      <c r="L218" t="s">
        <v>143</v>
      </c>
      <c r="M218" t="s">
        <v>726</v>
      </c>
      <c r="N218" t="s">
        <v>85</v>
      </c>
      <c r="O218" s="6" t="s">
        <v>208</v>
      </c>
      <c r="Q218">
        <v>25</v>
      </c>
      <c r="R218" t="s">
        <v>213</v>
      </c>
      <c r="S218" t="s">
        <v>9</v>
      </c>
      <c r="T218">
        <v>4</v>
      </c>
      <c r="U218" t="s">
        <v>28</v>
      </c>
      <c r="V218" t="s">
        <v>28</v>
      </c>
      <c r="W218">
        <v>15</v>
      </c>
      <c r="X218">
        <v>3.7100000000000001E-2</v>
      </c>
      <c r="Y218">
        <f>X218-0.0321</f>
        <v>5.0000000000000044E-3</v>
      </c>
    </row>
    <row r="219" spans="1:25" x14ac:dyDescent="0.2">
      <c r="A219" t="s">
        <v>55</v>
      </c>
      <c r="B219">
        <v>2013</v>
      </c>
      <c r="C219" t="s">
        <v>826</v>
      </c>
      <c r="D219" t="s">
        <v>824</v>
      </c>
      <c r="E219" t="s">
        <v>48</v>
      </c>
      <c r="F219" t="s">
        <v>323</v>
      </c>
      <c r="G219">
        <v>60.407718000000003</v>
      </c>
      <c r="H219">
        <v>5.2857050000000001</v>
      </c>
      <c r="I219" t="s">
        <v>762</v>
      </c>
      <c r="J219" t="s">
        <v>14</v>
      </c>
      <c r="K219" t="s">
        <v>56</v>
      </c>
      <c r="L219" t="s">
        <v>143</v>
      </c>
      <c r="M219" t="s">
        <v>726</v>
      </c>
      <c r="N219" t="s">
        <v>85</v>
      </c>
      <c r="O219" s="6" t="s">
        <v>208</v>
      </c>
      <c r="Q219">
        <v>25</v>
      </c>
      <c r="R219" t="s">
        <v>213</v>
      </c>
      <c r="S219" t="s">
        <v>27</v>
      </c>
      <c r="T219">
        <v>4</v>
      </c>
      <c r="U219" t="s">
        <v>28</v>
      </c>
      <c r="V219" t="s">
        <v>28</v>
      </c>
      <c r="W219">
        <v>20</v>
      </c>
      <c r="X219">
        <v>2.1999999999999999E-2</v>
      </c>
      <c r="Y219">
        <f>X219-0.01</f>
        <v>1.1999999999999999E-2</v>
      </c>
    </row>
    <row r="220" spans="1:25" x14ac:dyDescent="0.2">
      <c r="A220" t="s">
        <v>55</v>
      </c>
      <c r="B220">
        <v>2013</v>
      </c>
      <c r="C220" t="s">
        <v>826</v>
      </c>
      <c r="D220" t="s">
        <v>824</v>
      </c>
      <c r="E220" t="s">
        <v>48</v>
      </c>
      <c r="F220" t="s">
        <v>328</v>
      </c>
      <c r="G220">
        <v>58.339689</v>
      </c>
      <c r="H220">
        <v>8.5986630000000002</v>
      </c>
      <c r="I220" t="s">
        <v>762</v>
      </c>
      <c r="J220" t="s">
        <v>14</v>
      </c>
      <c r="K220" t="s">
        <v>56</v>
      </c>
      <c r="L220" t="s">
        <v>143</v>
      </c>
      <c r="M220" t="s">
        <v>726</v>
      </c>
      <c r="N220" t="s">
        <v>85</v>
      </c>
      <c r="O220" s="6" t="s">
        <v>208</v>
      </c>
      <c r="Q220">
        <v>25</v>
      </c>
      <c r="R220" t="s">
        <v>213</v>
      </c>
      <c r="S220" t="s">
        <v>27</v>
      </c>
      <c r="T220">
        <v>4</v>
      </c>
      <c r="U220" t="s">
        <v>28</v>
      </c>
      <c r="V220" t="s">
        <v>28</v>
      </c>
      <c r="W220">
        <v>20</v>
      </c>
      <c r="X220">
        <v>2.9000000000000001E-2</v>
      </c>
      <c r="Y220">
        <f>X220-0.018</f>
        <v>1.1000000000000003E-2</v>
      </c>
    </row>
    <row r="221" spans="1:25" x14ac:dyDescent="0.2">
      <c r="A221" t="s">
        <v>55</v>
      </c>
      <c r="B221">
        <v>2013</v>
      </c>
      <c r="C221" t="s">
        <v>826</v>
      </c>
      <c r="D221" t="s">
        <v>824</v>
      </c>
      <c r="E221" t="s">
        <v>48</v>
      </c>
      <c r="F221" t="s">
        <v>323</v>
      </c>
      <c r="G221">
        <v>60.407718000000003</v>
      </c>
      <c r="H221">
        <v>5.2857050000000001</v>
      </c>
      <c r="I221" t="s">
        <v>762</v>
      </c>
      <c r="J221" t="s">
        <v>7</v>
      </c>
      <c r="K221" t="s">
        <v>56</v>
      </c>
      <c r="L221" t="s">
        <v>143</v>
      </c>
      <c r="M221" t="s">
        <v>553</v>
      </c>
      <c r="N221" t="s">
        <v>85</v>
      </c>
      <c r="O221" t="s">
        <v>61</v>
      </c>
      <c r="P221" t="s">
        <v>67</v>
      </c>
      <c r="Q221">
        <v>25</v>
      </c>
      <c r="R221" t="s">
        <v>213</v>
      </c>
      <c r="S221" t="s">
        <v>7</v>
      </c>
      <c r="T221">
        <v>4</v>
      </c>
      <c r="U221" t="s">
        <v>28</v>
      </c>
      <c r="V221" t="s">
        <v>28</v>
      </c>
      <c r="W221">
        <v>10</v>
      </c>
      <c r="X221">
        <v>135.69</v>
      </c>
      <c r="Y221">
        <f>X221-115.08</f>
        <v>20.61</v>
      </c>
    </row>
    <row r="222" spans="1:25" x14ac:dyDescent="0.2">
      <c r="A222" t="s">
        <v>55</v>
      </c>
      <c r="B222">
        <v>2013</v>
      </c>
      <c r="C222" t="s">
        <v>826</v>
      </c>
      <c r="D222" t="s">
        <v>824</v>
      </c>
      <c r="E222" t="s">
        <v>48</v>
      </c>
      <c r="F222" t="s">
        <v>328</v>
      </c>
      <c r="G222">
        <v>58.339689</v>
      </c>
      <c r="H222">
        <v>8.5986630000000002</v>
      </c>
      <c r="I222" t="s">
        <v>762</v>
      </c>
      <c r="J222" t="s">
        <v>7</v>
      </c>
      <c r="K222" t="s">
        <v>56</v>
      </c>
      <c r="L222" t="s">
        <v>143</v>
      </c>
      <c r="M222" t="s">
        <v>553</v>
      </c>
      <c r="N222" t="s">
        <v>85</v>
      </c>
      <c r="O222" t="s">
        <v>61</v>
      </c>
      <c r="P222" t="s">
        <v>67</v>
      </c>
      <c r="Q222">
        <v>25</v>
      </c>
      <c r="R222" t="s">
        <v>213</v>
      </c>
      <c r="S222" t="s">
        <v>7</v>
      </c>
      <c r="T222">
        <v>4</v>
      </c>
      <c r="U222" t="s">
        <v>28</v>
      </c>
      <c r="V222" t="s">
        <v>28</v>
      </c>
      <c r="W222">
        <v>10</v>
      </c>
      <c r="X222">
        <v>147.38</v>
      </c>
      <c r="Y222">
        <f>X222-113.85</f>
        <v>33.53</v>
      </c>
    </row>
    <row r="223" spans="1:25" x14ac:dyDescent="0.2">
      <c r="A223" t="s">
        <v>55</v>
      </c>
      <c r="B223">
        <v>2013</v>
      </c>
      <c r="C223" t="s">
        <v>826</v>
      </c>
      <c r="D223" t="s">
        <v>824</v>
      </c>
      <c r="E223" t="s">
        <v>48</v>
      </c>
      <c r="F223" t="s">
        <v>326</v>
      </c>
      <c r="G223">
        <v>59.644638</v>
      </c>
      <c r="H223">
        <v>10.62823</v>
      </c>
      <c r="I223" t="s">
        <v>762</v>
      </c>
      <c r="J223" t="s">
        <v>7</v>
      </c>
      <c r="K223" t="s">
        <v>56</v>
      </c>
      <c r="L223" t="s">
        <v>143</v>
      </c>
      <c r="M223" t="s">
        <v>553</v>
      </c>
      <c r="N223" t="s">
        <v>85</v>
      </c>
      <c r="O223" t="s">
        <v>61</v>
      </c>
      <c r="P223" t="s">
        <v>67</v>
      </c>
      <c r="Q223">
        <v>25</v>
      </c>
      <c r="R223" t="s">
        <v>213</v>
      </c>
      <c r="S223" t="s">
        <v>7</v>
      </c>
      <c r="T223">
        <v>4</v>
      </c>
      <c r="U223" t="s">
        <v>28</v>
      </c>
      <c r="V223" t="s">
        <v>28</v>
      </c>
      <c r="W223">
        <v>10</v>
      </c>
      <c r="X223">
        <v>160.31</v>
      </c>
      <c r="Y223">
        <f>X223-115.69</f>
        <v>44.620000000000005</v>
      </c>
    </row>
    <row r="224" spans="1:25" x14ac:dyDescent="0.2">
      <c r="A224" t="s">
        <v>55</v>
      </c>
      <c r="B224">
        <v>2013</v>
      </c>
      <c r="C224" t="s">
        <v>826</v>
      </c>
      <c r="D224" t="s">
        <v>824</v>
      </c>
      <c r="E224" t="s">
        <v>48</v>
      </c>
      <c r="F224" t="s">
        <v>323</v>
      </c>
      <c r="G224">
        <v>60.407718000000003</v>
      </c>
      <c r="H224">
        <v>5.2857050000000001</v>
      </c>
      <c r="I224" t="s">
        <v>762</v>
      </c>
      <c r="J224" t="s">
        <v>14</v>
      </c>
      <c r="K224" t="s">
        <v>56</v>
      </c>
      <c r="L224" t="s">
        <v>143</v>
      </c>
      <c r="M224" t="s">
        <v>553</v>
      </c>
      <c r="N224" t="s">
        <v>85</v>
      </c>
      <c r="O224" t="s">
        <v>61</v>
      </c>
      <c r="P224" t="s">
        <v>67</v>
      </c>
      <c r="Q224">
        <v>25</v>
      </c>
      <c r="R224" t="s">
        <v>213</v>
      </c>
      <c r="S224" t="s">
        <v>9</v>
      </c>
      <c r="T224">
        <v>4</v>
      </c>
      <c r="U224" t="s">
        <v>28</v>
      </c>
      <c r="V224" t="s">
        <v>28</v>
      </c>
      <c r="W224">
        <v>15</v>
      </c>
      <c r="X224">
        <v>117.85</v>
      </c>
      <c r="Y224">
        <f>X224-72.31</f>
        <v>45.539999999999992</v>
      </c>
    </row>
    <row r="225" spans="1:25" x14ac:dyDescent="0.2">
      <c r="A225" t="s">
        <v>55</v>
      </c>
      <c r="B225">
        <v>2013</v>
      </c>
      <c r="C225" t="s">
        <v>826</v>
      </c>
      <c r="D225" t="s">
        <v>824</v>
      </c>
      <c r="E225" t="s">
        <v>48</v>
      </c>
      <c r="F225" t="s">
        <v>328</v>
      </c>
      <c r="G225">
        <v>58.339689</v>
      </c>
      <c r="H225">
        <v>8.5986630000000002</v>
      </c>
      <c r="I225" t="s">
        <v>762</v>
      </c>
      <c r="J225" t="s">
        <v>14</v>
      </c>
      <c r="K225" t="s">
        <v>56</v>
      </c>
      <c r="L225" t="s">
        <v>143</v>
      </c>
      <c r="M225" t="s">
        <v>553</v>
      </c>
      <c r="N225" t="s">
        <v>85</v>
      </c>
      <c r="O225" t="s">
        <v>61</v>
      </c>
      <c r="P225" t="s">
        <v>67</v>
      </c>
      <c r="Q225">
        <v>25</v>
      </c>
      <c r="R225" t="s">
        <v>213</v>
      </c>
      <c r="S225" t="s">
        <v>9</v>
      </c>
      <c r="T225">
        <v>4</v>
      </c>
      <c r="U225" t="s">
        <v>28</v>
      </c>
      <c r="V225" t="s">
        <v>28</v>
      </c>
      <c r="W225">
        <v>15</v>
      </c>
      <c r="X225">
        <v>90.46</v>
      </c>
      <c r="Y225">
        <f>X225-78.77</f>
        <v>11.689999999999998</v>
      </c>
    </row>
    <row r="226" spans="1:25" x14ac:dyDescent="0.2">
      <c r="A226" t="s">
        <v>55</v>
      </c>
      <c r="B226">
        <v>2013</v>
      </c>
      <c r="C226" t="s">
        <v>826</v>
      </c>
      <c r="D226" t="s">
        <v>824</v>
      </c>
      <c r="E226" t="s">
        <v>48</v>
      </c>
      <c r="F226" t="s">
        <v>326</v>
      </c>
      <c r="G226">
        <v>59.644638</v>
      </c>
      <c r="H226">
        <v>10.62823</v>
      </c>
      <c r="I226" t="s">
        <v>762</v>
      </c>
      <c r="J226" t="s">
        <v>14</v>
      </c>
      <c r="K226" t="s">
        <v>56</v>
      </c>
      <c r="L226" t="s">
        <v>143</v>
      </c>
      <c r="M226" t="s">
        <v>553</v>
      </c>
      <c r="N226" t="s">
        <v>85</v>
      </c>
      <c r="O226" t="s">
        <v>61</v>
      </c>
      <c r="P226" t="s">
        <v>67</v>
      </c>
      <c r="Q226">
        <v>25</v>
      </c>
      <c r="R226" t="s">
        <v>213</v>
      </c>
      <c r="S226" t="s">
        <v>9</v>
      </c>
      <c r="T226">
        <v>4</v>
      </c>
      <c r="U226" t="s">
        <v>28</v>
      </c>
      <c r="V226" t="s">
        <v>28</v>
      </c>
      <c r="W226">
        <v>15</v>
      </c>
      <c r="X226">
        <v>140</v>
      </c>
      <c r="Y226">
        <f>X226-126.77</f>
        <v>13.230000000000004</v>
      </c>
    </row>
    <row r="227" spans="1:25" x14ac:dyDescent="0.2">
      <c r="A227" t="s">
        <v>55</v>
      </c>
      <c r="B227">
        <v>2013</v>
      </c>
      <c r="C227" t="s">
        <v>826</v>
      </c>
      <c r="D227" t="s">
        <v>824</v>
      </c>
      <c r="E227" t="s">
        <v>48</v>
      </c>
      <c r="F227" t="s">
        <v>323</v>
      </c>
      <c r="G227">
        <v>60.407718000000003</v>
      </c>
      <c r="H227">
        <v>5.2857050000000001</v>
      </c>
      <c r="I227" t="s">
        <v>762</v>
      </c>
      <c r="J227" t="s">
        <v>14</v>
      </c>
      <c r="K227" t="s">
        <v>56</v>
      </c>
      <c r="L227" t="s">
        <v>143</v>
      </c>
      <c r="M227" t="s">
        <v>553</v>
      </c>
      <c r="N227" t="s">
        <v>85</v>
      </c>
      <c r="O227" t="s">
        <v>61</v>
      </c>
      <c r="P227" t="s">
        <v>67</v>
      </c>
      <c r="Q227">
        <v>25</v>
      </c>
      <c r="R227" t="s">
        <v>213</v>
      </c>
      <c r="S227" t="s">
        <v>27</v>
      </c>
      <c r="T227">
        <v>4</v>
      </c>
      <c r="U227" t="s">
        <v>28</v>
      </c>
      <c r="V227" t="s">
        <v>28</v>
      </c>
      <c r="W227">
        <v>20</v>
      </c>
      <c r="X227">
        <v>110.15</v>
      </c>
      <c r="Y227">
        <f>X227-48.92</f>
        <v>61.230000000000004</v>
      </c>
    </row>
    <row r="228" spans="1:25" x14ac:dyDescent="0.2">
      <c r="A228" t="s">
        <v>55</v>
      </c>
      <c r="B228">
        <v>2013</v>
      </c>
      <c r="C228" t="s">
        <v>826</v>
      </c>
      <c r="D228" t="s">
        <v>824</v>
      </c>
      <c r="E228" t="s">
        <v>48</v>
      </c>
      <c r="F228" t="s">
        <v>328</v>
      </c>
      <c r="G228">
        <v>58.339689</v>
      </c>
      <c r="H228">
        <v>8.5986630000000002</v>
      </c>
      <c r="I228" t="s">
        <v>762</v>
      </c>
      <c r="J228" t="s">
        <v>14</v>
      </c>
      <c r="K228" t="s">
        <v>56</v>
      </c>
      <c r="L228" t="s">
        <v>143</v>
      </c>
      <c r="M228" t="s">
        <v>553</v>
      </c>
      <c r="N228" t="s">
        <v>85</v>
      </c>
      <c r="O228" t="s">
        <v>61</v>
      </c>
      <c r="P228" t="s">
        <v>67</v>
      </c>
      <c r="Q228">
        <v>25</v>
      </c>
      <c r="R228" t="s">
        <v>213</v>
      </c>
      <c r="S228" t="s">
        <v>27</v>
      </c>
      <c r="T228">
        <v>4</v>
      </c>
      <c r="U228" t="s">
        <v>28</v>
      </c>
      <c r="V228" t="s">
        <v>28</v>
      </c>
      <c r="W228">
        <v>20</v>
      </c>
      <c r="X228">
        <v>90.77</v>
      </c>
      <c r="Y228">
        <f>X228-63.38</f>
        <v>27.389999999999993</v>
      </c>
    </row>
    <row r="229" spans="1:25" x14ac:dyDescent="0.2">
      <c r="A229" t="s">
        <v>55</v>
      </c>
      <c r="B229">
        <v>2013</v>
      </c>
      <c r="C229" t="s">
        <v>826</v>
      </c>
      <c r="D229" t="s">
        <v>824</v>
      </c>
      <c r="E229" t="s">
        <v>48</v>
      </c>
      <c r="F229" t="s">
        <v>323</v>
      </c>
      <c r="G229">
        <v>60.407718000000003</v>
      </c>
      <c r="H229">
        <v>5.2857050000000001</v>
      </c>
      <c r="I229" t="s">
        <v>762</v>
      </c>
      <c r="J229" t="s">
        <v>7</v>
      </c>
      <c r="K229" t="s">
        <v>56</v>
      </c>
      <c r="L229" t="s">
        <v>143</v>
      </c>
      <c r="M229" t="s">
        <v>553</v>
      </c>
      <c r="N229" t="s">
        <v>85</v>
      </c>
      <c r="O229" t="s">
        <v>88</v>
      </c>
      <c r="Q229">
        <v>25</v>
      </c>
      <c r="R229" t="s">
        <v>213</v>
      </c>
      <c r="S229" t="s">
        <v>7</v>
      </c>
      <c r="T229">
        <v>4</v>
      </c>
      <c r="U229" t="s">
        <v>28</v>
      </c>
      <c r="V229" t="s">
        <v>28</v>
      </c>
      <c r="W229">
        <v>10</v>
      </c>
      <c r="X229">
        <v>0.124</v>
      </c>
      <c r="Y229">
        <f>X229-0.112</f>
        <v>1.1999999999999997E-2</v>
      </c>
    </row>
    <row r="230" spans="1:25" x14ac:dyDescent="0.2">
      <c r="A230" t="s">
        <v>55</v>
      </c>
      <c r="B230">
        <v>2013</v>
      </c>
      <c r="C230" t="s">
        <v>826</v>
      </c>
      <c r="D230" t="s">
        <v>824</v>
      </c>
      <c r="E230" t="s">
        <v>48</v>
      </c>
      <c r="F230" t="s">
        <v>328</v>
      </c>
      <c r="G230">
        <v>58.339689</v>
      </c>
      <c r="H230">
        <v>8.5986630000000002</v>
      </c>
      <c r="I230" t="s">
        <v>762</v>
      </c>
      <c r="J230" t="s">
        <v>7</v>
      </c>
      <c r="K230" t="s">
        <v>56</v>
      </c>
      <c r="L230" t="s">
        <v>143</v>
      </c>
      <c r="M230" t="s">
        <v>553</v>
      </c>
      <c r="N230" t="s">
        <v>85</v>
      </c>
      <c r="O230" t="s">
        <v>88</v>
      </c>
      <c r="Q230">
        <v>25</v>
      </c>
      <c r="R230" t="s">
        <v>213</v>
      </c>
      <c r="S230" t="s">
        <v>7</v>
      </c>
      <c r="T230">
        <v>4</v>
      </c>
      <c r="U230" t="s">
        <v>28</v>
      </c>
      <c r="V230" t="s">
        <v>28</v>
      </c>
      <c r="W230">
        <v>10</v>
      </c>
      <c r="X230">
        <v>0.1231</v>
      </c>
      <c r="Y230">
        <f>0.1403-X230</f>
        <v>1.7200000000000007E-2</v>
      </c>
    </row>
    <row r="231" spans="1:25" x14ac:dyDescent="0.2">
      <c r="A231" t="s">
        <v>55</v>
      </c>
      <c r="B231">
        <v>2013</v>
      </c>
      <c r="C231" t="s">
        <v>826</v>
      </c>
      <c r="D231" t="s">
        <v>824</v>
      </c>
      <c r="E231" t="s">
        <v>48</v>
      </c>
      <c r="F231" t="s">
        <v>326</v>
      </c>
      <c r="G231">
        <v>59.644638</v>
      </c>
      <c r="H231">
        <v>10.62823</v>
      </c>
      <c r="I231" t="s">
        <v>762</v>
      </c>
      <c r="J231" t="s">
        <v>7</v>
      </c>
      <c r="K231" t="s">
        <v>56</v>
      </c>
      <c r="L231" t="s">
        <v>143</v>
      </c>
      <c r="M231" t="s">
        <v>553</v>
      </c>
      <c r="N231" t="s">
        <v>85</v>
      </c>
      <c r="O231" t="s">
        <v>88</v>
      </c>
      <c r="Q231">
        <v>25</v>
      </c>
      <c r="R231" t="s">
        <v>213</v>
      </c>
      <c r="S231" t="s">
        <v>7</v>
      </c>
      <c r="T231">
        <v>4</v>
      </c>
      <c r="U231" t="s">
        <v>28</v>
      </c>
      <c r="V231" t="s">
        <v>28</v>
      </c>
      <c r="W231">
        <v>10</v>
      </c>
      <c r="X231">
        <v>0.1305</v>
      </c>
      <c r="Y231">
        <f>0.1354-X231</f>
        <v>4.8999999999999877E-3</v>
      </c>
    </row>
    <row r="232" spans="1:25" x14ac:dyDescent="0.2">
      <c r="A232" t="s">
        <v>55</v>
      </c>
      <c r="B232">
        <v>2013</v>
      </c>
      <c r="C232" t="s">
        <v>826</v>
      </c>
      <c r="D232" t="s">
        <v>824</v>
      </c>
      <c r="E232" t="s">
        <v>48</v>
      </c>
      <c r="F232" t="s">
        <v>323</v>
      </c>
      <c r="G232">
        <v>60.407718000000003</v>
      </c>
      <c r="H232">
        <v>5.2857050000000001</v>
      </c>
      <c r="I232" t="s">
        <v>762</v>
      </c>
      <c r="J232" t="s">
        <v>14</v>
      </c>
      <c r="K232" t="s">
        <v>56</v>
      </c>
      <c r="L232" t="s">
        <v>143</v>
      </c>
      <c r="M232" t="s">
        <v>553</v>
      </c>
      <c r="N232" t="s">
        <v>85</v>
      </c>
      <c r="O232" t="s">
        <v>88</v>
      </c>
      <c r="Q232">
        <v>25</v>
      </c>
      <c r="R232" t="s">
        <v>213</v>
      </c>
      <c r="S232" t="s">
        <v>9</v>
      </c>
      <c r="T232">
        <v>4</v>
      </c>
      <c r="U232" t="s">
        <v>28</v>
      </c>
      <c r="V232" t="s">
        <v>28</v>
      </c>
      <c r="W232">
        <v>15</v>
      </c>
      <c r="X232">
        <v>0.1043</v>
      </c>
      <c r="Y232">
        <f>0.12-X232</f>
        <v>1.5699999999999992E-2</v>
      </c>
    </row>
    <row r="233" spans="1:25" x14ac:dyDescent="0.2">
      <c r="A233" t="s">
        <v>55</v>
      </c>
      <c r="B233">
        <v>2013</v>
      </c>
      <c r="C233" t="s">
        <v>826</v>
      </c>
      <c r="D233" t="s">
        <v>824</v>
      </c>
      <c r="E233" t="s">
        <v>48</v>
      </c>
      <c r="F233" t="s">
        <v>328</v>
      </c>
      <c r="G233">
        <v>58.339689</v>
      </c>
      <c r="H233">
        <v>8.5986630000000002</v>
      </c>
      <c r="I233" t="s">
        <v>762</v>
      </c>
      <c r="J233" t="s">
        <v>14</v>
      </c>
      <c r="K233" t="s">
        <v>56</v>
      </c>
      <c r="L233" t="s">
        <v>143</v>
      </c>
      <c r="M233" t="s">
        <v>553</v>
      </c>
      <c r="N233" t="s">
        <v>85</v>
      </c>
      <c r="O233" t="s">
        <v>88</v>
      </c>
      <c r="Q233">
        <v>25</v>
      </c>
      <c r="R233" t="s">
        <v>213</v>
      </c>
      <c r="S233" t="s">
        <v>9</v>
      </c>
      <c r="T233">
        <v>4</v>
      </c>
      <c r="U233" t="s">
        <v>28</v>
      </c>
      <c r="V233" t="s">
        <v>28</v>
      </c>
      <c r="W233">
        <v>15</v>
      </c>
      <c r="X233">
        <v>0.1086</v>
      </c>
      <c r="Y233">
        <f>0.1157-X233</f>
        <v>7.0999999999999952E-3</v>
      </c>
    </row>
    <row r="234" spans="1:25" x14ac:dyDescent="0.2">
      <c r="A234" t="s">
        <v>55</v>
      </c>
      <c r="B234">
        <v>2013</v>
      </c>
      <c r="C234" t="s">
        <v>826</v>
      </c>
      <c r="D234" t="s">
        <v>824</v>
      </c>
      <c r="E234" t="s">
        <v>48</v>
      </c>
      <c r="F234" t="s">
        <v>326</v>
      </c>
      <c r="G234">
        <v>59.644638</v>
      </c>
      <c r="H234">
        <v>10.62823</v>
      </c>
      <c r="I234" t="s">
        <v>762</v>
      </c>
      <c r="J234" t="s">
        <v>14</v>
      </c>
      <c r="K234" t="s">
        <v>56</v>
      </c>
      <c r="L234" t="s">
        <v>143</v>
      </c>
      <c r="M234" t="s">
        <v>553</v>
      </c>
      <c r="N234" t="s">
        <v>85</v>
      </c>
      <c r="O234" t="s">
        <v>88</v>
      </c>
      <c r="Q234">
        <v>25</v>
      </c>
      <c r="R234" t="s">
        <v>213</v>
      </c>
      <c r="S234" t="s">
        <v>9</v>
      </c>
      <c r="T234">
        <v>4</v>
      </c>
      <c r="U234" t="s">
        <v>28</v>
      </c>
      <c r="V234" t="s">
        <v>28</v>
      </c>
      <c r="W234">
        <v>15</v>
      </c>
      <c r="X234">
        <v>0.12740000000000001</v>
      </c>
      <c r="Y234">
        <f>0.1354-X234</f>
        <v>7.9999999999999793E-3</v>
      </c>
    </row>
    <row r="235" spans="1:25" x14ac:dyDescent="0.2">
      <c r="A235" t="s">
        <v>55</v>
      </c>
      <c r="B235">
        <v>2013</v>
      </c>
      <c r="C235" t="s">
        <v>826</v>
      </c>
      <c r="D235" t="s">
        <v>824</v>
      </c>
      <c r="E235" t="s">
        <v>48</v>
      </c>
      <c r="F235" t="s">
        <v>323</v>
      </c>
      <c r="G235">
        <v>60.407718000000003</v>
      </c>
      <c r="H235">
        <v>5.2857050000000001</v>
      </c>
      <c r="I235" t="s">
        <v>762</v>
      </c>
      <c r="J235" t="s">
        <v>14</v>
      </c>
      <c r="K235" t="s">
        <v>56</v>
      </c>
      <c r="L235" t="s">
        <v>143</v>
      </c>
      <c r="M235" t="s">
        <v>553</v>
      </c>
      <c r="N235" t="s">
        <v>85</v>
      </c>
      <c r="O235" t="s">
        <v>88</v>
      </c>
      <c r="Q235">
        <v>25</v>
      </c>
      <c r="R235" t="s">
        <v>213</v>
      </c>
      <c r="S235" t="s">
        <v>27</v>
      </c>
      <c r="T235">
        <v>4</v>
      </c>
      <c r="U235" t="s">
        <v>28</v>
      </c>
      <c r="V235" t="s">
        <v>28</v>
      </c>
      <c r="W235">
        <v>20</v>
      </c>
      <c r="X235">
        <v>4.2799999999999998E-2</v>
      </c>
      <c r="Y235">
        <f>0.0498-X235</f>
        <v>6.9999999999999993E-3</v>
      </c>
    </row>
    <row r="236" spans="1:25" x14ac:dyDescent="0.2">
      <c r="A236" t="s">
        <v>55</v>
      </c>
      <c r="B236">
        <v>2013</v>
      </c>
      <c r="C236" t="s">
        <v>826</v>
      </c>
      <c r="D236" t="s">
        <v>824</v>
      </c>
      <c r="E236" t="s">
        <v>48</v>
      </c>
      <c r="F236" t="s">
        <v>328</v>
      </c>
      <c r="G236">
        <v>58.339689</v>
      </c>
      <c r="H236">
        <v>8.5986630000000002</v>
      </c>
      <c r="I236" t="s">
        <v>762</v>
      </c>
      <c r="J236" t="s">
        <v>14</v>
      </c>
      <c r="K236" t="s">
        <v>56</v>
      </c>
      <c r="L236" t="s">
        <v>143</v>
      </c>
      <c r="M236" t="s">
        <v>553</v>
      </c>
      <c r="N236" t="s">
        <v>85</v>
      </c>
      <c r="O236" t="s">
        <v>88</v>
      </c>
      <c r="Q236">
        <v>25</v>
      </c>
      <c r="R236" t="s">
        <v>213</v>
      </c>
      <c r="S236" t="s">
        <v>27</v>
      </c>
      <c r="T236">
        <v>4</v>
      </c>
      <c r="U236" t="s">
        <v>28</v>
      </c>
      <c r="V236" t="s">
        <v>28</v>
      </c>
      <c r="W236">
        <v>20</v>
      </c>
      <c r="X236">
        <v>3.5700000000000003E-2</v>
      </c>
      <c r="Y236">
        <f>0.0425-X236</f>
        <v>6.8000000000000005E-3</v>
      </c>
    </row>
    <row r="237" spans="1:25" x14ac:dyDescent="0.2">
      <c r="A237" t="s">
        <v>55</v>
      </c>
      <c r="B237">
        <v>2013</v>
      </c>
      <c r="C237" t="s">
        <v>826</v>
      </c>
      <c r="D237" t="s">
        <v>824</v>
      </c>
      <c r="E237" t="s">
        <v>48</v>
      </c>
      <c r="F237" t="s">
        <v>323</v>
      </c>
      <c r="G237">
        <v>60.407718000000003</v>
      </c>
      <c r="H237">
        <v>5.2857050000000001</v>
      </c>
      <c r="I237" t="s">
        <v>762</v>
      </c>
      <c r="J237" t="s">
        <v>7</v>
      </c>
      <c r="K237" t="s">
        <v>56</v>
      </c>
      <c r="L237" t="s">
        <v>143</v>
      </c>
      <c r="M237" t="s">
        <v>553</v>
      </c>
      <c r="N237" t="s">
        <v>85</v>
      </c>
      <c r="O237" t="s">
        <v>90</v>
      </c>
      <c r="Q237">
        <v>25</v>
      </c>
      <c r="R237" t="s">
        <v>213</v>
      </c>
      <c r="S237" t="s">
        <v>7</v>
      </c>
      <c r="T237">
        <v>4</v>
      </c>
      <c r="U237" t="s">
        <v>28</v>
      </c>
      <c r="V237" t="s">
        <v>28</v>
      </c>
      <c r="W237">
        <v>10</v>
      </c>
      <c r="X237">
        <v>1.169</v>
      </c>
      <c r="Y237">
        <f>X237-1.108</f>
        <v>6.0999999999999943E-2</v>
      </c>
    </row>
    <row r="238" spans="1:25" x14ac:dyDescent="0.2">
      <c r="A238" t="s">
        <v>55</v>
      </c>
      <c r="B238">
        <v>2013</v>
      </c>
      <c r="C238" t="s">
        <v>826</v>
      </c>
      <c r="D238" t="s">
        <v>824</v>
      </c>
      <c r="E238" t="s">
        <v>48</v>
      </c>
      <c r="F238" t="s">
        <v>328</v>
      </c>
      <c r="G238">
        <v>58.339689</v>
      </c>
      <c r="H238">
        <v>8.5986630000000002</v>
      </c>
      <c r="I238" t="s">
        <v>762</v>
      </c>
      <c r="J238" t="s">
        <v>7</v>
      </c>
      <c r="K238" t="s">
        <v>56</v>
      </c>
      <c r="L238" t="s">
        <v>143</v>
      </c>
      <c r="M238" t="s">
        <v>553</v>
      </c>
      <c r="N238" t="s">
        <v>85</v>
      </c>
      <c r="O238" t="s">
        <v>90</v>
      </c>
      <c r="Q238">
        <v>25</v>
      </c>
      <c r="R238" t="s">
        <v>213</v>
      </c>
      <c r="S238" t="s">
        <v>7</v>
      </c>
      <c r="T238">
        <v>4</v>
      </c>
      <c r="U238" t="s">
        <v>28</v>
      </c>
      <c r="V238" t="s">
        <v>28</v>
      </c>
      <c r="W238">
        <v>10</v>
      </c>
      <c r="X238">
        <v>1.212</v>
      </c>
      <c r="Y238">
        <f>1.437-X238</f>
        <v>0.22500000000000009</v>
      </c>
    </row>
    <row r="239" spans="1:25" x14ac:dyDescent="0.2">
      <c r="A239" t="s">
        <v>55</v>
      </c>
      <c r="B239">
        <v>2013</v>
      </c>
      <c r="C239" t="s">
        <v>826</v>
      </c>
      <c r="D239" t="s">
        <v>824</v>
      </c>
      <c r="E239" t="s">
        <v>48</v>
      </c>
      <c r="F239" t="s">
        <v>326</v>
      </c>
      <c r="G239">
        <v>59.644638</v>
      </c>
      <c r="H239">
        <v>10.62823</v>
      </c>
      <c r="I239" t="s">
        <v>762</v>
      </c>
      <c r="J239" t="s">
        <v>7</v>
      </c>
      <c r="K239" t="s">
        <v>56</v>
      </c>
      <c r="L239" t="s">
        <v>143</v>
      </c>
      <c r="M239" t="s">
        <v>553</v>
      </c>
      <c r="N239" t="s">
        <v>85</v>
      </c>
      <c r="O239" t="s">
        <v>90</v>
      </c>
      <c r="Q239">
        <v>25</v>
      </c>
      <c r="R239" t="s">
        <v>213</v>
      </c>
      <c r="S239" t="s">
        <v>7</v>
      </c>
      <c r="T239">
        <v>4</v>
      </c>
      <c r="U239" t="s">
        <v>28</v>
      </c>
      <c r="V239" t="s">
        <v>28</v>
      </c>
      <c r="W239">
        <v>10</v>
      </c>
      <c r="X239">
        <v>1.397</v>
      </c>
      <c r="Y239">
        <f>1.542-X239</f>
        <v>0.14500000000000002</v>
      </c>
    </row>
    <row r="240" spans="1:25" x14ac:dyDescent="0.2">
      <c r="A240" t="s">
        <v>55</v>
      </c>
      <c r="B240">
        <v>2013</v>
      </c>
      <c r="C240" t="s">
        <v>826</v>
      </c>
      <c r="D240" t="s">
        <v>824</v>
      </c>
      <c r="E240" t="s">
        <v>48</v>
      </c>
      <c r="F240" t="s">
        <v>323</v>
      </c>
      <c r="G240">
        <v>60.407718000000003</v>
      </c>
      <c r="H240">
        <v>5.2857050000000001</v>
      </c>
      <c r="I240" t="s">
        <v>762</v>
      </c>
      <c r="J240" t="s">
        <v>14</v>
      </c>
      <c r="K240" t="s">
        <v>56</v>
      </c>
      <c r="L240" t="s">
        <v>143</v>
      </c>
      <c r="M240" t="s">
        <v>553</v>
      </c>
      <c r="N240" t="s">
        <v>85</v>
      </c>
      <c r="O240" t="s">
        <v>90</v>
      </c>
      <c r="Q240">
        <v>25</v>
      </c>
      <c r="R240" t="s">
        <v>213</v>
      </c>
      <c r="S240" t="s">
        <v>9</v>
      </c>
      <c r="T240">
        <v>4</v>
      </c>
      <c r="U240" t="s">
        <v>28</v>
      </c>
      <c r="V240" t="s">
        <v>28</v>
      </c>
      <c r="W240">
        <v>15</v>
      </c>
      <c r="X240">
        <v>1.129</v>
      </c>
      <c r="Y240">
        <f>1.185-X240</f>
        <v>5.600000000000005E-2</v>
      </c>
    </row>
    <row r="241" spans="1:26" x14ac:dyDescent="0.2">
      <c r="A241" t="s">
        <v>55</v>
      </c>
      <c r="B241">
        <v>2013</v>
      </c>
      <c r="C241" t="s">
        <v>826</v>
      </c>
      <c r="D241" t="s">
        <v>824</v>
      </c>
      <c r="E241" t="s">
        <v>48</v>
      </c>
      <c r="F241" t="s">
        <v>328</v>
      </c>
      <c r="G241">
        <v>58.339689</v>
      </c>
      <c r="H241">
        <v>8.5986630000000002</v>
      </c>
      <c r="I241" t="s">
        <v>762</v>
      </c>
      <c r="J241" t="s">
        <v>14</v>
      </c>
      <c r="K241" t="s">
        <v>56</v>
      </c>
      <c r="L241" t="s">
        <v>143</v>
      </c>
      <c r="M241" t="s">
        <v>553</v>
      </c>
      <c r="N241" t="s">
        <v>85</v>
      </c>
      <c r="O241" t="s">
        <v>90</v>
      </c>
      <c r="Q241">
        <v>25</v>
      </c>
      <c r="R241" t="s">
        <v>213</v>
      </c>
      <c r="S241" t="s">
        <v>9</v>
      </c>
      <c r="T241">
        <v>4</v>
      </c>
      <c r="U241" t="s">
        <v>28</v>
      </c>
      <c r="V241" t="s">
        <v>28</v>
      </c>
      <c r="W241">
        <v>15</v>
      </c>
      <c r="X241">
        <v>1.175</v>
      </c>
      <c r="Y241">
        <f>1.437-X241</f>
        <v>0.26200000000000001</v>
      </c>
    </row>
    <row r="242" spans="1:26" x14ac:dyDescent="0.2">
      <c r="A242" t="s">
        <v>55</v>
      </c>
      <c r="B242">
        <v>2013</v>
      </c>
      <c r="C242" t="s">
        <v>826</v>
      </c>
      <c r="D242" t="s">
        <v>824</v>
      </c>
      <c r="E242" t="s">
        <v>48</v>
      </c>
      <c r="F242" t="s">
        <v>326</v>
      </c>
      <c r="G242">
        <v>59.644638</v>
      </c>
      <c r="H242">
        <v>10.62823</v>
      </c>
      <c r="I242" t="s">
        <v>762</v>
      </c>
      <c r="J242" t="s">
        <v>14</v>
      </c>
      <c r="K242" t="s">
        <v>56</v>
      </c>
      <c r="L242" t="s">
        <v>143</v>
      </c>
      <c r="M242" t="s">
        <v>553</v>
      </c>
      <c r="N242" t="s">
        <v>85</v>
      </c>
      <c r="O242" t="s">
        <v>90</v>
      </c>
      <c r="Q242">
        <v>25</v>
      </c>
      <c r="R242" t="s">
        <v>213</v>
      </c>
      <c r="S242" t="s">
        <v>9</v>
      </c>
      <c r="T242">
        <v>4</v>
      </c>
      <c r="U242" t="s">
        <v>28</v>
      </c>
      <c r="V242" t="s">
        <v>28</v>
      </c>
      <c r="W242">
        <v>15</v>
      </c>
      <c r="X242">
        <v>1.194</v>
      </c>
      <c r="Y242">
        <f>X242-1.148</f>
        <v>4.6000000000000041E-2</v>
      </c>
    </row>
    <row r="243" spans="1:26" x14ac:dyDescent="0.2">
      <c r="A243" t="s">
        <v>55</v>
      </c>
      <c r="B243">
        <v>2013</v>
      </c>
      <c r="C243" t="s">
        <v>826</v>
      </c>
      <c r="D243" t="s">
        <v>824</v>
      </c>
      <c r="E243" t="s">
        <v>48</v>
      </c>
      <c r="F243" t="s">
        <v>323</v>
      </c>
      <c r="G243">
        <v>60.407718000000003</v>
      </c>
      <c r="H243">
        <v>5.2857050000000001</v>
      </c>
      <c r="I243" t="s">
        <v>762</v>
      </c>
      <c r="J243" t="s">
        <v>14</v>
      </c>
      <c r="K243" t="s">
        <v>56</v>
      </c>
      <c r="L243" t="s">
        <v>143</v>
      </c>
      <c r="M243" t="s">
        <v>553</v>
      </c>
      <c r="N243" t="s">
        <v>85</v>
      </c>
      <c r="O243" t="s">
        <v>90</v>
      </c>
      <c r="Q243">
        <v>25</v>
      </c>
      <c r="R243" t="s">
        <v>213</v>
      </c>
      <c r="S243" t="s">
        <v>27</v>
      </c>
      <c r="T243">
        <v>4</v>
      </c>
      <c r="U243" t="s">
        <v>28</v>
      </c>
      <c r="V243" t="s">
        <v>28</v>
      </c>
      <c r="W243">
        <v>20</v>
      </c>
      <c r="X243">
        <v>0.76900000000000002</v>
      </c>
      <c r="Y243">
        <f>0.957-X243</f>
        <v>0.18799999999999994</v>
      </c>
    </row>
    <row r="244" spans="1:26" x14ac:dyDescent="0.2">
      <c r="A244" t="s">
        <v>55</v>
      </c>
      <c r="B244">
        <v>2013</v>
      </c>
      <c r="C244" t="s">
        <v>826</v>
      </c>
      <c r="D244" t="s">
        <v>824</v>
      </c>
      <c r="E244" t="s">
        <v>48</v>
      </c>
      <c r="F244" t="s">
        <v>328</v>
      </c>
      <c r="G244">
        <v>58.339689</v>
      </c>
      <c r="H244">
        <v>8.5986630000000002</v>
      </c>
      <c r="I244" t="s">
        <v>762</v>
      </c>
      <c r="J244" t="s">
        <v>14</v>
      </c>
      <c r="K244" t="s">
        <v>56</v>
      </c>
      <c r="L244" t="s">
        <v>143</v>
      </c>
      <c r="M244" t="s">
        <v>553</v>
      </c>
      <c r="N244" t="s">
        <v>85</v>
      </c>
      <c r="O244" t="s">
        <v>90</v>
      </c>
      <c r="Q244">
        <v>25</v>
      </c>
      <c r="R244" t="s">
        <v>213</v>
      </c>
      <c r="S244" t="s">
        <v>27</v>
      </c>
      <c r="T244">
        <v>4</v>
      </c>
      <c r="U244" t="s">
        <v>28</v>
      </c>
      <c r="V244" t="s">
        <v>28</v>
      </c>
      <c r="W244">
        <v>20</v>
      </c>
      <c r="X244">
        <v>0.48899999999999999</v>
      </c>
      <c r="Y244">
        <f>X244-0.369</f>
        <v>0.12</v>
      </c>
    </row>
    <row r="245" spans="1:26" x14ac:dyDescent="0.2">
      <c r="A245" t="s">
        <v>55</v>
      </c>
      <c r="B245">
        <v>2013</v>
      </c>
      <c r="C245" t="s">
        <v>826</v>
      </c>
      <c r="D245" t="s">
        <v>824</v>
      </c>
      <c r="E245" t="s">
        <v>48</v>
      </c>
      <c r="F245" t="s">
        <v>323</v>
      </c>
      <c r="G245">
        <v>60.407718000000003</v>
      </c>
      <c r="H245">
        <v>5.2857050000000001</v>
      </c>
      <c r="I245" t="s">
        <v>762</v>
      </c>
      <c r="J245" t="s">
        <v>7</v>
      </c>
      <c r="K245" t="s">
        <v>56</v>
      </c>
      <c r="L245" t="s">
        <v>143</v>
      </c>
      <c r="M245" t="s">
        <v>553</v>
      </c>
      <c r="N245" t="s">
        <v>85</v>
      </c>
      <c r="O245" t="s">
        <v>89</v>
      </c>
      <c r="Q245">
        <v>25</v>
      </c>
      <c r="R245" t="s">
        <v>213</v>
      </c>
      <c r="S245" t="s">
        <v>7</v>
      </c>
      <c r="T245">
        <v>4</v>
      </c>
      <c r="U245" t="s">
        <v>28</v>
      </c>
      <c r="V245" t="s">
        <v>28</v>
      </c>
      <c r="W245">
        <v>10</v>
      </c>
      <c r="X245">
        <v>0.14280000000000001</v>
      </c>
      <c r="Y245">
        <f>X245-0.1317</f>
        <v>1.1099999999999999E-2</v>
      </c>
    </row>
    <row r="246" spans="1:26" x14ac:dyDescent="0.2">
      <c r="A246" t="s">
        <v>55</v>
      </c>
      <c r="B246">
        <v>2013</v>
      </c>
      <c r="C246" t="s">
        <v>826</v>
      </c>
      <c r="D246" t="s">
        <v>824</v>
      </c>
      <c r="E246" t="s">
        <v>48</v>
      </c>
      <c r="F246" t="s">
        <v>328</v>
      </c>
      <c r="G246">
        <v>58.339689</v>
      </c>
      <c r="H246">
        <v>8.5986630000000002</v>
      </c>
      <c r="I246" t="s">
        <v>762</v>
      </c>
      <c r="J246" t="s">
        <v>7</v>
      </c>
      <c r="K246" t="s">
        <v>56</v>
      </c>
      <c r="L246" t="s">
        <v>143</v>
      </c>
      <c r="M246" t="s">
        <v>553</v>
      </c>
      <c r="N246" t="s">
        <v>85</v>
      </c>
      <c r="O246" t="s">
        <v>89</v>
      </c>
      <c r="Q246">
        <v>25</v>
      </c>
      <c r="R246" t="s">
        <v>213</v>
      </c>
      <c r="S246" t="s">
        <v>7</v>
      </c>
      <c r="T246">
        <v>4</v>
      </c>
      <c r="U246" t="s">
        <v>28</v>
      </c>
      <c r="V246" t="s">
        <v>28</v>
      </c>
      <c r="W246">
        <v>10</v>
      </c>
      <c r="X246">
        <v>0.1575</v>
      </c>
      <c r="Y246">
        <f>0.1878-X246</f>
        <v>3.0299999999999994E-2</v>
      </c>
    </row>
    <row r="247" spans="1:26" x14ac:dyDescent="0.2">
      <c r="A247" t="s">
        <v>55</v>
      </c>
      <c r="B247">
        <v>2013</v>
      </c>
      <c r="C247" t="s">
        <v>826</v>
      </c>
      <c r="D247" t="s">
        <v>824</v>
      </c>
      <c r="E247" t="s">
        <v>48</v>
      </c>
      <c r="F247" t="s">
        <v>326</v>
      </c>
      <c r="G247">
        <v>59.644638</v>
      </c>
      <c r="H247">
        <v>10.62823</v>
      </c>
      <c r="I247" t="s">
        <v>762</v>
      </c>
      <c r="J247" t="s">
        <v>7</v>
      </c>
      <c r="K247" t="s">
        <v>56</v>
      </c>
      <c r="L247" t="s">
        <v>143</v>
      </c>
      <c r="M247" t="s">
        <v>553</v>
      </c>
      <c r="N247" t="s">
        <v>85</v>
      </c>
      <c r="O247" t="s">
        <v>89</v>
      </c>
      <c r="Q247">
        <v>25</v>
      </c>
      <c r="R247" t="s">
        <v>213</v>
      </c>
      <c r="S247" t="s">
        <v>7</v>
      </c>
      <c r="T247">
        <v>4</v>
      </c>
      <c r="U247" t="s">
        <v>28</v>
      </c>
      <c r="V247" t="s">
        <v>28</v>
      </c>
      <c r="W247">
        <v>10</v>
      </c>
      <c r="X247">
        <v>0.17660000000000001</v>
      </c>
      <c r="Y247">
        <f>X247-0.1548</f>
        <v>2.1800000000000014E-2</v>
      </c>
    </row>
    <row r="248" spans="1:26" x14ac:dyDescent="0.2">
      <c r="A248" t="s">
        <v>55</v>
      </c>
      <c r="B248">
        <v>2013</v>
      </c>
      <c r="C248" t="s">
        <v>826</v>
      </c>
      <c r="D248" t="s">
        <v>824</v>
      </c>
      <c r="E248" t="s">
        <v>48</v>
      </c>
      <c r="F248" t="s">
        <v>323</v>
      </c>
      <c r="G248">
        <v>60.407718000000003</v>
      </c>
      <c r="H248">
        <v>5.2857050000000001</v>
      </c>
      <c r="I248" t="s">
        <v>762</v>
      </c>
      <c r="J248" t="s">
        <v>14</v>
      </c>
      <c r="K248" t="s">
        <v>56</v>
      </c>
      <c r="L248" t="s">
        <v>143</v>
      </c>
      <c r="M248" t="s">
        <v>553</v>
      </c>
      <c r="N248" t="s">
        <v>85</v>
      </c>
      <c r="O248" t="s">
        <v>89</v>
      </c>
      <c r="Q248">
        <v>25</v>
      </c>
      <c r="R248" t="s">
        <v>213</v>
      </c>
      <c r="S248" t="s">
        <v>9</v>
      </c>
      <c r="T248">
        <v>4</v>
      </c>
      <c r="U248" t="s">
        <v>28</v>
      </c>
      <c r="V248" t="s">
        <v>28</v>
      </c>
      <c r="W248">
        <v>15</v>
      </c>
      <c r="X248">
        <v>0.1535</v>
      </c>
      <c r="Y248">
        <f>0.1665-X248</f>
        <v>1.3000000000000012E-2</v>
      </c>
    </row>
    <row r="249" spans="1:26" x14ac:dyDescent="0.2">
      <c r="A249" t="s">
        <v>55</v>
      </c>
      <c r="B249">
        <v>2013</v>
      </c>
      <c r="C249" t="s">
        <v>826</v>
      </c>
      <c r="D249" t="s">
        <v>824</v>
      </c>
      <c r="E249" t="s">
        <v>48</v>
      </c>
      <c r="F249" t="s">
        <v>328</v>
      </c>
      <c r="G249">
        <v>58.339689</v>
      </c>
      <c r="H249">
        <v>8.5986630000000002</v>
      </c>
      <c r="I249" t="s">
        <v>762</v>
      </c>
      <c r="J249" t="s">
        <v>14</v>
      </c>
      <c r="K249" t="s">
        <v>56</v>
      </c>
      <c r="L249" t="s">
        <v>143</v>
      </c>
      <c r="M249" t="s">
        <v>553</v>
      </c>
      <c r="N249" t="s">
        <v>85</v>
      </c>
      <c r="O249" t="s">
        <v>89</v>
      </c>
      <c r="Q249">
        <v>25</v>
      </c>
      <c r="R249" t="s">
        <v>213</v>
      </c>
      <c r="S249" t="s">
        <v>9</v>
      </c>
      <c r="T249">
        <v>4</v>
      </c>
      <c r="U249" t="s">
        <v>28</v>
      </c>
      <c r="V249" t="s">
        <v>28</v>
      </c>
      <c r="W249">
        <v>15</v>
      </c>
      <c r="X249">
        <v>0.1492</v>
      </c>
      <c r="Y249">
        <f>X249-0.1218</f>
        <v>2.7399999999999994E-2</v>
      </c>
    </row>
    <row r="250" spans="1:26" x14ac:dyDescent="0.2">
      <c r="A250" t="s">
        <v>55</v>
      </c>
      <c r="B250">
        <v>2013</v>
      </c>
      <c r="C250" t="s">
        <v>826</v>
      </c>
      <c r="D250" t="s">
        <v>824</v>
      </c>
      <c r="E250" t="s">
        <v>48</v>
      </c>
      <c r="F250" t="s">
        <v>326</v>
      </c>
      <c r="G250">
        <v>59.644638</v>
      </c>
      <c r="H250">
        <v>10.62823</v>
      </c>
      <c r="I250" t="s">
        <v>762</v>
      </c>
      <c r="J250" t="s">
        <v>14</v>
      </c>
      <c r="K250" t="s">
        <v>56</v>
      </c>
      <c r="L250" t="s">
        <v>143</v>
      </c>
      <c r="M250" t="s">
        <v>553</v>
      </c>
      <c r="N250" t="s">
        <v>85</v>
      </c>
      <c r="O250" t="s">
        <v>89</v>
      </c>
      <c r="Q250">
        <v>25</v>
      </c>
      <c r="R250" t="s">
        <v>213</v>
      </c>
      <c r="S250" t="s">
        <v>9</v>
      </c>
      <c r="T250">
        <v>4</v>
      </c>
      <c r="U250" t="s">
        <v>28</v>
      </c>
      <c r="V250" t="s">
        <v>28</v>
      </c>
      <c r="W250">
        <v>15</v>
      </c>
      <c r="X250">
        <v>0.15140000000000001</v>
      </c>
      <c r="Y250">
        <f>X250-0.1425</f>
        <v>8.900000000000019E-3</v>
      </c>
    </row>
    <row r="251" spans="1:26" x14ac:dyDescent="0.2">
      <c r="A251" t="s">
        <v>55</v>
      </c>
      <c r="B251">
        <v>2013</v>
      </c>
      <c r="C251" t="s">
        <v>826</v>
      </c>
      <c r="D251" t="s">
        <v>824</v>
      </c>
      <c r="E251" t="s">
        <v>48</v>
      </c>
      <c r="F251" t="s">
        <v>323</v>
      </c>
      <c r="G251">
        <v>60.407718000000003</v>
      </c>
      <c r="H251">
        <v>5.2857050000000001</v>
      </c>
      <c r="I251" t="s">
        <v>762</v>
      </c>
      <c r="J251" t="s">
        <v>14</v>
      </c>
      <c r="K251" t="s">
        <v>56</v>
      </c>
      <c r="L251" t="s">
        <v>143</v>
      </c>
      <c r="M251" t="s">
        <v>553</v>
      </c>
      <c r="N251" t="s">
        <v>85</v>
      </c>
      <c r="O251" t="s">
        <v>89</v>
      </c>
      <c r="Q251">
        <v>25</v>
      </c>
      <c r="R251" t="s">
        <v>213</v>
      </c>
      <c r="S251" t="s">
        <v>27</v>
      </c>
      <c r="T251">
        <v>4</v>
      </c>
      <c r="U251" t="s">
        <v>28</v>
      </c>
      <c r="V251" t="s">
        <v>28</v>
      </c>
      <c r="W251">
        <v>20</v>
      </c>
      <c r="X251">
        <v>4.4299999999999999E-2</v>
      </c>
      <c r="Y251">
        <f>0.0523-X251</f>
        <v>8.0000000000000002E-3</v>
      </c>
    </row>
    <row r="252" spans="1:26" x14ac:dyDescent="0.2">
      <c r="A252" t="s">
        <v>55</v>
      </c>
      <c r="B252">
        <v>2013</v>
      </c>
      <c r="C252" t="s">
        <v>826</v>
      </c>
      <c r="D252" t="s">
        <v>824</v>
      </c>
      <c r="E252" t="s">
        <v>48</v>
      </c>
      <c r="F252" t="s">
        <v>328</v>
      </c>
      <c r="G252">
        <v>58.339689</v>
      </c>
      <c r="H252">
        <v>8.5986630000000002</v>
      </c>
      <c r="I252" t="s">
        <v>762</v>
      </c>
      <c r="J252" t="s">
        <v>14</v>
      </c>
      <c r="K252" t="s">
        <v>56</v>
      </c>
      <c r="L252" t="s">
        <v>143</v>
      </c>
      <c r="M252" t="s">
        <v>553</v>
      </c>
      <c r="N252" t="s">
        <v>85</v>
      </c>
      <c r="O252" t="s">
        <v>89</v>
      </c>
      <c r="Q252">
        <v>25</v>
      </c>
      <c r="R252" t="s">
        <v>213</v>
      </c>
      <c r="S252" t="s">
        <v>27</v>
      </c>
      <c r="T252">
        <v>4</v>
      </c>
      <c r="U252" t="s">
        <v>28</v>
      </c>
      <c r="V252" t="s">
        <v>28</v>
      </c>
      <c r="W252">
        <v>20</v>
      </c>
      <c r="X252">
        <v>3.3799999999999997E-2</v>
      </c>
      <c r="Y252">
        <v>0</v>
      </c>
    </row>
    <row r="253" spans="1:26" x14ac:dyDescent="0.2">
      <c r="A253" t="s">
        <v>91</v>
      </c>
      <c r="B253">
        <v>2004</v>
      </c>
      <c r="C253" t="s">
        <v>816</v>
      </c>
      <c r="D253" t="s">
        <v>820</v>
      </c>
      <c r="E253" t="s">
        <v>34</v>
      </c>
      <c r="F253" t="s">
        <v>330</v>
      </c>
      <c r="G253">
        <v>-29.239373000000001</v>
      </c>
      <c r="H253">
        <v>-71.512388999999999</v>
      </c>
      <c r="I253" t="s">
        <v>17</v>
      </c>
      <c r="J253" t="s">
        <v>7</v>
      </c>
      <c r="K253" t="s">
        <v>92</v>
      </c>
      <c r="L253" t="s">
        <v>300</v>
      </c>
      <c r="M253" t="s">
        <v>727</v>
      </c>
      <c r="N253" t="s">
        <v>85</v>
      </c>
      <c r="O253" t="s">
        <v>81</v>
      </c>
      <c r="P253" t="s">
        <v>74</v>
      </c>
      <c r="Q253">
        <v>2</v>
      </c>
      <c r="R253" t="s">
        <v>213</v>
      </c>
      <c r="S253" t="s">
        <v>7</v>
      </c>
      <c r="T253">
        <v>10</v>
      </c>
      <c r="U253" t="s">
        <v>28</v>
      </c>
      <c r="V253" t="s">
        <v>28</v>
      </c>
      <c r="W253">
        <v>8</v>
      </c>
      <c r="X253">
        <f>AVERAGE(189,105)</f>
        <v>147</v>
      </c>
      <c r="Y253">
        <f t="shared" ref="Y253:Y284" si="5">Z253*SQRT(T253)</f>
        <v>229.26513036220751</v>
      </c>
      <c r="Z253">
        <f>AVERAGE((281-189),(158-105))</f>
        <v>72.5</v>
      </c>
    </row>
    <row r="254" spans="1:26" x14ac:dyDescent="0.2">
      <c r="A254" t="s">
        <v>91</v>
      </c>
      <c r="B254">
        <v>2004</v>
      </c>
      <c r="C254" t="s">
        <v>816</v>
      </c>
      <c r="D254" t="s">
        <v>820</v>
      </c>
      <c r="E254" t="s">
        <v>34</v>
      </c>
      <c r="F254" t="s">
        <v>330</v>
      </c>
      <c r="G254">
        <v>-29.239373000000001</v>
      </c>
      <c r="H254">
        <v>-71.512388999999999</v>
      </c>
      <c r="I254" t="s">
        <v>17</v>
      </c>
      <c r="J254" t="s">
        <v>14</v>
      </c>
      <c r="K254" t="s">
        <v>92</v>
      </c>
      <c r="L254" t="s">
        <v>300</v>
      </c>
      <c r="M254" t="s">
        <v>727</v>
      </c>
      <c r="N254" t="s">
        <v>85</v>
      </c>
      <c r="O254" t="s">
        <v>81</v>
      </c>
      <c r="P254" t="s">
        <v>74</v>
      </c>
      <c r="Q254">
        <v>2</v>
      </c>
      <c r="R254" t="s">
        <v>213</v>
      </c>
      <c r="S254" t="s">
        <v>9</v>
      </c>
      <c r="T254">
        <v>10</v>
      </c>
      <c r="U254" t="s">
        <v>28</v>
      </c>
      <c r="V254" t="s">
        <v>28</v>
      </c>
      <c r="W254">
        <v>15</v>
      </c>
      <c r="X254">
        <f>AVERAGE(184,57)</f>
        <v>120.5</v>
      </c>
      <c r="Y254">
        <f t="shared" si="5"/>
        <v>235.58968568254429</v>
      </c>
      <c r="Z254">
        <f>AVERAGE((333-184),0)</f>
        <v>74.5</v>
      </c>
    </row>
    <row r="255" spans="1:26" x14ac:dyDescent="0.2">
      <c r="A255" t="s">
        <v>91</v>
      </c>
      <c r="B255">
        <v>2004</v>
      </c>
      <c r="C255" t="s">
        <v>816</v>
      </c>
      <c r="D255" t="s">
        <v>820</v>
      </c>
      <c r="E255" t="s">
        <v>34</v>
      </c>
      <c r="F255" t="s">
        <v>330</v>
      </c>
      <c r="G255">
        <v>-29.239373000000001</v>
      </c>
      <c r="H255">
        <v>-71.512388999999999</v>
      </c>
      <c r="I255" t="s">
        <v>17</v>
      </c>
      <c r="J255" t="s">
        <v>14</v>
      </c>
      <c r="K255" t="s">
        <v>92</v>
      </c>
      <c r="L255" t="s">
        <v>300</v>
      </c>
      <c r="M255" t="s">
        <v>727</v>
      </c>
      <c r="N255" t="s">
        <v>85</v>
      </c>
      <c r="O255" t="s">
        <v>81</v>
      </c>
      <c r="P255" t="s">
        <v>74</v>
      </c>
      <c r="Q255">
        <v>2</v>
      </c>
      <c r="R255" t="s">
        <v>213</v>
      </c>
      <c r="S255" t="s">
        <v>27</v>
      </c>
      <c r="T255">
        <v>10</v>
      </c>
      <c r="U255" t="s">
        <v>28</v>
      </c>
      <c r="V255" t="s">
        <v>28</v>
      </c>
      <c r="W255">
        <v>18</v>
      </c>
      <c r="X255">
        <f>AVERAGE(132,39)</f>
        <v>85.5</v>
      </c>
      <c r="Y255">
        <f t="shared" si="5"/>
        <v>180.24982662959764</v>
      </c>
      <c r="Z255">
        <f>AVERAGE((246-132),0)</f>
        <v>57</v>
      </c>
    </row>
    <row r="256" spans="1:26" x14ac:dyDescent="0.2">
      <c r="A256" t="s">
        <v>91</v>
      </c>
      <c r="B256">
        <v>2004</v>
      </c>
      <c r="C256" t="s">
        <v>816</v>
      </c>
      <c r="D256" t="s">
        <v>820</v>
      </c>
      <c r="E256" t="s">
        <v>34</v>
      </c>
      <c r="F256" t="s">
        <v>336</v>
      </c>
      <c r="G256">
        <v>-40.883495000000003</v>
      </c>
      <c r="H256">
        <v>-73.939434000000006</v>
      </c>
      <c r="I256" t="s">
        <v>17</v>
      </c>
      <c r="J256" t="s">
        <v>7</v>
      </c>
      <c r="K256" t="s">
        <v>92</v>
      </c>
      <c r="L256" t="s">
        <v>300</v>
      </c>
      <c r="M256" t="s">
        <v>727</v>
      </c>
      <c r="N256" t="s">
        <v>85</v>
      </c>
      <c r="O256" t="s">
        <v>81</v>
      </c>
      <c r="P256" t="s">
        <v>74</v>
      </c>
      <c r="Q256">
        <v>2</v>
      </c>
      <c r="R256" t="s">
        <v>213</v>
      </c>
      <c r="S256" t="s">
        <v>7</v>
      </c>
      <c r="T256">
        <v>5</v>
      </c>
      <c r="U256" t="s">
        <v>28</v>
      </c>
      <c r="V256" t="s">
        <v>28</v>
      </c>
      <c r="W256">
        <v>8</v>
      </c>
      <c r="X256">
        <v>271</v>
      </c>
      <c r="Y256">
        <f t="shared" si="5"/>
        <v>0</v>
      </c>
      <c r="Z256">
        <v>0</v>
      </c>
    </row>
    <row r="257" spans="1:26" x14ac:dyDescent="0.2">
      <c r="A257" t="s">
        <v>91</v>
      </c>
      <c r="B257">
        <v>2004</v>
      </c>
      <c r="C257" t="s">
        <v>816</v>
      </c>
      <c r="D257" t="s">
        <v>820</v>
      </c>
      <c r="E257" t="s">
        <v>34</v>
      </c>
      <c r="F257" t="s">
        <v>336</v>
      </c>
      <c r="G257">
        <v>-40.883495000000003</v>
      </c>
      <c r="H257">
        <v>-73.939434000000006</v>
      </c>
      <c r="I257" t="s">
        <v>17</v>
      </c>
      <c r="J257" t="s">
        <v>14</v>
      </c>
      <c r="K257" t="s">
        <v>92</v>
      </c>
      <c r="L257" t="s">
        <v>300</v>
      </c>
      <c r="M257" t="s">
        <v>727</v>
      </c>
      <c r="N257" t="s">
        <v>85</v>
      </c>
      <c r="O257" t="s">
        <v>81</v>
      </c>
      <c r="P257" t="s">
        <v>74</v>
      </c>
      <c r="Q257">
        <v>2</v>
      </c>
      <c r="R257" t="s">
        <v>213</v>
      </c>
      <c r="S257" t="s">
        <v>9</v>
      </c>
      <c r="T257">
        <v>5</v>
      </c>
      <c r="U257" t="s">
        <v>28</v>
      </c>
      <c r="V257" t="s">
        <v>28</v>
      </c>
      <c r="W257">
        <v>15</v>
      </c>
      <c r="X257">
        <v>288</v>
      </c>
      <c r="Y257">
        <f t="shared" si="5"/>
        <v>0</v>
      </c>
      <c r="Z257">
        <v>0</v>
      </c>
    </row>
    <row r="258" spans="1:26" x14ac:dyDescent="0.2">
      <c r="A258" t="s">
        <v>91</v>
      </c>
      <c r="B258">
        <v>2004</v>
      </c>
      <c r="C258" t="s">
        <v>816</v>
      </c>
      <c r="D258" t="s">
        <v>820</v>
      </c>
      <c r="E258" t="s">
        <v>34</v>
      </c>
      <c r="F258" t="s">
        <v>336</v>
      </c>
      <c r="G258">
        <v>-40.883495000000003</v>
      </c>
      <c r="H258">
        <v>-73.939434000000006</v>
      </c>
      <c r="I258" t="s">
        <v>17</v>
      </c>
      <c r="J258" t="s">
        <v>14</v>
      </c>
      <c r="K258" t="s">
        <v>92</v>
      </c>
      <c r="L258" t="s">
        <v>300</v>
      </c>
      <c r="M258" t="s">
        <v>727</v>
      </c>
      <c r="N258" t="s">
        <v>85</v>
      </c>
      <c r="O258" t="s">
        <v>81</v>
      </c>
      <c r="P258" t="s">
        <v>74</v>
      </c>
      <c r="Q258">
        <v>2</v>
      </c>
      <c r="R258" t="s">
        <v>213</v>
      </c>
      <c r="S258" t="s">
        <v>27</v>
      </c>
      <c r="T258">
        <v>5</v>
      </c>
      <c r="U258" t="s">
        <v>28</v>
      </c>
      <c r="V258" t="s">
        <v>28</v>
      </c>
      <c r="W258">
        <v>18</v>
      </c>
      <c r="X258">
        <v>306</v>
      </c>
      <c r="Y258">
        <f t="shared" si="5"/>
        <v>174.41330224498361</v>
      </c>
      <c r="Z258">
        <f>384-306</f>
        <v>78</v>
      </c>
    </row>
    <row r="259" spans="1:26" x14ac:dyDescent="0.2">
      <c r="A259" t="s">
        <v>91</v>
      </c>
      <c r="B259">
        <v>2004</v>
      </c>
      <c r="C259" t="s">
        <v>816</v>
      </c>
      <c r="D259" t="s">
        <v>820</v>
      </c>
      <c r="E259" t="s">
        <v>34</v>
      </c>
      <c r="F259" t="s">
        <v>336</v>
      </c>
      <c r="G259">
        <v>-40.883495000000003</v>
      </c>
      <c r="H259">
        <v>-73.939434000000006</v>
      </c>
      <c r="I259" t="s">
        <v>94</v>
      </c>
      <c r="J259" t="s">
        <v>7</v>
      </c>
      <c r="K259" t="s">
        <v>92</v>
      </c>
      <c r="L259" t="s">
        <v>300</v>
      </c>
      <c r="M259" t="s">
        <v>727</v>
      </c>
      <c r="N259" t="s">
        <v>85</v>
      </c>
      <c r="O259" t="s">
        <v>81</v>
      </c>
      <c r="P259" t="s">
        <v>74</v>
      </c>
      <c r="Q259">
        <v>2</v>
      </c>
      <c r="R259" t="s">
        <v>213</v>
      </c>
      <c r="S259" t="s">
        <v>7</v>
      </c>
      <c r="T259">
        <v>5</v>
      </c>
      <c r="U259" t="s">
        <v>28</v>
      </c>
      <c r="V259" t="s">
        <v>28</v>
      </c>
      <c r="W259">
        <v>8</v>
      </c>
      <c r="X259">
        <v>43</v>
      </c>
      <c r="Y259">
        <f t="shared" si="5"/>
        <v>0</v>
      </c>
      <c r="Z259">
        <v>0</v>
      </c>
    </row>
    <row r="260" spans="1:26" x14ac:dyDescent="0.2">
      <c r="A260" t="s">
        <v>91</v>
      </c>
      <c r="B260">
        <v>2004</v>
      </c>
      <c r="C260" t="s">
        <v>816</v>
      </c>
      <c r="D260" t="s">
        <v>820</v>
      </c>
      <c r="E260" t="s">
        <v>34</v>
      </c>
      <c r="F260" t="s">
        <v>336</v>
      </c>
      <c r="G260">
        <v>-40.883495000000003</v>
      </c>
      <c r="H260">
        <v>-73.939434000000006</v>
      </c>
      <c r="I260" t="s">
        <v>94</v>
      </c>
      <c r="J260" t="s">
        <v>14</v>
      </c>
      <c r="K260" t="s">
        <v>92</v>
      </c>
      <c r="L260" t="s">
        <v>300</v>
      </c>
      <c r="M260" t="s">
        <v>727</v>
      </c>
      <c r="N260" t="s">
        <v>85</v>
      </c>
      <c r="O260" t="s">
        <v>81</v>
      </c>
      <c r="P260" t="s">
        <v>74</v>
      </c>
      <c r="Q260">
        <v>2</v>
      </c>
      <c r="R260" t="s">
        <v>213</v>
      </c>
      <c r="S260" t="s">
        <v>9</v>
      </c>
      <c r="T260">
        <v>5</v>
      </c>
      <c r="U260" t="s">
        <v>28</v>
      </c>
      <c r="V260" t="s">
        <v>28</v>
      </c>
      <c r="W260">
        <v>15</v>
      </c>
      <c r="X260">
        <v>61</v>
      </c>
      <c r="Y260">
        <f t="shared" si="5"/>
        <v>0</v>
      </c>
      <c r="Z260">
        <v>0</v>
      </c>
    </row>
    <row r="261" spans="1:26" x14ac:dyDescent="0.2">
      <c r="A261" t="s">
        <v>91</v>
      </c>
      <c r="B261">
        <v>2004</v>
      </c>
      <c r="C261" t="s">
        <v>816</v>
      </c>
      <c r="D261" t="s">
        <v>820</v>
      </c>
      <c r="E261" t="s">
        <v>34</v>
      </c>
      <c r="F261" t="s">
        <v>336</v>
      </c>
      <c r="G261">
        <v>-40.883495000000003</v>
      </c>
      <c r="H261">
        <v>-73.939434000000006</v>
      </c>
      <c r="I261" t="s">
        <v>94</v>
      </c>
      <c r="J261" t="s">
        <v>14</v>
      </c>
      <c r="K261" t="s">
        <v>92</v>
      </c>
      <c r="L261" t="s">
        <v>300</v>
      </c>
      <c r="M261" t="s">
        <v>727</v>
      </c>
      <c r="N261" t="s">
        <v>85</v>
      </c>
      <c r="O261" t="s">
        <v>81</v>
      </c>
      <c r="P261" t="s">
        <v>74</v>
      </c>
      <c r="Q261">
        <v>2</v>
      </c>
      <c r="R261" t="s">
        <v>213</v>
      </c>
      <c r="S261" t="s">
        <v>27</v>
      </c>
      <c r="T261">
        <v>5</v>
      </c>
      <c r="U261" t="s">
        <v>28</v>
      </c>
      <c r="V261" t="s">
        <v>28</v>
      </c>
      <c r="W261">
        <v>18</v>
      </c>
      <c r="X261">
        <v>61</v>
      </c>
      <c r="Y261">
        <f t="shared" si="5"/>
        <v>0</v>
      </c>
      <c r="Z261">
        <v>0</v>
      </c>
    </row>
    <row r="262" spans="1:26" x14ac:dyDescent="0.2">
      <c r="A262" t="s">
        <v>91</v>
      </c>
      <c r="B262">
        <v>2004</v>
      </c>
      <c r="C262" t="s">
        <v>816</v>
      </c>
      <c r="D262" t="s">
        <v>820</v>
      </c>
      <c r="E262" t="s">
        <v>34</v>
      </c>
      <c r="F262" t="s">
        <v>336</v>
      </c>
      <c r="G262">
        <v>-40.883495000000003</v>
      </c>
      <c r="H262">
        <v>-73.939434000000006</v>
      </c>
      <c r="I262" t="s">
        <v>93</v>
      </c>
      <c r="J262" t="s">
        <v>7</v>
      </c>
      <c r="K262" t="s">
        <v>92</v>
      </c>
      <c r="L262" t="s">
        <v>300</v>
      </c>
      <c r="M262" t="s">
        <v>727</v>
      </c>
      <c r="N262" t="s">
        <v>85</v>
      </c>
      <c r="O262" t="s">
        <v>81</v>
      </c>
      <c r="P262" t="s">
        <v>74</v>
      </c>
      <c r="Q262">
        <v>2</v>
      </c>
      <c r="R262" t="s">
        <v>213</v>
      </c>
      <c r="S262" t="s">
        <v>7</v>
      </c>
      <c r="T262">
        <v>10</v>
      </c>
      <c r="U262" t="s">
        <v>28</v>
      </c>
      <c r="V262" t="s">
        <v>28</v>
      </c>
      <c r="W262">
        <v>8</v>
      </c>
      <c r="X262">
        <f>AVERAGE(162,477)</f>
        <v>319.5</v>
      </c>
      <c r="Y262">
        <f t="shared" si="5"/>
        <v>241.91424100288103</v>
      </c>
      <c r="Z262">
        <f>AVERAGE((630-477),0)</f>
        <v>76.5</v>
      </c>
    </row>
    <row r="263" spans="1:26" x14ac:dyDescent="0.2">
      <c r="A263" t="s">
        <v>91</v>
      </c>
      <c r="B263">
        <v>2004</v>
      </c>
      <c r="C263" t="s">
        <v>816</v>
      </c>
      <c r="D263" t="s">
        <v>820</v>
      </c>
      <c r="E263" t="s">
        <v>34</v>
      </c>
      <c r="F263" t="s">
        <v>336</v>
      </c>
      <c r="G263">
        <v>-40.883495000000003</v>
      </c>
      <c r="H263">
        <v>-73.939434000000006</v>
      </c>
      <c r="I263" t="s">
        <v>93</v>
      </c>
      <c r="J263" t="s">
        <v>14</v>
      </c>
      <c r="K263" t="s">
        <v>92</v>
      </c>
      <c r="L263" t="s">
        <v>300</v>
      </c>
      <c r="M263" t="s">
        <v>727</v>
      </c>
      <c r="N263" t="s">
        <v>85</v>
      </c>
      <c r="O263" t="s">
        <v>81</v>
      </c>
      <c r="P263" t="s">
        <v>74</v>
      </c>
      <c r="Q263">
        <v>2</v>
      </c>
      <c r="R263" t="s">
        <v>213</v>
      </c>
      <c r="S263" t="s">
        <v>9</v>
      </c>
      <c r="T263">
        <v>10</v>
      </c>
      <c r="U263" t="s">
        <v>28</v>
      </c>
      <c r="V263" t="s">
        <v>28</v>
      </c>
      <c r="W263">
        <v>15</v>
      </c>
      <c r="X263">
        <f>AVERAGE(132,477)</f>
        <v>304.5</v>
      </c>
      <c r="Y263">
        <f t="shared" si="5"/>
        <v>161.27616066858735</v>
      </c>
      <c r="Z263">
        <f>AVERAGE((579-477),0)</f>
        <v>51</v>
      </c>
    </row>
    <row r="264" spans="1:26" x14ac:dyDescent="0.2">
      <c r="A264" t="s">
        <v>91</v>
      </c>
      <c r="B264">
        <v>2004</v>
      </c>
      <c r="C264" t="s">
        <v>816</v>
      </c>
      <c r="D264" t="s">
        <v>820</v>
      </c>
      <c r="E264" t="s">
        <v>34</v>
      </c>
      <c r="F264" t="s">
        <v>336</v>
      </c>
      <c r="G264">
        <v>-40.883495000000003</v>
      </c>
      <c r="H264">
        <v>-73.939434000000006</v>
      </c>
      <c r="I264" t="s">
        <v>93</v>
      </c>
      <c r="J264" t="s">
        <v>14</v>
      </c>
      <c r="K264" t="s">
        <v>92</v>
      </c>
      <c r="L264" t="s">
        <v>300</v>
      </c>
      <c r="M264" t="s">
        <v>727</v>
      </c>
      <c r="N264" t="s">
        <v>85</v>
      </c>
      <c r="O264" t="s">
        <v>81</v>
      </c>
      <c r="P264" t="s">
        <v>74</v>
      </c>
      <c r="Q264">
        <v>2</v>
      </c>
      <c r="R264" t="s">
        <v>213</v>
      </c>
      <c r="S264" t="s">
        <v>27</v>
      </c>
      <c r="T264">
        <v>10</v>
      </c>
      <c r="U264" t="s">
        <v>28</v>
      </c>
      <c r="V264" t="s">
        <v>28</v>
      </c>
      <c r="W264">
        <v>18</v>
      </c>
      <c r="X264">
        <f>AVERAGE(170,409)</f>
        <v>289.5</v>
      </c>
      <c r="Y264">
        <f t="shared" si="5"/>
        <v>241.91424100288103</v>
      </c>
      <c r="Z264">
        <f>AVERAGE((562-409),0)</f>
        <v>76.5</v>
      </c>
    </row>
    <row r="265" spans="1:26" x14ac:dyDescent="0.2">
      <c r="A265" t="s">
        <v>91</v>
      </c>
      <c r="B265">
        <v>2004</v>
      </c>
      <c r="C265" t="s">
        <v>816</v>
      </c>
      <c r="D265" t="s">
        <v>820</v>
      </c>
      <c r="E265" t="s">
        <v>34</v>
      </c>
      <c r="F265" t="s">
        <v>336</v>
      </c>
      <c r="G265">
        <v>-40.883495000000003</v>
      </c>
      <c r="H265">
        <v>-73.939434000000006</v>
      </c>
      <c r="I265" t="s">
        <v>44</v>
      </c>
      <c r="J265" t="s">
        <v>7</v>
      </c>
      <c r="K265" t="s">
        <v>92</v>
      </c>
      <c r="L265" t="s">
        <v>300</v>
      </c>
      <c r="M265" t="s">
        <v>727</v>
      </c>
      <c r="N265" t="s">
        <v>85</v>
      </c>
      <c r="O265" t="s">
        <v>81</v>
      </c>
      <c r="P265" t="s">
        <v>74</v>
      </c>
      <c r="Q265">
        <v>2</v>
      </c>
      <c r="R265" t="s">
        <v>213</v>
      </c>
      <c r="S265" t="s">
        <v>7</v>
      </c>
      <c r="T265">
        <v>10</v>
      </c>
      <c r="U265" t="s">
        <v>28</v>
      </c>
      <c r="V265" t="s">
        <v>28</v>
      </c>
      <c r="W265">
        <v>8</v>
      </c>
      <c r="X265">
        <f>AVERAGE(237,207)</f>
        <v>222</v>
      </c>
      <c r="Y265">
        <f t="shared" si="5"/>
        <v>177.08754896942926</v>
      </c>
      <c r="Z265">
        <f>AVERAGE((315-237),(241-207))</f>
        <v>56</v>
      </c>
    </row>
    <row r="266" spans="1:26" x14ac:dyDescent="0.2">
      <c r="A266" t="s">
        <v>91</v>
      </c>
      <c r="B266">
        <v>2004</v>
      </c>
      <c r="C266" t="s">
        <v>816</v>
      </c>
      <c r="D266" t="s">
        <v>820</v>
      </c>
      <c r="E266" t="s">
        <v>34</v>
      </c>
      <c r="F266" t="s">
        <v>336</v>
      </c>
      <c r="G266">
        <v>-40.883495000000003</v>
      </c>
      <c r="H266">
        <v>-73.939434000000006</v>
      </c>
      <c r="I266" t="s">
        <v>44</v>
      </c>
      <c r="J266" t="s">
        <v>14</v>
      </c>
      <c r="K266" t="s">
        <v>92</v>
      </c>
      <c r="L266" t="s">
        <v>300</v>
      </c>
      <c r="M266" t="s">
        <v>727</v>
      </c>
      <c r="N266" t="s">
        <v>85</v>
      </c>
      <c r="O266" t="s">
        <v>81</v>
      </c>
      <c r="P266" t="s">
        <v>74</v>
      </c>
      <c r="Q266">
        <v>2</v>
      </c>
      <c r="R266" t="s">
        <v>213</v>
      </c>
      <c r="S266" t="s">
        <v>9</v>
      </c>
      <c r="T266">
        <v>10</v>
      </c>
      <c r="U266" t="s">
        <v>28</v>
      </c>
      <c r="V266" t="s">
        <v>28</v>
      </c>
      <c r="W266">
        <v>15</v>
      </c>
      <c r="X266">
        <f>AVERAGE(341,634)</f>
        <v>487.5</v>
      </c>
      <c r="Y266">
        <f t="shared" si="5"/>
        <v>284.60498941515414</v>
      </c>
      <c r="Z266">
        <f>AVERAGE((422-341),(733-634))</f>
        <v>90</v>
      </c>
    </row>
    <row r="267" spans="1:26" x14ac:dyDescent="0.2">
      <c r="A267" t="s">
        <v>91</v>
      </c>
      <c r="B267">
        <v>2004</v>
      </c>
      <c r="C267" t="s">
        <v>816</v>
      </c>
      <c r="D267" t="s">
        <v>820</v>
      </c>
      <c r="E267" t="s">
        <v>34</v>
      </c>
      <c r="F267" t="s">
        <v>336</v>
      </c>
      <c r="G267">
        <v>-40.883495000000003</v>
      </c>
      <c r="H267">
        <v>-73.939434000000006</v>
      </c>
      <c r="I267" t="s">
        <v>44</v>
      </c>
      <c r="J267" t="s">
        <v>14</v>
      </c>
      <c r="K267" t="s">
        <v>92</v>
      </c>
      <c r="L267" t="s">
        <v>300</v>
      </c>
      <c r="M267" t="s">
        <v>727</v>
      </c>
      <c r="N267" t="s">
        <v>85</v>
      </c>
      <c r="O267" t="s">
        <v>81</v>
      </c>
      <c r="P267" t="s">
        <v>74</v>
      </c>
      <c r="Q267">
        <v>2</v>
      </c>
      <c r="R267" t="s">
        <v>213</v>
      </c>
      <c r="S267" t="s">
        <v>27</v>
      </c>
      <c r="T267">
        <v>10</v>
      </c>
      <c r="U267" t="s">
        <v>28</v>
      </c>
      <c r="V267" t="s">
        <v>28</v>
      </c>
      <c r="W267">
        <v>18</v>
      </c>
      <c r="X267">
        <f>AVERAGE(306,280)</f>
        <v>293</v>
      </c>
      <c r="Y267">
        <f t="shared" si="5"/>
        <v>259.30676813380711</v>
      </c>
      <c r="Z267">
        <f>AVERAGE((401-306),(349-280))</f>
        <v>82</v>
      </c>
    </row>
    <row r="268" spans="1:26" x14ac:dyDescent="0.2">
      <c r="A268" t="s">
        <v>91</v>
      </c>
      <c r="B268">
        <v>2004</v>
      </c>
      <c r="C268" t="s">
        <v>816</v>
      </c>
      <c r="D268" t="s">
        <v>820</v>
      </c>
      <c r="E268" t="s">
        <v>34</v>
      </c>
      <c r="F268" t="s">
        <v>330</v>
      </c>
      <c r="G268">
        <v>-29.239373000000001</v>
      </c>
      <c r="H268">
        <v>-71.512388999999999</v>
      </c>
      <c r="I268" t="s">
        <v>94</v>
      </c>
      <c r="J268" t="s">
        <v>7</v>
      </c>
      <c r="K268" t="s">
        <v>92</v>
      </c>
      <c r="L268" t="s">
        <v>300</v>
      </c>
      <c r="M268" t="s">
        <v>727</v>
      </c>
      <c r="N268" t="s">
        <v>85</v>
      </c>
      <c r="O268" t="s">
        <v>71</v>
      </c>
      <c r="P268" t="s">
        <v>70</v>
      </c>
      <c r="Q268">
        <v>6</v>
      </c>
      <c r="R268" t="s">
        <v>213</v>
      </c>
      <c r="S268" t="s">
        <v>7</v>
      </c>
      <c r="T268">
        <v>10</v>
      </c>
      <c r="U268" t="s">
        <v>28</v>
      </c>
      <c r="V268" t="s">
        <v>28</v>
      </c>
      <c r="W268">
        <v>8</v>
      </c>
      <c r="X268">
        <v>197</v>
      </c>
      <c r="Y268">
        <f t="shared" si="5"/>
        <v>259.30676813380711</v>
      </c>
      <c r="Z268">
        <f>279-197</f>
        <v>82</v>
      </c>
    </row>
    <row r="269" spans="1:26" x14ac:dyDescent="0.2">
      <c r="A269" t="s">
        <v>91</v>
      </c>
      <c r="B269">
        <v>2004</v>
      </c>
      <c r="C269" t="s">
        <v>816</v>
      </c>
      <c r="D269" t="s">
        <v>820</v>
      </c>
      <c r="E269" t="s">
        <v>34</v>
      </c>
      <c r="F269" t="s">
        <v>330</v>
      </c>
      <c r="G269">
        <v>-29.239373000000001</v>
      </c>
      <c r="H269">
        <v>-71.512388999999999</v>
      </c>
      <c r="I269" t="s">
        <v>94</v>
      </c>
      <c r="J269" t="s">
        <v>14</v>
      </c>
      <c r="K269" t="s">
        <v>92</v>
      </c>
      <c r="L269" t="s">
        <v>300</v>
      </c>
      <c r="M269" t="s">
        <v>727</v>
      </c>
      <c r="N269" t="s">
        <v>85</v>
      </c>
      <c r="O269" t="s">
        <v>71</v>
      </c>
      <c r="P269" t="s">
        <v>70</v>
      </c>
      <c r="Q269">
        <v>6</v>
      </c>
      <c r="R269" t="s">
        <v>213</v>
      </c>
      <c r="S269" t="s">
        <v>9</v>
      </c>
      <c r="T269">
        <v>10</v>
      </c>
      <c r="U269" t="s">
        <v>28</v>
      </c>
      <c r="V269" t="s">
        <v>28</v>
      </c>
      <c r="W269">
        <v>15</v>
      </c>
      <c r="X269">
        <v>74</v>
      </c>
      <c r="Y269">
        <f t="shared" si="5"/>
        <v>0</v>
      </c>
      <c r="Z269">
        <v>0</v>
      </c>
    </row>
    <row r="270" spans="1:26" x14ac:dyDescent="0.2">
      <c r="A270" t="s">
        <v>91</v>
      </c>
      <c r="B270">
        <v>2004</v>
      </c>
      <c r="C270" t="s">
        <v>816</v>
      </c>
      <c r="D270" t="s">
        <v>820</v>
      </c>
      <c r="E270" t="s">
        <v>34</v>
      </c>
      <c r="F270" t="s">
        <v>330</v>
      </c>
      <c r="G270">
        <v>-29.239373000000001</v>
      </c>
      <c r="H270">
        <v>-71.512388999999999</v>
      </c>
      <c r="I270" t="s">
        <v>94</v>
      </c>
      <c r="J270" t="s">
        <v>14</v>
      </c>
      <c r="K270" t="s">
        <v>92</v>
      </c>
      <c r="L270" t="s">
        <v>300</v>
      </c>
      <c r="M270" t="s">
        <v>727</v>
      </c>
      <c r="N270" t="s">
        <v>85</v>
      </c>
      <c r="O270" t="s">
        <v>71</v>
      </c>
      <c r="P270" t="s">
        <v>70</v>
      </c>
      <c r="Q270">
        <v>6</v>
      </c>
      <c r="R270" t="s">
        <v>213</v>
      </c>
      <c r="S270" t="s">
        <v>27</v>
      </c>
      <c r="T270">
        <v>10</v>
      </c>
      <c r="U270" t="s">
        <v>28</v>
      </c>
      <c r="V270" t="s">
        <v>28</v>
      </c>
      <c r="W270">
        <v>18</v>
      </c>
      <c r="X270">
        <f>AVERAGE(114,39)</f>
        <v>76.5</v>
      </c>
      <c r="Y270">
        <f t="shared" si="5"/>
        <v>358.9185144291111</v>
      </c>
      <c r="Z270">
        <f>AVERAGE(227,0)</f>
        <v>113.5</v>
      </c>
    </row>
    <row r="271" spans="1:26" x14ac:dyDescent="0.2">
      <c r="A271" t="s">
        <v>91</v>
      </c>
      <c r="B271">
        <v>2004</v>
      </c>
      <c r="C271" t="s">
        <v>816</v>
      </c>
      <c r="D271" t="s">
        <v>820</v>
      </c>
      <c r="E271" t="s">
        <v>34</v>
      </c>
      <c r="F271" t="s">
        <v>336</v>
      </c>
      <c r="G271">
        <v>-40.883495000000003</v>
      </c>
      <c r="H271">
        <v>-73.939434000000006</v>
      </c>
      <c r="I271" t="s">
        <v>17</v>
      </c>
      <c r="J271" t="s">
        <v>7</v>
      </c>
      <c r="K271" t="s">
        <v>92</v>
      </c>
      <c r="L271" t="s">
        <v>300</v>
      </c>
      <c r="M271" t="s">
        <v>727</v>
      </c>
      <c r="N271" t="s">
        <v>85</v>
      </c>
      <c r="O271" t="s">
        <v>71</v>
      </c>
      <c r="P271" t="s">
        <v>70</v>
      </c>
      <c r="Q271">
        <v>6</v>
      </c>
      <c r="R271" t="s">
        <v>213</v>
      </c>
      <c r="S271" t="s">
        <v>7</v>
      </c>
      <c r="T271">
        <v>5</v>
      </c>
      <c r="U271" t="s">
        <v>28</v>
      </c>
      <c r="V271" t="s">
        <v>28</v>
      </c>
      <c r="W271">
        <v>8</v>
      </c>
      <c r="X271">
        <v>80</v>
      </c>
      <c r="Y271">
        <f t="shared" si="5"/>
        <v>13.416407864998739</v>
      </c>
      <c r="Z271">
        <v>6</v>
      </c>
    </row>
    <row r="272" spans="1:26" x14ac:dyDescent="0.2">
      <c r="A272" t="s">
        <v>91</v>
      </c>
      <c r="B272">
        <v>2004</v>
      </c>
      <c r="C272" t="s">
        <v>816</v>
      </c>
      <c r="D272" t="s">
        <v>820</v>
      </c>
      <c r="E272" t="s">
        <v>34</v>
      </c>
      <c r="F272" t="s">
        <v>336</v>
      </c>
      <c r="G272">
        <v>-40.883495000000003</v>
      </c>
      <c r="H272">
        <v>-73.939434000000006</v>
      </c>
      <c r="I272" t="s">
        <v>17</v>
      </c>
      <c r="J272" t="s">
        <v>14</v>
      </c>
      <c r="K272" t="s">
        <v>92</v>
      </c>
      <c r="L272" t="s">
        <v>300</v>
      </c>
      <c r="M272" t="s">
        <v>727</v>
      </c>
      <c r="N272" t="s">
        <v>85</v>
      </c>
      <c r="O272" t="s">
        <v>71</v>
      </c>
      <c r="P272" t="s">
        <v>70</v>
      </c>
      <c r="Q272">
        <v>6</v>
      </c>
      <c r="R272" t="s">
        <v>213</v>
      </c>
      <c r="S272" t="s">
        <v>9</v>
      </c>
      <c r="T272">
        <v>5</v>
      </c>
      <c r="U272" t="s">
        <v>28</v>
      </c>
      <c r="V272" t="s">
        <v>28</v>
      </c>
      <c r="W272">
        <v>15</v>
      </c>
      <c r="X272">
        <v>94</v>
      </c>
      <c r="Y272">
        <f t="shared" si="5"/>
        <v>0</v>
      </c>
      <c r="Z272">
        <v>0</v>
      </c>
    </row>
    <row r="273" spans="1:26" x14ac:dyDescent="0.2">
      <c r="A273" t="s">
        <v>91</v>
      </c>
      <c r="B273">
        <v>2004</v>
      </c>
      <c r="C273" t="s">
        <v>816</v>
      </c>
      <c r="D273" t="s">
        <v>820</v>
      </c>
      <c r="E273" t="s">
        <v>34</v>
      </c>
      <c r="F273" t="s">
        <v>336</v>
      </c>
      <c r="G273">
        <v>-40.883495000000003</v>
      </c>
      <c r="H273">
        <v>-73.939434000000006</v>
      </c>
      <c r="I273" t="s">
        <v>17</v>
      </c>
      <c r="J273" t="s">
        <v>14</v>
      </c>
      <c r="K273" t="s">
        <v>92</v>
      </c>
      <c r="L273" t="s">
        <v>300</v>
      </c>
      <c r="M273" t="s">
        <v>727</v>
      </c>
      <c r="N273" t="s">
        <v>85</v>
      </c>
      <c r="O273" t="s">
        <v>71</v>
      </c>
      <c r="P273" t="s">
        <v>70</v>
      </c>
      <c r="Q273">
        <v>6</v>
      </c>
      <c r="R273" t="s">
        <v>213</v>
      </c>
      <c r="S273" t="s">
        <v>27</v>
      </c>
      <c r="T273">
        <v>5</v>
      </c>
      <c r="U273" t="s">
        <v>28</v>
      </c>
      <c r="V273" t="s">
        <v>28</v>
      </c>
      <c r="W273">
        <v>18</v>
      </c>
      <c r="X273">
        <v>92</v>
      </c>
      <c r="Y273">
        <f t="shared" si="5"/>
        <v>0</v>
      </c>
      <c r="Z273">
        <v>0</v>
      </c>
    </row>
    <row r="274" spans="1:26" x14ac:dyDescent="0.2">
      <c r="A274" t="s">
        <v>91</v>
      </c>
      <c r="B274">
        <v>2004</v>
      </c>
      <c r="C274" t="s">
        <v>816</v>
      </c>
      <c r="D274" t="s">
        <v>820</v>
      </c>
      <c r="E274" t="s">
        <v>34</v>
      </c>
      <c r="F274" t="s">
        <v>336</v>
      </c>
      <c r="G274">
        <v>-40.883495000000003</v>
      </c>
      <c r="H274">
        <v>-73.939434000000006</v>
      </c>
      <c r="I274" t="s">
        <v>94</v>
      </c>
      <c r="J274" t="s">
        <v>7</v>
      </c>
      <c r="K274" t="s">
        <v>92</v>
      </c>
      <c r="L274" t="s">
        <v>300</v>
      </c>
      <c r="M274" t="s">
        <v>727</v>
      </c>
      <c r="N274" t="s">
        <v>85</v>
      </c>
      <c r="O274" t="s">
        <v>71</v>
      </c>
      <c r="P274" t="s">
        <v>70</v>
      </c>
      <c r="Q274">
        <v>6</v>
      </c>
      <c r="R274" t="s">
        <v>213</v>
      </c>
      <c r="S274" t="s">
        <v>7</v>
      </c>
      <c r="T274">
        <v>5</v>
      </c>
      <c r="U274" t="s">
        <v>28</v>
      </c>
      <c r="V274" t="s">
        <v>28</v>
      </c>
      <c r="W274">
        <v>8</v>
      </c>
      <c r="X274">
        <v>38</v>
      </c>
      <c r="Y274">
        <f t="shared" si="5"/>
        <v>29.068883707497267</v>
      </c>
      <c r="Z274">
        <f>51-38</f>
        <v>13</v>
      </c>
    </row>
    <row r="275" spans="1:26" x14ac:dyDescent="0.2">
      <c r="A275" t="s">
        <v>91</v>
      </c>
      <c r="B275">
        <v>2004</v>
      </c>
      <c r="C275" t="s">
        <v>816</v>
      </c>
      <c r="D275" t="s">
        <v>820</v>
      </c>
      <c r="E275" t="s">
        <v>34</v>
      </c>
      <c r="F275" t="s">
        <v>336</v>
      </c>
      <c r="G275">
        <v>-40.883495000000003</v>
      </c>
      <c r="H275">
        <v>-73.939434000000006</v>
      </c>
      <c r="I275" t="s">
        <v>94</v>
      </c>
      <c r="J275" t="s">
        <v>14</v>
      </c>
      <c r="K275" t="s">
        <v>92</v>
      </c>
      <c r="L275" t="s">
        <v>300</v>
      </c>
      <c r="M275" t="s">
        <v>727</v>
      </c>
      <c r="N275" t="s">
        <v>85</v>
      </c>
      <c r="O275" t="s">
        <v>71</v>
      </c>
      <c r="P275" t="s">
        <v>70</v>
      </c>
      <c r="Q275">
        <v>6</v>
      </c>
      <c r="R275" t="s">
        <v>213</v>
      </c>
      <c r="S275" t="s">
        <v>9</v>
      </c>
      <c r="T275">
        <v>5</v>
      </c>
      <c r="U275" t="s">
        <v>28</v>
      </c>
      <c r="V275" t="s">
        <v>28</v>
      </c>
      <c r="W275">
        <v>15</v>
      </c>
      <c r="X275">
        <v>33</v>
      </c>
      <c r="Y275">
        <f t="shared" si="5"/>
        <v>29.068883707497267</v>
      </c>
      <c r="Z275">
        <f>46-X275</f>
        <v>13</v>
      </c>
    </row>
    <row r="276" spans="1:26" x14ac:dyDescent="0.2">
      <c r="A276" t="s">
        <v>91</v>
      </c>
      <c r="B276">
        <v>2004</v>
      </c>
      <c r="C276" t="s">
        <v>816</v>
      </c>
      <c r="D276" t="s">
        <v>820</v>
      </c>
      <c r="E276" t="s">
        <v>34</v>
      </c>
      <c r="F276" t="s">
        <v>336</v>
      </c>
      <c r="G276">
        <v>-40.883495000000003</v>
      </c>
      <c r="H276">
        <v>-73.939434000000006</v>
      </c>
      <c r="I276" t="s">
        <v>94</v>
      </c>
      <c r="J276" t="s">
        <v>14</v>
      </c>
      <c r="K276" t="s">
        <v>92</v>
      </c>
      <c r="L276" t="s">
        <v>300</v>
      </c>
      <c r="M276" t="s">
        <v>727</v>
      </c>
      <c r="N276" t="s">
        <v>85</v>
      </c>
      <c r="O276" t="s">
        <v>71</v>
      </c>
      <c r="P276" t="s">
        <v>70</v>
      </c>
      <c r="Q276">
        <v>6</v>
      </c>
      <c r="R276" t="s">
        <v>213</v>
      </c>
      <c r="S276" t="s">
        <v>27</v>
      </c>
      <c r="T276">
        <v>5</v>
      </c>
      <c r="U276" t="s">
        <v>28</v>
      </c>
      <c r="V276" t="s">
        <v>28</v>
      </c>
      <c r="W276">
        <v>18</v>
      </c>
      <c r="X276">
        <v>33</v>
      </c>
      <c r="Y276">
        <f t="shared" si="5"/>
        <v>29.068883707497267</v>
      </c>
      <c r="Z276">
        <f>46-X276</f>
        <v>13</v>
      </c>
    </row>
    <row r="277" spans="1:26" x14ac:dyDescent="0.2">
      <c r="A277" t="s">
        <v>91</v>
      </c>
      <c r="B277">
        <v>2004</v>
      </c>
      <c r="C277" t="s">
        <v>816</v>
      </c>
      <c r="D277" t="s">
        <v>820</v>
      </c>
      <c r="E277" t="s">
        <v>34</v>
      </c>
      <c r="F277" t="s">
        <v>336</v>
      </c>
      <c r="G277">
        <v>-40.883495000000003</v>
      </c>
      <c r="H277">
        <v>-73.939434000000006</v>
      </c>
      <c r="I277" t="s">
        <v>93</v>
      </c>
      <c r="J277" t="s">
        <v>7</v>
      </c>
      <c r="K277" t="s">
        <v>92</v>
      </c>
      <c r="L277" t="s">
        <v>300</v>
      </c>
      <c r="M277" t="s">
        <v>727</v>
      </c>
      <c r="N277" t="s">
        <v>85</v>
      </c>
      <c r="O277" t="s">
        <v>71</v>
      </c>
      <c r="P277" t="s">
        <v>70</v>
      </c>
      <c r="Q277">
        <v>6</v>
      </c>
      <c r="R277" t="s">
        <v>213</v>
      </c>
      <c r="S277" t="s">
        <v>7</v>
      </c>
      <c r="T277">
        <v>10</v>
      </c>
      <c r="U277" t="s">
        <v>28</v>
      </c>
      <c r="V277" t="s">
        <v>28</v>
      </c>
      <c r="W277">
        <v>8</v>
      </c>
      <c r="X277">
        <f>AVERAGE(45,67)</f>
        <v>56</v>
      </c>
      <c r="Y277">
        <f t="shared" si="5"/>
        <v>23.717082451262847</v>
      </c>
      <c r="Z277">
        <f>AVERAGE((54-45),(73-67))</f>
        <v>7.5</v>
      </c>
    </row>
    <row r="278" spans="1:26" x14ac:dyDescent="0.2">
      <c r="A278" t="s">
        <v>91</v>
      </c>
      <c r="B278">
        <v>2004</v>
      </c>
      <c r="C278" t="s">
        <v>816</v>
      </c>
      <c r="D278" t="s">
        <v>820</v>
      </c>
      <c r="E278" t="s">
        <v>34</v>
      </c>
      <c r="F278" t="s">
        <v>336</v>
      </c>
      <c r="G278">
        <v>-40.883495000000003</v>
      </c>
      <c r="H278">
        <v>-73.939434000000006</v>
      </c>
      <c r="I278" t="s">
        <v>93</v>
      </c>
      <c r="J278" t="s">
        <v>14</v>
      </c>
      <c r="K278" t="s">
        <v>92</v>
      </c>
      <c r="L278" t="s">
        <v>300</v>
      </c>
      <c r="M278" t="s">
        <v>727</v>
      </c>
      <c r="N278" t="s">
        <v>85</v>
      </c>
      <c r="O278" t="s">
        <v>71</v>
      </c>
      <c r="P278" t="s">
        <v>70</v>
      </c>
      <c r="Q278">
        <v>6</v>
      </c>
      <c r="R278" t="s">
        <v>213</v>
      </c>
      <c r="S278" t="s">
        <v>9</v>
      </c>
      <c r="T278">
        <v>10</v>
      </c>
      <c r="U278" t="s">
        <v>28</v>
      </c>
      <c r="V278" t="s">
        <v>28</v>
      </c>
      <c r="W278">
        <v>15</v>
      </c>
      <c r="X278">
        <f>AVERAGE(77,77)</f>
        <v>77</v>
      </c>
      <c r="Y278">
        <f t="shared" si="5"/>
        <v>11.067971810589329</v>
      </c>
      <c r="Z278">
        <f>AVERAGE((84-77),0)</f>
        <v>3.5</v>
      </c>
    </row>
    <row r="279" spans="1:26" x14ac:dyDescent="0.2">
      <c r="A279" t="s">
        <v>91</v>
      </c>
      <c r="B279">
        <v>2004</v>
      </c>
      <c r="C279" t="s">
        <v>816</v>
      </c>
      <c r="D279" t="s">
        <v>820</v>
      </c>
      <c r="E279" t="s">
        <v>34</v>
      </c>
      <c r="F279" t="s">
        <v>336</v>
      </c>
      <c r="G279">
        <v>-40.883495000000003</v>
      </c>
      <c r="H279">
        <v>-73.939434000000006</v>
      </c>
      <c r="I279" t="s">
        <v>93</v>
      </c>
      <c r="J279" t="s">
        <v>14</v>
      </c>
      <c r="K279" t="s">
        <v>92</v>
      </c>
      <c r="L279" t="s">
        <v>300</v>
      </c>
      <c r="M279" t="s">
        <v>727</v>
      </c>
      <c r="N279" t="s">
        <v>85</v>
      </c>
      <c r="O279" t="s">
        <v>71</v>
      </c>
      <c r="P279" t="s">
        <v>70</v>
      </c>
      <c r="Q279">
        <v>6</v>
      </c>
      <c r="R279" t="s">
        <v>213</v>
      </c>
      <c r="S279" t="s">
        <v>27</v>
      </c>
      <c r="T279">
        <v>10</v>
      </c>
      <c r="U279" t="s">
        <v>28</v>
      </c>
      <c r="V279" t="s">
        <v>28</v>
      </c>
      <c r="W279">
        <v>18</v>
      </c>
      <c r="X279">
        <f>AVERAGE(84,47)</f>
        <v>65.5</v>
      </c>
      <c r="Y279">
        <f t="shared" si="5"/>
        <v>17.392527130926087</v>
      </c>
      <c r="Z279">
        <f>AVERAGE(0,(58-47))</f>
        <v>5.5</v>
      </c>
    </row>
    <row r="280" spans="1:26" x14ac:dyDescent="0.2">
      <c r="A280" t="s">
        <v>91</v>
      </c>
      <c r="B280">
        <v>2004</v>
      </c>
      <c r="C280" t="s">
        <v>816</v>
      </c>
      <c r="D280" t="s">
        <v>820</v>
      </c>
      <c r="E280" t="s">
        <v>34</v>
      </c>
      <c r="F280" t="s">
        <v>336</v>
      </c>
      <c r="G280">
        <v>-40.883495000000003</v>
      </c>
      <c r="H280">
        <v>-73.939434000000006</v>
      </c>
      <c r="I280" t="s">
        <v>44</v>
      </c>
      <c r="J280" t="s">
        <v>7</v>
      </c>
      <c r="K280" t="s">
        <v>92</v>
      </c>
      <c r="L280" t="s">
        <v>300</v>
      </c>
      <c r="M280" t="s">
        <v>727</v>
      </c>
      <c r="N280" t="s">
        <v>85</v>
      </c>
      <c r="O280" t="s">
        <v>71</v>
      </c>
      <c r="P280" t="s">
        <v>70</v>
      </c>
      <c r="Q280">
        <v>6</v>
      </c>
      <c r="R280" t="s">
        <v>213</v>
      </c>
      <c r="S280" t="s">
        <v>7</v>
      </c>
      <c r="T280">
        <v>10</v>
      </c>
      <c r="U280" t="s">
        <v>28</v>
      </c>
      <c r="V280" t="s">
        <v>28</v>
      </c>
      <c r="W280">
        <v>8</v>
      </c>
      <c r="X280">
        <f>AVERAGE(73,71)</f>
        <v>72</v>
      </c>
      <c r="Y280">
        <f t="shared" si="5"/>
        <v>9.4868329805051381</v>
      </c>
      <c r="Z280">
        <f>AVERAGE(6,0)</f>
        <v>3</v>
      </c>
    </row>
    <row r="281" spans="1:26" x14ac:dyDescent="0.2">
      <c r="A281" t="s">
        <v>91</v>
      </c>
      <c r="B281">
        <v>2004</v>
      </c>
      <c r="C281" t="s">
        <v>816</v>
      </c>
      <c r="D281" t="s">
        <v>820</v>
      </c>
      <c r="E281" t="s">
        <v>34</v>
      </c>
      <c r="F281" t="s">
        <v>336</v>
      </c>
      <c r="G281">
        <v>-40.883495000000003</v>
      </c>
      <c r="H281">
        <v>-73.939434000000006</v>
      </c>
      <c r="I281" t="s">
        <v>44</v>
      </c>
      <c r="J281" t="s">
        <v>14</v>
      </c>
      <c r="K281" t="s">
        <v>92</v>
      </c>
      <c r="L281" t="s">
        <v>300</v>
      </c>
      <c r="M281" t="s">
        <v>727</v>
      </c>
      <c r="N281" t="s">
        <v>85</v>
      </c>
      <c r="O281" t="s">
        <v>71</v>
      </c>
      <c r="P281" t="s">
        <v>70</v>
      </c>
      <c r="Q281">
        <v>6</v>
      </c>
      <c r="R281" t="s">
        <v>213</v>
      </c>
      <c r="S281" t="s">
        <v>9</v>
      </c>
      <c r="T281">
        <v>10</v>
      </c>
      <c r="U281" t="s">
        <v>28</v>
      </c>
      <c r="V281" t="s">
        <v>28</v>
      </c>
      <c r="W281">
        <v>15</v>
      </c>
      <c r="X281">
        <f>AVERAGE(87,90)</f>
        <v>88.5</v>
      </c>
      <c r="Y281">
        <f t="shared" si="5"/>
        <v>0</v>
      </c>
      <c r="Z281">
        <v>0</v>
      </c>
    </row>
    <row r="282" spans="1:26" x14ac:dyDescent="0.2">
      <c r="A282" t="s">
        <v>91</v>
      </c>
      <c r="B282">
        <v>2004</v>
      </c>
      <c r="C282" t="s">
        <v>816</v>
      </c>
      <c r="D282" t="s">
        <v>820</v>
      </c>
      <c r="E282" t="s">
        <v>34</v>
      </c>
      <c r="F282" t="s">
        <v>336</v>
      </c>
      <c r="G282">
        <v>-40.883495000000003</v>
      </c>
      <c r="H282">
        <v>-73.939434000000006</v>
      </c>
      <c r="I282" t="s">
        <v>44</v>
      </c>
      <c r="J282" t="s">
        <v>14</v>
      </c>
      <c r="K282" t="s">
        <v>92</v>
      </c>
      <c r="L282" t="s">
        <v>300</v>
      </c>
      <c r="M282" t="s">
        <v>727</v>
      </c>
      <c r="N282" t="s">
        <v>85</v>
      </c>
      <c r="O282" t="s">
        <v>71</v>
      </c>
      <c r="P282" t="s">
        <v>70</v>
      </c>
      <c r="Q282">
        <v>6</v>
      </c>
      <c r="R282" t="s">
        <v>213</v>
      </c>
      <c r="S282" t="s">
        <v>27</v>
      </c>
      <c r="T282">
        <v>10</v>
      </c>
      <c r="U282" t="s">
        <v>28</v>
      </c>
      <c r="V282" t="s">
        <v>28</v>
      </c>
      <c r="W282">
        <v>18</v>
      </c>
      <c r="X282">
        <f>AVERAGE(81,89)</f>
        <v>85</v>
      </c>
      <c r="Y282">
        <f t="shared" si="5"/>
        <v>0</v>
      </c>
      <c r="Z282">
        <v>0</v>
      </c>
    </row>
    <row r="283" spans="1:26" x14ac:dyDescent="0.2">
      <c r="A283" t="s">
        <v>91</v>
      </c>
      <c r="B283">
        <v>2004</v>
      </c>
      <c r="C283" t="s">
        <v>816</v>
      </c>
      <c r="D283" t="s">
        <v>820</v>
      </c>
      <c r="E283" t="s">
        <v>34</v>
      </c>
      <c r="F283" t="s">
        <v>330</v>
      </c>
      <c r="G283">
        <v>-29.239373000000001</v>
      </c>
      <c r="H283">
        <v>-71.512388999999999</v>
      </c>
      <c r="I283" t="s">
        <v>17</v>
      </c>
      <c r="J283" t="s">
        <v>7</v>
      </c>
      <c r="K283" t="s">
        <v>95</v>
      </c>
      <c r="L283" t="s">
        <v>143</v>
      </c>
      <c r="M283" t="s">
        <v>26</v>
      </c>
      <c r="N283" t="s">
        <v>85</v>
      </c>
      <c r="O283" t="s">
        <v>462</v>
      </c>
      <c r="P283" t="s">
        <v>96</v>
      </c>
      <c r="Q283">
        <v>30</v>
      </c>
      <c r="R283" t="s">
        <v>213</v>
      </c>
      <c r="S283" t="s">
        <v>7</v>
      </c>
      <c r="T283">
        <v>10</v>
      </c>
      <c r="U283" t="s">
        <v>28</v>
      </c>
      <c r="V283" t="s">
        <v>28</v>
      </c>
      <c r="W283">
        <v>8</v>
      </c>
      <c r="X283">
        <v>7.9000000000000008E-3</v>
      </c>
      <c r="Y283">
        <f t="shared" si="5"/>
        <v>8.6962635654630437E-3</v>
      </c>
      <c r="Z283">
        <v>2.7499999999999998E-3</v>
      </c>
    </row>
    <row r="284" spans="1:26" x14ac:dyDescent="0.2">
      <c r="A284" t="s">
        <v>91</v>
      </c>
      <c r="B284">
        <v>2004</v>
      </c>
      <c r="C284" t="s">
        <v>816</v>
      </c>
      <c r="D284" t="s">
        <v>820</v>
      </c>
      <c r="E284" t="s">
        <v>34</v>
      </c>
      <c r="F284" t="s">
        <v>330</v>
      </c>
      <c r="G284">
        <v>-29.239373000000001</v>
      </c>
      <c r="H284">
        <v>-71.512388999999999</v>
      </c>
      <c r="I284" t="s">
        <v>17</v>
      </c>
      <c r="J284" t="s">
        <v>14</v>
      </c>
      <c r="K284" t="s">
        <v>95</v>
      </c>
      <c r="L284" t="s">
        <v>143</v>
      </c>
      <c r="M284" t="s">
        <v>26</v>
      </c>
      <c r="N284" t="s">
        <v>85</v>
      </c>
      <c r="O284" t="s">
        <v>462</v>
      </c>
      <c r="P284" t="s">
        <v>96</v>
      </c>
      <c r="Q284">
        <v>30</v>
      </c>
      <c r="R284" t="s">
        <v>213</v>
      </c>
      <c r="S284" t="s">
        <v>9</v>
      </c>
      <c r="T284">
        <v>10</v>
      </c>
      <c r="U284" t="s">
        <v>28</v>
      </c>
      <c r="V284" t="s">
        <v>28</v>
      </c>
      <c r="W284">
        <v>15</v>
      </c>
      <c r="X284">
        <v>9.9000000000000008E-3</v>
      </c>
      <c r="Y284">
        <f t="shared" si="5"/>
        <v>1.5495160534825058E-2</v>
      </c>
      <c r="Z284">
        <v>4.8999999999999998E-3</v>
      </c>
    </row>
    <row r="285" spans="1:26" x14ac:dyDescent="0.2">
      <c r="A285" t="s">
        <v>91</v>
      </c>
      <c r="B285">
        <v>2004</v>
      </c>
      <c r="C285" t="s">
        <v>816</v>
      </c>
      <c r="D285" t="s">
        <v>820</v>
      </c>
      <c r="E285" t="s">
        <v>34</v>
      </c>
      <c r="F285" t="s">
        <v>330</v>
      </c>
      <c r="G285">
        <v>-29.239373000000001</v>
      </c>
      <c r="H285">
        <v>-71.512388999999999</v>
      </c>
      <c r="I285" t="s">
        <v>17</v>
      </c>
      <c r="J285" t="s">
        <v>14</v>
      </c>
      <c r="K285" t="s">
        <v>95</v>
      </c>
      <c r="L285" t="s">
        <v>143</v>
      </c>
      <c r="M285" t="s">
        <v>26</v>
      </c>
      <c r="N285" t="s">
        <v>85</v>
      </c>
      <c r="O285" t="s">
        <v>462</v>
      </c>
      <c r="P285" t="s">
        <v>96</v>
      </c>
      <c r="Q285">
        <v>30</v>
      </c>
      <c r="R285" t="s">
        <v>213</v>
      </c>
      <c r="S285" t="s">
        <v>27</v>
      </c>
      <c r="T285">
        <v>5</v>
      </c>
      <c r="U285" t="s">
        <v>28</v>
      </c>
      <c r="V285" t="s">
        <v>28</v>
      </c>
      <c r="W285">
        <v>18</v>
      </c>
      <c r="X285">
        <v>1.04E-2</v>
      </c>
      <c r="Y285">
        <f t="shared" ref="Y285:Y311" si="6">Z285*SQRT(T285)</f>
        <v>1.2745587471748802E-2</v>
      </c>
      <c r="Z285">
        <f>0.0161-X285</f>
        <v>5.7000000000000002E-3</v>
      </c>
    </row>
    <row r="286" spans="1:26" x14ac:dyDescent="0.2">
      <c r="A286" t="s">
        <v>91</v>
      </c>
      <c r="B286">
        <v>2004</v>
      </c>
      <c r="C286" t="s">
        <v>816</v>
      </c>
      <c r="D286" t="s">
        <v>820</v>
      </c>
      <c r="E286" t="s">
        <v>34</v>
      </c>
      <c r="F286" t="s">
        <v>330</v>
      </c>
      <c r="G286">
        <v>-29.239373000000001</v>
      </c>
      <c r="H286">
        <v>-71.512388999999999</v>
      </c>
      <c r="I286" t="s">
        <v>94</v>
      </c>
      <c r="J286" t="s">
        <v>7</v>
      </c>
      <c r="K286" t="s">
        <v>95</v>
      </c>
      <c r="L286" t="s">
        <v>143</v>
      </c>
      <c r="M286" t="s">
        <v>26</v>
      </c>
      <c r="N286" t="s">
        <v>85</v>
      </c>
      <c r="O286" t="s">
        <v>462</v>
      </c>
      <c r="P286" t="s">
        <v>96</v>
      </c>
      <c r="Q286">
        <v>30</v>
      </c>
      <c r="R286" t="s">
        <v>213</v>
      </c>
      <c r="S286" t="s">
        <v>7</v>
      </c>
      <c r="T286">
        <v>10</v>
      </c>
      <c r="U286" t="s">
        <v>28</v>
      </c>
      <c r="V286" t="s">
        <v>28</v>
      </c>
      <c r="W286">
        <v>8</v>
      </c>
      <c r="X286">
        <v>1.26E-2</v>
      </c>
      <c r="Y286">
        <f t="shared" si="6"/>
        <v>1.8341210428976601E-2</v>
      </c>
      <c r="Z286">
        <f>0.0184-X286</f>
        <v>5.7999999999999996E-3</v>
      </c>
    </row>
    <row r="287" spans="1:26" x14ac:dyDescent="0.2">
      <c r="A287" t="s">
        <v>91</v>
      </c>
      <c r="B287">
        <v>2004</v>
      </c>
      <c r="C287" t="s">
        <v>816</v>
      </c>
      <c r="D287" t="s">
        <v>820</v>
      </c>
      <c r="E287" t="s">
        <v>34</v>
      </c>
      <c r="F287" t="s">
        <v>330</v>
      </c>
      <c r="G287">
        <v>-29.239373000000001</v>
      </c>
      <c r="H287">
        <v>-71.512388999999999</v>
      </c>
      <c r="I287" t="s">
        <v>94</v>
      </c>
      <c r="J287" t="s">
        <v>14</v>
      </c>
      <c r="K287" t="s">
        <v>95</v>
      </c>
      <c r="L287" t="s">
        <v>143</v>
      </c>
      <c r="M287" t="s">
        <v>26</v>
      </c>
      <c r="N287" t="s">
        <v>85</v>
      </c>
      <c r="O287" t="s">
        <v>462</v>
      </c>
      <c r="P287" t="s">
        <v>96</v>
      </c>
      <c r="Q287">
        <v>30</v>
      </c>
      <c r="R287" t="s">
        <v>213</v>
      </c>
      <c r="S287" t="s">
        <v>9</v>
      </c>
      <c r="T287">
        <v>10</v>
      </c>
      <c r="U287" t="s">
        <v>28</v>
      </c>
      <c r="V287" t="s">
        <v>28</v>
      </c>
      <c r="W287">
        <v>15</v>
      </c>
      <c r="X287">
        <v>1.0500000000000001E-2</v>
      </c>
      <c r="Y287">
        <f t="shared" si="6"/>
        <v>2.1503488089144977E-2</v>
      </c>
      <c r="Z287">
        <f>0.0173-X287</f>
        <v>6.7999999999999988E-3</v>
      </c>
    </row>
    <row r="288" spans="1:26" x14ac:dyDescent="0.2">
      <c r="A288" t="s">
        <v>91</v>
      </c>
      <c r="B288">
        <v>2004</v>
      </c>
      <c r="C288" t="s">
        <v>816</v>
      </c>
      <c r="D288" t="s">
        <v>820</v>
      </c>
      <c r="E288" t="s">
        <v>34</v>
      </c>
      <c r="F288" t="s">
        <v>330</v>
      </c>
      <c r="G288">
        <v>-29.239373000000001</v>
      </c>
      <c r="H288">
        <v>-71.512388999999999</v>
      </c>
      <c r="I288" t="s">
        <v>94</v>
      </c>
      <c r="J288" t="s">
        <v>14</v>
      </c>
      <c r="K288" t="s">
        <v>95</v>
      </c>
      <c r="L288" t="s">
        <v>143</v>
      </c>
      <c r="M288" t="s">
        <v>26</v>
      </c>
      <c r="N288" t="s">
        <v>85</v>
      </c>
      <c r="O288" t="s">
        <v>462</v>
      </c>
      <c r="P288" t="s">
        <v>96</v>
      </c>
      <c r="Q288">
        <v>30</v>
      </c>
      <c r="R288" t="s">
        <v>213</v>
      </c>
      <c r="S288" t="s">
        <v>27</v>
      </c>
      <c r="T288">
        <v>10</v>
      </c>
      <c r="U288" t="s">
        <v>28</v>
      </c>
      <c r="V288" t="s">
        <v>28</v>
      </c>
      <c r="W288">
        <v>18</v>
      </c>
      <c r="X288">
        <v>9.1000000000000004E-3</v>
      </c>
      <c r="Y288">
        <f t="shared" si="6"/>
        <v>2.2135943621178655E-2</v>
      </c>
      <c r="Z288">
        <v>6.9999999999999993E-3</v>
      </c>
    </row>
    <row r="289" spans="1:26" x14ac:dyDescent="0.2">
      <c r="A289" t="s">
        <v>91</v>
      </c>
      <c r="B289">
        <v>2004</v>
      </c>
      <c r="C289" t="s">
        <v>816</v>
      </c>
      <c r="D289" t="s">
        <v>820</v>
      </c>
      <c r="E289" t="s">
        <v>34</v>
      </c>
      <c r="F289" t="s">
        <v>336</v>
      </c>
      <c r="G289">
        <v>-40.883495000000003</v>
      </c>
      <c r="H289">
        <v>-73.939434000000006</v>
      </c>
      <c r="I289" t="s">
        <v>17</v>
      </c>
      <c r="J289" t="s">
        <v>7</v>
      </c>
      <c r="K289" t="s">
        <v>95</v>
      </c>
      <c r="L289" t="s">
        <v>143</v>
      </c>
      <c r="M289" t="s">
        <v>26</v>
      </c>
      <c r="N289" t="s">
        <v>85</v>
      </c>
      <c r="O289" t="s">
        <v>462</v>
      </c>
      <c r="P289" t="s">
        <v>96</v>
      </c>
      <c r="Q289">
        <v>30</v>
      </c>
      <c r="R289" t="s">
        <v>213</v>
      </c>
      <c r="S289" t="s">
        <v>7</v>
      </c>
      <c r="T289">
        <v>5</v>
      </c>
      <c r="U289" t="s">
        <v>28</v>
      </c>
      <c r="V289" t="s">
        <v>28</v>
      </c>
      <c r="W289">
        <v>8</v>
      </c>
      <c r="X289">
        <v>2.0199999999999999E-2</v>
      </c>
      <c r="Y289">
        <f t="shared" si="6"/>
        <v>1.1851160280748884E-2</v>
      </c>
      <c r="Z289">
        <f>0.0255-X289</f>
        <v>5.2999999999999992E-3</v>
      </c>
    </row>
    <row r="290" spans="1:26" x14ac:dyDescent="0.2">
      <c r="A290" t="s">
        <v>91</v>
      </c>
      <c r="B290">
        <v>2004</v>
      </c>
      <c r="C290" t="s">
        <v>816</v>
      </c>
      <c r="D290" t="s">
        <v>820</v>
      </c>
      <c r="E290" t="s">
        <v>34</v>
      </c>
      <c r="F290" t="s">
        <v>336</v>
      </c>
      <c r="G290">
        <v>-40.883495000000003</v>
      </c>
      <c r="H290">
        <v>-73.939434000000006</v>
      </c>
      <c r="I290" t="s">
        <v>17</v>
      </c>
      <c r="J290" t="s">
        <v>14</v>
      </c>
      <c r="K290" t="s">
        <v>95</v>
      </c>
      <c r="L290" t="s">
        <v>143</v>
      </c>
      <c r="M290" t="s">
        <v>26</v>
      </c>
      <c r="N290" t="s">
        <v>85</v>
      </c>
      <c r="O290" t="s">
        <v>462</v>
      </c>
      <c r="P290" t="s">
        <v>96</v>
      </c>
      <c r="Q290">
        <v>30</v>
      </c>
      <c r="R290" t="s">
        <v>213</v>
      </c>
      <c r="S290" t="s">
        <v>9</v>
      </c>
      <c r="T290">
        <v>5</v>
      </c>
      <c r="U290" t="s">
        <v>28</v>
      </c>
      <c r="V290" t="s">
        <v>28</v>
      </c>
      <c r="W290">
        <v>15</v>
      </c>
      <c r="X290">
        <v>1.9900000000000001E-2</v>
      </c>
      <c r="Y290">
        <f t="shared" si="6"/>
        <v>9.6150923032490929E-3</v>
      </c>
      <c r="Z290">
        <f>0.0242-X290</f>
        <v>4.2999999999999983E-3</v>
      </c>
    </row>
    <row r="291" spans="1:26" x14ac:dyDescent="0.2">
      <c r="A291" t="s">
        <v>91</v>
      </c>
      <c r="B291">
        <v>2004</v>
      </c>
      <c r="C291" t="s">
        <v>816</v>
      </c>
      <c r="D291" t="s">
        <v>820</v>
      </c>
      <c r="E291" t="s">
        <v>34</v>
      </c>
      <c r="F291" t="s">
        <v>336</v>
      </c>
      <c r="G291">
        <v>-40.883495000000003</v>
      </c>
      <c r="H291">
        <v>-73.939434000000006</v>
      </c>
      <c r="I291" t="s">
        <v>17</v>
      </c>
      <c r="J291" t="s">
        <v>14</v>
      </c>
      <c r="K291" t="s">
        <v>95</v>
      </c>
      <c r="L291" t="s">
        <v>143</v>
      </c>
      <c r="M291" t="s">
        <v>26</v>
      </c>
      <c r="N291" t="s">
        <v>85</v>
      </c>
      <c r="O291" t="s">
        <v>462</v>
      </c>
      <c r="P291" t="s">
        <v>96</v>
      </c>
      <c r="Q291">
        <v>30</v>
      </c>
      <c r="R291" t="s">
        <v>213</v>
      </c>
      <c r="S291" t="s">
        <v>27</v>
      </c>
      <c r="T291">
        <v>5</v>
      </c>
      <c r="U291" t="s">
        <v>28</v>
      </c>
      <c r="V291" t="s">
        <v>28</v>
      </c>
      <c r="W291">
        <v>18</v>
      </c>
      <c r="X291">
        <v>1.6500000000000001E-2</v>
      </c>
      <c r="Y291">
        <f t="shared" si="6"/>
        <v>0</v>
      </c>
      <c r="Z291">
        <v>0</v>
      </c>
    </row>
    <row r="292" spans="1:26" x14ac:dyDescent="0.2">
      <c r="A292" t="s">
        <v>91</v>
      </c>
      <c r="B292">
        <v>2004</v>
      </c>
      <c r="C292" t="s">
        <v>816</v>
      </c>
      <c r="D292" t="s">
        <v>820</v>
      </c>
      <c r="E292" t="s">
        <v>34</v>
      </c>
      <c r="F292" t="s">
        <v>336</v>
      </c>
      <c r="G292">
        <v>-40.883495000000003</v>
      </c>
      <c r="H292">
        <v>-73.939434000000006</v>
      </c>
      <c r="I292" t="s">
        <v>94</v>
      </c>
      <c r="J292" t="s">
        <v>7</v>
      </c>
      <c r="K292" t="s">
        <v>95</v>
      </c>
      <c r="L292" t="s">
        <v>143</v>
      </c>
      <c r="M292" t="s">
        <v>26</v>
      </c>
      <c r="N292" t="s">
        <v>85</v>
      </c>
      <c r="O292" t="s">
        <v>462</v>
      </c>
      <c r="P292" t="s">
        <v>96</v>
      </c>
      <c r="Q292">
        <v>30</v>
      </c>
      <c r="R292" t="s">
        <v>213</v>
      </c>
      <c r="S292" t="s">
        <v>7</v>
      </c>
      <c r="T292">
        <v>5</v>
      </c>
      <c r="U292" t="s">
        <v>28</v>
      </c>
      <c r="V292" t="s">
        <v>28</v>
      </c>
      <c r="W292">
        <v>8</v>
      </c>
      <c r="X292">
        <v>1.3100000000000001E-2</v>
      </c>
      <c r="Y292">
        <f t="shared" si="6"/>
        <v>1.2074767078498862E-2</v>
      </c>
      <c r="Z292">
        <f>0.0185-X292</f>
        <v>5.3999999999999986E-3</v>
      </c>
    </row>
    <row r="293" spans="1:26" x14ac:dyDescent="0.2">
      <c r="A293" t="s">
        <v>91</v>
      </c>
      <c r="B293">
        <v>2004</v>
      </c>
      <c r="C293" t="s">
        <v>816</v>
      </c>
      <c r="D293" t="s">
        <v>820</v>
      </c>
      <c r="E293" t="s">
        <v>34</v>
      </c>
      <c r="F293" t="s">
        <v>336</v>
      </c>
      <c r="G293">
        <v>-40.883495000000003</v>
      </c>
      <c r="H293">
        <v>-73.939434000000006</v>
      </c>
      <c r="I293" t="s">
        <v>94</v>
      </c>
      <c r="J293" t="s">
        <v>14</v>
      </c>
      <c r="K293" t="s">
        <v>95</v>
      </c>
      <c r="L293" t="s">
        <v>143</v>
      </c>
      <c r="M293" t="s">
        <v>26</v>
      </c>
      <c r="N293" t="s">
        <v>85</v>
      </c>
      <c r="O293" t="s">
        <v>462</v>
      </c>
      <c r="P293" t="s">
        <v>96</v>
      </c>
      <c r="Q293">
        <v>30</v>
      </c>
      <c r="R293" t="s">
        <v>213</v>
      </c>
      <c r="S293" t="s">
        <v>9</v>
      </c>
      <c r="T293">
        <v>5</v>
      </c>
      <c r="U293" t="s">
        <v>28</v>
      </c>
      <c r="V293" t="s">
        <v>28</v>
      </c>
      <c r="W293">
        <v>15</v>
      </c>
      <c r="X293">
        <v>6.6E-3</v>
      </c>
      <c r="Y293">
        <f t="shared" si="6"/>
        <v>9.1678787077491362E-3</v>
      </c>
      <c r="Z293">
        <f>0.0107-X293</f>
        <v>4.0999999999999995E-3</v>
      </c>
    </row>
    <row r="294" spans="1:26" x14ac:dyDescent="0.2">
      <c r="A294" t="s">
        <v>91</v>
      </c>
      <c r="B294">
        <v>2004</v>
      </c>
      <c r="C294" t="s">
        <v>816</v>
      </c>
      <c r="D294" t="s">
        <v>820</v>
      </c>
      <c r="E294" t="s">
        <v>34</v>
      </c>
      <c r="F294" t="s">
        <v>336</v>
      </c>
      <c r="G294">
        <v>-40.883495000000003</v>
      </c>
      <c r="H294">
        <v>-73.939434000000006</v>
      </c>
      <c r="I294" t="s">
        <v>94</v>
      </c>
      <c r="J294" t="s">
        <v>14</v>
      </c>
      <c r="K294" t="s">
        <v>95</v>
      </c>
      <c r="L294" t="s">
        <v>143</v>
      </c>
      <c r="M294" t="s">
        <v>26</v>
      </c>
      <c r="N294" t="s">
        <v>85</v>
      </c>
      <c r="O294" t="s">
        <v>462</v>
      </c>
      <c r="P294" t="s">
        <v>96</v>
      </c>
      <c r="Q294">
        <v>30</v>
      </c>
      <c r="R294" t="s">
        <v>213</v>
      </c>
      <c r="S294" t="s">
        <v>27</v>
      </c>
      <c r="T294">
        <v>5</v>
      </c>
      <c r="U294" t="s">
        <v>28</v>
      </c>
      <c r="V294" t="s">
        <v>28</v>
      </c>
      <c r="W294">
        <v>18</v>
      </c>
      <c r="X294">
        <v>3.3E-3</v>
      </c>
      <c r="Y294">
        <f t="shared" si="6"/>
        <v>0</v>
      </c>
      <c r="Z294">
        <v>0</v>
      </c>
    </row>
    <row r="295" spans="1:26" x14ac:dyDescent="0.2">
      <c r="A295" t="s">
        <v>91</v>
      </c>
      <c r="B295">
        <v>2004</v>
      </c>
      <c r="C295" t="s">
        <v>816</v>
      </c>
      <c r="D295" t="s">
        <v>820</v>
      </c>
      <c r="E295" t="s">
        <v>34</v>
      </c>
      <c r="F295" t="s">
        <v>336</v>
      </c>
      <c r="G295">
        <v>-40.883495000000003</v>
      </c>
      <c r="H295">
        <v>-73.939434000000006</v>
      </c>
      <c r="I295" t="s">
        <v>44</v>
      </c>
      <c r="J295" t="s">
        <v>7</v>
      </c>
      <c r="K295" t="s">
        <v>95</v>
      </c>
      <c r="L295" t="s">
        <v>143</v>
      </c>
      <c r="M295" t="s">
        <v>26</v>
      </c>
      <c r="N295" t="s">
        <v>85</v>
      </c>
      <c r="O295" t="s">
        <v>462</v>
      </c>
      <c r="P295" t="s">
        <v>96</v>
      </c>
      <c r="Q295">
        <v>30</v>
      </c>
      <c r="R295" t="s">
        <v>213</v>
      </c>
      <c r="S295" t="s">
        <v>7</v>
      </c>
      <c r="T295">
        <v>10</v>
      </c>
      <c r="U295" t="s">
        <v>28</v>
      </c>
      <c r="V295" t="s">
        <v>28</v>
      </c>
      <c r="W295">
        <v>8</v>
      </c>
      <c r="X295">
        <v>2.615E-2</v>
      </c>
      <c r="Y295">
        <f t="shared" si="6"/>
        <v>2.5772562930372285E-2</v>
      </c>
      <c r="Z295">
        <v>8.1499999999999975E-3</v>
      </c>
    </row>
    <row r="296" spans="1:26" x14ac:dyDescent="0.2">
      <c r="A296" t="s">
        <v>91</v>
      </c>
      <c r="B296">
        <v>2004</v>
      </c>
      <c r="C296" t="s">
        <v>816</v>
      </c>
      <c r="D296" t="s">
        <v>820</v>
      </c>
      <c r="E296" t="s">
        <v>34</v>
      </c>
      <c r="F296" t="s">
        <v>336</v>
      </c>
      <c r="G296">
        <v>-40.883495000000003</v>
      </c>
      <c r="H296">
        <v>-73.939434000000006</v>
      </c>
      <c r="I296" t="s">
        <v>44</v>
      </c>
      <c r="J296" t="s">
        <v>14</v>
      </c>
      <c r="K296" t="s">
        <v>95</v>
      </c>
      <c r="L296" t="s">
        <v>143</v>
      </c>
      <c r="M296" t="s">
        <v>26</v>
      </c>
      <c r="N296" t="s">
        <v>85</v>
      </c>
      <c r="O296" t="s">
        <v>462</v>
      </c>
      <c r="P296" t="s">
        <v>96</v>
      </c>
      <c r="Q296">
        <v>30</v>
      </c>
      <c r="R296" t="s">
        <v>213</v>
      </c>
      <c r="S296" t="s">
        <v>9</v>
      </c>
      <c r="T296">
        <v>5</v>
      </c>
      <c r="U296" t="s">
        <v>28</v>
      </c>
      <c r="V296" t="s">
        <v>28</v>
      </c>
      <c r="W296">
        <v>15</v>
      </c>
      <c r="X296">
        <v>1.04E-2</v>
      </c>
      <c r="Y296">
        <f t="shared" si="6"/>
        <v>1.4981655449248595E-2</v>
      </c>
      <c r="Z296">
        <f>0.0171-X296</f>
        <v>6.7000000000000011E-3</v>
      </c>
    </row>
    <row r="297" spans="1:26" x14ac:dyDescent="0.2">
      <c r="A297" t="s">
        <v>91</v>
      </c>
      <c r="B297">
        <v>2004</v>
      </c>
      <c r="C297" t="s">
        <v>816</v>
      </c>
      <c r="D297" t="s">
        <v>820</v>
      </c>
      <c r="E297" t="s">
        <v>34</v>
      </c>
      <c r="F297" t="s">
        <v>336</v>
      </c>
      <c r="G297">
        <v>-40.883495000000003</v>
      </c>
      <c r="H297">
        <v>-73.939434000000006</v>
      </c>
      <c r="I297" t="s">
        <v>44</v>
      </c>
      <c r="J297" t="s">
        <v>14</v>
      </c>
      <c r="K297" t="s">
        <v>95</v>
      </c>
      <c r="L297" t="s">
        <v>143</v>
      </c>
      <c r="M297" t="s">
        <v>26</v>
      </c>
      <c r="N297" t="s">
        <v>85</v>
      </c>
      <c r="O297" t="s">
        <v>462</v>
      </c>
      <c r="P297" t="s">
        <v>96</v>
      </c>
      <c r="Q297">
        <v>30</v>
      </c>
      <c r="R297" t="s">
        <v>213</v>
      </c>
      <c r="S297" t="s">
        <v>27</v>
      </c>
      <c r="T297">
        <v>5</v>
      </c>
      <c r="U297" t="s">
        <v>28</v>
      </c>
      <c r="V297" t="s">
        <v>28</v>
      </c>
      <c r="W297">
        <v>18</v>
      </c>
      <c r="X297">
        <v>3.0999999999999999E-3</v>
      </c>
      <c r="Y297">
        <f t="shared" si="6"/>
        <v>0</v>
      </c>
      <c r="Z297">
        <v>0</v>
      </c>
    </row>
    <row r="298" spans="1:26" x14ac:dyDescent="0.2">
      <c r="A298" t="s">
        <v>97</v>
      </c>
      <c r="B298">
        <v>2012</v>
      </c>
      <c r="C298" t="s">
        <v>807</v>
      </c>
      <c r="D298" t="s">
        <v>825</v>
      </c>
      <c r="E298" t="s">
        <v>35</v>
      </c>
      <c r="F298" t="s">
        <v>311</v>
      </c>
      <c r="G298">
        <v>-45.880833000000003</v>
      </c>
      <c r="H298">
        <v>170.5025</v>
      </c>
      <c r="I298" t="s">
        <v>764</v>
      </c>
      <c r="J298" t="s">
        <v>7</v>
      </c>
      <c r="K298" t="s">
        <v>95</v>
      </c>
      <c r="L298" t="s">
        <v>143</v>
      </c>
      <c r="M298" t="s">
        <v>73</v>
      </c>
      <c r="N298" t="s">
        <v>85</v>
      </c>
      <c r="O298" t="s">
        <v>146</v>
      </c>
      <c r="P298" t="s">
        <v>99</v>
      </c>
      <c r="Q298">
        <f>15/(60*24)</f>
        <v>1.0416666666666666E-2</v>
      </c>
      <c r="R298" t="s">
        <v>213</v>
      </c>
      <c r="S298" t="s">
        <v>7</v>
      </c>
      <c r="T298">
        <v>3</v>
      </c>
      <c r="U298">
        <v>7.79</v>
      </c>
      <c r="V298">
        <v>773</v>
      </c>
      <c r="W298" t="s">
        <v>28</v>
      </c>
      <c r="X298">
        <v>0.1186</v>
      </c>
      <c r="Y298">
        <f t="shared" si="6"/>
        <v>4.6245756562089048E-2</v>
      </c>
      <c r="Z298">
        <f>0.1453-X298</f>
        <v>2.6700000000000015E-2</v>
      </c>
    </row>
    <row r="299" spans="1:26" x14ac:dyDescent="0.2">
      <c r="A299" t="s">
        <v>97</v>
      </c>
      <c r="B299">
        <v>2012</v>
      </c>
      <c r="C299" t="s">
        <v>807</v>
      </c>
      <c r="D299" t="s">
        <v>825</v>
      </c>
      <c r="E299" t="s">
        <v>35</v>
      </c>
      <c r="F299" t="s">
        <v>311</v>
      </c>
      <c r="G299">
        <v>-45.880833000000003</v>
      </c>
      <c r="H299">
        <v>170.5025</v>
      </c>
      <c r="I299" t="s">
        <v>764</v>
      </c>
      <c r="J299" t="s">
        <v>5</v>
      </c>
      <c r="K299" t="s">
        <v>95</v>
      </c>
      <c r="L299" t="s">
        <v>143</v>
      </c>
      <c r="M299" t="s">
        <v>73</v>
      </c>
      <c r="N299" t="s">
        <v>85</v>
      </c>
      <c r="O299" t="s">
        <v>146</v>
      </c>
      <c r="P299" t="s">
        <v>99</v>
      </c>
      <c r="Q299">
        <f>15/(60*24)</f>
        <v>1.0416666666666666E-2</v>
      </c>
      <c r="R299" t="s">
        <v>213</v>
      </c>
      <c r="S299" t="s">
        <v>9</v>
      </c>
      <c r="T299">
        <v>3</v>
      </c>
      <c r="U299">
        <v>7.4</v>
      </c>
      <c r="V299">
        <v>2017</v>
      </c>
      <c r="W299" t="s">
        <v>28</v>
      </c>
      <c r="X299">
        <v>0.14749999999999999</v>
      </c>
      <c r="Y299">
        <f t="shared" si="6"/>
        <v>5.6811266488259161E-2</v>
      </c>
      <c r="Z299">
        <f>0.1803-X299</f>
        <v>3.2799999999999996E-2</v>
      </c>
    </row>
    <row r="300" spans="1:26" x14ac:dyDescent="0.2">
      <c r="A300" t="s">
        <v>100</v>
      </c>
      <c r="B300">
        <v>2014</v>
      </c>
      <c r="C300" t="s">
        <v>816</v>
      </c>
      <c r="D300" t="s">
        <v>820</v>
      </c>
      <c r="E300" t="s">
        <v>34</v>
      </c>
      <c r="F300" t="s">
        <v>226</v>
      </c>
      <c r="G300">
        <v>34.416666999999997</v>
      </c>
      <c r="H300">
        <v>-119.95</v>
      </c>
      <c r="I300" t="s">
        <v>772</v>
      </c>
      <c r="J300" t="s">
        <v>7</v>
      </c>
      <c r="K300" t="s">
        <v>92</v>
      </c>
      <c r="L300" t="s">
        <v>300</v>
      </c>
      <c r="M300" t="s">
        <v>727</v>
      </c>
      <c r="N300" t="s">
        <v>85</v>
      </c>
      <c r="O300" t="s">
        <v>71</v>
      </c>
      <c r="P300" t="s">
        <v>70</v>
      </c>
      <c r="Q300">
        <v>7</v>
      </c>
      <c r="R300" t="s">
        <v>213</v>
      </c>
      <c r="S300" t="s">
        <v>7</v>
      </c>
      <c r="T300">
        <v>7</v>
      </c>
      <c r="U300">
        <v>7.97</v>
      </c>
      <c r="V300">
        <v>370.8</v>
      </c>
      <c r="W300">
        <v>13</v>
      </c>
      <c r="X300">
        <v>77.97</v>
      </c>
      <c r="Y300">
        <f t="shared" si="6"/>
        <v>5.185672569686619</v>
      </c>
      <c r="Z300">
        <f>79.93-X300</f>
        <v>1.960000000000008</v>
      </c>
    </row>
    <row r="301" spans="1:26" x14ac:dyDescent="0.2">
      <c r="A301" t="s">
        <v>100</v>
      </c>
      <c r="B301">
        <v>2014</v>
      </c>
      <c r="C301" t="s">
        <v>816</v>
      </c>
      <c r="D301" t="s">
        <v>820</v>
      </c>
      <c r="E301" t="s">
        <v>34</v>
      </c>
      <c r="F301" t="s">
        <v>226</v>
      </c>
      <c r="G301">
        <v>34.416666999999997</v>
      </c>
      <c r="H301">
        <v>-119.95</v>
      </c>
      <c r="I301" t="s">
        <v>772</v>
      </c>
      <c r="J301" t="s">
        <v>5</v>
      </c>
      <c r="K301" t="s">
        <v>92</v>
      </c>
      <c r="L301" t="s">
        <v>300</v>
      </c>
      <c r="M301" t="s">
        <v>727</v>
      </c>
      <c r="N301" t="s">
        <v>85</v>
      </c>
      <c r="O301" t="s">
        <v>71</v>
      </c>
      <c r="P301" t="s">
        <v>70</v>
      </c>
      <c r="Q301">
        <v>7</v>
      </c>
      <c r="R301" t="s">
        <v>213</v>
      </c>
      <c r="S301" t="s">
        <v>9</v>
      </c>
      <c r="T301">
        <v>7</v>
      </c>
      <c r="U301">
        <v>7.46</v>
      </c>
      <c r="V301">
        <v>1790.5</v>
      </c>
      <c r="W301" t="s">
        <v>28</v>
      </c>
      <c r="X301">
        <v>63.77</v>
      </c>
      <c r="Y301">
        <f t="shared" si="6"/>
        <v>7.4610186972021468</v>
      </c>
      <c r="Z301">
        <f>66.59-X301</f>
        <v>2.8200000000000003</v>
      </c>
    </row>
    <row r="302" spans="1:26" x14ac:dyDescent="0.2">
      <c r="A302" t="s">
        <v>100</v>
      </c>
      <c r="B302">
        <v>2014</v>
      </c>
      <c r="C302" t="s">
        <v>816</v>
      </c>
      <c r="D302" t="s">
        <v>820</v>
      </c>
      <c r="E302" t="s">
        <v>34</v>
      </c>
      <c r="F302" t="s">
        <v>226</v>
      </c>
      <c r="G302">
        <v>34.416666999999997</v>
      </c>
      <c r="H302">
        <v>-119.95</v>
      </c>
      <c r="I302" t="s">
        <v>772</v>
      </c>
      <c r="J302" t="s">
        <v>14</v>
      </c>
      <c r="K302" t="s">
        <v>92</v>
      </c>
      <c r="L302" t="s">
        <v>300</v>
      </c>
      <c r="M302" t="s">
        <v>727</v>
      </c>
      <c r="N302" t="s">
        <v>85</v>
      </c>
      <c r="O302" t="s">
        <v>71</v>
      </c>
      <c r="P302" t="s">
        <v>70</v>
      </c>
      <c r="Q302">
        <v>7</v>
      </c>
      <c r="R302" t="s">
        <v>213</v>
      </c>
      <c r="S302" t="s">
        <v>27</v>
      </c>
      <c r="T302">
        <v>7</v>
      </c>
      <c r="U302" t="s">
        <v>28</v>
      </c>
      <c r="V302" t="s">
        <v>28</v>
      </c>
      <c r="W302">
        <v>18</v>
      </c>
      <c r="X302">
        <v>57.53</v>
      </c>
      <c r="Y302">
        <f t="shared" si="6"/>
        <v>7.1170710267637434</v>
      </c>
      <c r="Z302">
        <f>60.22-X302</f>
        <v>2.6899999999999977</v>
      </c>
    </row>
    <row r="303" spans="1:26" x14ac:dyDescent="0.2">
      <c r="A303" t="s">
        <v>100</v>
      </c>
      <c r="B303">
        <v>2014</v>
      </c>
      <c r="C303" t="s">
        <v>816</v>
      </c>
      <c r="D303" t="s">
        <v>820</v>
      </c>
      <c r="E303" t="s">
        <v>34</v>
      </c>
      <c r="F303" t="s">
        <v>226</v>
      </c>
      <c r="G303">
        <v>34.416666999999997</v>
      </c>
      <c r="H303">
        <v>-119.95</v>
      </c>
      <c r="I303" t="s">
        <v>772</v>
      </c>
      <c r="J303" t="s">
        <v>16</v>
      </c>
      <c r="K303" t="s">
        <v>92</v>
      </c>
      <c r="L303" t="s">
        <v>300</v>
      </c>
      <c r="M303" t="s">
        <v>727</v>
      </c>
      <c r="N303" t="s">
        <v>85</v>
      </c>
      <c r="O303" t="s">
        <v>71</v>
      </c>
      <c r="P303" t="s">
        <v>70</v>
      </c>
      <c r="Q303">
        <v>7</v>
      </c>
      <c r="R303" t="s">
        <v>213</v>
      </c>
      <c r="S303" t="s">
        <v>13</v>
      </c>
      <c r="T303">
        <v>7</v>
      </c>
      <c r="U303">
        <v>7.46</v>
      </c>
      <c r="V303" s="2">
        <v>1790.5</v>
      </c>
      <c r="W303">
        <v>18</v>
      </c>
      <c r="X303">
        <v>40.15</v>
      </c>
      <c r="Y303">
        <f t="shared" si="6"/>
        <v>15.848050353276903</v>
      </c>
      <c r="Z303">
        <f>46.14-X303</f>
        <v>5.990000000000002</v>
      </c>
    </row>
    <row r="304" spans="1:26" x14ac:dyDescent="0.2">
      <c r="A304" t="s">
        <v>100</v>
      </c>
      <c r="B304">
        <v>2014</v>
      </c>
      <c r="C304" t="s">
        <v>816</v>
      </c>
      <c r="D304" t="s">
        <v>820</v>
      </c>
      <c r="E304" t="s">
        <v>34</v>
      </c>
      <c r="F304" t="s">
        <v>226</v>
      </c>
      <c r="G304">
        <v>34.416666999999997</v>
      </c>
      <c r="H304">
        <v>-119.95</v>
      </c>
      <c r="I304" t="s">
        <v>772</v>
      </c>
      <c r="J304" t="s">
        <v>7</v>
      </c>
      <c r="K304" t="s">
        <v>92</v>
      </c>
      <c r="L304" t="s">
        <v>300</v>
      </c>
      <c r="M304" t="s">
        <v>727</v>
      </c>
      <c r="N304" t="s">
        <v>86</v>
      </c>
      <c r="O304" t="s">
        <v>101</v>
      </c>
      <c r="P304" t="s">
        <v>70</v>
      </c>
      <c r="Q304">
        <v>7</v>
      </c>
      <c r="R304" t="s">
        <v>213</v>
      </c>
      <c r="S304" t="s">
        <v>7</v>
      </c>
      <c r="T304">
        <v>7</v>
      </c>
      <c r="U304">
        <v>7.97</v>
      </c>
      <c r="V304">
        <v>370.8</v>
      </c>
      <c r="W304">
        <v>13</v>
      </c>
      <c r="X304">
        <v>16.71</v>
      </c>
      <c r="Y304">
        <f t="shared" si="6"/>
        <v>5.7941953712314476</v>
      </c>
      <c r="Z304">
        <f>18.9-X304</f>
        <v>2.1899999999999977</v>
      </c>
    </row>
    <row r="305" spans="1:26" x14ac:dyDescent="0.2">
      <c r="A305" t="s">
        <v>100</v>
      </c>
      <c r="B305">
        <v>2014</v>
      </c>
      <c r="C305" t="s">
        <v>816</v>
      </c>
      <c r="D305" t="s">
        <v>820</v>
      </c>
      <c r="E305" t="s">
        <v>34</v>
      </c>
      <c r="F305" t="s">
        <v>226</v>
      </c>
      <c r="G305">
        <v>34.416666999999997</v>
      </c>
      <c r="H305">
        <v>-119.95</v>
      </c>
      <c r="I305" t="s">
        <v>772</v>
      </c>
      <c r="J305" t="s">
        <v>5</v>
      </c>
      <c r="K305" t="s">
        <v>92</v>
      </c>
      <c r="L305" t="s">
        <v>300</v>
      </c>
      <c r="M305" t="s">
        <v>727</v>
      </c>
      <c r="N305" t="s">
        <v>86</v>
      </c>
      <c r="O305" t="s">
        <v>101</v>
      </c>
      <c r="P305" t="s">
        <v>70</v>
      </c>
      <c r="Q305">
        <v>7</v>
      </c>
      <c r="R305" t="s">
        <v>213</v>
      </c>
      <c r="S305" t="s">
        <v>9</v>
      </c>
      <c r="T305">
        <v>7</v>
      </c>
      <c r="U305">
        <v>7.46</v>
      </c>
      <c r="V305">
        <v>1790.5</v>
      </c>
      <c r="W305" t="s">
        <v>28</v>
      </c>
      <c r="X305">
        <v>29.46</v>
      </c>
      <c r="Y305">
        <f t="shared" si="6"/>
        <v>6.5879207645508266</v>
      </c>
      <c r="Z305">
        <f>31.95-X305</f>
        <v>2.4899999999999984</v>
      </c>
    </row>
    <row r="306" spans="1:26" x14ac:dyDescent="0.2">
      <c r="A306" t="s">
        <v>100</v>
      </c>
      <c r="B306">
        <v>2014</v>
      </c>
      <c r="C306" t="s">
        <v>816</v>
      </c>
      <c r="D306" t="s">
        <v>820</v>
      </c>
      <c r="E306" t="s">
        <v>34</v>
      </c>
      <c r="F306" t="s">
        <v>226</v>
      </c>
      <c r="G306">
        <v>34.416666999999997</v>
      </c>
      <c r="H306">
        <v>-119.95</v>
      </c>
      <c r="I306" t="s">
        <v>772</v>
      </c>
      <c r="J306" t="s">
        <v>14</v>
      </c>
      <c r="K306" t="s">
        <v>92</v>
      </c>
      <c r="L306" t="s">
        <v>300</v>
      </c>
      <c r="M306" t="s">
        <v>727</v>
      </c>
      <c r="N306" t="s">
        <v>86</v>
      </c>
      <c r="O306" t="s">
        <v>101</v>
      </c>
      <c r="P306" t="s">
        <v>70</v>
      </c>
      <c r="Q306">
        <v>7</v>
      </c>
      <c r="R306" t="s">
        <v>213</v>
      </c>
      <c r="S306" t="s">
        <v>27</v>
      </c>
      <c r="T306">
        <v>7</v>
      </c>
      <c r="U306" t="s">
        <v>28</v>
      </c>
      <c r="V306" t="s">
        <v>28</v>
      </c>
      <c r="W306">
        <v>18</v>
      </c>
      <c r="X306">
        <v>18.46</v>
      </c>
      <c r="Y306">
        <f t="shared" si="6"/>
        <v>7.2758161054276247</v>
      </c>
      <c r="Z306">
        <f>21.21-X306</f>
        <v>2.75</v>
      </c>
    </row>
    <row r="307" spans="1:26" x14ac:dyDescent="0.2">
      <c r="A307" t="s">
        <v>100</v>
      </c>
      <c r="B307">
        <v>2014</v>
      </c>
      <c r="C307" t="s">
        <v>816</v>
      </c>
      <c r="D307" t="s">
        <v>820</v>
      </c>
      <c r="E307" t="s">
        <v>34</v>
      </c>
      <c r="F307" t="s">
        <v>226</v>
      </c>
      <c r="G307">
        <v>34.416666999999997</v>
      </c>
      <c r="H307">
        <v>-119.95</v>
      </c>
      <c r="I307" t="s">
        <v>772</v>
      </c>
      <c r="J307" t="s">
        <v>16</v>
      </c>
      <c r="K307" t="s">
        <v>92</v>
      </c>
      <c r="L307" t="s">
        <v>300</v>
      </c>
      <c r="M307" t="s">
        <v>727</v>
      </c>
      <c r="N307" t="s">
        <v>86</v>
      </c>
      <c r="O307" t="s">
        <v>101</v>
      </c>
      <c r="P307" t="s">
        <v>70</v>
      </c>
      <c r="Q307">
        <v>7</v>
      </c>
      <c r="R307" t="s">
        <v>213</v>
      </c>
      <c r="S307" t="s">
        <v>13</v>
      </c>
      <c r="T307">
        <v>7</v>
      </c>
      <c r="U307">
        <v>7.46</v>
      </c>
      <c r="V307" s="2">
        <v>1790.5</v>
      </c>
      <c r="W307">
        <v>18</v>
      </c>
      <c r="X307">
        <v>18.77</v>
      </c>
      <c r="Y307">
        <f t="shared" si="6"/>
        <v>16.615318233485631</v>
      </c>
      <c r="Z307">
        <f>25.05-X307</f>
        <v>6.2800000000000011</v>
      </c>
    </row>
    <row r="308" spans="1:26" x14ac:dyDescent="0.2">
      <c r="A308" t="s">
        <v>100</v>
      </c>
      <c r="B308">
        <v>2014</v>
      </c>
      <c r="C308" t="s">
        <v>816</v>
      </c>
      <c r="D308" t="s">
        <v>820</v>
      </c>
      <c r="E308" t="s">
        <v>34</v>
      </c>
      <c r="F308" t="s">
        <v>226</v>
      </c>
      <c r="G308">
        <v>34.416666999999997</v>
      </c>
      <c r="H308">
        <v>-119.95</v>
      </c>
      <c r="I308" t="s">
        <v>772</v>
      </c>
      <c r="J308" t="s">
        <v>7</v>
      </c>
      <c r="K308" t="s">
        <v>92</v>
      </c>
      <c r="L308" t="s">
        <v>300</v>
      </c>
      <c r="M308" t="s">
        <v>12</v>
      </c>
      <c r="N308" t="s">
        <v>86</v>
      </c>
      <c r="O308" t="s">
        <v>464</v>
      </c>
      <c r="P308" t="s">
        <v>70</v>
      </c>
      <c r="Q308">
        <v>7</v>
      </c>
      <c r="R308" t="s">
        <v>213</v>
      </c>
      <c r="S308" t="s">
        <v>7</v>
      </c>
      <c r="T308">
        <v>7</v>
      </c>
      <c r="U308">
        <v>7.97</v>
      </c>
      <c r="V308">
        <v>370.8</v>
      </c>
      <c r="W308">
        <v>13</v>
      </c>
      <c r="X308">
        <v>5.42</v>
      </c>
      <c r="Y308">
        <f t="shared" si="6"/>
        <v>1.8255684046345686</v>
      </c>
      <c r="Z308">
        <f>6.11-X308</f>
        <v>0.69000000000000039</v>
      </c>
    </row>
    <row r="309" spans="1:26" x14ac:dyDescent="0.2">
      <c r="A309" t="s">
        <v>100</v>
      </c>
      <c r="B309">
        <v>2014</v>
      </c>
      <c r="C309" t="s">
        <v>816</v>
      </c>
      <c r="D309" t="s">
        <v>820</v>
      </c>
      <c r="E309" t="s">
        <v>34</v>
      </c>
      <c r="F309" t="s">
        <v>226</v>
      </c>
      <c r="G309">
        <v>34.416666999999997</v>
      </c>
      <c r="H309">
        <v>-119.95</v>
      </c>
      <c r="I309" t="s">
        <v>772</v>
      </c>
      <c r="J309" t="s">
        <v>5</v>
      </c>
      <c r="K309" t="s">
        <v>92</v>
      </c>
      <c r="L309" t="s">
        <v>300</v>
      </c>
      <c r="M309" t="s">
        <v>12</v>
      </c>
      <c r="N309" t="s">
        <v>86</v>
      </c>
      <c r="O309" t="s">
        <v>464</v>
      </c>
      <c r="P309" t="s">
        <v>70</v>
      </c>
      <c r="Q309">
        <v>7</v>
      </c>
      <c r="R309" t="s">
        <v>213</v>
      </c>
      <c r="S309" t="s">
        <v>9</v>
      </c>
      <c r="T309">
        <v>7</v>
      </c>
      <c r="U309">
        <v>7.46</v>
      </c>
      <c r="V309">
        <v>1790.5</v>
      </c>
      <c r="W309" t="s">
        <v>28</v>
      </c>
      <c r="X309">
        <v>6.49</v>
      </c>
      <c r="Y309">
        <f t="shared" si="6"/>
        <v>2.0107709964090885</v>
      </c>
      <c r="Z309">
        <f>7.25-X309</f>
        <v>0.75999999999999979</v>
      </c>
    </row>
    <row r="310" spans="1:26" x14ac:dyDescent="0.2">
      <c r="A310" t="s">
        <v>100</v>
      </c>
      <c r="B310">
        <v>2014</v>
      </c>
      <c r="C310" t="s">
        <v>816</v>
      </c>
      <c r="D310" t="s">
        <v>820</v>
      </c>
      <c r="E310" t="s">
        <v>34</v>
      </c>
      <c r="F310" t="s">
        <v>226</v>
      </c>
      <c r="G310">
        <v>34.416666999999997</v>
      </c>
      <c r="H310">
        <v>-119.95</v>
      </c>
      <c r="I310" t="s">
        <v>772</v>
      </c>
      <c r="J310" t="s">
        <v>14</v>
      </c>
      <c r="K310" t="s">
        <v>92</v>
      </c>
      <c r="L310" t="s">
        <v>300</v>
      </c>
      <c r="M310" t="s">
        <v>12</v>
      </c>
      <c r="N310" t="s">
        <v>86</v>
      </c>
      <c r="O310" t="s">
        <v>464</v>
      </c>
      <c r="P310" t="s">
        <v>70</v>
      </c>
      <c r="Q310">
        <v>7</v>
      </c>
      <c r="R310" t="s">
        <v>213</v>
      </c>
      <c r="S310" t="s">
        <v>27</v>
      </c>
      <c r="T310">
        <v>7</v>
      </c>
      <c r="U310" t="s">
        <v>28</v>
      </c>
      <c r="V310" t="s">
        <v>28</v>
      </c>
      <c r="W310">
        <v>18</v>
      </c>
      <c r="X310">
        <v>23.97</v>
      </c>
      <c r="Y310">
        <f t="shared" si="6"/>
        <v>10.291972600041259</v>
      </c>
      <c r="Z310">
        <f>27.86-X310</f>
        <v>3.8900000000000006</v>
      </c>
    </row>
    <row r="311" spans="1:26" x14ac:dyDescent="0.2">
      <c r="A311" t="s">
        <v>100</v>
      </c>
      <c r="B311">
        <v>2014</v>
      </c>
      <c r="C311" t="s">
        <v>816</v>
      </c>
      <c r="D311" t="s">
        <v>820</v>
      </c>
      <c r="E311" t="s">
        <v>34</v>
      </c>
      <c r="F311" t="s">
        <v>226</v>
      </c>
      <c r="G311">
        <v>34.416666999999997</v>
      </c>
      <c r="H311">
        <v>-119.95</v>
      </c>
      <c r="I311" t="s">
        <v>772</v>
      </c>
      <c r="J311" t="s">
        <v>16</v>
      </c>
      <c r="K311" t="s">
        <v>92</v>
      </c>
      <c r="L311" t="s">
        <v>300</v>
      </c>
      <c r="M311" t="s">
        <v>12</v>
      </c>
      <c r="N311" t="s">
        <v>86</v>
      </c>
      <c r="O311" t="s">
        <v>464</v>
      </c>
      <c r="P311" t="s">
        <v>70</v>
      </c>
      <c r="Q311">
        <v>7</v>
      </c>
      <c r="R311" t="s">
        <v>213</v>
      </c>
      <c r="S311" t="s">
        <v>13</v>
      </c>
      <c r="T311">
        <v>7</v>
      </c>
      <c r="U311">
        <v>7.46</v>
      </c>
      <c r="V311" s="2">
        <v>1790.5</v>
      </c>
      <c r="W311">
        <v>18</v>
      </c>
      <c r="X311">
        <v>41.3</v>
      </c>
      <c r="Y311">
        <f t="shared" si="6"/>
        <v>22.012650908057395</v>
      </c>
      <c r="Z311">
        <f>49.62-X311</f>
        <v>8.32</v>
      </c>
    </row>
    <row r="312" spans="1:26" x14ac:dyDescent="0.2">
      <c r="A312" t="s">
        <v>102</v>
      </c>
      <c r="B312">
        <v>2016</v>
      </c>
      <c r="C312" t="s">
        <v>826</v>
      </c>
      <c r="D312" t="s">
        <v>812</v>
      </c>
      <c r="E312" t="s">
        <v>103</v>
      </c>
      <c r="F312" t="s">
        <v>312</v>
      </c>
      <c r="G312">
        <v>34.698675000000001</v>
      </c>
      <c r="H312">
        <v>138.98687100000001</v>
      </c>
      <c r="J312" t="s">
        <v>7</v>
      </c>
      <c r="K312" t="s">
        <v>104</v>
      </c>
      <c r="L312" t="s">
        <v>143</v>
      </c>
      <c r="M312" t="s">
        <v>12</v>
      </c>
      <c r="N312" t="s">
        <v>85</v>
      </c>
      <c r="O312" t="s">
        <v>12</v>
      </c>
      <c r="P312" t="s">
        <v>70</v>
      </c>
      <c r="Q312">
        <v>1</v>
      </c>
      <c r="R312" t="s">
        <v>214</v>
      </c>
      <c r="S312" t="s">
        <v>7</v>
      </c>
      <c r="T312">
        <v>32</v>
      </c>
      <c r="U312" t="s">
        <v>28</v>
      </c>
      <c r="V312" t="s">
        <v>28</v>
      </c>
      <c r="W312">
        <v>20</v>
      </c>
      <c r="X312">
        <v>100</v>
      </c>
      <c r="Y312">
        <v>0</v>
      </c>
    </row>
    <row r="313" spans="1:26" x14ac:dyDescent="0.2">
      <c r="A313" t="s">
        <v>102</v>
      </c>
      <c r="B313">
        <v>2016</v>
      </c>
      <c r="C313" t="s">
        <v>826</v>
      </c>
      <c r="D313" t="s">
        <v>812</v>
      </c>
      <c r="E313" t="s">
        <v>103</v>
      </c>
      <c r="F313" t="s">
        <v>312</v>
      </c>
      <c r="G313">
        <v>34.698675000000001</v>
      </c>
      <c r="H313">
        <v>138.98687100000001</v>
      </c>
      <c r="J313" t="s">
        <v>7</v>
      </c>
      <c r="K313" t="s">
        <v>104</v>
      </c>
      <c r="L313" t="s">
        <v>143</v>
      </c>
      <c r="M313" t="s">
        <v>12</v>
      </c>
      <c r="N313" t="s">
        <v>85</v>
      </c>
      <c r="O313" t="s">
        <v>12</v>
      </c>
      <c r="P313" t="s">
        <v>70</v>
      </c>
      <c r="Q313">
        <v>2</v>
      </c>
      <c r="R313" t="s">
        <v>214</v>
      </c>
      <c r="S313" t="s">
        <v>7</v>
      </c>
      <c r="T313">
        <v>32</v>
      </c>
      <c r="U313" t="s">
        <v>28</v>
      </c>
      <c r="V313" t="s">
        <v>28</v>
      </c>
      <c r="W313">
        <v>20</v>
      </c>
      <c r="X313">
        <v>100</v>
      </c>
      <c r="Y313">
        <v>0</v>
      </c>
    </row>
    <row r="314" spans="1:26" x14ac:dyDescent="0.2">
      <c r="A314" t="s">
        <v>102</v>
      </c>
      <c r="B314">
        <v>2016</v>
      </c>
      <c r="C314" t="s">
        <v>826</v>
      </c>
      <c r="D314" t="s">
        <v>812</v>
      </c>
      <c r="E314" t="s">
        <v>103</v>
      </c>
      <c r="F314" t="s">
        <v>312</v>
      </c>
      <c r="G314">
        <v>34.698675000000001</v>
      </c>
      <c r="H314">
        <v>138.98687100000001</v>
      </c>
      <c r="J314" t="s">
        <v>7</v>
      </c>
      <c r="K314" t="s">
        <v>104</v>
      </c>
      <c r="L314" t="s">
        <v>143</v>
      </c>
      <c r="M314" t="s">
        <v>12</v>
      </c>
      <c r="N314" t="s">
        <v>85</v>
      </c>
      <c r="O314" t="s">
        <v>12</v>
      </c>
      <c r="P314" t="s">
        <v>70</v>
      </c>
      <c r="Q314">
        <v>3</v>
      </c>
      <c r="R314" t="s">
        <v>214</v>
      </c>
      <c r="S314" t="s">
        <v>7</v>
      </c>
      <c r="T314">
        <v>32</v>
      </c>
      <c r="U314" t="s">
        <v>28</v>
      </c>
      <c r="V314" t="s">
        <v>28</v>
      </c>
      <c r="W314">
        <v>20</v>
      </c>
      <c r="X314">
        <v>100</v>
      </c>
      <c r="Y314">
        <v>0</v>
      </c>
    </row>
    <row r="315" spans="1:26" x14ac:dyDescent="0.2">
      <c r="A315" t="s">
        <v>102</v>
      </c>
      <c r="B315">
        <v>2016</v>
      </c>
      <c r="C315" t="s">
        <v>826</v>
      </c>
      <c r="D315" t="s">
        <v>812</v>
      </c>
      <c r="E315" t="s">
        <v>103</v>
      </c>
      <c r="F315" t="s">
        <v>312</v>
      </c>
      <c r="G315">
        <v>34.698675000000001</v>
      </c>
      <c r="H315">
        <v>138.98687100000001</v>
      </c>
      <c r="J315" t="s">
        <v>7</v>
      </c>
      <c r="K315" t="s">
        <v>104</v>
      </c>
      <c r="L315" t="s">
        <v>143</v>
      </c>
      <c r="M315" t="s">
        <v>12</v>
      </c>
      <c r="N315" t="s">
        <v>85</v>
      </c>
      <c r="O315" t="s">
        <v>12</v>
      </c>
      <c r="P315" t="s">
        <v>70</v>
      </c>
      <c r="Q315">
        <v>4</v>
      </c>
      <c r="R315" t="s">
        <v>214</v>
      </c>
      <c r="S315" t="s">
        <v>7</v>
      </c>
      <c r="T315">
        <v>32</v>
      </c>
      <c r="U315" t="s">
        <v>28</v>
      </c>
      <c r="V315" t="s">
        <v>28</v>
      </c>
      <c r="W315">
        <v>20</v>
      </c>
      <c r="X315">
        <v>100</v>
      </c>
      <c r="Y315">
        <v>0</v>
      </c>
    </row>
    <row r="316" spans="1:26" x14ac:dyDescent="0.2">
      <c r="A316" t="s">
        <v>102</v>
      </c>
      <c r="B316">
        <v>2016</v>
      </c>
      <c r="C316" t="s">
        <v>826</v>
      </c>
      <c r="D316" t="s">
        <v>812</v>
      </c>
      <c r="E316" t="s">
        <v>103</v>
      </c>
      <c r="F316" t="s">
        <v>312</v>
      </c>
      <c r="G316">
        <v>34.698675000000001</v>
      </c>
      <c r="H316">
        <v>138.98687100000001</v>
      </c>
      <c r="J316" t="s">
        <v>7</v>
      </c>
      <c r="K316" t="s">
        <v>104</v>
      </c>
      <c r="L316" t="s">
        <v>143</v>
      </c>
      <c r="M316" t="s">
        <v>12</v>
      </c>
      <c r="N316" t="s">
        <v>85</v>
      </c>
      <c r="O316" t="s">
        <v>12</v>
      </c>
      <c r="P316" t="s">
        <v>70</v>
      </c>
      <c r="Q316">
        <v>5</v>
      </c>
      <c r="R316" t="s">
        <v>214</v>
      </c>
      <c r="S316" t="s">
        <v>7</v>
      </c>
      <c r="T316">
        <v>32</v>
      </c>
      <c r="U316" t="s">
        <v>28</v>
      </c>
      <c r="V316" t="s">
        <v>28</v>
      </c>
      <c r="W316">
        <v>20</v>
      </c>
      <c r="X316">
        <v>100</v>
      </c>
      <c r="Y316">
        <v>0</v>
      </c>
    </row>
    <row r="317" spans="1:26" x14ac:dyDescent="0.2">
      <c r="A317" t="s">
        <v>102</v>
      </c>
      <c r="B317">
        <v>2016</v>
      </c>
      <c r="C317" t="s">
        <v>826</v>
      </c>
      <c r="D317" t="s">
        <v>812</v>
      </c>
      <c r="E317" t="s">
        <v>103</v>
      </c>
      <c r="F317" t="s">
        <v>312</v>
      </c>
      <c r="G317">
        <v>34.698675000000001</v>
      </c>
      <c r="H317">
        <v>138.98687100000001</v>
      </c>
      <c r="J317" t="s">
        <v>7</v>
      </c>
      <c r="K317" t="s">
        <v>104</v>
      </c>
      <c r="L317" t="s">
        <v>143</v>
      </c>
      <c r="M317" t="s">
        <v>12</v>
      </c>
      <c r="N317" t="s">
        <v>85</v>
      </c>
      <c r="O317" t="s">
        <v>12</v>
      </c>
      <c r="P317" t="s">
        <v>70</v>
      </c>
      <c r="Q317">
        <v>6</v>
      </c>
      <c r="R317" t="s">
        <v>214</v>
      </c>
      <c r="S317" t="s">
        <v>7</v>
      </c>
      <c r="T317">
        <v>32</v>
      </c>
      <c r="U317" t="s">
        <v>28</v>
      </c>
      <c r="V317" t="s">
        <v>28</v>
      </c>
      <c r="W317">
        <v>20</v>
      </c>
      <c r="X317">
        <v>100</v>
      </c>
      <c r="Y317">
        <v>0</v>
      </c>
    </row>
    <row r="318" spans="1:26" x14ac:dyDescent="0.2">
      <c r="A318" t="s">
        <v>102</v>
      </c>
      <c r="B318">
        <v>2016</v>
      </c>
      <c r="C318" t="s">
        <v>826</v>
      </c>
      <c r="D318" t="s">
        <v>812</v>
      </c>
      <c r="E318" t="s">
        <v>103</v>
      </c>
      <c r="F318" t="s">
        <v>312</v>
      </c>
      <c r="G318">
        <v>34.698675000000001</v>
      </c>
      <c r="H318">
        <v>138.98687100000001</v>
      </c>
      <c r="J318" t="s">
        <v>7</v>
      </c>
      <c r="K318" t="s">
        <v>104</v>
      </c>
      <c r="L318" t="s">
        <v>143</v>
      </c>
      <c r="M318" t="s">
        <v>12</v>
      </c>
      <c r="N318" t="s">
        <v>85</v>
      </c>
      <c r="O318" t="s">
        <v>12</v>
      </c>
      <c r="P318" t="s">
        <v>70</v>
      </c>
      <c r="Q318">
        <v>7</v>
      </c>
      <c r="R318" t="s">
        <v>214</v>
      </c>
      <c r="S318" t="s">
        <v>7</v>
      </c>
      <c r="T318">
        <v>32</v>
      </c>
      <c r="U318" t="s">
        <v>28</v>
      </c>
      <c r="V318" t="s">
        <v>28</v>
      </c>
      <c r="W318">
        <v>20</v>
      </c>
      <c r="X318">
        <v>100</v>
      </c>
      <c r="Y318">
        <v>0</v>
      </c>
    </row>
    <row r="319" spans="1:26" x14ac:dyDescent="0.2">
      <c r="A319" t="s">
        <v>102</v>
      </c>
      <c r="B319">
        <v>2016</v>
      </c>
      <c r="C319" t="s">
        <v>826</v>
      </c>
      <c r="D319" t="s">
        <v>812</v>
      </c>
      <c r="E319" t="s">
        <v>103</v>
      </c>
      <c r="F319" t="s">
        <v>312</v>
      </c>
      <c r="G319">
        <v>34.698675000000001</v>
      </c>
      <c r="H319">
        <v>138.98687100000001</v>
      </c>
      <c r="J319" t="s">
        <v>7</v>
      </c>
      <c r="K319" t="s">
        <v>104</v>
      </c>
      <c r="L319" t="s">
        <v>143</v>
      </c>
      <c r="M319" t="s">
        <v>12</v>
      </c>
      <c r="N319" t="s">
        <v>85</v>
      </c>
      <c r="O319" t="s">
        <v>12</v>
      </c>
      <c r="P319" t="s">
        <v>70</v>
      </c>
      <c r="Q319">
        <v>8</v>
      </c>
      <c r="R319" t="s">
        <v>214</v>
      </c>
      <c r="S319" t="s">
        <v>7</v>
      </c>
      <c r="T319">
        <v>32</v>
      </c>
      <c r="U319" t="s">
        <v>28</v>
      </c>
      <c r="V319" t="s">
        <v>28</v>
      </c>
      <c r="W319">
        <v>20</v>
      </c>
      <c r="X319">
        <v>100</v>
      </c>
      <c r="Y319">
        <v>0</v>
      </c>
    </row>
    <row r="320" spans="1:26" x14ac:dyDescent="0.2">
      <c r="A320" t="s">
        <v>102</v>
      </c>
      <c r="B320">
        <v>2016</v>
      </c>
      <c r="C320" t="s">
        <v>826</v>
      </c>
      <c r="D320" t="s">
        <v>812</v>
      </c>
      <c r="E320" t="s">
        <v>103</v>
      </c>
      <c r="F320" t="s">
        <v>312</v>
      </c>
      <c r="G320">
        <v>34.698675000000001</v>
      </c>
      <c r="H320">
        <v>138.98687100000001</v>
      </c>
      <c r="J320" t="s">
        <v>7</v>
      </c>
      <c r="K320" t="s">
        <v>104</v>
      </c>
      <c r="L320" t="s">
        <v>143</v>
      </c>
      <c r="M320" t="s">
        <v>12</v>
      </c>
      <c r="N320" t="s">
        <v>85</v>
      </c>
      <c r="O320" t="s">
        <v>12</v>
      </c>
      <c r="P320" t="s">
        <v>70</v>
      </c>
      <c r="Q320">
        <v>9</v>
      </c>
      <c r="R320" t="s">
        <v>214</v>
      </c>
      <c r="S320" t="s">
        <v>7</v>
      </c>
      <c r="T320">
        <v>32</v>
      </c>
      <c r="U320" t="s">
        <v>28</v>
      </c>
      <c r="V320" t="s">
        <v>28</v>
      </c>
      <c r="W320">
        <v>20</v>
      </c>
      <c r="X320">
        <v>100</v>
      </c>
      <c r="Y320">
        <v>0</v>
      </c>
    </row>
    <row r="321" spans="1:25" x14ac:dyDescent="0.2">
      <c r="A321" t="s">
        <v>102</v>
      </c>
      <c r="B321">
        <v>2016</v>
      </c>
      <c r="C321" t="s">
        <v>826</v>
      </c>
      <c r="D321" t="s">
        <v>812</v>
      </c>
      <c r="E321" t="s">
        <v>103</v>
      </c>
      <c r="F321" t="s">
        <v>312</v>
      </c>
      <c r="G321">
        <v>34.698675000000001</v>
      </c>
      <c r="H321">
        <v>138.98687100000001</v>
      </c>
      <c r="J321" t="s">
        <v>7</v>
      </c>
      <c r="K321" t="s">
        <v>104</v>
      </c>
      <c r="L321" t="s">
        <v>143</v>
      </c>
      <c r="M321" t="s">
        <v>12</v>
      </c>
      <c r="N321" t="s">
        <v>85</v>
      </c>
      <c r="O321" t="s">
        <v>12</v>
      </c>
      <c r="P321" t="s">
        <v>70</v>
      </c>
      <c r="Q321">
        <v>10</v>
      </c>
      <c r="R321" t="s">
        <v>214</v>
      </c>
      <c r="S321" t="s">
        <v>7</v>
      </c>
      <c r="T321">
        <v>32</v>
      </c>
      <c r="U321" t="s">
        <v>28</v>
      </c>
      <c r="V321" t="s">
        <v>28</v>
      </c>
      <c r="W321">
        <v>20</v>
      </c>
      <c r="X321">
        <v>100</v>
      </c>
      <c r="Y321">
        <v>0</v>
      </c>
    </row>
    <row r="322" spans="1:25" x14ac:dyDescent="0.2">
      <c r="A322" t="s">
        <v>102</v>
      </c>
      <c r="B322">
        <v>2016</v>
      </c>
      <c r="C322" t="s">
        <v>826</v>
      </c>
      <c r="D322" t="s">
        <v>812</v>
      </c>
      <c r="E322" t="s">
        <v>103</v>
      </c>
      <c r="F322" t="s">
        <v>312</v>
      </c>
      <c r="G322">
        <v>34.698675000000001</v>
      </c>
      <c r="H322">
        <v>138.98687100000001</v>
      </c>
      <c r="J322" t="s">
        <v>7</v>
      </c>
      <c r="K322" t="s">
        <v>104</v>
      </c>
      <c r="L322" t="s">
        <v>143</v>
      </c>
      <c r="M322" t="s">
        <v>12</v>
      </c>
      <c r="N322" t="s">
        <v>85</v>
      </c>
      <c r="O322" t="s">
        <v>12</v>
      </c>
      <c r="P322" t="s">
        <v>70</v>
      </c>
      <c r="Q322">
        <v>11</v>
      </c>
      <c r="R322" t="s">
        <v>214</v>
      </c>
      <c r="S322" t="s">
        <v>7</v>
      </c>
      <c r="T322">
        <v>32</v>
      </c>
      <c r="U322" t="s">
        <v>28</v>
      </c>
      <c r="V322" t="s">
        <v>28</v>
      </c>
      <c r="W322">
        <v>20</v>
      </c>
      <c r="X322">
        <v>100</v>
      </c>
      <c r="Y322">
        <v>0</v>
      </c>
    </row>
    <row r="323" spans="1:25" x14ac:dyDescent="0.2">
      <c r="A323" t="s">
        <v>102</v>
      </c>
      <c r="B323">
        <v>2016</v>
      </c>
      <c r="C323" t="s">
        <v>826</v>
      </c>
      <c r="D323" t="s">
        <v>812</v>
      </c>
      <c r="E323" t="s">
        <v>103</v>
      </c>
      <c r="F323" t="s">
        <v>312</v>
      </c>
      <c r="G323">
        <v>34.698675000000001</v>
      </c>
      <c r="H323">
        <v>138.98687100000001</v>
      </c>
      <c r="J323" t="s">
        <v>7</v>
      </c>
      <c r="K323" t="s">
        <v>104</v>
      </c>
      <c r="L323" t="s">
        <v>143</v>
      </c>
      <c r="M323" t="s">
        <v>12</v>
      </c>
      <c r="N323" t="s">
        <v>85</v>
      </c>
      <c r="O323" t="s">
        <v>12</v>
      </c>
      <c r="P323" t="s">
        <v>70</v>
      </c>
      <c r="Q323">
        <v>12</v>
      </c>
      <c r="R323" t="s">
        <v>213</v>
      </c>
      <c r="S323" t="s">
        <v>7</v>
      </c>
      <c r="T323">
        <v>32</v>
      </c>
      <c r="U323" t="s">
        <v>28</v>
      </c>
      <c r="V323" t="s">
        <v>28</v>
      </c>
      <c r="W323">
        <v>20</v>
      </c>
      <c r="X323">
        <v>100</v>
      </c>
      <c r="Y323">
        <v>0</v>
      </c>
    </row>
    <row r="324" spans="1:25" x14ac:dyDescent="0.2">
      <c r="A324" t="s">
        <v>102</v>
      </c>
      <c r="B324">
        <v>2016</v>
      </c>
      <c r="C324" t="s">
        <v>826</v>
      </c>
      <c r="D324" t="s">
        <v>812</v>
      </c>
      <c r="E324" t="s">
        <v>103</v>
      </c>
      <c r="F324" t="s">
        <v>312</v>
      </c>
      <c r="G324">
        <v>34.698675000000001</v>
      </c>
      <c r="H324">
        <v>138.98687100000001</v>
      </c>
      <c r="J324" t="s">
        <v>14</v>
      </c>
      <c r="K324" t="s">
        <v>104</v>
      </c>
      <c r="L324" t="s">
        <v>143</v>
      </c>
      <c r="M324" t="s">
        <v>12</v>
      </c>
      <c r="N324" t="s">
        <v>85</v>
      </c>
      <c r="O324" t="s">
        <v>12</v>
      </c>
      <c r="P324" t="s">
        <v>70</v>
      </c>
      <c r="Q324">
        <v>1</v>
      </c>
      <c r="R324" t="s">
        <v>214</v>
      </c>
      <c r="S324" t="s">
        <v>9</v>
      </c>
      <c r="T324">
        <v>32</v>
      </c>
      <c r="U324" t="s">
        <v>28</v>
      </c>
      <c r="V324" t="s">
        <v>28</v>
      </c>
      <c r="W324">
        <v>26</v>
      </c>
      <c r="X324">
        <v>100</v>
      </c>
      <c r="Y324">
        <v>0</v>
      </c>
    </row>
    <row r="325" spans="1:25" x14ac:dyDescent="0.2">
      <c r="A325" t="s">
        <v>102</v>
      </c>
      <c r="B325">
        <v>2016</v>
      </c>
      <c r="C325" t="s">
        <v>826</v>
      </c>
      <c r="D325" t="s">
        <v>812</v>
      </c>
      <c r="E325" t="s">
        <v>103</v>
      </c>
      <c r="F325" t="s">
        <v>312</v>
      </c>
      <c r="G325">
        <v>34.698675000000001</v>
      </c>
      <c r="H325">
        <v>138.98687100000001</v>
      </c>
      <c r="J325" t="s">
        <v>14</v>
      </c>
      <c r="K325" t="s">
        <v>104</v>
      </c>
      <c r="L325" t="s">
        <v>143</v>
      </c>
      <c r="M325" t="s">
        <v>12</v>
      </c>
      <c r="N325" t="s">
        <v>85</v>
      </c>
      <c r="O325" t="s">
        <v>12</v>
      </c>
      <c r="P325" t="s">
        <v>70</v>
      </c>
      <c r="Q325">
        <v>2</v>
      </c>
      <c r="R325" t="s">
        <v>214</v>
      </c>
      <c r="S325" t="s">
        <v>9</v>
      </c>
      <c r="T325">
        <v>32</v>
      </c>
      <c r="U325" t="s">
        <v>28</v>
      </c>
      <c r="V325" t="s">
        <v>28</v>
      </c>
      <c r="W325">
        <v>26</v>
      </c>
      <c r="X325">
        <v>100</v>
      </c>
      <c r="Y325">
        <v>0</v>
      </c>
    </row>
    <row r="326" spans="1:25" x14ac:dyDescent="0.2">
      <c r="A326" t="s">
        <v>102</v>
      </c>
      <c r="B326">
        <v>2016</v>
      </c>
      <c r="C326" t="s">
        <v>826</v>
      </c>
      <c r="D326" t="s">
        <v>812</v>
      </c>
      <c r="E326" t="s">
        <v>103</v>
      </c>
      <c r="F326" t="s">
        <v>312</v>
      </c>
      <c r="G326">
        <v>34.698675000000001</v>
      </c>
      <c r="H326">
        <v>138.98687100000001</v>
      </c>
      <c r="J326" t="s">
        <v>14</v>
      </c>
      <c r="K326" t="s">
        <v>104</v>
      </c>
      <c r="L326" t="s">
        <v>143</v>
      </c>
      <c r="M326" t="s">
        <v>12</v>
      </c>
      <c r="N326" t="s">
        <v>85</v>
      </c>
      <c r="O326" t="s">
        <v>12</v>
      </c>
      <c r="P326" t="s">
        <v>70</v>
      </c>
      <c r="Q326">
        <v>3</v>
      </c>
      <c r="R326" t="s">
        <v>214</v>
      </c>
      <c r="S326" t="s">
        <v>9</v>
      </c>
      <c r="T326">
        <v>32</v>
      </c>
      <c r="U326" t="s">
        <v>28</v>
      </c>
      <c r="V326" t="s">
        <v>28</v>
      </c>
      <c r="W326">
        <v>26</v>
      </c>
      <c r="X326">
        <v>100</v>
      </c>
      <c r="Y326">
        <v>0</v>
      </c>
    </row>
    <row r="327" spans="1:25" x14ac:dyDescent="0.2">
      <c r="A327" t="s">
        <v>102</v>
      </c>
      <c r="B327">
        <v>2016</v>
      </c>
      <c r="C327" t="s">
        <v>826</v>
      </c>
      <c r="D327" t="s">
        <v>812</v>
      </c>
      <c r="E327" t="s">
        <v>103</v>
      </c>
      <c r="F327" t="s">
        <v>312</v>
      </c>
      <c r="G327">
        <v>34.698675000000001</v>
      </c>
      <c r="H327">
        <v>138.98687100000001</v>
      </c>
      <c r="J327" t="s">
        <v>14</v>
      </c>
      <c r="K327" t="s">
        <v>104</v>
      </c>
      <c r="L327" t="s">
        <v>143</v>
      </c>
      <c r="M327" t="s">
        <v>12</v>
      </c>
      <c r="N327" t="s">
        <v>85</v>
      </c>
      <c r="O327" t="s">
        <v>12</v>
      </c>
      <c r="P327" t="s">
        <v>70</v>
      </c>
      <c r="Q327">
        <v>4</v>
      </c>
      <c r="R327" t="s">
        <v>214</v>
      </c>
      <c r="S327" t="s">
        <v>9</v>
      </c>
      <c r="T327">
        <v>32</v>
      </c>
      <c r="U327" t="s">
        <v>28</v>
      </c>
      <c r="V327" t="s">
        <v>28</v>
      </c>
      <c r="W327">
        <v>26</v>
      </c>
      <c r="X327">
        <v>100</v>
      </c>
      <c r="Y327">
        <v>0</v>
      </c>
    </row>
    <row r="328" spans="1:25" x14ac:dyDescent="0.2">
      <c r="A328" t="s">
        <v>102</v>
      </c>
      <c r="B328">
        <v>2016</v>
      </c>
      <c r="C328" t="s">
        <v>826</v>
      </c>
      <c r="D328" t="s">
        <v>812</v>
      </c>
      <c r="E328" t="s">
        <v>103</v>
      </c>
      <c r="F328" t="s">
        <v>312</v>
      </c>
      <c r="G328">
        <v>34.698675000000001</v>
      </c>
      <c r="H328">
        <v>138.98687100000001</v>
      </c>
      <c r="J328" t="s">
        <v>14</v>
      </c>
      <c r="K328" t="s">
        <v>104</v>
      </c>
      <c r="L328" t="s">
        <v>143</v>
      </c>
      <c r="M328" t="s">
        <v>12</v>
      </c>
      <c r="N328" t="s">
        <v>85</v>
      </c>
      <c r="O328" t="s">
        <v>12</v>
      </c>
      <c r="P328" t="s">
        <v>70</v>
      </c>
      <c r="Q328">
        <v>5</v>
      </c>
      <c r="R328" t="s">
        <v>214</v>
      </c>
      <c r="S328" t="s">
        <v>9</v>
      </c>
      <c r="T328">
        <v>32</v>
      </c>
      <c r="U328" t="s">
        <v>28</v>
      </c>
      <c r="V328" t="s">
        <v>28</v>
      </c>
      <c r="W328">
        <v>26</v>
      </c>
      <c r="X328">
        <v>100</v>
      </c>
      <c r="Y328">
        <v>0</v>
      </c>
    </row>
    <row r="329" spans="1:25" x14ac:dyDescent="0.2">
      <c r="A329" t="s">
        <v>102</v>
      </c>
      <c r="B329">
        <v>2016</v>
      </c>
      <c r="C329" t="s">
        <v>826</v>
      </c>
      <c r="D329" t="s">
        <v>812</v>
      </c>
      <c r="E329" t="s">
        <v>103</v>
      </c>
      <c r="F329" t="s">
        <v>312</v>
      </c>
      <c r="G329">
        <v>34.698675000000001</v>
      </c>
      <c r="H329">
        <v>138.98687100000001</v>
      </c>
      <c r="J329" t="s">
        <v>14</v>
      </c>
      <c r="K329" t="s">
        <v>104</v>
      </c>
      <c r="L329" t="s">
        <v>143</v>
      </c>
      <c r="M329" t="s">
        <v>12</v>
      </c>
      <c r="N329" t="s">
        <v>85</v>
      </c>
      <c r="O329" t="s">
        <v>12</v>
      </c>
      <c r="P329" t="s">
        <v>70</v>
      </c>
      <c r="Q329">
        <v>6</v>
      </c>
      <c r="R329" t="s">
        <v>214</v>
      </c>
      <c r="S329" t="s">
        <v>9</v>
      </c>
      <c r="T329">
        <v>32</v>
      </c>
      <c r="U329" t="s">
        <v>28</v>
      </c>
      <c r="V329" t="s">
        <v>28</v>
      </c>
      <c r="W329">
        <v>26</v>
      </c>
      <c r="X329">
        <v>100</v>
      </c>
      <c r="Y329">
        <v>0</v>
      </c>
    </row>
    <row r="330" spans="1:25" x14ac:dyDescent="0.2">
      <c r="A330" t="s">
        <v>102</v>
      </c>
      <c r="B330">
        <v>2016</v>
      </c>
      <c r="C330" t="s">
        <v>826</v>
      </c>
      <c r="D330" t="s">
        <v>812</v>
      </c>
      <c r="E330" t="s">
        <v>103</v>
      </c>
      <c r="F330" t="s">
        <v>312</v>
      </c>
      <c r="G330">
        <v>34.698675000000001</v>
      </c>
      <c r="H330">
        <v>138.98687100000001</v>
      </c>
      <c r="J330" t="s">
        <v>14</v>
      </c>
      <c r="K330" t="s">
        <v>104</v>
      </c>
      <c r="L330" t="s">
        <v>143</v>
      </c>
      <c r="M330" t="s">
        <v>12</v>
      </c>
      <c r="N330" t="s">
        <v>85</v>
      </c>
      <c r="O330" t="s">
        <v>12</v>
      </c>
      <c r="P330" t="s">
        <v>70</v>
      </c>
      <c r="Q330">
        <v>7</v>
      </c>
      <c r="R330" t="s">
        <v>214</v>
      </c>
      <c r="S330" t="s">
        <v>9</v>
      </c>
      <c r="T330">
        <v>32</v>
      </c>
      <c r="U330" t="s">
        <v>28</v>
      </c>
      <c r="V330" t="s">
        <v>28</v>
      </c>
      <c r="W330">
        <v>26</v>
      </c>
      <c r="X330">
        <v>100</v>
      </c>
      <c r="Y330">
        <v>0</v>
      </c>
    </row>
    <row r="331" spans="1:25" x14ac:dyDescent="0.2">
      <c r="A331" t="s">
        <v>102</v>
      </c>
      <c r="B331">
        <v>2016</v>
      </c>
      <c r="C331" t="s">
        <v>826</v>
      </c>
      <c r="D331" t="s">
        <v>812</v>
      </c>
      <c r="E331" t="s">
        <v>103</v>
      </c>
      <c r="F331" t="s">
        <v>312</v>
      </c>
      <c r="G331">
        <v>34.698675000000001</v>
      </c>
      <c r="H331">
        <v>138.98687100000001</v>
      </c>
      <c r="J331" t="s">
        <v>14</v>
      </c>
      <c r="K331" t="s">
        <v>104</v>
      </c>
      <c r="L331" t="s">
        <v>143</v>
      </c>
      <c r="M331" t="s">
        <v>12</v>
      </c>
      <c r="N331" t="s">
        <v>85</v>
      </c>
      <c r="O331" t="s">
        <v>12</v>
      </c>
      <c r="P331" t="s">
        <v>70</v>
      </c>
      <c r="Q331">
        <v>8</v>
      </c>
      <c r="R331" t="s">
        <v>214</v>
      </c>
      <c r="S331" t="s">
        <v>9</v>
      </c>
      <c r="T331">
        <v>32</v>
      </c>
      <c r="U331" t="s">
        <v>28</v>
      </c>
      <c r="V331" t="s">
        <v>28</v>
      </c>
      <c r="W331">
        <v>26</v>
      </c>
      <c r="X331">
        <v>100</v>
      </c>
      <c r="Y331">
        <v>0</v>
      </c>
    </row>
    <row r="332" spans="1:25" x14ac:dyDescent="0.2">
      <c r="A332" t="s">
        <v>102</v>
      </c>
      <c r="B332">
        <v>2016</v>
      </c>
      <c r="C332" t="s">
        <v>826</v>
      </c>
      <c r="D332" t="s">
        <v>812</v>
      </c>
      <c r="E332" t="s">
        <v>103</v>
      </c>
      <c r="F332" t="s">
        <v>312</v>
      </c>
      <c r="G332">
        <v>34.698675000000001</v>
      </c>
      <c r="H332">
        <v>138.98687100000001</v>
      </c>
      <c r="J332" t="s">
        <v>14</v>
      </c>
      <c r="K332" t="s">
        <v>104</v>
      </c>
      <c r="L332" t="s">
        <v>143</v>
      </c>
      <c r="M332" t="s">
        <v>12</v>
      </c>
      <c r="N332" t="s">
        <v>85</v>
      </c>
      <c r="O332" t="s">
        <v>12</v>
      </c>
      <c r="P332" t="s">
        <v>70</v>
      </c>
      <c r="Q332">
        <v>9</v>
      </c>
      <c r="R332" t="s">
        <v>214</v>
      </c>
      <c r="S332" t="s">
        <v>9</v>
      </c>
      <c r="T332">
        <v>32</v>
      </c>
      <c r="U332" t="s">
        <v>28</v>
      </c>
      <c r="V332" t="s">
        <v>28</v>
      </c>
      <c r="W332">
        <v>26</v>
      </c>
      <c r="X332">
        <v>100</v>
      </c>
      <c r="Y332">
        <v>0</v>
      </c>
    </row>
    <row r="333" spans="1:25" x14ac:dyDescent="0.2">
      <c r="A333" t="s">
        <v>102</v>
      </c>
      <c r="B333">
        <v>2016</v>
      </c>
      <c r="C333" t="s">
        <v>826</v>
      </c>
      <c r="D333" t="s">
        <v>812</v>
      </c>
      <c r="E333" t="s">
        <v>103</v>
      </c>
      <c r="F333" t="s">
        <v>312</v>
      </c>
      <c r="G333">
        <v>34.698675000000001</v>
      </c>
      <c r="H333">
        <v>138.98687100000001</v>
      </c>
      <c r="J333" t="s">
        <v>14</v>
      </c>
      <c r="K333" t="s">
        <v>104</v>
      </c>
      <c r="L333" t="s">
        <v>143</v>
      </c>
      <c r="M333" t="s">
        <v>12</v>
      </c>
      <c r="N333" t="s">
        <v>85</v>
      </c>
      <c r="O333" t="s">
        <v>12</v>
      </c>
      <c r="P333" t="s">
        <v>70</v>
      </c>
      <c r="Q333">
        <v>10</v>
      </c>
      <c r="R333" t="s">
        <v>214</v>
      </c>
      <c r="S333" t="s">
        <v>9</v>
      </c>
      <c r="T333">
        <v>32</v>
      </c>
      <c r="U333" t="s">
        <v>28</v>
      </c>
      <c r="V333" t="s">
        <v>28</v>
      </c>
      <c r="W333">
        <v>26</v>
      </c>
      <c r="X333">
        <v>100</v>
      </c>
      <c r="Y333">
        <v>0</v>
      </c>
    </row>
    <row r="334" spans="1:25" x14ac:dyDescent="0.2">
      <c r="A334" t="s">
        <v>102</v>
      </c>
      <c r="B334">
        <v>2016</v>
      </c>
      <c r="C334" t="s">
        <v>826</v>
      </c>
      <c r="D334" t="s">
        <v>812</v>
      </c>
      <c r="E334" t="s">
        <v>103</v>
      </c>
      <c r="F334" t="s">
        <v>312</v>
      </c>
      <c r="G334">
        <v>34.698675000000001</v>
      </c>
      <c r="H334">
        <v>138.98687100000001</v>
      </c>
      <c r="J334" t="s">
        <v>14</v>
      </c>
      <c r="K334" t="s">
        <v>104</v>
      </c>
      <c r="L334" t="s">
        <v>143</v>
      </c>
      <c r="M334" t="s">
        <v>12</v>
      </c>
      <c r="N334" t="s">
        <v>85</v>
      </c>
      <c r="O334" t="s">
        <v>12</v>
      </c>
      <c r="P334" t="s">
        <v>70</v>
      </c>
      <c r="Q334">
        <v>11</v>
      </c>
      <c r="R334" t="s">
        <v>214</v>
      </c>
      <c r="S334" t="s">
        <v>9</v>
      </c>
      <c r="T334">
        <v>32</v>
      </c>
      <c r="U334" t="s">
        <v>28</v>
      </c>
      <c r="V334" t="s">
        <v>28</v>
      </c>
      <c r="W334">
        <v>26</v>
      </c>
      <c r="X334">
        <v>100</v>
      </c>
      <c r="Y334">
        <v>0</v>
      </c>
    </row>
    <row r="335" spans="1:25" x14ac:dyDescent="0.2">
      <c r="A335" t="s">
        <v>102</v>
      </c>
      <c r="B335">
        <v>2016</v>
      </c>
      <c r="C335" t="s">
        <v>826</v>
      </c>
      <c r="D335" t="s">
        <v>812</v>
      </c>
      <c r="E335" t="s">
        <v>103</v>
      </c>
      <c r="F335" t="s">
        <v>312</v>
      </c>
      <c r="G335">
        <v>34.698675000000001</v>
      </c>
      <c r="H335">
        <v>138.98687100000001</v>
      </c>
      <c r="J335" t="s">
        <v>14</v>
      </c>
      <c r="K335" t="s">
        <v>104</v>
      </c>
      <c r="L335" t="s">
        <v>143</v>
      </c>
      <c r="M335" t="s">
        <v>12</v>
      </c>
      <c r="N335" t="s">
        <v>85</v>
      </c>
      <c r="O335" t="s">
        <v>12</v>
      </c>
      <c r="P335" t="s">
        <v>70</v>
      </c>
      <c r="Q335">
        <v>12</v>
      </c>
      <c r="R335" t="s">
        <v>213</v>
      </c>
      <c r="S335" t="s">
        <v>9</v>
      </c>
      <c r="T335">
        <v>32</v>
      </c>
      <c r="U335" t="s">
        <v>28</v>
      </c>
      <c r="V335" t="s">
        <v>28</v>
      </c>
      <c r="W335">
        <v>26</v>
      </c>
      <c r="X335">
        <v>100</v>
      </c>
      <c r="Y335">
        <v>0</v>
      </c>
    </row>
    <row r="336" spans="1:25" x14ac:dyDescent="0.2">
      <c r="A336" t="s">
        <v>102</v>
      </c>
      <c r="B336">
        <v>2016</v>
      </c>
      <c r="C336" t="s">
        <v>826</v>
      </c>
      <c r="D336" t="s">
        <v>812</v>
      </c>
      <c r="E336" t="s">
        <v>103</v>
      </c>
      <c r="F336" t="s">
        <v>312</v>
      </c>
      <c r="G336">
        <v>34.698675000000001</v>
      </c>
      <c r="H336">
        <v>138.98687100000001</v>
      </c>
      <c r="J336" t="s">
        <v>14</v>
      </c>
      <c r="K336" t="s">
        <v>104</v>
      </c>
      <c r="L336" t="s">
        <v>143</v>
      </c>
      <c r="M336" t="s">
        <v>12</v>
      </c>
      <c r="N336" t="s">
        <v>85</v>
      </c>
      <c r="O336" t="s">
        <v>12</v>
      </c>
      <c r="P336" t="s">
        <v>70</v>
      </c>
      <c r="Q336">
        <v>1</v>
      </c>
      <c r="R336" t="s">
        <v>214</v>
      </c>
      <c r="S336" t="s">
        <v>27</v>
      </c>
      <c r="T336">
        <v>32</v>
      </c>
      <c r="U336" t="s">
        <v>28</v>
      </c>
      <c r="V336" t="s">
        <v>28</v>
      </c>
      <c r="W336">
        <v>28</v>
      </c>
      <c r="X336">
        <v>100</v>
      </c>
      <c r="Y336">
        <v>0</v>
      </c>
    </row>
    <row r="337" spans="1:25" x14ac:dyDescent="0.2">
      <c r="A337" t="s">
        <v>102</v>
      </c>
      <c r="B337">
        <v>2016</v>
      </c>
      <c r="C337" t="s">
        <v>826</v>
      </c>
      <c r="D337" t="s">
        <v>812</v>
      </c>
      <c r="E337" t="s">
        <v>103</v>
      </c>
      <c r="F337" t="s">
        <v>312</v>
      </c>
      <c r="G337">
        <v>34.698675000000001</v>
      </c>
      <c r="H337">
        <v>138.98687100000001</v>
      </c>
      <c r="J337" t="s">
        <v>14</v>
      </c>
      <c r="K337" t="s">
        <v>104</v>
      </c>
      <c r="L337" t="s">
        <v>143</v>
      </c>
      <c r="M337" t="s">
        <v>12</v>
      </c>
      <c r="N337" t="s">
        <v>85</v>
      </c>
      <c r="O337" t="s">
        <v>12</v>
      </c>
      <c r="P337" t="s">
        <v>70</v>
      </c>
      <c r="Q337">
        <v>2</v>
      </c>
      <c r="R337" t="s">
        <v>214</v>
      </c>
      <c r="S337" t="s">
        <v>27</v>
      </c>
      <c r="T337">
        <v>32</v>
      </c>
      <c r="U337" t="s">
        <v>28</v>
      </c>
      <c r="V337" t="s">
        <v>28</v>
      </c>
      <c r="W337">
        <v>28</v>
      </c>
      <c r="X337">
        <v>100</v>
      </c>
      <c r="Y337">
        <v>0</v>
      </c>
    </row>
    <row r="338" spans="1:25" x14ac:dyDescent="0.2">
      <c r="A338" t="s">
        <v>102</v>
      </c>
      <c r="B338">
        <v>2016</v>
      </c>
      <c r="C338" t="s">
        <v>826</v>
      </c>
      <c r="D338" t="s">
        <v>812</v>
      </c>
      <c r="E338" t="s">
        <v>103</v>
      </c>
      <c r="F338" t="s">
        <v>312</v>
      </c>
      <c r="G338">
        <v>34.698675000000001</v>
      </c>
      <c r="H338">
        <v>138.98687100000001</v>
      </c>
      <c r="J338" t="s">
        <v>14</v>
      </c>
      <c r="K338" t="s">
        <v>104</v>
      </c>
      <c r="L338" t="s">
        <v>143</v>
      </c>
      <c r="M338" t="s">
        <v>12</v>
      </c>
      <c r="N338" t="s">
        <v>85</v>
      </c>
      <c r="O338" t="s">
        <v>12</v>
      </c>
      <c r="P338" t="s">
        <v>70</v>
      </c>
      <c r="Q338">
        <v>3</v>
      </c>
      <c r="R338" t="s">
        <v>214</v>
      </c>
      <c r="S338" t="s">
        <v>27</v>
      </c>
      <c r="T338">
        <v>32</v>
      </c>
      <c r="U338" t="s">
        <v>28</v>
      </c>
      <c r="V338" t="s">
        <v>28</v>
      </c>
      <c r="W338">
        <v>28</v>
      </c>
      <c r="X338">
        <v>100</v>
      </c>
      <c r="Y338">
        <v>0</v>
      </c>
    </row>
    <row r="339" spans="1:25" x14ac:dyDescent="0.2">
      <c r="A339" t="s">
        <v>102</v>
      </c>
      <c r="B339">
        <v>2016</v>
      </c>
      <c r="C339" t="s">
        <v>826</v>
      </c>
      <c r="D339" t="s">
        <v>812</v>
      </c>
      <c r="E339" t="s">
        <v>103</v>
      </c>
      <c r="F339" t="s">
        <v>312</v>
      </c>
      <c r="G339">
        <v>34.698675000000001</v>
      </c>
      <c r="H339">
        <v>138.98687100000001</v>
      </c>
      <c r="J339" t="s">
        <v>14</v>
      </c>
      <c r="K339" t="s">
        <v>104</v>
      </c>
      <c r="L339" t="s">
        <v>143</v>
      </c>
      <c r="M339" t="s">
        <v>12</v>
      </c>
      <c r="N339" t="s">
        <v>85</v>
      </c>
      <c r="O339" t="s">
        <v>12</v>
      </c>
      <c r="P339" t="s">
        <v>70</v>
      </c>
      <c r="Q339">
        <v>4</v>
      </c>
      <c r="R339" t="s">
        <v>214</v>
      </c>
      <c r="S339" t="s">
        <v>27</v>
      </c>
      <c r="T339">
        <v>32</v>
      </c>
      <c r="U339" t="s">
        <v>28</v>
      </c>
      <c r="V339" t="s">
        <v>28</v>
      </c>
      <c r="W339">
        <v>28</v>
      </c>
      <c r="X339">
        <v>100</v>
      </c>
      <c r="Y339">
        <v>0</v>
      </c>
    </row>
    <row r="340" spans="1:25" x14ac:dyDescent="0.2">
      <c r="A340" t="s">
        <v>102</v>
      </c>
      <c r="B340">
        <v>2016</v>
      </c>
      <c r="C340" t="s">
        <v>826</v>
      </c>
      <c r="D340" t="s">
        <v>812</v>
      </c>
      <c r="E340" t="s">
        <v>103</v>
      </c>
      <c r="F340" t="s">
        <v>312</v>
      </c>
      <c r="G340">
        <v>34.698675000000001</v>
      </c>
      <c r="H340">
        <v>138.98687100000001</v>
      </c>
      <c r="J340" t="s">
        <v>14</v>
      </c>
      <c r="K340" t="s">
        <v>104</v>
      </c>
      <c r="L340" t="s">
        <v>143</v>
      </c>
      <c r="M340" t="s">
        <v>12</v>
      </c>
      <c r="N340" t="s">
        <v>85</v>
      </c>
      <c r="O340" t="s">
        <v>12</v>
      </c>
      <c r="P340" t="s">
        <v>70</v>
      </c>
      <c r="Q340">
        <v>5</v>
      </c>
      <c r="R340" t="s">
        <v>214</v>
      </c>
      <c r="S340" t="s">
        <v>27</v>
      </c>
      <c r="T340">
        <v>32</v>
      </c>
      <c r="U340" t="s">
        <v>28</v>
      </c>
      <c r="V340" t="s">
        <v>28</v>
      </c>
      <c r="W340">
        <v>28</v>
      </c>
      <c r="X340">
        <v>100</v>
      </c>
      <c r="Y340">
        <v>0</v>
      </c>
    </row>
    <row r="341" spans="1:25" x14ac:dyDescent="0.2">
      <c r="A341" t="s">
        <v>102</v>
      </c>
      <c r="B341">
        <v>2016</v>
      </c>
      <c r="C341" t="s">
        <v>826</v>
      </c>
      <c r="D341" t="s">
        <v>812</v>
      </c>
      <c r="E341" t="s">
        <v>103</v>
      </c>
      <c r="F341" t="s">
        <v>312</v>
      </c>
      <c r="G341">
        <v>34.698675000000001</v>
      </c>
      <c r="H341">
        <v>138.98687100000001</v>
      </c>
      <c r="J341" t="s">
        <v>14</v>
      </c>
      <c r="K341" t="s">
        <v>104</v>
      </c>
      <c r="L341" t="s">
        <v>143</v>
      </c>
      <c r="M341" t="s">
        <v>12</v>
      </c>
      <c r="N341" t="s">
        <v>85</v>
      </c>
      <c r="O341" t="s">
        <v>12</v>
      </c>
      <c r="P341" t="s">
        <v>70</v>
      </c>
      <c r="Q341">
        <v>6</v>
      </c>
      <c r="R341" t="s">
        <v>214</v>
      </c>
      <c r="S341" t="s">
        <v>27</v>
      </c>
      <c r="T341">
        <v>32</v>
      </c>
      <c r="U341" t="s">
        <v>28</v>
      </c>
      <c r="V341" t="s">
        <v>28</v>
      </c>
      <c r="W341">
        <v>28</v>
      </c>
      <c r="X341">
        <v>100</v>
      </c>
      <c r="Y341">
        <v>0</v>
      </c>
    </row>
    <row r="342" spans="1:25" x14ac:dyDescent="0.2">
      <c r="A342" t="s">
        <v>102</v>
      </c>
      <c r="B342">
        <v>2016</v>
      </c>
      <c r="C342" t="s">
        <v>826</v>
      </c>
      <c r="D342" t="s">
        <v>812</v>
      </c>
      <c r="E342" t="s">
        <v>103</v>
      </c>
      <c r="F342" t="s">
        <v>312</v>
      </c>
      <c r="G342">
        <v>34.698675000000001</v>
      </c>
      <c r="H342">
        <v>138.98687100000001</v>
      </c>
      <c r="J342" t="s">
        <v>14</v>
      </c>
      <c r="K342" t="s">
        <v>104</v>
      </c>
      <c r="L342" t="s">
        <v>143</v>
      </c>
      <c r="M342" t="s">
        <v>12</v>
      </c>
      <c r="N342" t="s">
        <v>85</v>
      </c>
      <c r="O342" t="s">
        <v>12</v>
      </c>
      <c r="P342" t="s">
        <v>70</v>
      </c>
      <c r="Q342">
        <v>7</v>
      </c>
      <c r="R342" t="s">
        <v>214</v>
      </c>
      <c r="S342" t="s">
        <v>27</v>
      </c>
      <c r="T342">
        <v>32</v>
      </c>
      <c r="U342" t="s">
        <v>28</v>
      </c>
      <c r="V342" t="s">
        <v>28</v>
      </c>
      <c r="W342">
        <v>28</v>
      </c>
      <c r="X342">
        <v>100</v>
      </c>
      <c r="Y342">
        <v>0</v>
      </c>
    </row>
    <row r="343" spans="1:25" x14ac:dyDescent="0.2">
      <c r="A343" t="s">
        <v>102</v>
      </c>
      <c r="B343">
        <v>2016</v>
      </c>
      <c r="C343" t="s">
        <v>826</v>
      </c>
      <c r="D343" t="s">
        <v>812</v>
      </c>
      <c r="E343" t="s">
        <v>103</v>
      </c>
      <c r="F343" t="s">
        <v>312</v>
      </c>
      <c r="G343">
        <v>34.698675000000001</v>
      </c>
      <c r="H343">
        <v>138.98687100000001</v>
      </c>
      <c r="J343" t="s">
        <v>14</v>
      </c>
      <c r="K343" t="s">
        <v>104</v>
      </c>
      <c r="L343" t="s">
        <v>143</v>
      </c>
      <c r="M343" t="s">
        <v>12</v>
      </c>
      <c r="N343" t="s">
        <v>85</v>
      </c>
      <c r="O343" t="s">
        <v>12</v>
      </c>
      <c r="P343" t="s">
        <v>70</v>
      </c>
      <c r="Q343">
        <v>8</v>
      </c>
      <c r="R343" t="s">
        <v>214</v>
      </c>
      <c r="S343" t="s">
        <v>27</v>
      </c>
      <c r="T343">
        <v>32</v>
      </c>
      <c r="U343" t="s">
        <v>28</v>
      </c>
      <c r="V343" t="s">
        <v>28</v>
      </c>
      <c r="W343">
        <v>28</v>
      </c>
      <c r="X343">
        <v>100</v>
      </c>
      <c r="Y343">
        <v>0</v>
      </c>
    </row>
    <row r="344" spans="1:25" x14ac:dyDescent="0.2">
      <c r="A344" t="s">
        <v>102</v>
      </c>
      <c r="B344">
        <v>2016</v>
      </c>
      <c r="C344" t="s">
        <v>826</v>
      </c>
      <c r="D344" t="s">
        <v>812</v>
      </c>
      <c r="E344" t="s">
        <v>103</v>
      </c>
      <c r="F344" t="s">
        <v>312</v>
      </c>
      <c r="G344">
        <v>34.698675000000001</v>
      </c>
      <c r="H344">
        <v>138.98687100000001</v>
      </c>
      <c r="J344" t="s">
        <v>14</v>
      </c>
      <c r="K344" t="s">
        <v>104</v>
      </c>
      <c r="L344" t="s">
        <v>143</v>
      </c>
      <c r="M344" t="s">
        <v>12</v>
      </c>
      <c r="N344" t="s">
        <v>85</v>
      </c>
      <c r="O344" t="s">
        <v>12</v>
      </c>
      <c r="P344" t="s">
        <v>70</v>
      </c>
      <c r="Q344">
        <v>9</v>
      </c>
      <c r="R344" t="s">
        <v>214</v>
      </c>
      <c r="S344" t="s">
        <v>27</v>
      </c>
      <c r="T344">
        <v>32</v>
      </c>
      <c r="U344" t="s">
        <v>28</v>
      </c>
      <c r="V344" t="s">
        <v>28</v>
      </c>
      <c r="W344">
        <v>28</v>
      </c>
      <c r="X344">
        <v>100</v>
      </c>
      <c r="Y344">
        <v>0</v>
      </c>
    </row>
    <row r="345" spans="1:25" x14ac:dyDescent="0.2">
      <c r="A345" t="s">
        <v>102</v>
      </c>
      <c r="B345">
        <v>2016</v>
      </c>
      <c r="C345" t="s">
        <v>826</v>
      </c>
      <c r="D345" t="s">
        <v>812</v>
      </c>
      <c r="E345" t="s">
        <v>103</v>
      </c>
      <c r="F345" t="s">
        <v>312</v>
      </c>
      <c r="G345">
        <v>34.698675000000001</v>
      </c>
      <c r="H345">
        <v>138.98687100000001</v>
      </c>
      <c r="J345" t="s">
        <v>14</v>
      </c>
      <c r="K345" t="s">
        <v>104</v>
      </c>
      <c r="L345" t="s">
        <v>143</v>
      </c>
      <c r="M345" t="s">
        <v>12</v>
      </c>
      <c r="N345" t="s">
        <v>85</v>
      </c>
      <c r="O345" t="s">
        <v>12</v>
      </c>
      <c r="P345" t="s">
        <v>70</v>
      </c>
      <c r="Q345">
        <v>10</v>
      </c>
      <c r="R345" t="s">
        <v>214</v>
      </c>
      <c r="S345" t="s">
        <v>27</v>
      </c>
      <c r="T345">
        <v>32</v>
      </c>
      <c r="U345" t="s">
        <v>28</v>
      </c>
      <c r="V345" t="s">
        <v>28</v>
      </c>
      <c r="W345">
        <v>28</v>
      </c>
      <c r="X345">
        <v>100</v>
      </c>
      <c r="Y345">
        <v>0</v>
      </c>
    </row>
    <row r="346" spans="1:25" x14ac:dyDescent="0.2">
      <c r="A346" t="s">
        <v>102</v>
      </c>
      <c r="B346">
        <v>2016</v>
      </c>
      <c r="C346" t="s">
        <v>826</v>
      </c>
      <c r="D346" t="s">
        <v>812</v>
      </c>
      <c r="E346" t="s">
        <v>103</v>
      </c>
      <c r="F346" t="s">
        <v>312</v>
      </c>
      <c r="G346">
        <v>34.698675000000001</v>
      </c>
      <c r="H346">
        <v>138.98687100000001</v>
      </c>
      <c r="J346" t="s">
        <v>14</v>
      </c>
      <c r="K346" t="s">
        <v>104</v>
      </c>
      <c r="L346" t="s">
        <v>143</v>
      </c>
      <c r="M346" t="s">
        <v>12</v>
      </c>
      <c r="N346" t="s">
        <v>85</v>
      </c>
      <c r="O346" t="s">
        <v>12</v>
      </c>
      <c r="P346" t="s">
        <v>70</v>
      </c>
      <c r="Q346">
        <v>11</v>
      </c>
      <c r="R346" t="s">
        <v>214</v>
      </c>
      <c r="S346" t="s">
        <v>27</v>
      </c>
      <c r="T346">
        <v>32</v>
      </c>
      <c r="U346" t="s">
        <v>28</v>
      </c>
      <c r="V346" t="s">
        <v>28</v>
      </c>
      <c r="W346">
        <v>28</v>
      </c>
      <c r="X346">
        <v>100</v>
      </c>
      <c r="Y346">
        <v>0</v>
      </c>
    </row>
    <row r="347" spans="1:25" x14ac:dyDescent="0.2">
      <c r="A347" t="s">
        <v>102</v>
      </c>
      <c r="B347">
        <v>2016</v>
      </c>
      <c r="C347" t="s">
        <v>826</v>
      </c>
      <c r="D347" t="s">
        <v>812</v>
      </c>
      <c r="E347" t="s">
        <v>103</v>
      </c>
      <c r="F347" t="s">
        <v>312</v>
      </c>
      <c r="G347">
        <v>34.698675000000001</v>
      </c>
      <c r="H347">
        <v>138.98687100000001</v>
      </c>
      <c r="J347" t="s">
        <v>14</v>
      </c>
      <c r="K347" t="s">
        <v>104</v>
      </c>
      <c r="L347" t="s">
        <v>143</v>
      </c>
      <c r="M347" t="s">
        <v>12</v>
      </c>
      <c r="N347" t="s">
        <v>85</v>
      </c>
      <c r="O347" t="s">
        <v>12</v>
      </c>
      <c r="P347" t="s">
        <v>70</v>
      </c>
      <c r="Q347">
        <v>12</v>
      </c>
      <c r="R347" t="s">
        <v>213</v>
      </c>
      <c r="S347" t="s">
        <v>27</v>
      </c>
      <c r="T347">
        <v>32</v>
      </c>
      <c r="U347" t="s">
        <v>28</v>
      </c>
      <c r="V347" t="s">
        <v>28</v>
      </c>
      <c r="W347">
        <v>28</v>
      </c>
      <c r="X347">
        <v>100</v>
      </c>
      <c r="Y347">
        <v>0</v>
      </c>
    </row>
    <row r="348" spans="1:25" x14ac:dyDescent="0.2">
      <c r="A348" t="s">
        <v>102</v>
      </c>
      <c r="B348">
        <v>2016</v>
      </c>
      <c r="C348" t="s">
        <v>826</v>
      </c>
      <c r="D348" t="s">
        <v>812</v>
      </c>
      <c r="E348" t="s">
        <v>103</v>
      </c>
      <c r="F348" t="s">
        <v>312</v>
      </c>
      <c r="G348">
        <v>34.698675000000001</v>
      </c>
      <c r="H348">
        <v>138.98687100000001</v>
      </c>
      <c r="J348" t="s">
        <v>14</v>
      </c>
      <c r="K348" t="s">
        <v>104</v>
      </c>
      <c r="L348" t="s">
        <v>143</v>
      </c>
      <c r="M348" t="s">
        <v>12</v>
      </c>
      <c r="N348" t="s">
        <v>85</v>
      </c>
      <c r="O348" t="s">
        <v>12</v>
      </c>
      <c r="P348" t="s">
        <v>70</v>
      </c>
      <c r="Q348">
        <v>1</v>
      </c>
      <c r="R348" t="s">
        <v>214</v>
      </c>
      <c r="S348" t="s">
        <v>13</v>
      </c>
      <c r="T348">
        <v>32</v>
      </c>
      <c r="U348" t="s">
        <v>28</v>
      </c>
      <c r="V348" t="s">
        <v>28</v>
      </c>
      <c r="W348">
        <v>30</v>
      </c>
      <c r="X348">
        <v>100</v>
      </c>
      <c r="Y348">
        <v>0</v>
      </c>
    </row>
    <row r="349" spans="1:25" x14ac:dyDescent="0.2">
      <c r="A349" t="s">
        <v>102</v>
      </c>
      <c r="B349">
        <v>2016</v>
      </c>
      <c r="C349" t="s">
        <v>826</v>
      </c>
      <c r="D349" t="s">
        <v>812</v>
      </c>
      <c r="E349" t="s">
        <v>103</v>
      </c>
      <c r="F349" t="s">
        <v>312</v>
      </c>
      <c r="G349">
        <v>34.698675000000001</v>
      </c>
      <c r="H349">
        <v>138.98687100000001</v>
      </c>
      <c r="J349" t="s">
        <v>14</v>
      </c>
      <c r="K349" t="s">
        <v>104</v>
      </c>
      <c r="L349" t="s">
        <v>143</v>
      </c>
      <c r="M349" t="s">
        <v>12</v>
      </c>
      <c r="N349" t="s">
        <v>85</v>
      </c>
      <c r="O349" t="s">
        <v>12</v>
      </c>
      <c r="P349" t="s">
        <v>70</v>
      </c>
      <c r="Q349">
        <v>2</v>
      </c>
      <c r="R349" t="s">
        <v>214</v>
      </c>
      <c r="S349" t="s">
        <v>13</v>
      </c>
      <c r="T349">
        <v>32</v>
      </c>
      <c r="U349" t="s">
        <v>28</v>
      </c>
      <c r="V349" t="s">
        <v>28</v>
      </c>
      <c r="W349">
        <v>30</v>
      </c>
      <c r="X349">
        <v>100</v>
      </c>
      <c r="Y349">
        <v>0</v>
      </c>
    </row>
    <row r="350" spans="1:25" x14ac:dyDescent="0.2">
      <c r="A350" t="s">
        <v>102</v>
      </c>
      <c r="B350">
        <v>2016</v>
      </c>
      <c r="C350" t="s">
        <v>826</v>
      </c>
      <c r="D350" t="s">
        <v>812</v>
      </c>
      <c r="E350" t="s">
        <v>103</v>
      </c>
      <c r="F350" t="s">
        <v>312</v>
      </c>
      <c r="G350">
        <v>34.698675000000001</v>
      </c>
      <c r="H350">
        <v>138.98687100000001</v>
      </c>
      <c r="J350" t="s">
        <v>14</v>
      </c>
      <c r="K350" t="s">
        <v>104</v>
      </c>
      <c r="L350" t="s">
        <v>143</v>
      </c>
      <c r="M350" t="s">
        <v>12</v>
      </c>
      <c r="N350" t="s">
        <v>85</v>
      </c>
      <c r="O350" t="s">
        <v>12</v>
      </c>
      <c r="P350" t="s">
        <v>70</v>
      </c>
      <c r="Q350">
        <v>3</v>
      </c>
      <c r="R350" t="s">
        <v>214</v>
      </c>
      <c r="S350" t="s">
        <v>13</v>
      </c>
      <c r="T350">
        <v>32</v>
      </c>
      <c r="U350" t="s">
        <v>28</v>
      </c>
      <c r="V350" t="s">
        <v>28</v>
      </c>
      <c r="W350">
        <v>30</v>
      </c>
      <c r="X350">
        <v>100</v>
      </c>
      <c r="Y350">
        <v>0</v>
      </c>
    </row>
    <row r="351" spans="1:25" x14ac:dyDescent="0.2">
      <c r="A351" t="s">
        <v>102</v>
      </c>
      <c r="B351">
        <v>2016</v>
      </c>
      <c r="C351" t="s">
        <v>826</v>
      </c>
      <c r="D351" t="s">
        <v>812</v>
      </c>
      <c r="E351" t="s">
        <v>103</v>
      </c>
      <c r="F351" t="s">
        <v>312</v>
      </c>
      <c r="G351">
        <v>34.698675000000001</v>
      </c>
      <c r="H351">
        <v>138.98687100000001</v>
      </c>
      <c r="J351" t="s">
        <v>14</v>
      </c>
      <c r="K351" t="s">
        <v>104</v>
      </c>
      <c r="L351" t="s">
        <v>143</v>
      </c>
      <c r="M351" t="s">
        <v>12</v>
      </c>
      <c r="N351" t="s">
        <v>85</v>
      </c>
      <c r="O351" t="s">
        <v>12</v>
      </c>
      <c r="P351" t="s">
        <v>70</v>
      </c>
      <c r="Q351">
        <v>4</v>
      </c>
      <c r="R351" t="s">
        <v>214</v>
      </c>
      <c r="S351" t="s">
        <v>13</v>
      </c>
      <c r="T351">
        <v>32</v>
      </c>
      <c r="U351" t="s">
        <v>28</v>
      </c>
      <c r="V351" t="s">
        <v>28</v>
      </c>
      <c r="W351">
        <v>30</v>
      </c>
      <c r="X351">
        <v>100</v>
      </c>
      <c r="Y351">
        <v>0</v>
      </c>
    </row>
    <row r="352" spans="1:25" x14ac:dyDescent="0.2">
      <c r="A352" t="s">
        <v>102</v>
      </c>
      <c r="B352">
        <v>2016</v>
      </c>
      <c r="C352" t="s">
        <v>826</v>
      </c>
      <c r="D352" t="s">
        <v>812</v>
      </c>
      <c r="E352" t="s">
        <v>103</v>
      </c>
      <c r="F352" t="s">
        <v>312</v>
      </c>
      <c r="G352">
        <v>34.698675000000001</v>
      </c>
      <c r="H352">
        <v>138.98687100000001</v>
      </c>
      <c r="J352" t="s">
        <v>14</v>
      </c>
      <c r="K352" t="s">
        <v>104</v>
      </c>
      <c r="L352" t="s">
        <v>143</v>
      </c>
      <c r="M352" t="s">
        <v>12</v>
      </c>
      <c r="N352" t="s">
        <v>85</v>
      </c>
      <c r="O352" t="s">
        <v>12</v>
      </c>
      <c r="P352" t="s">
        <v>70</v>
      </c>
      <c r="Q352">
        <v>5</v>
      </c>
      <c r="R352" t="s">
        <v>214</v>
      </c>
      <c r="S352" t="s">
        <v>13</v>
      </c>
      <c r="T352">
        <v>32</v>
      </c>
      <c r="U352" t="s">
        <v>28</v>
      </c>
      <c r="V352" t="s">
        <v>28</v>
      </c>
      <c r="W352">
        <v>30</v>
      </c>
      <c r="X352">
        <v>100</v>
      </c>
      <c r="Y352">
        <v>0</v>
      </c>
    </row>
    <row r="353" spans="1:25" x14ac:dyDescent="0.2">
      <c r="A353" t="s">
        <v>102</v>
      </c>
      <c r="B353">
        <v>2016</v>
      </c>
      <c r="C353" t="s">
        <v>826</v>
      </c>
      <c r="D353" t="s">
        <v>812</v>
      </c>
      <c r="E353" t="s">
        <v>103</v>
      </c>
      <c r="F353" t="s">
        <v>312</v>
      </c>
      <c r="G353">
        <v>34.698675000000001</v>
      </c>
      <c r="H353">
        <v>138.98687100000001</v>
      </c>
      <c r="J353" t="s">
        <v>14</v>
      </c>
      <c r="K353" t="s">
        <v>104</v>
      </c>
      <c r="L353" t="s">
        <v>143</v>
      </c>
      <c r="M353" t="s">
        <v>12</v>
      </c>
      <c r="N353" t="s">
        <v>85</v>
      </c>
      <c r="O353" t="s">
        <v>12</v>
      </c>
      <c r="P353" t="s">
        <v>70</v>
      </c>
      <c r="Q353">
        <v>6</v>
      </c>
      <c r="R353" t="s">
        <v>214</v>
      </c>
      <c r="S353" t="s">
        <v>13</v>
      </c>
      <c r="T353">
        <v>32</v>
      </c>
      <c r="U353" t="s">
        <v>28</v>
      </c>
      <c r="V353" t="s">
        <v>28</v>
      </c>
      <c r="W353">
        <v>30</v>
      </c>
      <c r="X353">
        <v>100</v>
      </c>
      <c r="Y353">
        <v>0</v>
      </c>
    </row>
    <row r="354" spans="1:25" x14ac:dyDescent="0.2">
      <c r="A354" t="s">
        <v>102</v>
      </c>
      <c r="B354">
        <v>2016</v>
      </c>
      <c r="C354" t="s">
        <v>826</v>
      </c>
      <c r="D354" t="s">
        <v>812</v>
      </c>
      <c r="E354" t="s">
        <v>103</v>
      </c>
      <c r="F354" t="s">
        <v>312</v>
      </c>
      <c r="G354">
        <v>34.698675000000001</v>
      </c>
      <c r="H354">
        <v>138.98687100000001</v>
      </c>
      <c r="J354" t="s">
        <v>14</v>
      </c>
      <c r="K354" t="s">
        <v>104</v>
      </c>
      <c r="L354" t="s">
        <v>143</v>
      </c>
      <c r="M354" t="s">
        <v>12</v>
      </c>
      <c r="N354" t="s">
        <v>85</v>
      </c>
      <c r="O354" t="s">
        <v>12</v>
      </c>
      <c r="P354" t="s">
        <v>70</v>
      </c>
      <c r="Q354">
        <v>7</v>
      </c>
      <c r="R354" t="s">
        <v>214</v>
      </c>
      <c r="S354" t="s">
        <v>13</v>
      </c>
      <c r="T354">
        <v>32</v>
      </c>
      <c r="U354" t="s">
        <v>28</v>
      </c>
      <c r="V354" t="s">
        <v>28</v>
      </c>
      <c r="W354">
        <v>30</v>
      </c>
      <c r="X354">
        <v>100</v>
      </c>
      <c r="Y354">
        <v>0</v>
      </c>
    </row>
    <row r="355" spans="1:25" x14ac:dyDescent="0.2">
      <c r="A355" t="s">
        <v>102</v>
      </c>
      <c r="B355">
        <v>2016</v>
      </c>
      <c r="C355" t="s">
        <v>826</v>
      </c>
      <c r="D355" t="s">
        <v>812</v>
      </c>
      <c r="E355" t="s">
        <v>103</v>
      </c>
      <c r="F355" t="s">
        <v>312</v>
      </c>
      <c r="G355">
        <v>34.698675000000001</v>
      </c>
      <c r="H355">
        <v>138.98687100000001</v>
      </c>
      <c r="J355" t="s">
        <v>14</v>
      </c>
      <c r="K355" t="s">
        <v>104</v>
      </c>
      <c r="L355" t="s">
        <v>143</v>
      </c>
      <c r="M355" t="s">
        <v>12</v>
      </c>
      <c r="N355" t="s">
        <v>85</v>
      </c>
      <c r="O355" t="s">
        <v>12</v>
      </c>
      <c r="P355" t="s">
        <v>70</v>
      </c>
      <c r="Q355">
        <v>8</v>
      </c>
      <c r="R355" t="s">
        <v>214</v>
      </c>
      <c r="S355" t="s">
        <v>13</v>
      </c>
      <c r="T355">
        <v>32</v>
      </c>
      <c r="U355" t="s">
        <v>28</v>
      </c>
      <c r="V355" t="s">
        <v>28</v>
      </c>
      <c r="W355">
        <v>30</v>
      </c>
      <c r="X355">
        <v>100</v>
      </c>
      <c r="Y355">
        <v>0</v>
      </c>
    </row>
    <row r="356" spans="1:25" x14ac:dyDescent="0.2">
      <c r="A356" t="s">
        <v>102</v>
      </c>
      <c r="B356">
        <v>2016</v>
      </c>
      <c r="C356" t="s">
        <v>826</v>
      </c>
      <c r="D356" t="s">
        <v>812</v>
      </c>
      <c r="E356" t="s">
        <v>103</v>
      </c>
      <c r="F356" t="s">
        <v>312</v>
      </c>
      <c r="G356">
        <v>34.698675000000001</v>
      </c>
      <c r="H356">
        <v>138.98687100000001</v>
      </c>
      <c r="J356" t="s">
        <v>14</v>
      </c>
      <c r="K356" t="s">
        <v>104</v>
      </c>
      <c r="L356" t="s">
        <v>143</v>
      </c>
      <c r="M356" t="s">
        <v>12</v>
      </c>
      <c r="N356" t="s">
        <v>85</v>
      </c>
      <c r="O356" t="s">
        <v>12</v>
      </c>
      <c r="P356" t="s">
        <v>70</v>
      </c>
      <c r="Q356">
        <v>9</v>
      </c>
      <c r="R356" t="s">
        <v>214</v>
      </c>
      <c r="S356" t="s">
        <v>13</v>
      </c>
      <c r="T356">
        <v>32</v>
      </c>
      <c r="U356" t="s">
        <v>28</v>
      </c>
      <c r="V356" t="s">
        <v>28</v>
      </c>
      <c r="W356">
        <v>30</v>
      </c>
      <c r="X356">
        <v>100</v>
      </c>
      <c r="Y356">
        <v>0</v>
      </c>
    </row>
    <row r="357" spans="1:25" x14ac:dyDescent="0.2">
      <c r="A357" t="s">
        <v>102</v>
      </c>
      <c r="B357">
        <v>2016</v>
      </c>
      <c r="C357" t="s">
        <v>826</v>
      </c>
      <c r="D357" t="s">
        <v>812</v>
      </c>
      <c r="E357" t="s">
        <v>103</v>
      </c>
      <c r="F357" t="s">
        <v>312</v>
      </c>
      <c r="G357">
        <v>34.698675000000001</v>
      </c>
      <c r="H357">
        <v>138.98687100000001</v>
      </c>
      <c r="J357" t="s">
        <v>14</v>
      </c>
      <c r="K357" t="s">
        <v>104</v>
      </c>
      <c r="L357" t="s">
        <v>143</v>
      </c>
      <c r="M357" t="s">
        <v>12</v>
      </c>
      <c r="N357" t="s">
        <v>85</v>
      </c>
      <c r="O357" t="s">
        <v>12</v>
      </c>
      <c r="P357" t="s">
        <v>70</v>
      </c>
      <c r="Q357">
        <v>10</v>
      </c>
      <c r="R357" t="s">
        <v>214</v>
      </c>
      <c r="S357" t="s">
        <v>13</v>
      </c>
      <c r="T357">
        <v>32</v>
      </c>
      <c r="U357" t="s">
        <v>28</v>
      </c>
      <c r="V357" t="s">
        <v>28</v>
      </c>
      <c r="W357">
        <v>30</v>
      </c>
      <c r="X357">
        <v>93.81</v>
      </c>
      <c r="Y357">
        <f>X357-88.66</f>
        <v>5.1500000000000057</v>
      </c>
    </row>
    <row r="358" spans="1:25" x14ac:dyDescent="0.2">
      <c r="A358" t="s">
        <v>102</v>
      </c>
      <c r="B358">
        <v>2016</v>
      </c>
      <c r="C358" t="s">
        <v>826</v>
      </c>
      <c r="D358" t="s">
        <v>812</v>
      </c>
      <c r="E358" t="s">
        <v>103</v>
      </c>
      <c r="F358" t="s">
        <v>312</v>
      </c>
      <c r="G358">
        <v>34.698675000000001</v>
      </c>
      <c r="H358">
        <v>138.98687100000001</v>
      </c>
      <c r="J358" t="s">
        <v>14</v>
      </c>
      <c r="K358" t="s">
        <v>104</v>
      </c>
      <c r="L358" t="s">
        <v>143</v>
      </c>
      <c r="M358" t="s">
        <v>12</v>
      </c>
      <c r="N358" t="s">
        <v>85</v>
      </c>
      <c r="O358" t="s">
        <v>12</v>
      </c>
      <c r="P358" t="s">
        <v>70</v>
      </c>
      <c r="Q358">
        <v>11</v>
      </c>
      <c r="R358" t="s">
        <v>214</v>
      </c>
      <c r="S358" t="s">
        <v>13</v>
      </c>
      <c r="T358">
        <v>32</v>
      </c>
      <c r="U358" t="s">
        <v>28</v>
      </c>
      <c r="V358" t="s">
        <v>28</v>
      </c>
      <c r="W358">
        <v>30</v>
      </c>
      <c r="X358">
        <v>87.63</v>
      </c>
      <c r="Y358">
        <f>X358-82.33</f>
        <v>5.2999999999999972</v>
      </c>
    </row>
    <row r="359" spans="1:25" x14ac:dyDescent="0.2">
      <c r="A359" t="s">
        <v>102</v>
      </c>
      <c r="B359">
        <v>2016</v>
      </c>
      <c r="C359" t="s">
        <v>826</v>
      </c>
      <c r="D359" t="s">
        <v>812</v>
      </c>
      <c r="E359" t="s">
        <v>103</v>
      </c>
      <c r="F359" t="s">
        <v>312</v>
      </c>
      <c r="G359">
        <v>34.698675000000001</v>
      </c>
      <c r="H359">
        <v>138.98687100000001</v>
      </c>
      <c r="J359" t="s">
        <v>14</v>
      </c>
      <c r="K359" t="s">
        <v>104</v>
      </c>
      <c r="L359" t="s">
        <v>143</v>
      </c>
      <c r="M359" t="s">
        <v>12</v>
      </c>
      <c r="N359" t="s">
        <v>85</v>
      </c>
      <c r="O359" t="s">
        <v>12</v>
      </c>
      <c r="P359" t="s">
        <v>70</v>
      </c>
      <c r="Q359">
        <v>12</v>
      </c>
      <c r="R359" t="s">
        <v>213</v>
      </c>
      <c r="S359" t="s">
        <v>13</v>
      </c>
      <c r="T359">
        <v>32</v>
      </c>
      <c r="U359" t="s">
        <v>28</v>
      </c>
      <c r="V359" t="s">
        <v>28</v>
      </c>
      <c r="W359">
        <v>30</v>
      </c>
      <c r="X359">
        <v>87.63</v>
      </c>
      <c r="Y359">
        <f>X359-83.51</f>
        <v>4.1199999999999903</v>
      </c>
    </row>
    <row r="360" spans="1:25" x14ac:dyDescent="0.2">
      <c r="A360" t="s">
        <v>102</v>
      </c>
      <c r="B360">
        <v>2016</v>
      </c>
      <c r="C360" t="s">
        <v>826</v>
      </c>
      <c r="D360" t="s">
        <v>812</v>
      </c>
      <c r="E360" t="s">
        <v>103</v>
      </c>
      <c r="F360" t="s">
        <v>312</v>
      </c>
      <c r="G360">
        <v>34.698675000000001</v>
      </c>
      <c r="H360">
        <v>138.98687100000001</v>
      </c>
      <c r="J360" t="s">
        <v>7</v>
      </c>
      <c r="K360" t="s">
        <v>104</v>
      </c>
      <c r="L360" t="s">
        <v>143</v>
      </c>
      <c r="M360" t="s">
        <v>172</v>
      </c>
      <c r="N360" t="s">
        <v>85</v>
      </c>
      <c r="O360" t="s">
        <v>106</v>
      </c>
      <c r="P360" t="s">
        <v>105</v>
      </c>
      <c r="Q360">
        <v>12</v>
      </c>
      <c r="R360" t="s">
        <v>213</v>
      </c>
      <c r="S360" t="s">
        <v>7</v>
      </c>
      <c r="T360">
        <v>4</v>
      </c>
      <c r="U360" t="s">
        <v>28</v>
      </c>
      <c r="V360" t="s">
        <v>28</v>
      </c>
      <c r="W360">
        <v>20</v>
      </c>
      <c r="X360">
        <v>1.454</v>
      </c>
      <c r="Y360">
        <f>1.703-X360</f>
        <v>0.24900000000000011</v>
      </c>
    </row>
    <row r="361" spans="1:25" x14ac:dyDescent="0.2">
      <c r="A361" t="s">
        <v>102</v>
      </c>
      <c r="B361">
        <v>2016</v>
      </c>
      <c r="C361" t="s">
        <v>826</v>
      </c>
      <c r="D361" t="s">
        <v>812</v>
      </c>
      <c r="E361" t="s">
        <v>103</v>
      </c>
      <c r="F361" t="s">
        <v>312</v>
      </c>
      <c r="G361">
        <v>34.698675000000001</v>
      </c>
      <c r="H361">
        <v>138.98687100000001</v>
      </c>
      <c r="J361" t="s">
        <v>14</v>
      </c>
      <c r="K361" t="s">
        <v>104</v>
      </c>
      <c r="L361" t="s">
        <v>143</v>
      </c>
      <c r="M361" t="s">
        <v>172</v>
      </c>
      <c r="N361" t="s">
        <v>85</v>
      </c>
      <c r="O361" t="s">
        <v>106</v>
      </c>
      <c r="P361" t="s">
        <v>105</v>
      </c>
      <c r="Q361">
        <v>12</v>
      </c>
      <c r="R361" t="s">
        <v>213</v>
      </c>
      <c r="S361" t="s">
        <v>9</v>
      </c>
      <c r="T361">
        <v>4</v>
      </c>
      <c r="U361" t="s">
        <v>28</v>
      </c>
      <c r="V361" t="s">
        <v>28</v>
      </c>
      <c r="W361">
        <v>26</v>
      </c>
      <c r="X361">
        <v>1.5129999999999999</v>
      </c>
      <c r="Y361">
        <f>1.699-X361</f>
        <v>0.18600000000000017</v>
      </c>
    </row>
    <row r="362" spans="1:25" x14ac:dyDescent="0.2">
      <c r="A362" t="s">
        <v>102</v>
      </c>
      <c r="B362">
        <v>2016</v>
      </c>
      <c r="C362" t="s">
        <v>826</v>
      </c>
      <c r="D362" t="s">
        <v>812</v>
      </c>
      <c r="E362" t="s">
        <v>103</v>
      </c>
      <c r="F362" t="s">
        <v>312</v>
      </c>
      <c r="G362">
        <v>34.698675000000001</v>
      </c>
      <c r="H362">
        <v>138.98687100000001</v>
      </c>
      <c r="J362" t="s">
        <v>14</v>
      </c>
      <c r="K362" t="s">
        <v>104</v>
      </c>
      <c r="L362" t="s">
        <v>143</v>
      </c>
      <c r="M362" t="s">
        <v>172</v>
      </c>
      <c r="N362" t="s">
        <v>85</v>
      </c>
      <c r="O362" t="s">
        <v>106</v>
      </c>
      <c r="P362" t="s">
        <v>105</v>
      </c>
      <c r="Q362">
        <v>12</v>
      </c>
      <c r="R362" t="s">
        <v>213</v>
      </c>
      <c r="S362" t="s">
        <v>27</v>
      </c>
      <c r="T362">
        <v>4</v>
      </c>
      <c r="U362" t="s">
        <v>28</v>
      </c>
      <c r="V362" t="s">
        <v>28</v>
      </c>
      <c r="W362">
        <v>28</v>
      </c>
      <c r="X362">
        <v>1.9970000000000001</v>
      </c>
      <c r="Y362">
        <f>2.275-X362</f>
        <v>0.2779999999999998</v>
      </c>
    </row>
    <row r="363" spans="1:25" x14ac:dyDescent="0.2">
      <c r="A363" t="s">
        <v>102</v>
      </c>
      <c r="B363">
        <v>2016</v>
      </c>
      <c r="C363" t="s">
        <v>826</v>
      </c>
      <c r="D363" t="s">
        <v>812</v>
      </c>
      <c r="E363" t="s">
        <v>103</v>
      </c>
      <c r="F363" t="s">
        <v>312</v>
      </c>
      <c r="G363">
        <v>34.698675000000001</v>
      </c>
      <c r="H363">
        <v>138.98687100000001</v>
      </c>
      <c r="J363" t="s">
        <v>14</v>
      </c>
      <c r="K363" t="s">
        <v>104</v>
      </c>
      <c r="L363" t="s">
        <v>143</v>
      </c>
      <c r="M363" t="s">
        <v>172</v>
      </c>
      <c r="N363" t="s">
        <v>85</v>
      </c>
      <c r="O363" t="s">
        <v>106</v>
      </c>
      <c r="P363" t="s">
        <v>105</v>
      </c>
      <c r="Q363">
        <v>12</v>
      </c>
      <c r="R363" t="s">
        <v>213</v>
      </c>
      <c r="S363" t="s">
        <v>13</v>
      </c>
      <c r="T363">
        <v>4</v>
      </c>
      <c r="U363" t="s">
        <v>28</v>
      </c>
      <c r="V363" t="s">
        <v>28</v>
      </c>
      <c r="W363">
        <v>30</v>
      </c>
      <c r="X363">
        <v>1</v>
      </c>
      <c r="Y363">
        <f>1.373-X363</f>
        <v>0.373</v>
      </c>
    </row>
    <row r="364" spans="1:25" x14ac:dyDescent="0.2">
      <c r="A364" t="s">
        <v>102</v>
      </c>
      <c r="B364">
        <v>2016</v>
      </c>
      <c r="C364" t="s">
        <v>826</v>
      </c>
      <c r="D364" t="s">
        <v>812</v>
      </c>
      <c r="E364" t="s">
        <v>103</v>
      </c>
      <c r="F364" t="s">
        <v>312</v>
      </c>
      <c r="G364">
        <v>34.698675000000001</v>
      </c>
      <c r="H364">
        <v>138.98687100000001</v>
      </c>
      <c r="J364" t="s">
        <v>7</v>
      </c>
      <c r="K364" t="s">
        <v>104</v>
      </c>
      <c r="L364" t="s">
        <v>143</v>
      </c>
      <c r="M364" t="s">
        <v>26</v>
      </c>
      <c r="N364" t="s">
        <v>85</v>
      </c>
      <c r="O364" t="s">
        <v>839</v>
      </c>
      <c r="P364" t="s">
        <v>72</v>
      </c>
      <c r="Q364">
        <v>12</v>
      </c>
      <c r="R364" t="s">
        <v>213</v>
      </c>
      <c r="S364" t="s">
        <v>7</v>
      </c>
      <c r="T364">
        <v>32</v>
      </c>
      <c r="U364" t="s">
        <v>28</v>
      </c>
      <c r="V364" t="s">
        <v>28</v>
      </c>
      <c r="W364">
        <v>20</v>
      </c>
      <c r="X364">
        <v>12.71</v>
      </c>
      <c r="Y364">
        <f>14.18-X364</f>
        <v>1.4699999999999989</v>
      </c>
    </row>
    <row r="365" spans="1:25" x14ac:dyDescent="0.2">
      <c r="A365" t="s">
        <v>102</v>
      </c>
      <c r="B365">
        <v>2016</v>
      </c>
      <c r="C365" t="s">
        <v>826</v>
      </c>
      <c r="D365" t="s">
        <v>812</v>
      </c>
      <c r="E365" t="s">
        <v>103</v>
      </c>
      <c r="F365" t="s">
        <v>312</v>
      </c>
      <c r="G365">
        <v>34.698675000000001</v>
      </c>
      <c r="H365">
        <v>138.98687100000001</v>
      </c>
      <c r="J365" t="s">
        <v>14</v>
      </c>
      <c r="K365" t="s">
        <v>104</v>
      </c>
      <c r="L365" t="s">
        <v>143</v>
      </c>
      <c r="M365" t="s">
        <v>26</v>
      </c>
      <c r="N365" t="s">
        <v>85</v>
      </c>
      <c r="O365" t="s">
        <v>839</v>
      </c>
      <c r="P365" t="s">
        <v>72</v>
      </c>
      <c r="Q365">
        <v>12</v>
      </c>
      <c r="R365" t="s">
        <v>213</v>
      </c>
      <c r="S365" t="s">
        <v>9</v>
      </c>
      <c r="T365">
        <v>32</v>
      </c>
      <c r="U365" t="s">
        <v>28</v>
      </c>
      <c r="V365" t="s">
        <v>28</v>
      </c>
      <c r="W365">
        <v>26</v>
      </c>
      <c r="X365">
        <v>11.94</v>
      </c>
      <c r="Y365">
        <f>13.06-X365</f>
        <v>1.120000000000001</v>
      </c>
    </row>
    <row r="366" spans="1:25" x14ac:dyDescent="0.2">
      <c r="A366" t="s">
        <v>102</v>
      </c>
      <c r="B366">
        <v>2016</v>
      </c>
      <c r="C366" t="s">
        <v>826</v>
      </c>
      <c r="D366" t="s">
        <v>812</v>
      </c>
      <c r="E366" t="s">
        <v>103</v>
      </c>
      <c r="F366" t="s">
        <v>312</v>
      </c>
      <c r="G366">
        <v>34.698675000000001</v>
      </c>
      <c r="H366">
        <v>138.98687100000001</v>
      </c>
      <c r="J366" t="s">
        <v>14</v>
      </c>
      <c r="K366" t="s">
        <v>104</v>
      </c>
      <c r="L366" t="s">
        <v>143</v>
      </c>
      <c r="M366" t="s">
        <v>26</v>
      </c>
      <c r="N366" t="s">
        <v>85</v>
      </c>
      <c r="O366" t="s">
        <v>839</v>
      </c>
      <c r="P366" t="s">
        <v>72</v>
      </c>
      <c r="Q366">
        <v>12</v>
      </c>
      <c r="R366" t="s">
        <v>213</v>
      </c>
      <c r="S366" t="s">
        <v>27</v>
      </c>
      <c r="T366">
        <v>32</v>
      </c>
      <c r="U366" t="s">
        <v>28</v>
      </c>
      <c r="V366" t="s">
        <v>28</v>
      </c>
      <c r="W366">
        <v>28</v>
      </c>
      <c r="X366">
        <v>7.92</v>
      </c>
      <c r="Y366">
        <f>9.16-X366</f>
        <v>1.2400000000000002</v>
      </c>
    </row>
    <row r="367" spans="1:25" x14ac:dyDescent="0.2">
      <c r="A367" t="s">
        <v>102</v>
      </c>
      <c r="B367">
        <v>2016</v>
      </c>
      <c r="C367" t="s">
        <v>826</v>
      </c>
      <c r="D367" t="s">
        <v>812</v>
      </c>
      <c r="E367" t="s">
        <v>103</v>
      </c>
      <c r="F367" t="s">
        <v>312</v>
      </c>
      <c r="G367">
        <v>34.698675000000001</v>
      </c>
      <c r="H367">
        <v>138.98687100000001</v>
      </c>
      <c r="J367" t="s">
        <v>14</v>
      </c>
      <c r="K367" t="s">
        <v>104</v>
      </c>
      <c r="L367" t="s">
        <v>143</v>
      </c>
      <c r="M367" t="s">
        <v>26</v>
      </c>
      <c r="N367" t="s">
        <v>85</v>
      </c>
      <c r="O367" t="s">
        <v>839</v>
      </c>
      <c r="P367" t="s">
        <v>72</v>
      </c>
      <c r="Q367">
        <v>12</v>
      </c>
      <c r="R367" t="s">
        <v>213</v>
      </c>
      <c r="S367" t="s">
        <v>13</v>
      </c>
      <c r="T367">
        <v>32</v>
      </c>
      <c r="U367" t="s">
        <v>28</v>
      </c>
      <c r="V367" t="s">
        <v>28</v>
      </c>
      <c r="W367">
        <v>30</v>
      </c>
      <c r="X367">
        <v>3.8</v>
      </c>
      <c r="Y367">
        <f>4.64-X367</f>
        <v>0.83999999999999986</v>
      </c>
    </row>
    <row r="368" spans="1:25" x14ac:dyDescent="0.2">
      <c r="A368" t="s">
        <v>102</v>
      </c>
      <c r="B368">
        <v>2016</v>
      </c>
      <c r="C368" t="s">
        <v>826</v>
      </c>
      <c r="D368" t="s">
        <v>812</v>
      </c>
      <c r="E368" t="s">
        <v>103</v>
      </c>
      <c r="F368" t="s">
        <v>312</v>
      </c>
      <c r="G368">
        <v>34.698675000000001</v>
      </c>
      <c r="H368">
        <v>138.98687100000001</v>
      </c>
      <c r="J368" t="s">
        <v>7</v>
      </c>
      <c r="K368" t="s">
        <v>104</v>
      </c>
      <c r="L368" t="s">
        <v>143</v>
      </c>
      <c r="M368" t="s">
        <v>638</v>
      </c>
      <c r="N368" s="6" t="s">
        <v>85</v>
      </c>
      <c r="O368" t="s">
        <v>107</v>
      </c>
      <c r="P368" t="s">
        <v>108</v>
      </c>
      <c r="Q368">
        <v>12</v>
      </c>
      <c r="R368" t="s">
        <v>213</v>
      </c>
      <c r="S368" t="s">
        <v>7</v>
      </c>
      <c r="T368">
        <v>4</v>
      </c>
      <c r="U368" t="s">
        <v>28</v>
      </c>
      <c r="V368" t="s">
        <v>28</v>
      </c>
      <c r="W368">
        <v>20</v>
      </c>
      <c r="X368">
        <v>3.091E-2</v>
      </c>
      <c r="Y368">
        <f>0.03331-X368</f>
        <v>2.3999999999999994E-3</v>
      </c>
    </row>
    <row r="369" spans="1:26" x14ac:dyDescent="0.2">
      <c r="A369" t="s">
        <v>102</v>
      </c>
      <c r="B369">
        <v>2016</v>
      </c>
      <c r="C369" t="s">
        <v>826</v>
      </c>
      <c r="D369" t="s">
        <v>812</v>
      </c>
      <c r="E369" t="s">
        <v>103</v>
      </c>
      <c r="F369" t="s">
        <v>312</v>
      </c>
      <c r="G369">
        <v>34.698675000000001</v>
      </c>
      <c r="H369">
        <v>138.98687100000001</v>
      </c>
      <c r="J369" t="s">
        <v>14</v>
      </c>
      <c r="K369" t="s">
        <v>104</v>
      </c>
      <c r="L369" t="s">
        <v>143</v>
      </c>
      <c r="M369" t="s">
        <v>638</v>
      </c>
      <c r="N369" s="6" t="s">
        <v>85</v>
      </c>
      <c r="O369" t="s">
        <v>107</v>
      </c>
      <c r="P369" t="s">
        <v>108</v>
      </c>
      <c r="Q369">
        <v>12</v>
      </c>
      <c r="R369" t="s">
        <v>213</v>
      </c>
      <c r="S369" t="s">
        <v>9</v>
      </c>
      <c r="T369">
        <v>4</v>
      </c>
      <c r="U369" t="s">
        <v>28</v>
      </c>
      <c r="V369" t="s">
        <v>28</v>
      </c>
      <c r="W369">
        <v>26</v>
      </c>
      <c r="X369">
        <v>3.4180000000000002E-2</v>
      </c>
      <c r="Y369">
        <f>0.03745-X369</f>
        <v>3.2699999999999951E-3</v>
      </c>
    </row>
    <row r="370" spans="1:26" x14ac:dyDescent="0.2">
      <c r="A370" t="s">
        <v>102</v>
      </c>
      <c r="B370">
        <v>2016</v>
      </c>
      <c r="C370" t="s">
        <v>826</v>
      </c>
      <c r="D370" t="s">
        <v>812</v>
      </c>
      <c r="E370" t="s">
        <v>103</v>
      </c>
      <c r="F370" t="s">
        <v>312</v>
      </c>
      <c r="G370">
        <v>34.698675000000001</v>
      </c>
      <c r="H370">
        <v>138.98687100000001</v>
      </c>
      <c r="J370" t="s">
        <v>14</v>
      </c>
      <c r="K370" t="s">
        <v>104</v>
      </c>
      <c r="L370" t="s">
        <v>143</v>
      </c>
      <c r="M370" t="s">
        <v>638</v>
      </c>
      <c r="N370" s="6" t="s">
        <v>85</v>
      </c>
      <c r="O370" t="s">
        <v>107</v>
      </c>
      <c r="P370" t="s">
        <v>108</v>
      </c>
      <c r="Q370">
        <v>12</v>
      </c>
      <c r="R370" t="s">
        <v>213</v>
      </c>
      <c r="S370" t="s">
        <v>27</v>
      </c>
      <c r="T370">
        <v>4</v>
      </c>
      <c r="U370" t="s">
        <v>28</v>
      </c>
      <c r="V370" t="s">
        <v>28</v>
      </c>
      <c r="W370">
        <v>28</v>
      </c>
      <c r="X370">
        <v>3.1980000000000001E-2</v>
      </c>
      <c r="Y370">
        <f>0.03371-X370</f>
        <v>1.7299999999999954E-3</v>
      </c>
    </row>
    <row r="371" spans="1:26" x14ac:dyDescent="0.2">
      <c r="A371" t="s">
        <v>102</v>
      </c>
      <c r="B371">
        <v>2016</v>
      </c>
      <c r="C371" t="s">
        <v>826</v>
      </c>
      <c r="D371" t="s">
        <v>812</v>
      </c>
      <c r="E371" t="s">
        <v>103</v>
      </c>
      <c r="F371" t="s">
        <v>312</v>
      </c>
      <c r="G371">
        <v>34.698675000000001</v>
      </c>
      <c r="H371">
        <v>138.98687100000001</v>
      </c>
      <c r="J371" t="s">
        <v>14</v>
      </c>
      <c r="K371" t="s">
        <v>104</v>
      </c>
      <c r="L371" t="s">
        <v>143</v>
      </c>
      <c r="M371" t="s">
        <v>638</v>
      </c>
      <c r="N371" s="6" t="s">
        <v>85</v>
      </c>
      <c r="O371" t="s">
        <v>107</v>
      </c>
      <c r="P371" t="s">
        <v>108</v>
      </c>
      <c r="Q371">
        <v>12</v>
      </c>
      <c r="R371" t="s">
        <v>213</v>
      </c>
      <c r="S371" t="s">
        <v>13</v>
      </c>
      <c r="T371">
        <v>4</v>
      </c>
      <c r="U371" t="s">
        <v>28</v>
      </c>
      <c r="V371" t="s">
        <v>28</v>
      </c>
      <c r="W371">
        <v>30</v>
      </c>
      <c r="X371">
        <v>3.1109999999999999E-2</v>
      </c>
      <c r="Y371">
        <f>0.03311-X371</f>
        <v>2.0000000000000018E-3</v>
      </c>
    </row>
    <row r="372" spans="1:26" x14ac:dyDescent="0.2">
      <c r="A372" t="s">
        <v>102</v>
      </c>
      <c r="B372">
        <v>2016</v>
      </c>
      <c r="C372" t="s">
        <v>826</v>
      </c>
      <c r="D372" t="s">
        <v>812</v>
      </c>
      <c r="E372" t="s">
        <v>103</v>
      </c>
      <c r="F372" t="s">
        <v>312</v>
      </c>
      <c r="G372">
        <v>34.698675000000001</v>
      </c>
      <c r="H372">
        <v>138.98687100000001</v>
      </c>
      <c r="J372" t="s">
        <v>7</v>
      </c>
      <c r="K372" t="s">
        <v>104</v>
      </c>
      <c r="L372" t="s">
        <v>143</v>
      </c>
      <c r="M372" t="s">
        <v>553</v>
      </c>
      <c r="N372" t="s">
        <v>85</v>
      </c>
      <c r="O372" t="s">
        <v>61</v>
      </c>
      <c r="P372" t="s">
        <v>109</v>
      </c>
      <c r="Q372">
        <v>12</v>
      </c>
      <c r="R372" t="s">
        <v>213</v>
      </c>
      <c r="S372" t="s">
        <v>7</v>
      </c>
      <c r="T372">
        <v>4</v>
      </c>
      <c r="U372" t="s">
        <v>28</v>
      </c>
      <c r="V372" t="s">
        <v>28</v>
      </c>
      <c r="W372">
        <v>20</v>
      </c>
      <c r="X372">
        <v>0.34250000000000003</v>
      </c>
      <c r="Y372">
        <f>0.3884-X372</f>
        <v>4.5899999999999996E-2</v>
      </c>
    </row>
    <row r="373" spans="1:26" x14ac:dyDescent="0.2">
      <c r="A373" t="s">
        <v>102</v>
      </c>
      <c r="B373">
        <v>2016</v>
      </c>
      <c r="C373" t="s">
        <v>826</v>
      </c>
      <c r="D373" t="s">
        <v>812</v>
      </c>
      <c r="E373" t="s">
        <v>103</v>
      </c>
      <c r="F373" t="s">
        <v>312</v>
      </c>
      <c r="G373">
        <v>34.698675000000001</v>
      </c>
      <c r="H373">
        <v>138.98687100000001</v>
      </c>
      <c r="J373" t="s">
        <v>14</v>
      </c>
      <c r="K373" t="s">
        <v>104</v>
      </c>
      <c r="L373" t="s">
        <v>143</v>
      </c>
      <c r="M373" t="s">
        <v>553</v>
      </c>
      <c r="N373" t="s">
        <v>85</v>
      </c>
      <c r="O373" t="s">
        <v>61</v>
      </c>
      <c r="P373" t="s">
        <v>109</v>
      </c>
      <c r="Q373">
        <v>12</v>
      </c>
      <c r="R373" t="s">
        <v>213</v>
      </c>
      <c r="S373" t="s">
        <v>9</v>
      </c>
      <c r="T373">
        <v>4</v>
      </c>
      <c r="U373" t="s">
        <v>28</v>
      </c>
      <c r="V373" t="s">
        <v>28</v>
      </c>
      <c r="W373">
        <v>26</v>
      </c>
      <c r="X373">
        <v>0.33260000000000001</v>
      </c>
      <c r="Y373">
        <f>0.3595-X373</f>
        <v>2.6899999999999979E-2</v>
      </c>
    </row>
    <row r="374" spans="1:26" x14ac:dyDescent="0.2">
      <c r="A374" t="s">
        <v>102</v>
      </c>
      <c r="B374">
        <v>2016</v>
      </c>
      <c r="C374" t="s">
        <v>826</v>
      </c>
      <c r="D374" t="s">
        <v>812</v>
      </c>
      <c r="E374" t="s">
        <v>103</v>
      </c>
      <c r="F374" t="s">
        <v>312</v>
      </c>
      <c r="G374">
        <v>34.698675000000001</v>
      </c>
      <c r="H374">
        <v>138.98687100000001</v>
      </c>
      <c r="J374" t="s">
        <v>14</v>
      </c>
      <c r="K374" t="s">
        <v>104</v>
      </c>
      <c r="L374" t="s">
        <v>143</v>
      </c>
      <c r="M374" t="s">
        <v>553</v>
      </c>
      <c r="N374" t="s">
        <v>85</v>
      </c>
      <c r="O374" t="s">
        <v>61</v>
      </c>
      <c r="P374" t="s">
        <v>109</v>
      </c>
      <c r="Q374">
        <v>12</v>
      </c>
      <c r="R374" t="s">
        <v>213</v>
      </c>
      <c r="S374" t="s">
        <v>27</v>
      </c>
      <c r="T374">
        <v>4</v>
      </c>
      <c r="U374" t="s">
        <v>28</v>
      </c>
      <c r="V374" t="s">
        <v>28</v>
      </c>
      <c r="W374">
        <v>28</v>
      </c>
      <c r="X374">
        <v>0.3644</v>
      </c>
      <c r="Y374">
        <f>0.416-X374</f>
        <v>5.1599999999999979E-2</v>
      </c>
    </row>
    <row r="375" spans="1:26" x14ac:dyDescent="0.2">
      <c r="A375" t="s">
        <v>102</v>
      </c>
      <c r="B375">
        <v>2016</v>
      </c>
      <c r="C375" t="s">
        <v>826</v>
      </c>
      <c r="D375" t="s">
        <v>812</v>
      </c>
      <c r="E375" t="s">
        <v>103</v>
      </c>
      <c r="F375" t="s">
        <v>312</v>
      </c>
      <c r="G375">
        <v>34.698675000000001</v>
      </c>
      <c r="H375">
        <v>138.98687100000001</v>
      </c>
      <c r="J375" t="s">
        <v>14</v>
      </c>
      <c r="K375" t="s">
        <v>104</v>
      </c>
      <c r="L375" t="s">
        <v>143</v>
      </c>
      <c r="M375" t="s">
        <v>553</v>
      </c>
      <c r="N375" t="s">
        <v>85</v>
      </c>
      <c r="O375" t="s">
        <v>61</v>
      </c>
      <c r="P375" t="s">
        <v>109</v>
      </c>
      <c r="Q375">
        <v>12</v>
      </c>
      <c r="R375" t="s">
        <v>213</v>
      </c>
      <c r="S375" t="s">
        <v>13</v>
      </c>
      <c r="T375">
        <v>4</v>
      </c>
      <c r="U375" t="s">
        <v>28</v>
      </c>
      <c r="V375" t="s">
        <v>28</v>
      </c>
      <c r="W375">
        <v>30</v>
      </c>
      <c r="X375">
        <v>0.32200000000000001</v>
      </c>
      <c r="Y375">
        <f>0.3581-X375</f>
        <v>3.6099999999999965E-2</v>
      </c>
    </row>
    <row r="376" spans="1:26" x14ac:dyDescent="0.2">
      <c r="A376" t="s">
        <v>439</v>
      </c>
      <c r="B376">
        <v>2019</v>
      </c>
      <c r="C376" t="s">
        <v>826</v>
      </c>
      <c r="D376" t="s">
        <v>812</v>
      </c>
      <c r="E376" t="s">
        <v>110</v>
      </c>
      <c r="F376" t="s">
        <v>313</v>
      </c>
      <c r="G376">
        <v>34.700000000000003</v>
      </c>
      <c r="H376">
        <v>126.13333299999999</v>
      </c>
      <c r="I376" t="s">
        <v>772</v>
      </c>
      <c r="J376" t="s">
        <v>7</v>
      </c>
      <c r="K376" t="s">
        <v>111</v>
      </c>
      <c r="L376" t="s">
        <v>143</v>
      </c>
      <c r="M376" t="s">
        <v>726</v>
      </c>
      <c r="N376" t="s">
        <v>85</v>
      </c>
      <c r="O376" t="s">
        <v>84</v>
      </c>
      <c r="Q376">
        <v>5</v>
      </c>
      <c r="R376" t="s">
        <v>213</v>
      </c>
      <c r="S376" t="s">
        <v>7</v>
      </c>
      <c r="T376">
        <v>3</v>
      </c>
      <c r="U376">
        <v>8.1</v>
      </c>
      <c r="V376">
        <v>360</v>
      </c>
      <c r="W376">
        <v>10</v>
      </c>
      <c r="X376">
        <v>0.58679999999999999</v>
      </c>
      <c r="Y376">
        <f t="shared" ref="Y376:Y407" si="7">Z376*SQRT(T376)</f>
        <v>2.2863070659909161E-2</v>
      </c>
      <c r="Z376">
        <f>0.6-X376</f>
        <v>1.319999999999999E-2</v>
      </c>
    </row>
    <row r="377" spans="1:26" x14ac:dyDescent="0.2">
      <c r="A377" t="s">
        <v>439</v>
      </c>
      <c r="B377">
        <v>2019</v>
      </c>
      <c r="C377" t="s">
        <v>826</v>
      </c>
      <c r="D377" t="s">
        <v>812</v>
      </c>
      <c r="E377" t="s">
        <v>110</v>
      </c>
      <c r="F377" t="s">
        <v>313</v>
      </c>
      <c r="G377">
        <v>34.700000000000003</v>
      </c>
      <c r="H377">
        <v>126.13333299999999</v>
      </c>
      <c r="I377" t="s">
        <v>772</v>
      </c>
      <c r="J377" t="s">
        <v>5</v>
      </c>
      <c r="K377" t="s">
        <v>111</v>
      </c>
      <c r="L377" t="s">
        <v>143</v>
      </c>
      <c r="M377" t="s">
        <v>726</v>
      </c>
      <c r="N377" t="s">
        <v>85</v>
      </c>
      <c r="O377" t="s">
        <v>84</v>
      </c>
      <c r="Q377">
        <v>5</v>
      </c>
      <c r="R377" t="s">
        <v>213</v>
      </c>
      <c r="S377" t="s">
        <v>9</v>
      </c>
      <c r="T377">
        <v>3</v>
      </c>
      <c r="U377">
        <v>7.83</v>
      </c>
      <c r="V377">
        <v>720</v>
      </c>
      <c r="W377" t="s">
        <v>28</v>
      </c>
      <c r="X377">
        <v>0.75600000000000001</v>
      </c>
      <c r="Y377">
        <f t="shared" si="7"/>
        <v>3.4294605989863836E-2</v>
      </c>
      <c r="Z377">
        <f>0.7758-X377</f>
        <v>1.980000000000004E-2</v>
      </c>
    </row>
    <row r="378" spans="1:26" x14ac:dyDescent="0.2">
      <c r="A378" t="s">
        <v>439</v>
      </c>
      <c r="B378">
        <v>2019</v>
      </c>
      <c r="C378" t="s">
        <v>826</v>
      </c>
      <c r="D378" t="s">
        <v>812</v>
      </c>
      <c r="E378" t="s">
        <v>110</v>
      </c>
      <c r="F378" t="s">
        <v>313</v>
      </c>
      <c r="G378">
        <v>34.700000000000003</v>
      </c>
      <c r="H378">
        <v>126.13333299999999</v>
      </c>
      <c r="I378" t="s">
        <v>772</v>
      </c>
      <c r="J378" t="s">
        <v>5</v>
      </c>
      <c r="K378" t="s">
        <v>111</v>
      </c>
      <c r="L378" t="s">
        <v>143</v>
      </c>
      <c r="M378" t="s">
        <v>726</v>
      </c>
      <c r="N378" t="s">
        <v>85</v>
      </c>
      <c r="O378" t="s">
        <v>84</v>
      </c>
      <c r="Q378">
        <v>5</v>
      </c>
      <c r="R378" t="s">
        <v>213</v>
      </c>
      <c r="S378" t="s">
        <v>27</v>
      </c>
      <c r="T378">
        <v>3</v>
      </c>
      <c r="U378">
        <v>7.7</v>
      </c>
      <c r="V378">
        <v>980</v>
      </c>
      <c r="W378" t="s">
        <v>28</v>
      </c>
      <c r="X378">
        <v>0.61319999999999997</v>
      </c>
      <c r="Y378">
        <f t="shared" si="7"/>
        <v>3.0484094213212343E-2</v>
      </c>
      <c r="Z378">
        <f>0.6308-X378</f>
        <v>1.760000000000006E-2</v>
      </c>
    </row>
    <row r="379" spans="1:26" x14ac:dyDescent="0.2">
      <c r="A379" t="s">
        <v>439</v>
      </c>
      <c r="B379">
        <v>2019</v>
      </c>
      <c r="C379" t="s">
        <v>826</v>
      </c>
      <c r="D379" t="s">
        <v>812</v>
      </c>
      <c r="E379" t="s">
        <v>110</v>
      </c>
      <c r="F379" t="s">
        <v>313</v>
      </c>
      <c r="G379">
        <v>34.700000000000003</v>
      </c>
      <c r="H379">
        <v>126.13333299999999</v>
      </c>
      <c r="I379" t="s">
        <v>772</v>
      </c>
      <c r="J379" t="s">
        <v>14</v>
      </c>
      <c r="K379" t="s">
        <v>111</v>
      </c>
      <c r="L379" t="s">
        <v>143</v>
      </c>
      <c r="M379" t="s">
        <v>726</v>
      </c>
      <c r="N379" t="s">
        <v>85</v>
      </c>
      <c r="O379" t="s">
        <v>84</v>
      </c>
      <c r="Q379">
        <v>5</v>
      </c>
      <c r="R379" t="s">
        <v>213</v>
      </c>
      <c r="S379" t="s">
        <v>13</v>
      </c>
      <c r="T379">
        <v>3</v>
      </c>
      <c r="U379" t="s">
        <v>28</v>
      </c>
      <c r="V379" t="s">
        <v>28</v>
      </c>
      <c r="W379">
        <v>15</v>
      </c>
      <c r="X379">
        <v>0.52310000000000001</v>
      </c>
      <c r="Y379">
        <f t="shared" si="7"/>
        <v>4.1915629543166827E-2</v>
      </c>
      <c r="Z379">
        <f>0.5473-X379</f>
        <v>2.4199999999999999E-2</v>
      </c>
    </row>
    <row r="380" spans="1:26" x14ac:dyDescent="0.2">
      <c r="A380" t="s">
        <v>439</v>
      </c>
      <c r="B380">
        <v>2019</v>
      </c>
      <c r="C380" t="s">
        <v>826</v>
      </c>
      <c r="D380" t="s">
        <v>812</v>
      </c>
      <c r="E380" t="s">
        <v>110</v>
      </c>
      <c r="F380" t="s">
        <v>313</v>
      </c>
      <c r="G380">
        <v>34.700000000000003</v>
      </c>
      <c r="H380">
        <v>126.13333299999999</v>
      </c>
      <c r="I380" t="s">
        <v>772</v>
      </c>
      <c r="J380" t="s">
        <v>16</v>
      </c>
      <c r="K380" t="s">
        <v>111</v>
      </c>
      <c r="L380" t="s">
        <v>143</v>
      </c>
      <c r="M380" t="s">
        <v>726</v>
      </c>
      <c r="N380" t="s">
        <v>85</v>
      </c>
      <c r="O380" t="s">
        <v>84</v>
      </c>
      <c r="Q380">
        <v>5</v>
      </c>
      <c r="R380" t="s">
        <v>213</v>
      </c>
      <c r="S380" t="s">
        <v>15</v>
      </c>
      <c r="T380">
        <v>3</v>
      </c>
      <c r="U380">
        <v>7.83</v>
      </c>
      <c r="V380">
        <v>720</v>
      </c>
      <c r="W380">
        <v>15</v>
      </c>
      <c r="X380">
        <v>0.66369999999999996</v>
      </c>
      <c r="Y380">
        <f t="shared" si="7"/>
        <v>1.1431535329954676E-2</v>
      </c>
      <c r="Z380">
        <f>0.6703-X380</f>
        <v>6.6000000000000503E-3</v>
      </c>
    </row>
    <row r="381" spans="1:26" x14ac:dyDescent="0.2">
      <c r="A381" t="s">
        <v>439</v>
      </c>
      <c r="B381">
        <v>2019</v>
      </c>
      <c r="C381" t="s">
        <v>826</v>
      </c>
      <c r="D381" t="s">
        <v>812</v>
      </c>
      <c r="E381" t="s">
        <v>110</v>
      </c>
      <c r="F381" t="s">
        <v>313</v>
      </c>
      <c r="G381">
        <v>34.700000000000003</v>
      </c>
      <c r="H381">
        <v>126.13333299999999</v>
      </c>
      <c r="I381" t="s">
        <v>772</v>
      </c>
      <c r="J381" t="s">
        <v>16</v>
      </c>
      <c r="K381" t="s">
        <v>111</v>
      </c>
      <c r="L381" t="s">
        <v>143</v>
      </c>
      <c r="M381" t="s">
        <v>726</v>
      </c>
      <c r="N381" t="s">
        <v>85</v>
      </c>
      <c r="O381" t="s">
        <v>84</v>
      </c>
      <c r="Q381">
        <v>5</v>
      </c>
      <c r="R381" t="s">
        <v>213</v>
      </c>
      <c r="S381" t="s">
        <v>37</v>
      </c>
      <c r="T381">
        <v>3</v>
      </c>
      <c r="U381">
        <v>7.71</v>
      </c>
      <c r="V381">
        <v>980</v>
      </c>
      <c r="W381">
        <v>15</v>
      </c>
      <c r="X381">
        <v>0.50109999999999999</v>
      </c>
      <c r="Y381">
        <f t="shared" si="7"/>
        <v>1.1431535329954676E-2</v>
      </c>
      <c r="Z381">
        <f>0.5077-X381</f>
        <v>6.6000000000000503E-3</v>
      </c>
    </row>
    <row r="382" spans="1:26" x14ac:dyDescent="0.2">
      <c r="A382" t="s">
        <v>439</v>
      </c>
      <c r="B382">
        <v>2019</v>
      </c>
      <c r="C382" t="s">
        <v>826</v>
      </c>
      <c r="D382" t="s">
        <v>812</v>
      </c>
      <c r="E382" t="s">
        <v>110</v>
      </c>
      <c r="F382" t="s">
        <v>313</v>
      </c>
      <c r="G382">
        <v>34.700000000000003</v>
      </c>
      <c r="H382">
        <v>126.13333299999999</v>
      </c>
      <c r="I382" t="s">
        <v>772</v>
      </c>
      <c r="J382" t="s">
        <v>7</v>
      </c>
      <c r="K382" t="s">
        <v>111</v>
      </c>
      <c r="L382" t="s">
        <v>143</v>
      </c>
      <c r="M382" t="s">
        <v>726</v>
      </c>
      <c r="N382" t="s">
        <v>85</v>
      </c>
      <c r="O382" t="s">
        <v>112</v>
      </c>
      <c r="Q382">
        <v>5</v>
      </c>
      <c r="R382" t="s">
        <v>213</v>
      </c>
      <c r="S382" t="s">
        <v>7</v>
      </c>
      <c r="T382">
        <v>3</v>
      </c>
      <c r="U382">
        <v>8.1</v>
      </c>
      <c r="V382">
        <v>360</v>
      </c>
      <c r="W382">
        <v>10</v>
      </c>
      <c r="X382">
        <v>112.95</v>
      </c>
      <c r="Y382">
        <f t="shared" si="7"/>
        <v>9.353074360871922</v>
      </c>
      <c r="Z382">
        <f>118.35-X382</f>
        <v>5.3999999999999915</v>
      </c>
    </row>
    <row r="383" spans="1:26" x14ac:dyDescent="0.2">
      <c r="A383" t="s">
        <v>439</v>
      </c>
      <c r="B383">
        <v>2019</v>
      </c>
      <c r="C383" t="s">
        <v>826</v>
      </c>
      <c r="D383" t="s">
        <v>812</v>
      </c>
      <c r="E383" t="s">
        <v>110</v>
      </c>
      <c r="F383" t="s">
        <v>313</v>
      </c>
      <c r="G383">
        <v>34.700000000000003</v>
      </c>
      <c r="H383">
        <v>126.13333299999999</v>
      </c>
      <c r="I383" t="s">
        <v>772</v>
      </c>
      <c r="J383" t="s">
        <v>5</v>
      </c>
      <c r="K383" t="s">
        <v>111</v>
      </c>
      <c r="L383" t="s">
        <v>143</v>
      </c>
      <c r="M383" t="s">
        <v>726</v>
      </c>
      <c r="N383" t="s">
        <v>85</v>
      </c>
      <c r="O383" t="s">
        <v>112</v>
      </c>
      <c r="Q383">
        <v>5</v>
      </c>
      <c r="R383" t="s">
        <v>213</v>
      </c>
      <c r="S383" t="s">
        <v>9</v>
      </c>
      <c r="T383">
        <v>3</v>
      </c>
      <c r="U383">
        <v>7.83</v>
      </c>
      <c r="V383">
        <v>720</v>
      </c>
      <c r="W383" t="s">
        <v>28</v>
      </c>
      <c r="X383">
        <v>137.41</v>
      </c>
      <c r="Y383">
        <f t="shared" si="7"/>
        <v>26.794825993090527</v>
      </c>
      <c r="Z383">
        <f>152.88-X383</f>
        <v>15.469999999999999</v>
      </c>
    </row>
    <row r="384" spans="1:26" x14ac:dyDescent="0.2">
      <c r="A384" t="s">
        <v>439</v>
      </c>
      <c r="B384">
        <v>2019</v>
      </c>
      <c r="C384" t="s">
        <v>826</v>
      </c>
      <c r="D384" t="s">
        <v>812</v>
      </c>
      <c r="E384" t="s">
        <v>110</v>
      </c>
      <c r="F384" t="s">
        <v>313</v>
      </c>
      <c r="G384">
        <v>34.700000000000003</v>
      </c>
      <c r="H384">
        <v>126.13333299999999</v>
      </c>
      <c r="I384" t="s">
        <v>772</v>
      </c>
      <c r="J384" t="s">
        <v>5</v>
      </c>
      <c r="K384" t="s">
        <v>111</v>
      </c>
      <c r="L384" t="s">
        <v>143</v>
      </c>
      <c r="M384" t="s">
        <v>726</v>
      </c>
      <c r="N384" t="s">
        <v>85</v>
      </c>
      <c r="O384" t="s">
        <v>112</v>
      </c>
      <c r="Q384">
        <v>5</v>
      </c>
      <c r="R384" t="s">
        <v>213</v>
      </c>
      <c r="S384" t="s">
        <v>27</v>
      </c>
      <c r="T384">
        <v>3</v>
      </c>
      <c r="U384">
        <v>7.7</v>
      </c>
      <c r="V384">
        <v>980</v>
      </c>
      <c r="W384" t="s">
        <v>28</v>
      </c>
      <c r="X384">
        <v>103.6</v>
      </c>
      <c r="Y384">
        <f t="shared" si="7"/>
        <v>16.194675050769018</v>
      </c>
      <c r="Z384">
        <f>112.95-X384</f>
        <v>9.3500000000000085</v>
      </c>
    </row>
    <row r="385" spans="1:26" x14ac:dyDescent="0.2">
      <c r="A385" t="s">
        <v>439</v>
      </c>
      <c r="B385">
        <v>2019</v>
      </c>
      <c r="C385" t="s">
        <v>826</v>
      </c>
      <c r="D385" t="s">
        <v>812</v>
      </c>
      <c r="E385" t="s">
        <v>110</v>
      </c>
      <c r="F385" t="s">
        <v>313</v>
      </c>
      <c r="G385">
        <v>34.700000000000003</v>
      </c>
      <c r="H385">
        <v>126.13333299999999</v>
      </c>
      <c r="I385" t="s">
        <v>772</v>
      </c>
      <c r="J385" t="s">
        <v>14</v>
      </c>
      <c r="K385" t="s">
        <v>111</v>
      </c>
      <c r="L385" t="s">
        <v>143</v>
      </c>
      <c r="M385" t="s">
        <v>726</v>
      </c>
      <c r="N385" t="s">
        <v>85</v>
      </c>
      <c r="O385" t="s">
        <v>112</v>
      </c>
      <c r="Q385">
        <v>5</v>
      </c>
      <c r="R385" t="s">
        <v>213</v>
      </c>
      <c r="S385" t="s">
        <v>13</v>
      </c>
      <c r="T385">
        <v>3</v>
      </c>
      <c r="U385" t="s">
        <v>28</v>
      </c>
      <c r="V385" t="s">
        <v>28</v>
      </c>
      <c r="W385">
        <v>15</v>
      </c>
      <c r="X385">
        <v>106.47</v>
      </c>
      <c r="Y385">
        <f t="shared" si="7"/>
        <v>9.9766126515967422</v>
      </c>
      <c r="Z385">
        <f>112.23-X385</f>
        <v>5.7600000000000051</v>
      </c>
    </row>
    <row r="386" spans="1:26" x14ac:dyDescent="0.2">
      <c r="A386" t="s">
        <v>439</v>
      </c>
      <c r="B386">
        <v>2019</v>
      </c>
      <c r="C386" t="s">
        <v>826</v>
      </c>
      <c r="D386" t="s">
        <v>812</v>
      </c>
      <c r="E386" t="s">
        <v>110</v>
      </c>
      <c r="F386" t="s">
        <v>313</v>
      </c>
      <c r="G386">
        <v>34.700000000000003</v>
      </c>
      <c r="H386">
        <v>126.13333299999999</v>
      </c>
      <c r="I386" t="s">
        <v>772</v>
      </c>
      <c r="J386" t="s">
        <v>16</v>
      </c>
      <c r="K386" t="s">
        <v>111</v>
      </c>
      <c r="L386" t="s">
        <v>143</v>
      </c>
      <c r="M386" t="s">
        <v>726</v>
      </c>
      <c r="N386" t="s">
        <v>85</v>
      </c>
      <c r="O386" t="s">
        <v>112</v>
      </c>
      <c r="Q386">
        <v>5</v>
      </c>
      <c r="R386" t="s">
        <v>213</v>
      </c>
      <c r="S386" t="s">
        <v>15</v>
      </c>
      <c r="T386">
        <v>3</v>
      </c>
      <c r="U386">
        <v>7.83</v>
      </c>
      <c r="V386">
        <v>720</v>
      </c>
      <c r="W386">
        <v>15</v>
      </c>
      <c r="X386">
        <v>118.35</v>
      </c>
      <c r="Y386">
        <f t="shared" si="7"/>
        <v>14.324060178594632</v>
      </c>
      <c r="Z386">
        <f>126.62-X386</f>
        <v>8.2700000000000102</v>
      </c>
    </row>
    <row r="387" spans="1:26" x14ac:dyDescent="0.2">
      <c r="A387" t="s">
        <v>439</v>
      </c>
      <c r="B387">
        <v>2019</v>
      </c>
      <c r="C387" t="s">
        <v>826</v>
      </c>
      <c r="D387" t="s">
        <v>812</v>
      </c>
      <c r="E387" t="s">
        <v>110</v>
      </c>
      <c r="F387" t="s">
        <v>313</v>
      </c>
      <c r="G387">
        <v>34.700000000000003</v>
      </c>
      <c r="H387">
        <v>126.13333299999999</v>
      </c>
      <c r="I387" t="s">
        <v>772</v>
      </c>
      <c r="J387" t="s">
        <v>16</v>
      </c>
      <c r="K387" t="s">
        <v>111</v>
      </c>
      <c r="L387" t="s">
        <v>143</v>
      </c>
      <c r="M387" t="s">
        <v>726</v>
      </c>
      <c r="N387" t="s">
        <v>85</v>
      </c>
      <c r="O387" t="s">
        <v>112</v>
      </c>
      <c r="Q387">
        <v>5</v>
      </c>
      <c r="R387" t="s">
        <v>213</v>
      </c>
      <c r="S387" t="s">
        <v>37</v>
      </c>
      <c r="T387">
        <v>3</v>
      </c>
      <c r="U387">
        <v>7.71</v>
      </c>
      <c r="V387">
        <v>980</v>
      </c>
      <c r="W387">
        <v>15</v>
      </c>
      <c r="X387">
        <v>51.8</v>
      </c>
      <c r="Y387">
        <f t="shared" si="7"/>
        <v>16.818213341493799</v>
      </c>
      <c r="Z387">
        <f>61.51-X387</f>
        <v>9.7100000000000009</v>
      </c>
    </row>
    <row r="388" spans="1:26" x14ac:dyDescent="0.2">
      <c r="A388" t="s">
        <v>439</v>
      </c>
      <c r="B388">
        <v>2019</v>
      </c>
      <c r="C388" t="s">
        <v>826</v>
      </c>
      <c r="D388" t="s">
        <v>812</v>
      </c>
      <c r="E388" t="s">
        <v>110</v>
      </c>
      <c r="F388" t="s">
        <v>313</v>
      </c>
      <c r="G388">
        <v>34.700000000000003</v>
      </c>
      <c r="H388">
        <v>126.13333299999999</v>
      </c>
      <c r="I388" t="s">
        <v>772</v>
      </c>
      <c r="J388" t="s">
        <v>7</v>
      </c>
      <c r="K388" t="s">
        <v>41</v>
      </c>
      <c r="L388" t="s">
        <v>3</v>
      </c>
      <c r="M388" t="s">
        <v>26</v>
      </c>
      <c r="N388" t="s">
        <v>85</v>
      </c>
      <c r="O388" s="6" t="s">
        <v>462</v>
      </c>
      <c r="P388" t="s">
        <v>113</v>
      </c>
      <c r="Q388">
        <v>10</v>
      </c>
      <c r="R388" t="s">
        <v>213</v>
      </c>
      <c r="S388" t="s">
        <v>7</v>
      </c>
      <c r="T388">
        <v>4</v>
      </c>
      <c r="U388">
        <v>8.1</v>
      </c>
      <c r="V388">
        <v>360</v>
      </c>
      <c r="W388">
        <v>15</v>
      </c>
      <c r="X388">
        <v>2.1789999999999998</v>
      </c>
      <c r="Y388">
        <f t="shared" si="7"/>
        <v>4.8000000000000397E-2</v>
      </c>
      <c r="Z388">
        <v>2.4000000000000198E-2</v>
      </c>
    </row>
    <row r="389" spans="1:26" x14ac:dyDescent="0.2">
      <c r="A389" t="s">
        <v>439</v>
      </c>
      <c r="B389">
        <v>2019</v>
      </c>
      <c r="C389" t="s">
        <v>826</v>
      </c>
      <c r="D389" t="s">
        <v>812</v>
      </c>
      <c r="E389" t="s">
        <v>110</v>
      </c>
      <c r="F389" t="s">
        <v>313</v>
      </c>
      <c r="G389">
        <v>34.700000000000003</v>
      </c>
      <c r="H389">
        <v>126.13333299999999</v>
      </c>
      <c r="I389" t="s">
        <v>772</v>
      </c>
      <c r="J389" t="s">
        <v>5</v>
      </c>
      <c r="K389" t="s">
        <v>41</v>
      </c>
      <c r="L389" t="s">
        <v>3</v>
      </c>
      <c r="M389" t="s">
        <v>26</v>
      </c>
      <c r="N389" t="s">
        <v>85</v>
      </c>
      <c r="O389" s="6" t="s">
        <v>462</v>
      </c>
      <c r="P389" t="s">
        <v>113</v>
      </c>
      <c r="Q389">
        <v>10</v>
      </c>
      <c r="R389" t="s">
        <v>213</v>
      </c>
      <c r="S389" t="s">
        <v>9</v>
      </c>
      <c r="T389">
        <v>4</v>
      </c>
      <c r="U389">
        <v>7.83</v>
      </c>
      <c r="V389">
        <v>720</v>
      </c>
      <c r="W389" t="s">
        <v>28</v>
      </c>
      <c r="X389">
        <v>1.7920000000000003</v>
      </c>
      <c r="Y389">
        <f t="shared" si="7"/>
        <v>3.1999999999999321E-2</v>
      </c>
      <c r="Z389">
        <v>1.599999999999966E-2</v>
      </c>
    </row>
    <row r="390" spans="1:26" x14ac:dyDescent="0.2">
      <c r="A390" t="s">
        <v>439</v>
      </c>
      <c r="B390">
        <v>2019</v>
      </c>
      <c r="C390" t="s">
        <v>826</v>
      </c>
      <c r="D390" t="s">
        <v>812</v>
      </c>
      <c r="E390" t="s">
        <v>110</v>
      </c>
      <c r="F390" t="s">
        <v>313</v>
      </c>
      <c r="G390">
        <v>34.700000000000003</v>
      </c>
      <c r="H390">
        <v>126.13333299999999</v>
      </c>
      <c r="I390" t="s">
        <v>772</v>
      </c>
      <c r="J390" t="s">
        <v>5</v>
      </c>
      <c r="K390" t="s">
        <v>41</v>
      </c>
      <c r="L390" t="s">
        <v>3</v>
      </c>
      <c r="M390" t="s">
        <v>26</v>
      </c>
      <c r="N390" t="s">
        <v>85</v>
      </c>
      <c r="O390" s="6" t="s">
        <v>462</v>
      </c>
      <c r="P390" t="s">
        <v>113</v>
      </c>
      <c r="Q390">
        <v>10</v>
      </c>
      <c r="R390" t="s">
        <v>213</v>
      </c>
      <c r="S390" t="s">
        <v>27</v>
      </c>
      <c r="T390">
        <v>4</v>
      </c>
      <c r="U390">
        <v>7.71</v>
      </c>
      <c r="V390">
        <v>980</v>
      </c>
      <c r="W390" t="s">
        <v>28</v>
      </c>
      <c r="X390">
        <v>1.405</v>
      </c>
      <c r="Y390">
        <f t="shared" si="7"/>
        <v>2.3999999999999844E-2</v>
      </c>
      <c r="Z390">
        <v>1.1999999999999922E-2</v>
      </c>
    </row>
    <row r="391" spans="1:26" x14ac:dyDescent="0.2">
      <c r="A391" t="s">
        <v>439</v>
      </c>
      <c r="B391">
        <v>2019</v>
      </c>
      <c r="C391" t="s">
        <v>826</v>
      </c>
      <c r="D391" t="s">
        <v>812</v>
      </c>
      <c r="E391" t="s">
        <v>110</v>
      </c>
      <c r="F391" t="s">
        <v>313</v>
      </c>
      <c r="G391">
        <v>34.700000000000003</v>
      </c>
      <c r="H391">
        <v>126.13333299999999</v>
      </c>
      <c r="I391" t="s">
        <v>772</v>
      </c>
      <c r="J391" t="s">
        <v>14</v>
      </c>
      <c r="K391" t="s">
        <v>41</v>
      </c>
      <c r="L391" t="s">
        <v>3</v>
      </c>
      <c r="M391" t="s">
        <v>26</v>
      </c>
      <c r="N391" t="s">
        <v>85</v>
      </c>
      <c r="O391" s="6" t="s">
        <v>462</v>
      </c>
      <c r="P391" t="s">
        <v>113</v>
      </c>
      <c r="Q391">
        <v>10</v>
      </c>
      <c r="R391" t="s">
        <v>213</v>
      </c>
      <c r="S391" t="s">
        <v>13</v>
      </c>
      <c r="T391">
        <v>4</v>
      </c>
      <c r="U391" t="s">
        <v>28</v>
      </c>
      <c r="V391" t="s">
        <v>28</v>
      </c>
      <c r="W391">
        <v>20</v>
      </c>
      <c r="X391">
        <v>1.8510000000000002</v>
      </c>
      <c r="Y391">
        <f t="shared" si="7"/>
        <v>0.10399999999999991</v>
      </c>
      <c r="Z391">
        <v>5.1999999999999956E-2</v>
      </c>
    </row>
    <row r="392" spans="1:26" x14ac:dyDescent="0.2">
      <c r="A392" t="s">
        <v>439</v>
      </c>
      <c r="B392">
        <v>2019</v>
      </c>
      <c r="C392" t="s">
        <v>826</v>
      </c>
      <c r="D392" t="s">
        <v>812</v>
      </c>
      <c r="E392" t="s">
        <v>110</v>
      </c>
      <c r="F392" t="s">
        <v>313</v>
      </c>
      <c r="G392">
        <v>34.700000000000003</v>
      </c>
      <c r="H392">
        <v>126.13333299999999</v>
      </c>
      <c r="I392" t="s">
        <v>772</v>
      </c>
      <c r="J392" t="s">
        <v>16</v>
      </c>
      <c r="K392" t="s">
        <v>41</v>
      </c>
      <c r="L392" t="s">
        <v>3</v>
      </c>
      <c r="M392" t="s">
        <v>26</v>
      </c>
      <c r="N392" t="s">
        <v>85</v>
      </c>
      <c r="O392" s="6" t="s">
        <v>462</v>
      </c>
      <c r="P392" t="s">
        <v>113</v>
      </c>
      <c r="Q392">
        <v>10</v>
      </c>
      <c r="R392" t="s">
        <v>213</v>
      </c>
      <c r="S392" t="s">
        <v>15</v>
      </c>
      <c r="T392">
        <v>4</v>
      </c>
      <c r="U392">
        <v>7.84</v>
      </c>
      <c r="V392">
        <v>720</v>
      </c>
      <c r="W392">
        <v>20</v>
      </c>
      <c r="X392">
        <v>1.3420000000000001</v>
      </c>
      <c r="Y392">
        <f t="shared" si="7"/>
        <v>2.3999999999999844E-2</v>
      </c>
      <c r="Z392">
        <v>1.1999999999999922E-2</v>
      </c>
    </row>
    <row r="393" spans="1:26" x14ac:dyDescent="0.2">
      <c r="A393" t="s">
        <v>439</v>
      </c>
      <c r="B393">
        <v>2019</v>
      </c>
      <c r="C393" t="s">
        <v>826</v>
      </c>
      <c r="D393" t="s">
        <v>812</v>
      </c>
      <c r="E393" t="s">
        <v>110</v>
      </c>
      <c r="F393" t="s">
        <v>313</v>
      </c>
      <c r="G393">
        <v>34.700000000000003</v>
      </c>
      <c r="H393">
        <v>126.13333299999999</v>
      </c>
      <c r="I393" t="s">
        <v>772</v>
      </c>
      <c r="J393" t="s">
        <v>16</v>
      </c>
      <c r="K393" t="s">
        <v>41</v>
      </c>
      <c r="L393" t="s">
        <v>3</v>
      </c>
      <c r="M393" t="s">
        <v>26</v>
      </c>
      <c r="N393" t="s">
        <v>85</v>
      </c>
      <c r="O393" s="6" t="s">
        <v>462</v>
      </c>
      <c r="P393" t="s">
        <v>113</v>
      </c>
      <c r="Q393">
        <v>10</v>
      </c>
      <c r="R393" t="s">
        <v>213</v>
      </c>
      <c r="S393" t="s">
        <v>37</v>
      </c>
      <c r="T393">
        <v>4</v>
      </c>
      <c r="U393">
        <v>7.72</v>
      </c>
      <c r="V393">
        <v>980</v>
      </c>
      <c r="W393">
        <v>20</v>
      </c>
      <c r="X393">
        <v>0.87200000000000011</v>
      </c>
      <c r="Y393">
        <f t="shared" si="7"/>
        <v>3.2000000000000028E-2</v>
      </c>
      <c r="Z393">
        <v>1.6000000000000014E-2</v>
      </c>
    </row>
    <row r="394" spans="1:26" x14ac:dyDescent="0.2">
      <c r="A394" t="s">
        <v>438</v>
      </c>
      <c r="B394">
        <v>2019</v>
      </c>
      <c r="C394" t="s">
        <v>826</v>
      </c>
      <c r="D394" t="s">
        <v>824</v>
      </c>
      <c r="E394" t="s">
        <v>114</v>
      </c>
      <c r="F394" t="s">
        <v>313</v>
      </c>
      <c r="G394">
        <v>34.416666999999997</v>
      </c>
      <c r="H394">
        <v>126.833333</v>
      </c>
      <c r="I394" t="s">
        <v>772</v>
      </c>
      <c r="J394" t="s">
        <v>7</v>
      </c>
      <c r="K394" t="s">
        <v>115</v>
      </c>
      <c r="L394" t="s">
        <v>143</v>
      </c>
      <c r="M394" t="s">
        <v>726</v>
      </c>
      <c r="N394" t="s">
        <v>85</v>
      </c>
      <c r="O394" t="s">
        <v>84</v>
      </c>
      <c r="Q394">
        <v>5</v>
      </c>
      <c r="R394" t="s">
        <v>213</v>
      </c>
      <c r="S394" t="s">
        <v>7</v>
      </c>
      <c r="T394">
        <v>3</v>
      </c>
      <c r="U394">
        <v>8.06</v>
      </c>
      <c r="V394">
        <v>360</v>
      </c>
      <c r="W394">
        <v>10</v>
      </c>
      <c r="X394">
        <v>0.59660000000000002</v>
      </c>
      <c r="Y394">
        <f t="shared" si="7"/>
        <v>2.5980762113532218E-3</v>
      </c>
      <c r="Z394">
        <f>0.5981-X394</f>
        <v>1.4999999999999458E-3</v>
      </c>
    </row>
    <row r="395" spans="1:26" x14ac:dyDescent="0.2">
      <c r="A395" t="s">
        <v>438</v>
      </c>
      <c r="B395">
        <v>2019</v>
      </c>
      <c r="C395" t="s">
        <v>826</v>
      </c>
      <c r="D395" t="s">
        <v>824</v>
      </c>
      <c r="E395" t="s">
        <v>114</v>
      </c>
      <c r="F395" t="s">
        <v>313</v>
      </c>
      <c r="G395">
        <v>34.416666999999997</v>
      </c>
      <c r="H395">
        <v>126.833333</v>
      </c>
      <c r="I395" t="s">
        <v>772</v>
      </c>
      <c r="J395" t="s">
        <v>14</v>
      </c>
      <c r="K395" t="s">
        <v>115</v>
      </c>
      <c r="L395" t="s">
        <v>143</v>
      </c>
      <c r="M395" t="s">
        <v>726</v>
      </c>
      <c r="N395" t="s">
        <v>85</v>
      </c>
      <c r="O395" t="s">
        <v>84</v>
      </c>
      <c r="Q395">
        <v>5</v>
      </c>
      <c r="R395" t="s">
        <v>213</v>
      </c>
      <c r="S395" t="s">
        <v>9</v>
      </c>
      <c r="T395">
        <v>3</v>
      </c>
      <c r="U395" t="s">
        <v>28</v>
      </c>
      <c r="V395" t="s">
        <v>28</v>
      </c>
      <c r="W395">
        <v>15</v>
      </c>
      <c r="X395">
        <v>0.59350000000000003</v>
      </c>
      <c r="Y395">
        <f t="shared" si="7"/>
        <v>3.2216145020781031E-2</v>
      </c>
      <c r="Z395">
        <f>0.6121-X395</f>
        <v>1.859999999999995E-2</v>
      </c>
    </row>
    <row r="396" spans="1:26" x14ac:dyDescent="0.2">
      <c r="A396" t="s">
        <v>438</v>
      </c>
      <c r="B396">
        <v>2019</v>
      </c>
      <c r="C396" t="s">
        <v>826</v>
      </c>
      <c r="D396" t="s">
        <v>824</v>
      </c>
      <c r="E396" t="s">
        <v>114</v>
      </c>
      <c r="F396" t="s">
        <v>313</v>
      </c>
      <c r="G396">
        <v>34.416666999999997</v>
      </c>
      <c r="H396">
        <v>126.833333</v>
      </c>
      <c r="I396" t="s">
        <v>772</v>
      </c>
      <c r="J396" t="s">
        <v>14</v>
      </c>
      <c r="K396" t="s">
        <v>115</v>
      </c>
      <c r="L396" t="s">
        <v>143</v>
      </c>
      <c r="M396" t="s">
        <v>726</v>
      </c>
      <c r="N396" t="s">
        <v>85</v>
      </c>
      <c r="O396" t="s">
        <v>84</v>
      </c>
      <c r="Q396">
        <v>5</v>
      </c>
      <c r="R396" t="s">
        <v>213</v>
      </c>
      <c r="S396" t="s">
        <v>27</v>
      </c>
      <c r="T396">
        <v>3</v>
      </c>
      <c r="U396" t="s">
        <v>28</v>
      </c>
      <c r="V396" t="s">
        <v>28</v>
      </c>
      <c r="W396">
        <v>20</v>
      </c>
      <c r="X396">
        <v>0.57940000000000003</v>
      </c>
      <c r="Y396">
        <f t="shared" si="7"/>
        <v>1.8879353802500796E-2</v>
      </c>
      <c r="Z396">
        <f>0.5903-X396</f>
        <v>1.0900000000000021E-2</v>
      </c>
    </row>
    <row r="397" spans="1:26" x14ac:dyDescent="0.2">
      <c r="A397" t="s">
        <v>438</v>
      </c>
      <c r="B397">
        <v>2019</v>
      </c>
      <c r="C397" t="s">
        <v>826</v>
      </c>
      <c r="D397" t="s">
        <v>824</v>
      </c>
      <c r="E397" t="s">
        <v>114</v>
      </c>
      <c r="F397" t="s">
        <v>313</v>
      </c>
      <c r="G397">
        <v>34.416666999999997</v>
      </c>
      <c r="H397">
        <v>126.833333</v>
      </c>
      <c r="I397" t="s">
        <v>772</v>
      </c>
      <c r="J397" t="s">
        <v>5</v>
      </c>
      <c r="K397" t="s">
        <v>115</v>
      </c>
      <c r="L397" t="s">
        <v>143</v>
      </c>
      <c r="M397" t="s">
        <v>726</v>
      </c>
      <c r="N397" t="s">
        <v>85</v>
      </c>
      <c r="O397" t="s">
        <v>84</v>
      </c>
      <c r="Q397">
        <v>5</v>
      </c>
      <c r="R397" t="s">
        <v>213</v>
      </c>
      <c r="S397" t="s">
        <v>13</v>
      </c>
      <c r="T397">
        <v>3</v>
      </c>
      <c r="U397">
        <v>7.79</v>
      </c>
      <c r="V397">
        <v>720</v>
      </c>
      <c r="W397" t="s">
        <v>28</v>
      </c>
      <c r="X397">
        <v>0.67130000000000001</v>
      </c>
      <c r="Y397">
        <f t="shared" si="7"/>
        <v>2.9791273890184676E-2</v>
      </c>
      <c r="Z397">
        <f>0.6885-X397</f>
        <v>1.7199999999999993E-2</v>
      </c>
    </row>
    <row r="398" spans="1:26" x14ac:dyDescent="0.2">
      <c r="A398" t="s">
        <v>438</v>
      </c>
      <c r="B398">
        <v>2019</v>
      </c>
      <c r="C398" t="s">
        <v>826</v>
      </c>
      <c r="D398" t="s">
        <v>824</v>
      </c>
      <c r="E398" t="s">
        <v>114</v>
      </c>
      <c r="F398" t="s">
        <v>313</v>
      </c>
      <c r="G398">
        <v>34.416666999999997</v>
      </c>
      <c r="H398">
        <v>126.833333</v>
      </c>
      <c r="I398" t="s">
        <v>772</v>
      </c>
      <c r="J398" t="s">
        <v>16</v>
      </c>
      <c r="K398" t="s">
        <v>115</v>
      </c>
      <c r="L398" t="s">
        <v>143</v>
      </c>
      <c r="M398" t="s">
        <v>726</v>
      </c>
      <c r="N398" t="s">
        <v>85</v>
      </c>
      <c r="O398" t="s">
        <v>84</v>
      </c>
      <c r="Q398">
        <v>5</v>
      </c>
      <c r="R398" t="s">
        <v>213</v>
      </c>
      <c r="S398" t="s">
        <v>15</v>
      </c>
      <c r="T398">
        <v>3</v>
      </c>
      <c r="U398">
        <v>7.79</v>
      </c>
      <c r="V398">
        <v>720</v>
      </c>
      <c r="W398">
        <v>15</v>
      </c>
      <c r="X398">
        <v>0.66669999999999996</v>
      </c>
      <c r="Y398">
        <f t="shared" si="7"/>
        <v>1.0738715006927201E-2</v>
      </c>
      <c r="Z398">
        <f>0.6729-X398</f>
        <v>6.2000000000000943E-3</v>
      </c>
    </row>
    <row r="399" spans="1:26" x14ac:dyDescent="0.2">
      <c r="A399" t="s">
        <v>438</v>
      </c>
      <c r="B399">
        <v>2019</v>
      </c>
      <c r="C399" t="s">
        <v>826</v>
      </c>
      <c r="D399" t="s">
        <v>824</v>
      </c>
      <c r="E399" t="s">
        <v>114</v>
      </c>
      <c r="F399" t="s">
        <v>313</v>
      </c>
      <c r="G399">
        <v>34.416666999999997</v>
      </c>
      <c r="H399">
        <v>126.833333</v>
      </c>
      <c r="I399" t="s">
        <v>772</v>
      </c>
      <c r="J399" t="s">
        <v>16</v>
      </c>
      <c r="K399" t="s">
        <v>115</v>
      </c>
      <c r="L399" t="s">
        <v>143</v>
      </c>
      <c r="M399" t="s">
        <v>726</v>
      </c>
      <c r="N399" t="s">
        <v>85</v>
      </c>
      <c r="O399" t="s">
        <v>84</v>
      </c>
      <c r="Q399">
        <v>5</v>
      </c>
      <c r="R399" t="s">
        <v>213</v>
      </c>
      <c r="S399" t="s">
        <v>37</v>
      </c>
      <c r="T399">
        <v>3</v>
      </c>
      <c r="U399">
        <v>7.8</v>
      </c>
      <c r="V399">
        <v>720</v>
      </c>
      <c r="W399">
        <v>20</v>
      </c>
      <c r="X399">
        <v>0.64800000000000002</v>
      </c>
      <c r="Y399">
        <f t="shared" si="7"/>
        <v>1.073871500692701E-2</v>
      </c>
      <c r="Z399">
        <f>0.6542-X399</f>
        <v>6.1999999999999833E-3</v>
      </c>
    </row>
    <row r="400" spans="1:26" x14ac:dyDescent="0.2">
      <c r="A400" t="s">
        <v>438</v>
      </c>
      <c r="B400">
        <v>2019</v>
      </c>
      <c r="C400" t="s">
        <v>826</v>
      </c>
      <c r="D400" t="s">
        <v>824</v>
      </c>
      <c r="E400" t="s">
        <v>114</v>
      </c>
      <c r="F400" t="s">
        <v>313</v>
      </c>
      <c r="G400">
        <v>34.416666999999997</v>
      </c>
      <c r="H400">
        <v>126.833333</v>
      </c>
      <c r="I400" t="s">
        <v>772</v>
      </c>
      <c r="J400" t="s">
        <v>5</v>
      </c>
      <c r="K400" t="s">
        <v>115</v>
      </c>
      <c r="L400" t="s">
        <v>143</v>
      </c>
      <c r="M400" t="s">
        <v>726</v>
      </c>
      <c r="N400" t="s">
        <v>85</v>
      </c>
      <c r="O400" t="s">
        <v>84</v>
      </c>
      <c r="Q400">
        <v>5</v>
      </c>
      <c r="R400" t="s">
        <v>213</v>
      </c>
      <c r="S400" t="s">
        <v>116</v>
      </c>
      <c r="T400">
        <v>3</v>
      </c>
      <c r="U400">
        <v>7.66</v>
      </c>
      <c r="V400">
        <v>980</v>
      </c>
      <c r="W400" t="s">
        <v>28</v>
      </c>
      <c r="X400">
        <v>0.58409999999999995</v>
      </c>
      <c r="Y400">
        <f t="shared" si="7"/>
        <v>1.6281277591147576E-2</v>
      </c>
      <c r="Z400">
        <f>0.5935-X400</f>
        <v>9.400000000000075E-3</v>
      </c>
    </row>
    <row r="401" spans="1:26" x14ac:dyDescent="0.2">
      <c r="A401" t="s">
        <v>438</v>
      </c>
      <c r="B401">
        <v>2019</v>
      </c>
      <c r="C401" t="s">
        <v>826</v>
      </c>
      <c r="D401" t="s">
        <v>824</v>
      </c>
      <c r="E401" t="s">
        <v>114</v>
      </c>
      <c r="F401" t="s">
        <v>313</v>
      </c>
      <c r="G401">
        <v>34.416666999999997</v>
      </c>
      <c r="H401">
        <v>126.833333</v>
      </c>
      <c r="I401" t="s">
        <v>772</v>
      </c>
      <c r="J401" t="s">
        <v>16</v>
      </c>
      <c r="K401" t="s">
        <v>115</v>
      </c>
      <c r="L401" t="s">
        <v>143</v>
      </c>
      <c r="M401" t="s">
        <v>726</v>
      </c>
      <c r="N401" t="s">
        <v>85</v>
      </c>
      <c r="O401" t="s">
        <v>84</v>
      </c>
      <c r="Q401">
        <v>5</v>
      </c>
      <c r="R401" t="s">
        <v>213</v>
      </c>
      <c r="S401" t="s">
        <v>117</v>
      </c>
      <c r="T401">
        <v>3</v>
      </c>
      <c r="U401">
        <v>7.67</v>
      </c>
      <c r="V401">
        <v>980</v>
      </c>
      <c r="W401">
        <v>15</v>
      </c>
      <c r="X401">
        <v>0.63080000000000003</v>
      </c>
      <c r="Y401">
        <f t="shared" si="7"/>
        <v>1.35099962990371E-2</v>
      </c>
      <c r="Z401">
        <f>0.6386-X401</f>
        <v>7.7999999999999181E-3</v>
      </c>
    </row>
    <row r="402" spans="1:26" x14ac:dyDescent="0.2">
      <c r="A402" t="s">
        <v>438</v>
      </c>
      <c r="B402">
        <v>2019</v>
      </c>
      <c r="C402" t="s">
        <v>826</v>
      </c>
      <c r="D402" t="s">
        <v>824</v>
      </c>
      <c r="E402" t="s">
        <v>114</v>
      </c>
      <c r="F402" t="s">
        <v>313</v>
      </c>
      <c r="G402">
        <v>34.416666999999997</v>
      </c>
      <c r="H402">
        <v>126.833333</v>
      </c>
      <c r="I402" t="s">
        <v>772</v>
      </c>
      <c r="J402" t="s">
        <v>16</v>
      </c>
      <c r="K402" t="s">
        <v>115</v>
      </c>
      <c r="L402" t="s">
        <v>143</v>
      </c>
      <c r="M402" t="s">
        <v>726</v>
      </c>
      <c r="N402" t="s">
        <v>85</v>
      </c>
      <c r="O402" t="s">
        <v>84</v>
      </c>
      <c r="Q402">
        <v>5</v>
      </c>
      <c r="R402" t="s">
        <v>213</v>
      </c>
      <c r="S402" t="s">
        <v>118</v>
      </c>
      <c r="T402">
        <v>3</v>
      </c>
      <c r="U402">
        <v>7.68</v>
      </c>
      <c r="V402">
        <v>980</v>
      </c>
      <c r="W402">
        <v>20</v>
      </c>
      <c r="X402">
        <v>0.35199999999999998</v>
      </c>
      <c r="Y402">
        <f t="shared" si="7"/>
        <v>1.3509996299037293E-2</v>
      </c>
      <c r="Z402">
        <f>0.3598-X402</f>
        <v>7.8000000000000291E-3</v>
      </c>
    </row>
    <row r="403" spans="1:26" x14ac:dyDescent="0.2">
      <c r="A403" t="s">
        <v>438</v>
      </c>
      <c r="B403">
        <v>2019</v>
      </c>
      <c r="C403" t="s">
        <v>807</v>
      </c>
      <c r="D403" t="s">
        <v>825</v>
      </c>
      <c r="E403" t="s">
        <v>35</v>
      </c>
      <c r="F403" t="s">
        <v>313</v>
      </c>
      <c r="G403">
        <v>34.416666999999997</v>
      </c>
      <c r="H403">
        <v>126.833333</v>
      </c>
      <c r="I403" t="s">
        <v>772</v>
      </c>
      <c r="J403" t="s">
        <v>7</v>
      </c>
      <c r="K403" t="s">
        <v>119</v>
      </c>
      <c r="L403" t="s">
        <v>143</v>
      </c>
      <c r="M403" t="s">
        <v>726</v>
      </c>
      <c r="N403" t="s">
        <v>85</v>
      </c>
      <c r="O403" t="s">
        <v>84</v>
      </c>
      <c r="Q403">
        <v>5</v>
      </c>
      <c r="R403" t="s">
        <v>213</v>
      </c>
      <c r="S403" t="s">
        <v>7</v>
      </c>
      <c r="T403">
        <v>3</v>
      </c>
      <c r="U403">
        <v>8.06</v>
      </c>
      <c r="V403">
        <v>360</v>
      </c>
      <c r="W403">
        <v>10</v>
      </c>
      <c r="X403">
        <v>0.54810000000000003</v>
      </c>
      <c r="Y403">
        <f t="shared" si="7"/>
        <v>1.35099962990371E-2</v>
      </c>
      <c r="Z403">
        <f>0.5559-X403</f>
        <v>7.7999999999999181E-3</v>
      </c>
    </row>
    <row r="404" spans="1:26" x14ac:dyDescent="0.2">
      <c r="A404" t="s">
        <v>438</v>
      </c>
      <c r="B404">
        <v>2019</v>
      </c>
      <c r="C404" t="s">
        <v>807</v>
      </c>
      <c r="D404" t="s">
        <v>825</v>
      </c>
      <c r="E404" t="s">
        <v>35</v>
      </c>
      <c r="F404" t="s">
        <v>313</v>
      </c>
      <c r="G404">
        <v>34.416666999999997</v>
      </c>
      <c r="H404">
        <v>126.833333</v>
      </c>
      <c r="I404" t="s">
        <v>772</v>
      </c>
      <c r="J404" t="s">
        <v>14</v>
      </c>
      <c r="K404" t="s">
        <v>119</v>
      </c>
      <c r="L404" t="s">
        <v>143</v>
      </c>
      <c r="M404" t="s">
        <v>726</v>
      </c>
      <c r="N404" t="s">
        <v>85</v>
      </c>
      <c r="O404" t="s">
        <v>84</v>
      </c>
      <c r="Q404">
        <v>5</v>
      </c>
      <c r="R404" t="s">
        <v>213</v>
      </c>
      <c r="S404" t="s">
        <v>9</v>
      </c>
      <c r="T404">
        <v>3</v>
      </c>
      <c r="U404" t="s">
        <v>28</v>
      </c>
      <c r="V404" t="s">
        <v>28</v>
      </c>
      <c r="W404">
        <v>15</v>
      </c>
      <c r="X404">
        <v>0.54500000000000004</v>
      </c>
      <c r="Y404">
        <f t="shared" si="7"/>
        <v>3.7758707605001406E-2</v>
      </c>
      <c r="Z404">
        <f>0.5668-X404</f>
        <v>2.1799999999999931E-2</v>
      </c>
    </row>
    <row r="405" spans="1:26" x14ac:dyDescent="0.2">
      <c r="A405" t="s">
        <v>438</v>
      </c>
      <c r="B405">
        <v>2019</v>
      </c>
      <c r="C405" t="s">
        <v>807</v>
      </c>
      <c r="D405" t="s">
        <v>825</v>
      </c>
      <c r="E405" t="s">
        <v>35</v>
      </c>
      <c r="F405" t="s">
        <v>313</v>
      </c>
      <c r="G405">
        <v>34.416666999999997</v>
      </c>
      <c r="H405">
        <v>126.833333</v>
      </c>
      <c r="I405" t="s">
        <v>772</v>
      </c>
      <c r="J405" t="s">
        <v>14</v>
      </c>
      <c r="K405" t="s">
        <v>119</v>
      </c>
      <c r="L405" t="s">
        <v>143</v>
      </c>
      <c r="M405" t="s">
        <v>726</v>
      </c>
      <c r="N405" t="s">
        <v>85</v>
      </c>
      <c r="O405" t="s">
        <v>84</v>
      </c>
      <c r="Q405">
        <v>5</v>
      </c>
      <c r="R405" t="s">
        <v>213</v>
      </c>
      <c r="S405" t="s">
        <v>27</v>
      </c>
      <c r="T405">
        <v>3</v>
      </c>
      <c r="U405" t="s">
        <v>28</v>
      </c>
      <c r="V405" t="s">
        <v>28</v>
      </c>
      <c r="W405">
        <v>20</v>
      </c>
      <c r="X405">
        <v>0.54659999999999997</v>
      </c>
      <c r="Y405">
        <f t="shared" si="7"/>
        <v>1.073871500692701E-2</v>
      </c>
      <c r="Z405">
        <f>0.5528-X405</f>
        <v>6.1999999999999833E-3</v>
      </c>
    </row>
    <row r="406" spans="1:26" x14ac:dyDescent="0.2">
      <c r="A406" t="s">
        <v>438</v>
      </c>
      <c r="B406">
        <v>2019</v>
      </c>
      <c r="C406" t="s">
        <v>807</v>
      </c>
      <c r="D406" t="s">
        <v>825</v>
      </c>
      <c r="E406" t="s">
        <v>35</v>
      </c>
      <c r="F406" t="s">
        <v>313</v>
      </c>
      <c r="G406">
        <v>34.416666999999997</v>
      </c>
      <c r="H406">
        <v>126.833333</v>
      </c>
      <c r="I406" t="s">
        <v>772</v>
      </c>
      <c r="J406" t="s">
        <v>5</v>
      </c>
      <c r="K406" t="s">
        <v>119</v>
      </c>
      <c r="L406" t="s">
        <v>143</v>
      </c>
      <c r="M406" t="s">
        <v>726</v>
      </c>
      <c r="N406" t="s">
        <v>85</v>
      </c>
      <c r="O406" t="s">
        <v>84</v>
      </c>
      <c r="Q406">
        <v>5</v>
      </c>
      <c r="R406" t="s">
        <v>213</v>
      </c>
      <c r="S406" t="s">
        <v>13</v>
      </c>
      <c r="T406">
        <v>3</v>
      </c>
      <c r="U406">
        <v>7.79</v>
      </c>
      <c r="V406">
        <v>720</v>
      </c>
      <c r="W406" t="s">
        <v>28</v>
      </c>
      <c r="X406">
        <v>0.5978</v>
      </c>
      <c r="Y406">
        <f t="shared" si="7"/>
        <v>1.3509996299037293E-2</v>
      </c>
      <c r="Z406">
        <f>0.6056-X406</f>
        <v>7.8000000000000291E-3</v>
      </c>
    </row>
    <row r="407" spans="1:26" x14ac:dyDescent="0.2">
      <c r="A407" t="s">
        <v>438</v>
      </c>
      <c r="B407">
        <v>2019</v>
      </c>
      <c r="C407" t="s">
        <v>807</v>
      </c>
      <c r="D407" t="s">
        <v>825</v>
      </c>
      <c r="E407" t="s">
        <v>35</v>
      </c>
      <c r="F407" t="s">
        <v>313</v>
      </c>
      <c r="G407">
        <v>34.416666999999997</v>
      </c>
      <c r="H407">
        <v>126.833333</v>
      </c>
      <c r="I407" t="s">
        <v>772</v>
      </c>
      <c r="J407" t="s">
        <v>16</v>
      </c>
      <c r="K407" t="s">
        <v>119</v>
      </c>
      <c r="L407" t="s">
        <v>143</v>
      </c>
      <c r="M407" t="s">
        <v>726</v>
      </c>
      <c r="N407" t="s">
        <v>85</v>
      </c>
      <c r="O407" t="s">
        <v>84</v>
      </c>
      <c r="Q407">
        <v>5</v>
      </c>
      <c r="R407" t="s">
        <v>213</v>
      </c>
      <c r="S407" t="s">
        <v>15</v>
      </c>
      <c r="T407">
        <v>3</v>
      </c>
      <c r="U407">
        <v>7.79</v>
      </c>
      <c r="V407">
        <v>720</v>
      </c>
      <c r="W407">
        <v>15</v>
      </c>
      <c r="X407">
        <v>0.55120000000000002</v>
      </c>
      <c r="Y407">
        <f t="shared" si="7"/>
        <v>1.0911920087683878E-2</v>
      </c>
      <c r="Z407">
        <f>0.5575-X407</f>
        <v>6.2999999999999723E-3</v>
      </c>
    </row>
    <row r="408" spans="1:26" x14ac:dyDescent="0.2">
      <c r="A408" t="s">
        <v>438</v>
      </c>
      <c r="B408">
        <v>2019</v>
      </c>
      <c r="C408" t="s">
        <v>807</v>
      </c>
      <c r="D408" t="s">
        <v>825</v>
      </c>
      <c r="E408" t="s">
        <v>35</v>
      </c>
      <c r="F408" t="s">
        <v>313</v>
      </c>
      <c r="G408">
        <v>34.416666999999997</v>
      </c>
      <c r="H408">
        <v>126.833333</v>
      </c>
      <c r="I408" t="s">
        <v>772</v>
      </c>
      <c r="J408" t="s">
        <v>16</v>
      </c>
      <c r="K408" t="s">
        <v>119</v>
      </c>
      <c r="L408" t="s">
        <v>143</v>
      </c>
      <c r="M408" t="s">
        <v>726</v>
      </c>
      <c r="N408" t="s">
        <v>85</v>
      </c>
      <c r="O408" t="s">
        <v>84</v>
      </c>
      <c r="Q408">
        <v>5</v>
      </c>
      <c r="R408" t="s">
        <v>213</v>
      </c>
      <c r="S408" t="s">
        <v>37</v>
      </c>
      <c r="T408">
        <v>3</v>
      </c>
      <c r="U408">
        <v>7.8</v>
      </c>
      <c r="V408">
        <v>720</v>
      </c>
      <c r="W408">
        <v>20</v>
      </c>
      <c r="X408">
        <v>0.55279999999999996</v>
      </c>
      <c r="Y408">
        <f t="shared" ref="Y408:Y439" si="8">Z408*SQRT(T408)</f>
        <v>1.8879353802500796E-2</v>
      </c>
      <c r="Z408">
        <f>0.5637-X408</f>
        <v>1.0900000000000021E-2</v>
      </c>
    </row>
    <row r="409" spans="1:26" x14ac:dyDescent="0.2">
      <c r="A409" t="s">
        <v>438</v>
      </c>
      <c r="B409">
        <v>2019</v>
      </c>
      <c r="C409" t="s">
        <v>807</v>
      </c>
      <c r="D409" t="s">
        <v>825</v>
      </c>
      <c r="E409" t="s">
        <v>35</v>
      </c>
      <c r="F409" t="s">
        <v>313</v>
      </c>
      <c r="G409">
        <v>34.416666999999997</v>
      </c>
      <c r="H409">
        <v>126.833333</v>
      </c>
      <c r="I409" t="s">
        <v>772</v>
      </c>
      <c r="J409" t="s">
        <v>5</v>
      </c>
      <c r="K409" t="s">
        <v>119</v>
      </c>
      <c r="L409" t="s">
        <v>143</v>
      </c>
      <c r="M409" t="s">
        <v>726</v>
      </c>
      <c r="N409" t="s">
        <v>85</v>
      </c>
      <c r="O409" t="s">
        <v>84</v>
      </c>
      <c r="Q409">
        <v>5</v>
      </c>
      <c r="R409" t="s">
        <v>213</v>
      </c>
      <c r="S409" t="s">
        <v>116</v>
      </c>
      <c r="T409">
        <v>3</v>
      </c>
      <c r="U409">
        <v>7.66</v>
      </c>
      <c r="V409">
        <v>980</v>
      </c>
      <c r="W409" t="s">
        <v>28</v>
      </c>
      <c r="X409">
        <v>0.53569999999999995</v>
      </c>
      <c r="Y409">
        <f t="shared" si="8"/>
        <v>1.6108072510390706E-2</v>
      </c>
      <c r="Z409">
        <f>0.545-X409</f>
        <v>9.300000000000086E-3</v>
      </c>
    </row>
    <row r="410" spans="1:26" x14ac:dyDescent="0.2">
      <c r="A410" t="s">
        <v>438</v>
      </c>
      <c r="B410">
        <v>2019</v>
      </c>
      <c r="C410" t="s">
        <v>807</v>
      </c>
      <c r="D410" t="s">
        <v>825</v>
      </c>
      <c r="E410" t="s">
        <v>35</v>
      </c>
      <c r="F410" t="s">
        <v>313</v>
      </c>
      <c r="G410">
        <v>34.416666999999997</v>
      </c>
      <c r="H410">
        <v>126.833333</v>
      </c>
      <c r="I410" t="s">
        <v>772</v>
      </c>
      <c r="J410" t="s">
        <v>16</v>
      </c>
      <c r="K410" t="s">
        <v>119</v>
      </c>
      <c r="L410" t="s">
        <v>143</v>
      </c>
      <c r="M410" t="s">
        <v>726</v>
      </c>
      <c r="N410" t="s">
        <v>85</v>
      </c>
      <c r="O410" t="s">
        <v>84</v>
      </c>
      <c r="Q410">
        <v>5</v>
      </c>
      <c r="R410" t="s">
        <v>213</v>
      </c>
      <c r="S410" t="s">
        <v>117</v>
      </c>
      <c r="T410">
        <v>3</v>
      </c>
      <c r="U410">
        <v>7.67</v>
      </c>
      <c r="V410">
        <v>980</v>
      </c>
      <c r="W410">
        <v>15</v>
      </c>
      <c r="X410">
        <v>0.53420000000000001</v>
      </c>
      <c r="Y410">
        <f t="shared" si="8"/>
        <v>1.8706148721743927E-2</v>
      </c>
      <c r="Z410">
        <f>0.545-X410</f>
        <v>1.0800000000000032E-2</v>
      </c>
    </row>
    <row r="411" spans="1:26" x14ac:dyDescent="0.2">
      <c r="A411" t="s">
        <v>438</v>
      </c>
      <c r="B411">
        <v>2019</v>
      </c>
      <c r="C411" t="s">
        <v>807</v>
      </c>
      <c r="D411" t="s">
        <v>825</v>
      </c>
      <c r="E411" t="s">
        <v>35</v>
      </c>
      <c r="F411" t="s">
        <v>313</v>
      </c>
      <c r="G411">
        <v>34.416666999999997</v>
      </c>
      <c r="H411">
        <v>126.833333</v>
      </c>
      <c r="I411" t="s">
        <v>772</v>
      </c>
      <c r="J411" t="s">
        <v>16</v>
      </c>
      <c r="K411" t="s">
        <v>119</v>
      </c>
      <c r="L411" t="s">
        <v>143</v>
      </c>
      <c r="M411" t="s">
        <v>726</v>
      </c>
      <c r="N411" t="s">
        <v>85</v>
      </c>
      <c r="O411" t="s">
        <v>84</v>
      </c>
      <c r="Q411">
        <v>5</v>
      </c>
      <c r="R411" t="s">
        <v>213</v>
      </c>
      <c r="S411" t="s">
        <v>118</v>
      </c>
      <c r="T411">
        <v>3</v>
      </c>
      <c r="U411">
        <v>7.68</v>
      </c>
      <c r="V411">
        <v>980</v>
      </c>
      <c r="W411">
        <v>20</v>
      </c>
      <c r="X411">
        <v>0.48759999999999998</v>
      </c>
      <c r="Y411">
        <f t="shared" si="8"/>
        <v>2.9618068809427904E-2</v>
      </c>
      <c r="Z411">
        <f>0.5047-X411</f>
        <v>1.710000000000006E-2</v>
      </c>
    </row>
    <row r="412" spans="1:26" x14ac:dyDescent="0.2">
      <c r="A412" t="s">
        <v>438</v>
      </c>
      <c r="B412">
        <v>2019</v>
      </c>
      <c r="C412" t="s">
        <v>826</v>
      </c>
      <c r="D412" t="s">
        <v>824</v>
      </c>
      <c r="E412" t="s">
        <v>114</v>
      </c>
      <c r="F412" t="s">
        <v>313</v>
      </c>
      <c r="G412">
        <v>34.416666999999997</v>
      </c>
      <c r="H412">
        <v>126.833333</v>
      </c>
      <c r="I412" t="s">
        <v>772</v>
      </c>
      <c r="J412" t="s">
        <v>7</v>
      </c>
      <c r="K412" t="s">
        <v>115</v>
      </c>
      <c r="L412" t="s">
        <v>143</v>
      </c>
      <c r="M412" t="s">
        <v>726</v>
      </c>
      <c r="N412" t="s">
        <v>85</v>
      </c>
      <c r="O412" t="s">
        <v>112</v>
      </c>
      <c r="Q412">
        <v>5</v>
      </c>
      <c r="R412" t="s">
        <v>213</v>
      </c>
      <c r="S412" t="s">
        <v>7</v>
      </c>
      <c r="T412">
        <v>3</v>
      </c>
      <c r="U412">
        <v>8.06</v>
      </c>
      <c r="V412">
        <v>360</v>
      </c>
      <c r="W412">
        <v>10</v>
      </c>
      <c r="X412">
        <v>107.19</v>
      </c>
      <c r="Y412">
        <f t="shared" si="8"/>
        <v>23.815698604072061</v>
      </c>
      <c r="Z412">
        <f>120.94-X412</f>
        <v>13.75</v>
      </c>
    </row>
    <row r="413" spans="1:26" x14ac:dyDescent="0.2">
      <c r="A413" t="s">
        <v>438</v>
      </c>
      <c r="B413">
        <v>2019</v>
      </c>
      <c r="C413" t="s">
        <v>826</v>
      </c>
      <c r="D413" t="s">
        <v>824</v>
      </c>
      <c r="E413" t="s">
        <v>114</v>
      </c>
      <c r="F413" t="s">
        <v>313</v>
      </c>
      <c r="G413">
        <v>34.416666999999997</v>
      </c>
      <c r="H413">
        <v>126.833333</v>
      </c>
      <c r="I413" t="s">
        <v>772</v>
      </c>
      <c r="J413" t="s">
        <v>14</v>
      </c>
      <c r="K413" t="s">
        <v>115</v>
      </c>
      <c r="L413" t="s">
        <v>143</v>
      </c>
      <c r="M413" t="s">
        <v>726</v>
      </c>
      <c r="N413" t="s">
        <v>85</v>
      </c>
      <c r="O413" t="s">
        <v>112</v>
      </c>
      <c r="Q413">
        <v>5</v>
      </c>
      <c r="R413" t="s">
        <v>213</v>
      </c>
      <c r="S413" t="s">
        <v>9</v>
      </c>
      <c r="T413">
        <v>3</v>
      </c>
      <c r="U413" t="s">
        <v>28</v>
      </c>
      <c r="V413" t="s">
        <v>28</v>
      </c>
      <c r="W413">
        <v>15</v>
      </c>
      <c r="X413">
        <v>82.81</v>
      </c>
      <c r="Y413">
        <f t="shared" si="8"/>
        <v>14.61850881588132</v>
      </c>
      <c r="Z413">
        <f>91.25-X413</f>
        <v>8.4399999999999977</v>
      </c>
    </row>
    <row r="414" spans="1:26" x14ac:dyDescent="0.2">
      <c r="A414" t="s">
        <v>438</v>
      </c>
      <c r="B414">
        <v>2019</v>
      </c>
      <c r="C414" t="s">
        <v>826</v>
      </c>
      <c r="D414" t="s">
        <v>824</v>
      </c>
      <c r="E414" t="s">
        <v>114</v>
      </c>
      <c r="F414" t="s">
        <v>313</v>
      </c>
      <c r="G414">
        <v>34.416666999999997</v>
      </c>
      <c r="H414">
        <v>126.833333</v>
      </c>
      <c r="I414" t="s">
        <v>772</v>
      </c>
      <c r="J414" t="s">
        <v>14</v>
      </c>
      <c r="K414" t="s">
        <v>115</v>
      </c>
      <c r="L414" t="s">
        <v>143</v>
      </c>
      <c r="M414" t="s">
        <v>726</v>
      </c>
      <c r="N414" t="s">
        <v>85</v>
      </c>
      <c r="O414" t="s">
        <v>112</v>
      </c>
      <c r="Q414">
        <v>5</v>
      </c>
      <c r="R414" t="s">
        <v>213</v>
      </c>
      <c r="S414" t="s">
        <v>27</v>
      </c>
      <c r="T414">
        <v>3</v>
      </c>
      <c r="U414" t="s">
        <v>28</v>
      </c>
      <c r="V414" t="s">
        <v>28</v>
      </c>
      <c r="W414">
        <v>20</v>
      </c>
      <c r="X414">
        <v>30.63</v>
      </c>
      <c r="Y414">
        <f t="shared" si="8"/>
        <v>13.527316807112928</v>
      </c>
      <c r="Z414">
        <f>38.44-X414</f>
        <v>7.8099999999999987</v>
      </c>
    </row>
    <row r="415" spans="1:26" x14ac:dyDescent="0.2">
      <c r="A415" t="s">
        <v>438</v>
      </c>
      <c r="B415">
        <v>2019</v>
      </c>
      <c r="C415" t="s">
        <v>826</v>
      </c>
      <c r="D415" t="s">
        <v>824</v>
      </c>
      <c r="E415" t="s">
        <v>114</v>
      </c>
      <c r="F415" t="s">
        <v>313</v>
      </c>
      <c r="G415">
        <v>34.416666999999997</v>
      </c>
      <c r="H415">
        <v>126.833333</v>
      </c>
      <c r="I415" t="s">
        <v>772</v>
      </c>
      <c r="J415" t="s">
        <v>5</v>
      </c>
      <c r="K415" t="s">
        <v>115</v>
      </c>
      <c r="L415" t="s">
        <v>143</v>
      </c>
      <c r="M415" t="s">
        <v>726</v>
      </c>
      <c r="N415" t="s">
        <v>85</v>
      </c>
      <c r="O415" t="s">
        <v>112</v>
      </c>
      <c r="Q415">
        <v>5</v>
      </c>
      <c r="R415" t="s">
        <v>213</v>
      </c>
      <c r="S415" t="s">
        <v>13</v>
      </c>
      <c r="T415">
        <v>3</v>
      </c>
      <c r="U415">
        <v>7.79</v>
      </c>
      <c r="V415">
        <v>720</v>
      </c>
      <c r="W415" t="s">
        <v>28</v>
      </c>
      <c r="X415">
        <v>140.31</v>
      </c>
      <c r="Y415">
        <f t="shared" si="8"/>
        <v>27.6088898726479</v>
      </c>
      <c r="Z415">
        <f>156.25-X415</f>
        <v>15.939999999999998</v>
      </c>
    </row>
    <row r="416" spans="1:26" x14ac:dyDescent="0.2">
      <c r="A416" t="s">
        <v>438</v>
      </c>
      <c r="B416">
        <v>2019</v>
      </c>
      <c r="C416" t="s">
        <v>826</v>
      </c>
      <c r="D416" t="s">
        <v>824</v>
      </c>
      <c r="E416" t="s">
        <v>114</v>
      </c>
      <c r="F416" t="s">
        <v>313</v>
      </c>
      <c r="G416">
        <v>34.416666999999997</v>
      </c>
      <c r="H416">
        <v>126.833333</v>
      </c>
      <c r="I416" t="s">
        <v>772</v>
      </c>
      <c r="J416" t="s">
        <v>16</v>
      </c>
      <c r="K416" t="s">
        <v>115</v>
      </c>
      <c r="L416" t="s">
        <v>143</v>
      </c>
      <c r="M416" t="s">
        <v>726</v>
      </c>
      <c r="N416" t="s">
        <v>85</v>
      </c>
      <c r="O416" t="s">
        <v>112</v>
      </c>
      <c r="Q416">
        <v>5</v>
      </c>
      <c r="R416" t="s">
        <v>213</v>
      </c>
      <c r="S416" t="s">
        <v>15</v>
      </c>
      <c r="T416">
        <v>3</v>
      </c>
      <c r="U416">
        <v>7.79</v>
      </c>
      <c r="V416">
        <v>720</v>
      </c>
      <c r="W416">
        <v>15</v>
      </c>
      <c r="X416">
        <v>116.56</v>
      </c>
      <c r="Y416">
        <f t="shared" si="8"/>
        <v>3.2562555182294814</v>
      </c>
      <c r="Z416">
        <f>118.44-X416</f>
        <v>1.8799999999999955</v>
      </c>
    </row>
    <row r="417" spans="1:26" x14ac:dyDescent="0.2">
      <c r="A417" t="s">
        <v>438</v>
      </c>
      <c r="B417">
        <v>2019</v>
      </c>
      <c r="C417" t="s">
        <v>826</v>
      </c>
      <c r="D417" t="s">
        <v>824</v>
      </c>
      <c r="E417" t="s">
        <v>114</v>
      </c>
      <c r="F417" t="s">
        <v>313</v>
      </c>
      <c r="G417">
        <v>34.416666999999997</v>
      </c>
      <c r="H417">
        <v>126.833333</v>
      </c>
      <c r="I417" t="s">
        <v>772</v>
      </c>
      <c r="J417" t="s">
        <v>16</v>
      </c>
      <c r="K417" t="s">
        <v>115</v>
      </c>
      <c r="L417" t="s">
        <v>143</v>
      </c>
      <c r="M417" t="s">
        <v>726</v>
      </c>
      <c r="N417" t="s">
        <v>85</v>
      </c>
      <c r="O417" t="s">
        <v>112</v>
      </c>
      <c r="Q417">
        <v>5</v>
      </c>
      <c r="R417" t="s">
        <v>213</v>
      </c>
      <c r="S417" t="s">
        <v>37</v>
      </c>
      <c r="T417">
        <v>3</v>
      </c>
      <c r="U417">
        <v>7.8</v>
      </c>
      <c r="V417">
        <v>720</v>
      </c>
      <c r="W417">
        <v>20</v>
      </c>
      <c r="X417">
        <v>107.5</v>
      </c>
      <c r="Y417">
        <f t="shared" si="8"/>
        <v>22.74182710337935</v>
      </c>
      <c r="Z417">
        <f>120.63-X417</f>
        <v>13.129999999999995</v>
      </c>
    </row>
    <row r="418" spans="1:26" x14ac:dyDescent="0.2">
      <c r="A418" t="s">
        <v>438</v>
      </c>
      <c r="B418">
        <v>2019</v>
      </c>
      <c r="C418" t="s">
        <v>826</v>
      </c>
      <c r="D418" t="s">
        <v>824</v>
      </c>
      <c r="E418" t="s">
        <v>114</v>
      </c>
      <c r="F418" t="s">
        <v>313</v>
      </c>
      <c r="G418">
        <v>34.416666999999997</v>
      </c>
      <c r="H418">
        <v>126.833333</v>
      </c>
      <c r="I418" t="s">
        <v>772</v>
      </c>
      <c r="J418" t="s">
        <v>5</v>
      </c>
      <c r="K418" t="s">
        <v>115</v>
      </c>
      <c r="L418" t="s">
        <v>143</v>
      </c>
      <c r="M418" t="s">
        <v>726</v>
      </c>
      <c r="N418" t="s">
        <v>85</v>
      </c>
      <c r="O418" t="s">
        <v>112</v>
      </c>
      <c r="Q418">
        <v>5</v>
      </c>
      <c r="R418" t="s">
        <v>213</v>
      </c>
      <c r="S418" t="s">
        <v>116</v>
      </c>
      <c r="T418">
        <v>3</v>
      </c>
      <c r="U418">
        <v>7.66</v>
      </c>
      <c r="V418">
        <v>980</v>
      </c>
      <c r="W418" t="s">
        <v>28</v>
      </c>
      <c r="X418">
        <v>56.25</v>
      </c>
      <c r="Y418">
        <f t="shared" si="8"/>
        <v>3.7931912685758373</v>
      </c>
      <c r="Z418">
        <f>58.44-X418</f>
        <v>2.1899999999999977</v>
      </c>
    </row>
    <row r="419" spans="1:26" x14ac:dyDescent="0.2">
      <c r="A419" t="s">
        <v>438</v>
      </c>
      <c r="B419">
        <v>2019</v>
      </c>
      <c r="C419" t="s">
        <v>826</v>
      </c>
      <c r="D419" t="s">
        <v>824</v>
      </c>
      <c r="E419" t="s">
        <v>114</v>
      </c>
      <c r="F419" t="s">
        <v>313</v>
      </c>
      <c r="G419">
        <v>34.416666999999997</v>
      </c>
      <c r="H419">
        <v>126.833333</v>
      </c>
      <c r="I419" t="s">
        <v>772</v>
      </c>
      <c r="J419" t="s">
        <v>16</v>
      </c>
      <c r="K419" t="s">
        <v>115</v>
      </c>
      <c r="L419" t="s">
        <v>143</v>
      </c>
      <c r="M419" t="s">
        <v>726</v>
      </c>
      <c r="N419" t="s">
        <v>85</v>
      </c>
      <c r="O419" t="s">
        <v>112</v>
      </c>
      <c r="Q419">
        <v>5</v>
      </c>
      <c r="R419" t="s">
        <v>213</v>
      </c>
      <c r="S419" t="s">
        <v>117</v>
      </c>
      <c r="T419">
        <v>3</v>
      </c>
      <c r="U419">
        <v>7.67</v>
      </c>
      <c r="V419">
        <v>980</v>
      </c>
      <c r="W419">
        <v>15</v>
      </c>
      <c r="X419">
        <v>47.5</v>
      </c>
      <c r="Y419">
        <f t="shared" si="8"/>
        <v>4.8670627692685491</v>
      </c>
      <c r="Z419">
        <f>50.31-X419</f>
        <v>2.8100000000000023</v>
      </c>
    </row>
    <row r="420" spans="1:26" x14ac:dyDescent="0.2">
      <c r="A420" t="s">
        <v>438</v>
      </c>
      <c r="B420">
        <v>2019</v>
      </c>
      <c r="C420" t="s">
        <v>807</v>
      </c>
      <c r="D420" t="s">
        <v>825</v>
      </c>
      <c r="E420" t="s">
        <v>35</v>
      </c>
      <c r="F420" t="s">
        <v>313</v>
      </c>
      <c r="G420">
        <v>34.416666999999997</v>
      </c>
      <c r="H420">
        <v>126.833333</v>
      </c>
      <c r="I420" t="s">
        <v>772</v>
      </c>
      <c r="J420" t="s">
        <v>7</v>
      </c>
      <c r="K420" t="s">
        <v>119</v>
      </c>
      <c r="L420" t="s">
        <v>143</v>
      </c>
      <c r="M420" t="s">
        <v>726</v>
      </c>
      <c r="N420" t="s">
        <v>85</v>
      </c>
      <c r="O420" t="s">
        <v>112</v>
      </c>
      <c r="Q420">
        <v>5</v>
      </c>
      <c r="R420" t="s">
        <v>213</v>
      </c>
      <c r="S420" t="s">
        <v>7</v>
      </c>
      <c r="T420">
        <v>3</v>
      </c>
      <c r="U420">
        <v>8.06</v>
      </c>
      <c r="V420">
        <v>360</v>
      </c>
      <c r="W420">
        <v>10</v>
      </c>
      <c r="X420">
        <v>81.180000000000007</v>
      </c>
      <c r="Y420">
        <f t="shared" si="8"/>
        <v>16.16003403461762</v>
      </c>
      <c r="Z420">
        <f>90.51-X420</f>
        <v>9.3299999999999983</v>
      </c>
    </row>
    <row r="421" spans="1:26" x14ac:dyDescent="0.2">
      <c r="A421" t="s">
        <v>438</v>
      </c>
      <c r="B421">
        <v>2019</v>
      </c>
      <c r="C421" t="s">
        <v>807</v>
      </c>
      <c r="D421" t="s">
        <v>825</v>
      </c>
      <c r="E421" t="s">
        <v>35</v>
      </c>
      <c r="F421" t="s">
        <v>313</v>
      </c>
      <c r="G421">
        <v>34.416666999999997</v>
      </c>
      <c r="H421">
        <v>126.833333</v>
      </c>
      <c r="I421" t="s">
        <v>772</v>
      </c>
      <c r="J421" t="s">
        <v>14</v>
      </c>
      <c r="K421" t="s">
        <v>119</v>
      </c>
      <c r="L421" t="s">
        <v>143</v>
      </c>
      <c r="M421" t="s">
        <v>726</v>
      </c>
      <c r="N421" t="s">
        <v>85</v>
      </c>
      <c r="O421" t="s">
        <v>112</v>
      </c>
      <c r="Q421">
        <v>5</v>
      </c>
      <c r="R421" t="s">
        <v>213</v>
      </c>
      <c r="S421" t="s">
        <v>9</v>
      </c>
      <c r="T421">
        <v>3</v>
      </c>
      <c r="U421" t="s">
        <v>28</v>
      </c>
      <c r="V421" t="s">
        <v>28</v>
      </c>
      <c r="W421">
        <v>15</v>
      </c>
      <c r="X421">
        <v>54.12</v>
      </c>
      <c r="Y421">
        <f t="shared" si="8"/>
        <v>16.696969784963976</v>
      </c>
      <c r="Z421">
        <f>63.76-X421</f>
        <v>9.64</v>
      </c>
    </row>
    <row r="422" spans="1:26" x14ac:dyDescent="0.2">
      <c r="A422" t="s">
        <v>438</v>
      </c>
      <c r="B422">
        <v>2019</v>
      </c>
      <c r="C422" t="s">
        <v>807</v>
      </c>
      <c r="D422" t="s">
        <v>825</v>
      </c>
      <c r="E422" t="s">
        <v>35</v>
      </c>
      <c r="F422" t="s">
        <v>313</v>
      </c>
      <c r="G422">
        <v>34.416666999999997</v>
      </c>
      <c r="H422">
        <v>126.833333</v>
      </c>
      <c r="I422" t="s">
        <v>772</v>
      </c>
      <c r="J422" t="s">
        <v>14</v>
      </c>
      <c r="K422" t="s">
        <v>119</v>
      </c>
      <c r="L422" t="s">
        <v>143</v>
      </c>
      <c r="M422" t="s">
        <v>726</v>
      </c>
      <c r="N422" t="s">
        <v>85</v>
      </c>
      <c r="O422" t="s">
        <v>112</v>
      </c>
      <c r="Q422">
        <v>5</v>
      </c>
      <c r="R422" t="s">
        <v>213</v>
      </c>
      <c r="S422" t="s">
        <v>27</v>
      </c>
      <c r="T422">
        <v>3</v>
      </c>
      <c r="U422" t="s">
        <v>28</v>
      </c>
      <c r="V422" t="s">
        <v>28</v>
      </c>
      <c r="W422">
        <v>20</v>
      </c>
      <c r="X422">
        <v>61.9</v>
      </c>
      <c r="Y422">
        <f t="shared" si="8"/>
        <v>6.4605495122319061</v>
      </c>
      <c r="Z422">
        <f>65.63-X422</f>
        <v>3.7299999999999969</v>
      </c>
    </row>
    <row r="423" spans="1:26" x14ac:dyDescent="0.2">
      <c r="A423" t="s">
        <v>438</v>
      </c>
      <c r="B423">
        <v>2019</v>
      </c>
      <c r="C423" t="s">
        <v>807</v>
      </c>
      <c r="D423" t="s">
        <v>825</v>
      </c>
      <c r="E423" t="s">
        <v>35</v>
      </c>
      <c r="F423" t="s">
        <v>313</v>
      </c>
      <c r="G423">
        <v>34.416666999999997</v>
      </c>
      <c r="H423">
        <v>126.833333</v>
      </c>
      <c r="I423" t="s">
        <v>772</v>
      </c>
      <c r="J423" t="s">
        <v>5</v>
      </c>
      <c r="K423" t="s">
        <v>119</v>
      </c>
      <c r="L423" t="s">
        <v>143</v>
      </c>
      <c r="M423" t="s">
        <v>726</v>
      </c>
      <c r="N423" t="s">
        <v>85</v>
      </c>
      <c r="O423" t="s">
        <v>112</v>
      </c>
      <c r="Q423">
        <v>5</v>
      </c>
      <c r="R423" t="s">
        <v>213</v>
      </c>
      <c r="S423" t="s">
        <v>13</v>
      </c>
      <c r="T423">
        <v>3</v>
      </c>
      <c r="U423">
        <v>7.79</v>
      </c>
      <c r="V423">
        <v>720</v>
      </c>
      <c r="W423" t="s">
        <v>28</v>
      </c>
      <c r="X423">
        <v>144.32</v>
      </c>
      <c r="Y423">
        <f t="shared" si="8"/>
        <v>5.3866780115392316</v>
      </c>
      <c r="Z423">
        <f>147.43-X423</f>
        <v>3.1100000000000136</v>
      </c>
    </row>
    <row r="424" spans="1:26" x14ac:dyDescent="0.2">
      <c r="A424" t="s">
        <v>438</v>
      </c>
      <c r="B424">
        <v>2019</v>
      </c>
      <c r="C424" t="s">
        <v>807</v>
      </c>
      <c r="D424" t="s">
        <v>825</v>
      </c>
      <c r="E424" t="s">
        <v>35</v>
      </c>
      <c r="F424" t="s">
        <v>313</v>
      </c>
      <c r="G424">
        <v>34.416666999999997</v>
      </c>
      <c r="H424">
        <v>126.833333</v>
      </c>
      <c r="I424" t="s">
        <v>772</v>
      </c>
      <c r="J424" t="s">
        <v>16</v>
      </c>
      <c r="K424" t="s">
        <v>119</v>
      </c>
      <c r="L424" t="s">
        <v>143</v>
      </c>
      <c r="M424" t="s">
        <v>726</v>
      </c>
      <c r="N424" t="s">
        <v>85</v>
      </c>
      <c r="O424" t="s">
        <v>112</v>
      </c>
      <c r="Q424">
        <v>5</v>
      </c>
      <c r="R424" t="s">
        <v>213</v>
      </c>
      <c r="S424" t="s">
        <v>15</v>
      </c>
      <c r="T424">
        <v>3</v>
      </c>
      <c r="U424">
        <v>7.79</v>
      </c>
      <c r="V424">
        <v>720</v>
      </c>
      <c r="W424">
        <v>15</v>
      </c>
      <c r="X424">
        <v>89.89</v>
      </c>
      <c r="Y424">
        <f t="shared" si="8"/>
        <v>22.083647796503183</v>
      </c>
      <c r="Z424">
        <f>102.64-X424</f>
        <v>12.75</v>
      </c>
    </row>
    <row r="425" spans="1:26" x14ac:dyDescent="0.2">
      <c r="A425" t="s">
        <v>438</v>
      </c>
      <c r="B425">
        <v>2019</v>
      </c>
      <c r="C425" t="s">
        <v>807</v>
      </c>
      <c r="D425" t="s">
        <v>825</v>
      </c>
      <c r="E425" t="s">
        <v>35</v>
      </c>
      <c r="F425" t="s">
        <v>313</v>
      </c>
      <c r="G425">
        <v>34.416666999999997</v>
      </c>
      <c r="H425">
        <v>126.833333</v>
      </c>
      <c r="I425" t="s">
        <v>772</v>
      </c>
      <c r="J425" t="s">
        <v>16</v>
      </c>
      <c r="K425" t="s">
        <v>119</v>
      </c>
      <c r="L425" t="s">
        <v>143</v>
      </c>
      <c r="M425" t="s">
        <v>726</v>
      </c>
      <c r="N425" t="s">
        <v>85</v>
      </c>
      <c r="O425" t="s">
        <v>112</v>
      </c>
      <c r="Q425">
        <v>5</v>
      </c>
      <c r="R425" t="s">
        <v>213</v>
      </c>
      <c r="S425" t="s">
        <v>37</v>
      </c>
      <c r="T425">
        <v>3</v>
      </c>
      <c r="U425">
        <v>7.8</v>
      </c>
      <c r="V425">
        <v>720</v>
      </c>
      <c r="W425">
        <v>20</v>
      </c>
      <c r="X425">
        <v>66.87</v>
      </c>
      <c r="Y425">
        <f t="shared" si="8"/>
        <v>3.7758707605001396</v>
      </c>
      <c r="Z425">
        <f>69.05-X425</f>
        <v>2.1799999999999926</v>
      </c>
    </row>
    <row r="426" spans="1:26" x14ac:dyDescent="0.2">
      <c r="A426" t="s">
        <v>438</v>
      </c>
      <c r="B426">
        <v>2019</v>
      </c>
      <c r="C426" t="s">
        <v>807</v>
      </c>
      <c r="D426" t="s">
        <v>825</v>
      </c>
      <c r="E426" t="s">
        <v>35</v>
      </c>
      <c r="F426" t="s">
        <v>313</v>
      </c>
      <c r="G426">
        <v>34.416666999999997</v>
      </c>
      <c r="H426">
        <v>126.833333</v>
      </c>
      <c r="I426" t="s">
        <v>772</v>
      </c>
      <c r="J426" t="s">
        <v>5</v>
      </c>
      <c r="K426" t="s">
        <v>119</v>
      </c>
      <c r="L426" t="s">
        <v>143</v>
      </c>
      <c r="M426" t="s">
        <v>726</v>
      </c>
      <c r="N426" t="s">
        <v>85</v>
      </c>
      <c r="O426" t="s">
        <v>112</v>
      </c>
      <c r="Q426">
        <v>5</v>
      </c>
      <c r="R426" t="s">
        <v>213</v>
      </c>
      <c r="S426" t="s">
        <v>116</v>
      </c>
      <c r="T426">
        <v>3</v>
      </c>
      <c r="U426">
        <v>7.66</v>
      </c>
      <c r="V426">
        <v>980</v>
      </c>
      <c r="W426" t="s">
        <v>28</v>
      </c>
      <c r="X426">
        <v>139.97</v>
      </c>
      <c r="Y426">
        <f t="shared" si="8"/>
        <v>8.62561302169299</v>
      </c>
      <c r="Z426">
        <f>144.95-X426</f>
        <v>4.9799999999999898</v>
      </c>
    </row>
    <row r="427" spans="1:26" x14ac:dyDescent="0.2">
      <c r="A427" t="s">
        <v>438</v>
      </c>
      <c r="B427">
        <v>2019</v>
      </c>
      <c r="C427" t="s">
        <v>807</v>
      </c>
      <c r="D427" t="s">
        <v>825</v>
      </c>
      <c r="E427" t="s">
        <v>35</v>
      </c>
      <c r="F427" t="s">
        <v>313</v>
      </c>
      <c r="G427">
        <v>34.416666999999997</v>
      </c>
      <c r="H427">
        <v>126.833333</v>
      </c>
      <c r="I427" t="s">
        <v>772</v>
      </c>
      <c r="J427" t="s">
        <v>16</v>
      </c>
      <c r="K427" t="s">
        <v>119</v>
      </c>
      <c r="L427" t="s">
        <v>143</v>
      </c>
      <c r="M427" t="s">
        <v>726</v>
      </c>
      <c r="N427" t="s">
        <v>85</v>
      </c>
      <c r="O427" t="s">
        <v>112</v>
      </c>
      <c r="Q427">
        <v>5</v>
      </c>
      <c r="R427" t="s">
        <v>213</v>
      </c>
      <c r="S427" t="s">
        <v>117</v>
      </c>
      <c r="T427">
        <v>3</v>
      </c>
      <c r="U427">
        <v>7.67</v>
      </c>
      <c r="V427">
        <v>980</v>
      </c>
      <c r="W427">
        <v>15</v>
      </c>
      <c r="X427">
        <v>78.38</v>
      </c>
      <c r="Y427">
        <f t="shared" si="8"/>
        <v>15.086162533924934</v>
      </c>
      <c r="Z427">
        <f>87.09-X427</f>
        <v>8.710000000000008</v>
      </c>
    </row>
    <row r="428" spans="1:26" x14ac:dyDescent="0.2">
      <c r="A428" t="s">
        <v>438</v>
      </c>
      <c r="B428">
        <v>2019</v>
      </c>
      <c r="C428" t="s">
        <v>807</v>
      </c>
      <c r="D428" t="s">
        <v>825</v>
      </c>
      <c r="E428" t="s">
        <v>35</v>
      </c>
      <c r="F428" t="s">
        <v>313</v>
      </c>
      <c r="G428">
        <v>34.416666999999997</v>
      </c>
      <c r="H428">
        <v>126.833333</v>
      </c>
      <c r="I428" t="s">
        <v>772</v>
      </c>
      <c r="J428" t="s">
        <v>16</v>
      </c>
      <c r="K428" t="s">
        <v>119</v>
      </c>
      <c r="L428" t="s">
        <v>143</v>
      </c>
      <c r="M428" t="s">
        <v>726</v>
      </c>
      <c r="N428" t="s">
        <v>85</v>
      </c>
      <c r="O428" t="s">
        <v>112</v>
      </c>
      <c r="Q428">
        <v>5</v>
      </c>
      <c r="R428" t="s">
        <v>213</v>
      </c>
      <c r="S428" t="s">
        <v>118</v>
      </c>
      <c r="T428">
        <v>3</v>
      </c>
      <c r="U428">
        <v>7.68</v>
      </c>
      <c r="V428">
        <v>980</v>
      </c>
      <c r="W428">
        <v>20</v>
      </c>
      <c r="X428">
        <v>70.61</v>
      </c>
      <c r="Y428">
        <f t="shared" si="8"/>
        <v>8.0713567632709626</v>
      </c>
      <c r="Z428">
        <f>75.27-X428</f>
        <v>4.6599999999999966</v>
      </c>
    </row>
    <row r="429" spans="1:26" x14ac:dyDescent="0.2">
      <c r="A429" t="s">
        <v>438</v>
      </c>
      <c r="B429">
        <v>2019</v>
      </c>
      <c r="C429" t="s">
        <v>826</v>
      </c>
      <c r="D429" t="s">
        <v>824</v>
      </c>
      <c r="E429" t="s">
        <v>114</v>
      </c>
      <c r="F429" t="s">
        <v>313</v>
      </c>
      <c r="G429">
        <v>34.416666999999997</v>
      </c>
      <c r="H429">
        <v>126.833333</v>
      </c>
      <c r="I429" t="s">
        <v>772</v>
      </c>
      <c r="J429" t="s">
        <v>7</v>
      </c>
      <c r="K429" t="s">
        <v>115</v>
      </c>
      <c r="L429" t="s">
        <v>143</v>
      </c>
      <c r="M429" t="s">
        <v>726</v>
      </c>
      <c r="N429" t="s">
        <v>85</v>
      </c>
      <c r="O429" t="s">
        <v>58</v>
      </c>
      <c r="Q429">
        <v>5</v>
      </c>
      <c r="R429" t="s">
        <v>213</v>
      </c>
      <c r="S429" t="s">
        <v>7</v>
      </c>
      <c r="T429">
        <v>3</v>
      </c>
      <c r="U429">
        <v>8.06</v>
      </c>
      <c r="V429">
        <v>360</v>
      </c>
      <c r="W429">
        <v>10</v>
      </c>
      <c r="X429">
        <v>0.49049999999999999</v>
      </c>
      <c r="Y429">
        <f t="shared" si="8"/>
        <v>6.8416006898970705E-2</v>
      </c>
      <c r="Z429">
        <f>0.53-X429</f>
        <v>3.9500000000000035E-2</v>
      </c>
    </row>
    <row r="430" spans="1:26" x14ac:dyDescent="0.2">
      <c r="A430" t="s">
        <v>438</v>
      </c>
      <c r="B430">
        <v>2019</v>
      </c>
      <c r="C430" t="s">
        <v>826</v>
      </c>
      <c r="D430" t="s">
        <v>824</v>
      </c>
      <c r="E430" t="s">
        <v>114</v>
      </c>
      <c r="F430" t="s">
        <v>313</v>
      </c>
      <c r="G430">
        <v>34.416666999999997</v>
      </c>
      <c r="H430">
        <v>126.833333</v>
      </c>
      <c r="I430" t="s">
        <v>772</v>
      </c>
      <c r="J430" t="s">
        <v>14</v>
      </c>
      <c r="K430" t="s">
        <v>115</v>
      </c>
      <c r="L430" t="s">
        <v>143</v>
      </c>
      <c r="M430" t="s">
        <v>726</v>
      </c>
      <c r="N430" t="s">
        <v>85</v>
      </c>
      <c r="O430" t="s">
        <v>58</v>
      </c>
      <c r="Q430">
        <v>5</v>
      </c>
      <c r="R430" t="s">
        <v>213</v>
      </c>
      <c r="S430" t="s">
        <v>9</v>
      </c>
      <c r="T430">
        <v>3</v>
      </c>
      <c r="U430" t="s">
        <v>28</v>
      </c>
      <c r="V430" t="s">
        <v>28</v>
      </c>
      <c r="W430">
        <v>15</v>
      </c>
      <c r="X430">
        <v>0.45900000000000002</v>
      </c>
      <c r="Y430">
        <f t="shared" si="8"/>
        <v>6.8242801818213739E-2</v>
      </c>
      <c r="Z430">
        <f>0.4984-X430</f>
        <v>3.9399999999999991E-2</v>
      </c>
    </row>
    <row r="431" spans="1:26" x14ac:dyDescent="0.2">
      <c r="A431" t="s">
        <v>438</v>
      </c>
      <c r="B431">
        <v>2019</v>
      </c>
      <c r="C431" t="s">
        <v>826</v>
      </c>
      <c r="D431" t="s">
        <v>824</v>
      </c>
      <c r="E431" t="s">
        <v>114</v>
      </c>
      <c r="F431" t="s">
        <v>313</v>
      </c>
      <c r="G431">
        <v>34.416666999999997</v>
      </c>
      <c r="H431">
        <v>126.833333</v>
      </c>
      <c r="I431" t="s">
        <v>772</v>
      </c>
      <c r="J431" t="s">
        <v>14</v>
      </c>
      <c r="K431" t="s">
        <v>115</v>
      </c>
      <c r="L431" t="s">
        <v>143</v>
      </c>
      <c r="M431" t="s">
        <v>726</v>
      </c>
      <c r="N431" t="s">
        <v>85</v>
      </c>
      <c r="O431" t="s">
        <v>58</v>
      </c>
      <c r="Q431">
        <v>5</v>
      </c>
      <c r="R431" t="s">
        <v>213</v>
      </c>
      <c r="S431" t="s">
        <v>27</v>
      </c>
      <c r="T431">
        <v>3</v>
      </c>
      <c r="U431" t="s">
        <v>28</v>
      </c>
      <c r="V431" t="s">
        <v>28</v>
      </c>
      <c r="W431">
        <v>20</v>
      </c>
      <c r="X431">
        <v>0.1215</v>
      </c>
      <c r="Y431">
        <f t="shared" si="8"/>
        <v>3.2735760263051777E-2</v>
      </c>
      <c r="Z431">
        <f>0.1404-X431</f>
        <v>1.89E-2</v>
      </c>
    </row>
    <row r="432" spans="1:26" x14ac:dyDescent="0.2">
      <c r="A432" t="s">
        <v>438</v>
      </c>
      <c r="B432">
        <v>2019</v>
      </c>
      <c r="C432" t="s">
        <v>826</v>
      </c>
      <c r="D432" t="s">
        <v>824</v>
      </c>
      <c r="E432" t="s">
        <v>114</v>
      </c>
      <c r="F432" t="s">
        <v>313</v>
      </c>
      <c r="G432">
        <v>34.416666999999997</v>
      </c>
      <c r="H432">
        <v>126.833333</v>
      </c>
      <c r="I432" t="s">
        <v>772</v>
      </c>
      <c r="J432" t="s">
        <v>5</v>
      </c>
      <c r="K432" t="s">
        <v>115</v>
      </c>
      <c r="L432" t="s">
        <v>143</v>
      </c>
      <c r="M432" t="s">
        <v>726</v>
      </c>
      <c r="N432" t="s">
        <v>85</v>
      </c>
      <c r="O432" t="s">
        <v>58</v>
      </c>
      <c r="Q432">
        <v>5</v>
      </c>
      <c r="R432" t="s">
        <v>213</v>
      </c>
      <c r="S432" t="s">
        <v>13</v>
      </c>
      <c r="T432">
        <v>3</v>
      </c>
      <c r="U432">
        <v>7.79</v>
      </c>
      <c r="V432">
        <v>720</v>
      </c>
      <c r="W432" t="s">
        <v>28</v>
      </c>
      <c r="X432">
        <v>0.52049999999999996</v>
      </c>
      <c r="Y432">
        <f t="shared" si="8"/>
        <v>8.4697284490118194E-2</v>
      </c>
      <c r="Z432">
        <f>0.5694-X432</f>
        <v>4.8900000000000055E-2</v>
      </c>
    </row>
    <row r="433" spans="1:26" x14ac:dyDescent="0.2">
      <c r="A433" t="s">
        <v>438</v>
      </c>
      <c r="B433">
        <v>2019</v>
      </c>
      <c r="C433" t="s">
        <v>826</v>
      </c>
      <c r="D433" t="s">
        <v>824</v>
      </c>
      <c r="E433" t="s">
        <v>114</v>
      </c>
      <c r="F433" t="s">
        <v>313</v>
      </c>
      <c r="G433">
        <v>34.416666999999997</v>
      </c>
      <c r="H433">
        <v>126.833333</v>
      </c>
      <c r="I433" t="s">
        <v>772</v>
      </c>
      <c r="J433" t="s">
        <v>16</v>
      </c>
      <c r="K433" t="s">
        <v>115</v>
      </c>
      <c r="L433" t="s">
        <v>143</v>
      </c>
      <c r="M433" t="s">
        <v>726</v>
      </c>
      <c r="N433" t="s">
        <v>85</v>
      </c>
      <c r="O433" t="s">
        <v>58</v>
      </c>
      <c r="Q433">
        <v>5</v>
      </c>
      <c r="R433" t="s">
        <v>213</v>
      </c>
      <c r="S433" t="s">
        <v>15</v>
      </c>
      <c r="T433">
        <v>3</v>
      </c>
      <c r="U433">
        <v>7.79</v>
      </c>
      <c r="V433">
        <v>720</v>
      </c>
      <c r="W433">
        <v>15</v>
      </c>
      <c r="X433">
        <v>0.52049999999999996</v>
      </c>
      <c r="Y433">
        <f t="shared" si="8"/>
        <v>0.10374984337337585</v>
      </c>
      <c r="Z433">
        <f>0.5804-X433</f>
        <v>5.9900000000000064E-2</v>
      </c>
    </row>
    <row r="434" spans="1:26" x14ac:dyDescent="0.2">
      <c r="A434" t="s">
        <v>438</v>
      </c>
      <c r="B434">
        <v>2019</v>
      </c>
      <c r="C434" t="s">
        <v>826</v>
      </c>
      <c r="D434" t="s">
        <v>824</v>
      </c>
      <c r="E434" t="s">
        <v>114</v>
      </c>
      <c r="F434" t="s">
        <v>313</v>
      </c>
      <c r="G434">
        <v>34.416666999999997</v>
      </c>
      <c r="H434">
        <v>126.833333</v>
      </c>
      <c r="I434" t="s">
        <v>772</v>
      </c>
      <c r="J434" t="s">
        <v>16</v>
      </c>
      <c r="K434" t="s">
        <v>115</v>
      </c>
      <c r="L434" t="s">
        <v>143</v>
      </c>
      <c r="M434" t="s">
        <v>726</v>
      </c>
      <c r="N434" t="s">
        <v>85</v>
      </c>
      <c r="O434" t="s">
        <v>58</v>
      </c>
      <c r="Q434">
        <v>5</v>
      </c>
      <c r="R434" t="s">
        <v>213</v>
      </c>
      <c r="S434" t="s">
        <v>37</v>
      </c>
      <c r="T434">
        <v>3</v>
      </c>
      <c r="U434">
        <v>7.8</v>
      </c>
      <c r="V434">
        <v>720</v>
      </c>
      <c r="W434">
        <v>20</v>
      </c>
      <c r="X434">
        <v>0.55989999999999995</v>
      </c>
      <c r="Y434">
        <f t="shared" si="8"/>
        <v>8.4697284490118194E-2</v>
      </c>
      <c r="Z434">
        <f>0.6088-X434</f>
        <v>4.8900000000000055E-2</v>
      </c>
    </row>
    <row r="435" spans="1:26" x14ac:dyDescent="0.2">
      <c r="A435" t="s">
        <v>438</v>
      </c>
      <c r="B435">
        <v>2019</v>
      </c>
      <c r="C435" t="s">
        <v>826</v>
      </c>
      <c r="D435" t="s">
        <v>824</v>
      </c>
      <c r="E435" t="s">
        <v>114</v>
      </c>
      <c r="F435" t="s">
        <v>313</v>
      </c>
      <c r="G435">
        <v>34.416666999999997</v>
      </c>
      <c r="H435">
        <v>126.833333</v>
      </c>
      <c r="I435" t="s">
        <v>772</v>
      </c>
      <c r="J435" t="s">
        <v>5</v>
      </c>
      <c r="K435" t="s">
        <v>115</v>
      </c>
      <c r="L435" t="s">
        <v>143</v>
      </c>
      <c r="M435" t="s">
        <v>726</v>
      </c>
      <c r="N435" t="s">
        <v>85</v>
      </c>
      <c r="O435" t="s">
        <v>58</v>
      </c>
      <c r="Q435">
        <v>5</v>
      </c>
      <c r="R435" t="s">
        <v>213</v>
      </c>
      <c r="S435" t="s">
        <v>116</v>
      </c>
      <c r="T435">
        <v>3</v>
      </c>
      <c r="U435">
        <v>7.66</v>
      </c>
      <c r="V435">
        <v>980</v>
      </c>
      <c r="W435" t="s">
        <v>28</v>
      </c>
      <c r="X435">
        <v>0.29970000000000002</v>
      </c>
      <c r="Y435">
        <f t="shared" si="8"/>
        <v>1.6281277591147385E-2</v>
      </c>
      <c r="Z435">
        <f>0.3091-X435</f>
        <v>9.3999999999999639E-3</v>
      </c>
    </row>
    <row r="436" spans="1:26" x14ac:dyDescent="0.2">
      <c r="A436" t="s">
        <v>438</v>
      </c>
      <c r="B436">
        <v>2019</v>
      </c>
      <c r="C436" t="s">
        <v>826</v>
      </c>
      <c r="D436" t="s">
        <v>824</v>
      </c>
      <c r="E436" t="s">
        <v>114</v>
      </c>
      <c r="F436" t="s">
        <v>313</v>
      </c>
      <c r="G436">
        <v>34.416666999999997</v>
      </c>
      <c r="H436">
        <v>126.833333</v>
      </c>
      <c r="I436" t="s">
        <v>772</v>
      </c>
      <c r="J436" t="s">
        <v>16</v>
      </c>
      <c r="K436" t="s">
        <v>115</v>
      </c>
      <c r="L436" t="s">
        <v>143</v>
      </c>
      <c r="M436" t="s">
        <v>726</v>
      </c>
      <c r="N436" t="s">
        <v>85</v>
      </c>
      <c r="O436" t="s">
        <v>58</v>
      </c>
      <c r="Q436">
        <v>5</v>
      </c>
      <c r="R436" t="s">
        <v>213</v>
      </c>
      <c r="S436" t="s">
        <v>117</v>
      </c>
      <c r="T436">
        <v>3</v>
      </c>
      <c r="U436">
        <v>7.67</v>
      </c>
      <c r="V436">
        <v>980</v>
      </c>
      <c r="W436">
        <v>15</v>
      </c>
      <c r="X436">
        <v>0.2492</v>
      </c>
      <c r="Y436">
        <f t="shared" si="8"/>
        <v>7.1014083110323978E-2</v>
      </c>
      <c r="Z436">
        <f>0.2902-X436</f>
        <v>4.1000000000000009E-2</v>
      </c>
    </row>
    <row r="437" spans="1:26" x14ac:dyDescent="0.2">
      <c r="A437" t="s">
        <v>438</v>
      </c>
      <c r="B437">
        <v>2019</v>
      </c>
      <c r="C437" t="s">
        <v>807</v>
      </c>
      <c r="D437" t="s">
        <v>825</v>
      </c>
      <c r="E437" t="s">
        <v>35</v>
      </c>
      <c r="F437" t="s">
        <v>313</v>
      </c>
      <c r="G437">
        <v>34.416666999999997</v>
      </c>
      <c r="H437">
        <v>126.833333</v>
      </c>
      <c r="I437" t="s">
        <v>772</v>
      </c>
      <c r="J437" t="s">
        <v>7</v>
      </c>
      <c r="K437" t="s">
        <v>119</v>
      </c>
      <c r="L437" t="s">
        <v>143</v>
      </c>
      <c r="M437" t="s">
        <v>726</v>
      </c>
      <c r="N437" t="s">
        <v>85</v>
      </c>
      <c r="O437" t="s">
        <v>58</v>
      </c>
      <c r="Q437">
        <v>5</v>
      </c>
      <c r="R437" t="s">
        <v>213</v>
      </c>
      <c r="S437" t="s">
        <v>7</v>
      </c>
      <c r="T437">
        <v>3</v>
      </c>
      <c r="U437">
        <v>8.06</v>
      </c>
      <c r="V437">
        <v>360</v>
      </c>
      <c r="W437">
        <v>10</v>
      </c>
      <c r="X437">
        <v>0.28010000000000002</v>
      </c>
      <c r="Y437">
        <f t="shared" si="8"/>
        <v>1.6454482671904348E-2</v>
      </c>
      <c r="Z437">
        <f>0.2896-X437</f>
        <v>9.5000000000000084E-3</v>
      </c>
    </row>
    <row r="438" spans="1:26" x14ac:dyDescent="0.2">
      <c r="A438" t="s">
        <v>438</v>
      </c>
      <c r="B438">
        <v>2019</v>
      </c>
      <c r="C438" t="s">
        <v>807</v>
      </c>
      <c r="D438" t="s">
        <v>825</v>
      </c>
      <c r="E438" t="s">
        <v>35</v>
      </c>
      <c r="F438" t="s">
        <v>313</v>
      </c>
      <c r="G438">
        <v>34.416666999999997</v>
      </c>
      <c r="H438">
        <v>126.833333</v>
      </c>
      <c r="I438" t="s">
        <v>772</v>
      </c>
      <c r="J438" t="s">
        <v>14</v>
      </c>
      <c r="K438" t="s">
        <v>119</v>
      </c>
      <c r="L438" t="s">
        <v>143</v>
      </c>
      <c r="M438" t="s">
        <v>726</v>
      </c>
      <c r="N438" t="s">
        <v>85</v>
      </c>
      <c r="O438" t="s">
        <v>58</v>
      </c>
      <c r="Q438">
        <v>5</v>
      </c>
      <c r="R438" t="s">
        <v>213</v>
      </c>
      <c r="S438" t="s">
        <v>9</v>
      </c>
      <c r="T438">
        <v>3</v>
      </c>
      <c r="U438" t="s">
        <v>28</v>
      </c>
      <c r="V438" t="s">
        <v>28</v>
      </c>
      <c r="W438">
        <v>15</v>
      </c>
      <c r="X438">
        <v>0.37969999999999998</v>
      </c>
      <c r="Y438">
        <f t="shared" si="8"/>
        <v>6.8589211979727574E-2</v>
      </c>
      <c r="Z438">
        <f>0.4193-X438</f>
        <v>3.9600000000000024E-2</v>
      </c>
    </row>
    <row r="439" spans="1:26" x14ac:dyDescent="0.2">
      <c r="A439" t="s">
        <v>438</v>
      </c>
      <c r="B439">
        <v>2019</v>
      </c>
      <c r="C439" t="s">
        <v>807</v>
      </c>
      <c r="D439" t="s">
        <v>825</v>
      </c>
      <c r="E439" t="s">
        <v>35</v>
      </c>
      <c r="F439" t="s">
        <v>313</v>
      </c>
      <c r="G439">
        <v>34.416666999999997</v>
      </c>
      <c r="H439">
        <v>126.833333</v>
      </c>
      <c r="I439" t="s">
        <v>772</v>
      </c>
      <c r="J439" t="s">
        <v>14</v>
      </c>
      <c r="K439" t="s">
        <v>119</v>
      </c>
      <c r="L439" t="s">
        <v>143</v>
      </c>
      <c r="M439" t="s">
        <v>726</v>
      </c>
      <c r="N439" t="s">
        <v>85</v>
      </c>
      <c r="O439" t="s">
        <v>58</v>
      </c>
      <c r="Q439">
        <v>5</v>
      </c>
      <c r="R439" t="s">
        <v>213</v>
      </c>
      <c r="S439" t="s">
        <v>27</v>
      </c>
      <c r="T439">
        <v>3</v>
      </c>
      <c r="U439" t="s">
        <v>28</v>
      </c>
      <c r="V439" t="s">
        <v>28</v>
      </c>
      <c r="W439">
        <v>20</v>
      </c>
      <c r="X439">
        <v>0.50949999999999995</v>
      </c>
      <c r="Y439">
        <f t="shared" si="8"/>
        <v>0.10409625353488959</v>
      </c>
      <c r="Z439">
        <f>0.5696-X439</f>
        <v>6.0100000000000042E-2</v>
      </c>
    </row>
    <row r="440" spans="1:26" x14ac:dyDescent="0.2">
      <c r="A440" t="s">
        <v>438</v>
      </c>
      <c r="B440">
        <v>2019</v>
      </c>
      <c r="C440" t="s">
        <v>807</v>
      </c>
      <c r="D440" t="s">
        <v>825</v>
      </c>
      <c r="E440" t="s">
        <v>35</v>
      </c>
      <c r="F440" t="s">
        <v>313</v>
      </c>
      <c r="G440">
        <v>34.416666999999997</v>
      </c>
      <c r="H440">
        <v>126.833333</v>
      </c>
      <c r="I440" t="s">
        <v>772</v>
      </c>
      <c r="J440" t="s">
        <v>5</v>
      </c>
      <c r="K440" t="s">
        <v>119</v>
      </c>
      <c r="L440" t="s">
        <v>143</v>
      </c>
      <c r="M440" t="s">
        <v>726</v>
      </c>
      <c r="N440" t="s">
        <v>85</v>
      </c>
      <c r="O440" t="s">
        <v>58</v>
      </c>
      <c r="Q440">
        <v>5</v>
      </c>
      <c r="R440" t="s">
        <v>213</v>
      </c>
      <c r="S440" t="s">
        <v>13</v>
      </c>
      <c r="T440">
        <v>3</v>
      </c>
      <c r="U440">
        <v>7.79</v>
      </c>
      <c r="V440">
        <v>720</v>
      </c>
      <c r="W440" t="s">
        <v>28</v>
      </c>
      <c r="X440">
        <v>0.6804</v>
      </c>
      <c r="Y440">
        <f t="shared" ref="Y440:Y457" si="9">Z440*SQRT(T440)</f>
        <v>3.2908965343808695E-2</v>
      </c>
      <c r="Z440">
        <f>0.6994-X440</f>
        <v>1.9000000000000017E-2</v>
      </c>
    </row>
    <row r="441" spans="1:26" x14ac:dyDescent="0.2">
      <c r="A441" t="s">
        <v>438</v>
      </c>
      <c r="B441">
        <v>2019</v>
      </c>
      <c r="C441" t="s">
        <v>807</v>
      </c>
      <c r="D441" t="s">
        <v>825</v>
      </c>
      <c r="E441" t="s">
        <v>35</v>
      </c>
      <c r="F441" t="s">
        <v>313</v>
      </c>
      <c r="G441">
        <v>34.416666999999997</v>
      </c>
      <c r="H441">
        <v>126.833333</v>
      </c>
      <c r="I441" t="s">
        <v>772</v>
      </c>
      <c r="J441" t="s">
        <v>16</v>
      </c>
      <c r="K441" t="s">
        <v>119</v>
      </c>
      <c r="L441" t="s">
        <v>143</v>
      </c>
      <c r="M441" t="s">
        <v>726</v>
      </c>
      <c r="N441" t="s">
        <v>85</v>
      </c>
      <c r="O441" t="s">
        <v>58</v>
      </c>
      <c r="Q441">
        <v>5</v>
      </c>
      <c r="R441" t="s">
        <v>213</v>
      </c>
      <c r="S441" t="s">
        <v>15</v>
      </c>
      <c r="T441">
        <v>3</v>
      </c>
      <c r="U441">
        <v>7.79</v>
      </c>
      <c r="V441">
        <v>720</v>
      </c>
      <c r="W441">
        <v>15</v>
      </c>
      <c r="X441">
        <v>0.46039999999999998</v>
      </c>
      <c r="Y441">
        <f t="shared" si="9"/>
        <v>6.8589211979727574E-2</v>
      </c>
      <c r="Z441">
        <f>0.5-X441</f>
        <v>3.9600000000000024E-2</v>
      </c>
    </row>
    <row r="442" spans="1:26" x14ac:dyDescent="0.2">
      <c r="A442" t="s">
        <v>438</v>
      </c>
      <c r="B442">
        <v>2019</v>
      </c>
      <c r="C442" t="s">
        <v>807</v>
      </c>
      <c r="D442" t="s">
        <v>825</v>
      </c>
      <c r="E442" t="s">
        <v>35</v>
      </c>
      <c r="F442" t="s">
        <v>313</v>
      </c>
      <c r="G442">
        <v>34.416666999999997</v>
      </c>
      <c r="H442">
        <v>126.833333</v>
      </c>
      <c r="I442" t="s">
        <v>772</v>
      </c>
      <c r="J442" t="s">
        <v>16</v>
      </c>
      <c r="K442" t="s">
        <v>119</v>
      </c>
      <c r="L442" t="s">
        <v>143</v>
      </c>
      <c r="M442" t="s">
        <v>726</v>
      </c>
      <c r="N442" t="s">
        <v>85</v>
      </c>
      <c r="O442" t="s">
        <v>58</v>
      </c>
      <c r="Q442">
        <v>5</v>
      </c>
      <c r="R442" t="s">
        <v>213</v>
      </c>
      <c r="S442" t="s">
        <v>37</v>
      </c>
      <c r="T442">
        <v>3</v>
      </c>
      <c r="U442">
        <v>7.8</v>
      </c>
      <c r="V442">
        <v>720</v>
      </c>
      <c r="W442">
        <v>20</v>
      </c>
      <c r="X442">
        <v>0.31009999999999999</v>
      </c>
      <c r="Y442">
        <f t="shared" si="9"/>
        <v>6.8589211979727574E-2</v>
      </c>
      <c r="Z442">
        <f>0.3497-X442</f>
        <v>3.9600000000000024E-2</v>
      </c>
    </row>
    <row r="443" spans="1:26" x14ac:dyDescent="0.2">
      <c r="A443" t="s">
        <v>438</v>
      </c>
      <c r="B443">
        <v>2019</v>
      </c>
      <c r="C443" t="s">
        <v>807</v>
      </c>
      <c r="D443" t="s">
        <v>825</v>
      </c>
      <c r="E443" t="s">
        <v>35</v>
      </c>
      <c r="F443" t="s">
        <v>313</v>
      </c>
      <c r="G443">
        <v>34.416666999999997</v>
      </c>
      <c r="H443">
        <v>126.833333</v>
      </c>
      <c r="I443" t="s">
        <v>772</v>
      </c>
      <c r="J443" t="s">
        <v>5</v>
      </c>
      <c r="K443" t="s">
        <v>119</v>
      </c>
      <c r="L443" t="s">
        <v>143</v>
      </c>
      <c r="M443" t="s">
        <v>726</v>
      </c>
      <c r="N443" t="s">
        <v>85</v>
      </c>
      <c r="O443" t="s">
        <v>58</v>
      </c>
      <c r="Q443">
        <v>5</v>
      </c>
      <c r="R443" t="s">
        <v>213</v>
      </c>
      <c r="S443" t="s">
        <v>116</v>
      </c>
      <c r="T443">
        <v>3</v>
      </c>
      <c r="U443">
        <v>7.66</v>
      </c>
      <c r="V443">
        <v>980</v>
      </c>
      <c r="W443" t="s">
        <v>28</v>
      </c>
      <c r="X443">
        <v>0.52059999999999995</v>
      </c>
      <c r="Y443">
        <f t="shared" si="9"/>
        <v>6.8416006898970802E-2</v>
      </c>
      <c r="Z443">
        <f>0.5601-X443</f>
        <v>3.9500000000000091E-2</v>
      </c>
    </row>
    <row r="444" spans="1:26" x14ac:dyDescent="0.2">
      <c r="A444" t="s">
        <v>438</v>
      </c>
      <c r="B444">
        <v>2019</v>
      </c>
      <c r="C444" t="s">
        <v>807</v>
      </c>
      <c r="D444" t="s">
        <v>825</v>
      </c>
      <c r="E444" t="s">
        <v>35</v>
      </c>
      <c r="F444" t="s">
        <v>313</v>
      </c>
      <c r="G444">
        <v>34.416666999999997</v>
      </c>
      <c r="H444">
        <v>126.833333</v>
      </c>
      <c r="I444" t="s">
        <v>772</v>
      </c>
      <c r="J444" t="s">
        <v>16</v>
      </c>
      <c r="K444" t="s">
        <v>119</v>
      </c>
      <c r="L444" t="s">
        <v>143</v>
      </c>
      <c r="M444" t="s">
        <v>726</v>
      </c>
      <c r="N444" t="s">
        <v>85</v>
      </c>
      <c r="O444" t="s">
        <v>58</v>
      </c>
      <c r="Q444">
        <v>5</v>
      </c>
      <c r="R444" t="s">
        <v>213</v>
      </c>
      <c r="S444" t="s">
        <v>117</v>
      </c>
      <c r="T444">
        <v>3</v>
      </c>
      <c r="U444">
        <v>7.67</v>
      </c>
      <c r="V444">
        <v>980</v>
      </c>
      <c r="W444">
        <v>15</v>
      </c>
      <c r="X444">
        <v>0.44940000000000002</v>
      </c>
      <c r="Y444">
        <f t="shared" si="9"/>
        <v>6.8416006898970608E-2</v>
      </c>
      <c r="Z444">
        <f>0.4889-X444</f>
        <v>3.949999999999998E-2</v>
      </c>
    </row>
    <row r="445" spans="1:26" x14ac:dyDescent="0.2">
      <c r="A445" t="s">
        <v>438</v>
      </c>
      <c r="B445">
        <v>2019</v>
      </c>
      <c r="C445" t="s">
        <v>807</v>
      </c>
      <c r="D445" t="s">
        <v>825</v>
      </c>
      <c r="E445" t="s">
        <v>35</v>
      </c>
      <c r="F445" t="s">
        <v>313</v>
      </c>
      <c r="G445">
        <v>34.416666999999997</v>
      </c>
      <c r="H445">
        <v>126.833333</v>
      </c>
      <c r="I445" t="s">
        <v>772</v>
      </c>
      <c r="J445" t="s">
        <v>16</v>
      </c>
      <c r="K445" t="s">
        <v>119</v>
      </c>
      <c r="L445" t="s">
        <v>143</v>
      </c>
      <c r="M445" t="s">
        <v>726</v>
      </c>
      <c r="N445" t="s">
        <v>85</v>
      </c>
      <c r="O445" t="s">
        <v>58</v>
      </c>
      <c r="Q445">
        <v>5</v>
      </c>
      <c r="R445" t="s">
        <v>213</v>
      </c>
      <c r="S445" t="s">
        <v>118</v>
      </c>
      <c r="T445">
        <v>3</v>
      </c>
      <c r="U445">
        <v>7.68</v>
      </c>
      <c r="V445">
        <v>980</v>
      </c>
      <c r="W445">
        <v>20</v>
      </c>
      <c r="X445">
        <v>0.24049999999999999</v>
      </c>
      <c r="Y445">
        <f t="shared" si="9"/>
        <v>1.6454482671904348E-2</v>
      </c>
      <c r="Z445">
        <f>0.25-X445</f>
        <v>9.5000000000000084E-3</v>
      </c>
    </row>
    <row r="446" spans="1:26" x14ac:dyDescent="0.2">
      <c r="A446" t="s">
        <v>438</v>
      </c>
      <c r="B446">
        <v>2019</v>
      </c>
      <c r="C446" t="s">
        <v>826</v>
      </c>
      <c r="D446" t="s">
        <v>824</v>
      </c>
      <c r="E446" t="s">
        <v>114</v>
      </c>
      <c r="F446" t="s">
        <v>313</v>
      </c>
      <c r="G446">
        <v>34.416666999999997</v>
      </c>
      <c r="H446">
        <v>126.833333</v>
      </c>
      <c r="I446" t="s">
        <v>772</v>
      </c>
      <c r="J446" t="s">
        <v>7</v>
      </c>
      <c r="K446" t="s">
        <v>41</v>
      </c>
      <c r="L446" t="s">
        <v>3</v>
      </c>
      <c r="M446" t="s">
        <v>26</v>
      </c>
      <c r="N446" t="s">
        <v>85</v>
      </c>
      <c r="O446" s="6" t="s">
        <v>462</v>
      </c>
      <c r="P446" t="s">
        <v>113</v>
      </c>
      <c r="Q446">
        <v>10</v>
      </c>
      <c r="R446" t="s">
        <v>213</v>
      </c>
      <c r="S446" t="s">
        <v>7</v>
      </c>
      <c r="T446">
        <v>4</v>
      </c>
      <c r="U446">
        <v>8.06</v>
      </c>
      <c r="V446">
        <v>360</v>
      </c>
      <c r="W446">
        <v>15</v>
      </c>
      <c r="X446">
        <f>39.36/Q446</f>
        <v>3.9359999999999999</v>
      </c>
      <c r="Y446">
        <f t="shared" si="9"/>
        <v>0.84000000000000052</v>
      </c>
      <c r="Z446">
        <f>(43.56-(X446*10))/10</f>
        <v>0.42000000000000026</v>
      </c>
    </row>
    <row r="447" spans="1:26" x14ac:dyDescent="0.2">
      <c r="A447" t="s">
        <v>438</v>
      </c>
      <c r="B447">
        <v>2019</v>
      </c>
      <c r="C447" t="s">
        <v>826</v>
      </c>
      <c r="D447" t="s">
        <v>824</v>
      </c>
      <c r="E447" t="s">
        <v>114</v>
      </c>
      <c r="F447" t="s">
        <v>313</v>
      </c>
      <c r="G447">
        <v>34.416666999999997</v>
      </c>
      <c r="H447">
        <v>126.833333</v>
      </c>
      <c r="I447" t="s">
        <v>772</v>
      </c>
      <c r="J447" t="s">
        <v>14</v>
      </c>
      <c r="K447" t="s">
        <v>41</v>
      </c>
      <c r="L447" t="s">
        <v>3</v>
      </c>
      <c r="M447" t="s">
        <v>26</v>
      </c>
      <c r="N447" t="s">
        <v>85</v>
      </c>
      <c r="O447" s="6" t="s">
        <v>462</v>
      </c>
      <c r="P447" t="s">
        <v>113</v>
      </c>
      <c r="Q447">
        <v>10</v>
      </c>
      <c r="R447" t="s">
        <v>213</v>
      </c>
      <c r="S447" t="s">
        <v>9</v>
      </c>
      <c r="T447">
        <v>4</v>
      </c>
      <c r="U447" t="s">
        <v>28</v>
      </c>
      <c r="V447" t="s">
        <v>28</v>
      </c>
      <c r="W447">
        <v>20</v>
      </c>
      <c r="X447">
        <f>44.25/Q447</f>
        <v>4.4249999999999998</v>
      </c>
      <c r="Y447">
        <f t="shared" si="9"/>
        <v>0.14000000000000057</v>
      </c>
      <c r="Z447">
        <f>(44.95-(X447*10))/10</f>
        <v>7.0000000000000284E-2</v>
      </c>
    </row>
    <row r="448" spans="1:26" x14ac:dyDescent="0.2">
      <c r="A448" t="s">
        <v>438</v>
      </c>
      <c r="B448">
        <v>2019</v>
      </c>
      <c r="C448" t="s">
        <v>826</v>
      </c>
      <c r="D448" t="s">
        <v>824</v>
      </c>
      <c r="E448" t="s">
        <v>114</v>
      </c>
      <c r="F448" t="s">
        <v>313</v>
      </c>
      <c r="G448">
        <v>34.416666999999997</v>
      </c>
      <c r="H448">
        <v>126.833333</v>
      </c>
      <c r="I448" t="s">
        <v>772</v>
      </c>
      <c r="J448" t="s">
        <v>5</v>
      </c>
      <c r="K448" t="s">
        <v>41</v>
      </c>
      <c r="L448" t="s">
        <v>3</v>
      </c>
      <c r="M448" t="s">
        <v>26</v>
      </c>
      <c r="N448" t="s">
        <v>85</v>
      </c>
      <c r="O448" s="6" t="s">
        <v>462</v>
      </c>
      <c r="P448" t="s">
        <v>113</v>
      </c>
      <c r="Q448">
        <v>10</v>
      </c>
      <c r="R448" t="s">
        <v>213</v>
      </c>
      <c r="S448" t="s">
        <v>27</v>
      </c>
      <c r="T448">
        <v>4</v>
      </c>
      <c r="U448">
        <v>7.79</v>
      </c>
      <c r="V448">
        <v>720</v>
      </c>
      <c r="W448" t="s">
        <v>28</v>
      </c>
      <c r="X448">
        <f>17.24/Q448</f>
        <v>1.7239999999999998</v>
      </c>
      <c r="Y448">
        <f t="shared" si="9"/>
        <v>0.18600000000000066</v>
      </c>
      <c r="Z448">
        <f>(18.17-(X448*10))/10</f>
        <v>9.3000000000000332E-2</v>
      </c>
    </row>
    <row r="449" spans="1:26" x14ac:dyDescent="0.2">
      <c r="A449" t="s">
        <v>438</v>
      </c>
      <c r="B449">
        <v>2019</v>
      </c>
      <c r="C449" t="s">
        <v>826</v>
      </c>
      <c r="D449" t="s">
        <v>824</v>
      </c>
      <c r="E449" t="s">
        <v>114</v>
      </c>
      <c r="F449" t="s">
        <v>313</v>
      </c>
      <c r="G449">
        <v>34.416666999999997</v>
      </c>
      <c r="H449">
        <v>126.833333</v>
      </c>
      <c r="I449" t="s">
        <v>772</v>
      </c>
      <c r="J449" t="s">
        <v>16</v>
      </c>
      <c r="K449" t="s">
        <v>41</v>
      </c>
      <c r="L449" t="s">
        <v>3</v>
      </c>
      <c r="M449" t="s">
        <v>26</v>
      </c>
      <c r="N449" t="s">
        <v>85</v>
      </c>
      <c r="O449" s="6" t="s">
        <v>462</v>
      </c>
      <c r="P449" t="s">
        <v>113</v>
      </c>
      <c r="Q449">
        <v>10</v>
      </c>
      <c r="R449" t="s">
        <v>213</v>
      </c>
      <c r="S449" t="s">
        <v>13</v>
      </c>
      <c r="T449">
        <v>4</v>
      </c>
      <c r="U449">
        <v>7.8</v>
      </c>
      <c r="V449">
        <v>720</v>
      </c>
      <c r="W449">
        <v>20</v>
      </c>
      <c r="X449">
        <f>13.74/Q449</f>
        <v>1.3740000000000001</v>
      </c>
      <c r="Y449">
        <f t="shared" si="9"/>
        <v>0.18599999999999958</v>
      </c>
      <c r="Z449">
        <f>(14.67-(X449*10))/10</f>
        <v>9.2999999999999791E-2</v>
      </c>
    </row>
    <row r="450" spans="1:26" x14ac:dyDescent="0.2">
      <c r="A450" t="s">
        <v>438</v>
      </c>
      <c r="B450">
        <v>2019</v>
      </c>
      <c r="C450" t="s">
        <v>826</v>
      </c>
      <c r="D450" t="s">
        <v>824</v>
      </c>
      <c r="E450" t="s">
        <v>114</v>
      </c>
      <c r="F450" t="s">
        <v>313</v>
      </c>
      <c r="G450">
        <v>34.416666999999997</v>
      </c>
      <c r="H450">
        <v>126.833333</v>
      </c>
      <c r="I450" t="s">
        <v>772</v>
      </c>
      <c r="J450" t="s">
        <v>5</v>
      </c>
      <c r="K450" t="s">
        <v>41</v>
      </c>
      <c r="L450" t="s">
        <v>3</v>
      </c>
      <c r="M450" t="s">
        <v>26</v>
      </c>
      <c r="N450" t="s">
        <v>85</v>
      </c>
      <c r="O450" s="6" t="s">
        <v>462</v>
      </c>
      <c r="P450" t="s">
        <v>113</v>
      </c>
      <c r="Q450">
        <v>10</v>
      </c>
      <c r="R450" t="s">
        <v>213</v>
      </c>
      <c r="S450" t="s">
        <v>15</v>
      </c>
      <c r="T450">
        <v>4</v>
      </c>
      <c r="U450">
        <v>7.67</v>
      </c>
      <c r="V450">
        <v>980</v>
      </c>
      <c r="W450" t="s">
        <v>28</v>
      </c>
      <c r="X450">
        <f>13.04/Q450</f>
        <v>1.3039999999999998</v>
      </c>
      <c r="Y450">
        <f t="shared" si="9"/>
        <v>0.14000000000000021</v>
      </c>
      <c r="Z450">
        <f>(13.74-(X450*10))/10</f>
        <v>7.0000000000000104E-2</v>
      </c>
    </row>
    <row r="451" spans="1:26" x14ac:dyDescent="0.2">
      <c r="A451" t="s">
        <v>438</v>
      </c>
      <c r="B451">
        <v>2019</v>
      </c>
      <c r="C451" t="s">
        <v>826</v>
      </c>
      <c r="D451" t="s">
        <v>824</v>
      </c>
      <c r="E451" t="s">
        <v>114</v>
      </c>
      <c r="F451" t="s">
        <v>313</v>
      </c>
      <c r="G451">
        <v>34.416666999999997</v>
      </c>
      <c r="H451">
        <v>126.833333</v>
      </c>
      <c r="I451" t="s">
        <v>772</v>
      </c>
      <c r="J451" t="s">
        <v>16</v>
      </c>
      <c r="K451" t="s">
        <v>41</v>
      </c>
      <c r="L451" t="s">
        <v>3</v>
      </c>
      <c r="M451" t="s">
        <v>26</v>
      </c>
      <c r="N451" t="s">
        <v>85</v>
      </c>
      <c r="O451" s="6" t="s">
        <v>462</v>
      </c>
      <c r="P451" t="s">
        <v>113</v>
      </c>
      <c r="Q451">
        <v>10</v>
      </c>
      <c r="R451" t="s">
        <v>213</v>
      </c>
      <c r="S451" t="s">
        <v>37</v>
      </c>
      <c r="T451">
        <v>4</v>
      </c>
      <c r="U451">
        <v>7.68</v>
      </c>
      <c r="V451">
        <v>980</v>
      </c>
      <c r="W451">
        <v>20</v>
      </c>
      <c r="X451">
        <f>11.18/Q451</f>
        <v>1.1179999999999999</v>
      </c>
      <c r="Y451">
        <f t="shared" si="9"/>
        <v>0.46000000000000085</v>
      </c>
      <c r="Z451">
        <f>(11.41-(X451*10))/1</f>
        <v>0.23000000000000043</v>
      </c>
    </row>
    <row r="452" spans="1:26" x14ac:dyDescent="0.2">
      <c r="A452" t="s">
        <v>438</v>
      </c>
      <c r="B452">
        <v>2019</v>
      </c>
      <c r="C452" t="s">
        <v>807</v>
      </c>
      <c r="D452" t="s">
        <v>825</v>
      </c>
      <c r="E452" t="s">
        <v>35</v>
      </c>
      <c r="F452" t="s">
        <v>313</v>
      </c>
      <c r="G452">
        <v>34.416666999999997</v>
      </c>
      <c r="H452">
        <v>126.833333</v>
      </c>
      <c r="I452" t="s">
        <v>772</v>
      </c>
      <c r="J452" t="s">
        <v>7</v>
      </c>
      <c r="K452" t="s">
        <v>41</v>
      </c>
      <c r="L452" t="s">
        <v>3</v>
      </c>
      <c r="M452" t="s">
        <v>26</v>
      </c>
      <c r="N452" t="s">
        <v>85</v>
      </c>
      <c r="O452" s="6" t="s">
        <v>462</v>
      </c>
      <c r="P452" t="s">
        <v>113</v>
      </c>
      <c r="Q452">
        <v>10</v>
      </c>
      <c r="R452" t="s">
        <v>213</v>
      </c>
      <c r="S452" t="s">
        <v>7</v>
      </c>
      <c r="T452">
        <v>4</v>
      </c>
      <c r="U452">
        <v>8.06</v>
      </c>
      <c r="V452">
        <v>360</v>
      </c>
      <c r="W452">
        <v>15</v>
      </c>
      <c r="X452">
        <f>61.67/Q452</f>
        <v>6.1669999999999998</v>
      </c>
      <c r="Y452">
        <f t="shared" si="9"/>
        <v>0.55600000000000027</v>
      </c>
      <c r="Z452">
        <f>(64.45-(X452*10))/10</f>
        <v>0.27800000000000014</v>
      </c>
    </row>
    <row r="453" spans="1:26" x14ac:dyDescent="0.2">
      <c r="A453" t="s">
        <v>438</v>
      </c>
      <c r="B453">
        <v>2019</v>
      </c>
      <c r="C453" t="s">
        <v>807</v>
      </c>
      <c r="D453" t="s">
        <v>825</v>
      </c>
      <c r="E453" t="s">
        <v>35</v>
      </c>
      <c r="F453" t="s">
        <v>313</v>
      </c>
      <c r="G453">
        <v>34.416666999999997</v>
      </c>
      <c r="H453">
        <v>126.833333</v>
      </c>
      <c r="I453" t="s">
        <v>772</v>
      </c>
      <c r="J453" t="s">
        <v>14</v>
      </c>
      <c r="K453" t="s">
        <v>41</v>
      </c>
      <c r="L453" t="s">
        <v>3</v>
      </c>
      <c r="M453" t="s">
        <v>26</v>
      </c>
      <c r="N453" t="s">
        <v>85</v>
      </c>
      <c r="O453" s="6" t="s">
        <v>462</v>
      </c>
      <c r="P453" t="s">
        <v>113</v>
      </c>
      <c r="Q453">
        <v>10</v>
      </c>
      <c r="R453" t="s">
        <v>213</v>
      </c>
      <c r="S453" t="s">
        <v>9</v>
      </c>
      <c r="T453">
        <v>4</v>
      </c>
      <c r="U453" t="s">
        <v>28</v>
      </c>
      <c r="V453" t="s">
        <v>28</v>
      </c>
      <c r="W453">
        <v>20</v>
      </c>
      <c r="X453">
        <f>92.74/Q453</f>
        <v>9.2739999999999991</v>
      </c>
      <c r="Y453">
        <f t="shared" si="9"/>
        <v>0.88000000000000111</v>
      </c>
      <c r="Z453">
        <f>(97.14-(X453*10))/10</f>
        <v>0.44000000000000056</v>
      </c>
    </row>
    <row r="454" spans="1:26" x14ac:dyDescent="0.2">
      <c r="A454" t="s">
        <v>438</v>
      </c>
      <c r="B454">
        <v>2019</v>
      </c>
      <c r="C454" t="s">
        <v>807</v>
      </c>
      <c r="D454" t="s">
        <v>825</v>
      </c>
      <c r="E454" t="s">
        <v>35</v>
      </c>
      <c r="F454" t="s">
        <v>313</v>
      </c>
      <c r="G454">
        <v>34.416666999999997</v>
      </c>
      <c r="H454">
        <v>126.833333</v>
      </c>
      <c r="I454" t="s">
        <v>772</v>
      </c>
      <c r="J454" t="s">
        <v>5</v>
      </c>
      <c r="K454" t="s">
        <v>41</v>
      </c>
      <c r="L454" t="s">
        <v>3</v>
      </c>
      <c r="M454" t="s">
        <v>26</v>
      </c>
      <c r="N454" t="s">
        <v>85</v>
      </c>
      <c r="O454" s="6" t="s">
        <v>462</v>
      </c>
      <c r="P454" t="s">
        <v>113</v>
      </c>
      <c r="Q454">
        <v>10</v>
      </c>
      <c r="R454" t="s">
        <v>213</v>
      </c>
      <c r="S454" t="s">
        <v>27</v>
      </c>
      <c r="T454">
        <v>4</v>
      </c>
      <c r="U454">
        <v>7.79</v>
      </c>
      <c r="V454">
        <v>720</v>
      </c>
      <c r="W454" t="s">
        <v>28</v>
      </c>
      <c r="X454">
        <f>45.21/Q454</f>
        <v>4.5209999999999999</v>
      </c>
      <c r="Y454">
        <f t="shared" si="9"/>
        <v>0.23199999999999932</v>
      </c>
      <c r="Z454">
        <f>(46.37-(X454*10))/10</f>
        <v>0.11599999999999966</v>
      </c>
    </row>
    <row r="455" spans="1:26" x14ac:dyDescent="0.2">
      <c r="A455" t="s">
        <v>438</v>
      </c>
      <c r="B455">
        <v>2019</v>
      </c>
      <c r="C455" t="s">
        <v>807</v>
      </c>
      <c r="D455" t="s">
        <v>825</v>
      </c>
      <c r="E455" t="s">
        <v>35</v>
      </c>
      <c r="F455" t="s">
        <v>313</v>
      </c>
      <c r="G455">
        <v>34.416666999999997</v>
      </c>
      <c r="H455">
        <v>126.833333</v>
      </c>
      <c r="I455" t="s">
        <v>772</v>
      </c>
      <c r="J455" t="s">
        <v>16</v>
      </c>
      <c r="K455" t="s">
        <v>41</v>
      </c>
      <c r="L455" t="s">
        <v>3</v>
      </c>
      <c r="M455" t="s">
        <v>26</v>
      </c>
      <c r="N455" t="s">
        <v>85</v>
      </c>
      <c r="O455" s="6" t="s">
        <v>462</v>
      </c>
      <c r="P455" t="s">
        <v>113</v>
      </c>
      <c r="Q455">
        <v>10</v>
      </c>
      <c r="R455" t="s">
        <v>213</v>
      </c>
      <c r="S455" t="s">
        <v>13</v>
      </c>
      <c r="T455">
        <v>4</v>
      </c>
      <c r="U455">
        <v>7.8</v>
      </c>
      <c r="V455">
        <v>720</v>
      </c>
      <c r="W455">
        <v>20</v>
      </c>
      <c r="X455">
        <f>39.88/Q455</f>
        <v>3.9880000000000004</v>
      </c>
      <c r="Y455">
        <f t="shared" si="9"/>
        <v>0.23199999999999932</v>
      </c>
      <c r="Z455">
        <f>(41.04-(X455*10))/10</f>
        <v>0.11599999999999966</v>
      </c>
    </row>
    <row r="456" spans="1:26" x14ac:dyDescent="0.2">
      <c r="A456" t="s">
        <v>438</v>
      </c>
      <c r="B456">
        <v>2019</v>
      </c>
      <c r="C456" t="s">
        <v>807</v>
      </c>
      <c r="D456" t="s">
        <v>825</v>
      </c>
      <c r="E456" t="s">
        <v>35</v>
      </c>
      <c r="F456" t="s">
        <v>313</v>
      </c>
      <c r="G456">
        <v>34.416666999999997</v>
      </c>
      <c r="H456">
        <v>126.833333</v>
      </c>
      <c r="I456" t="s">
        <v>772</v>
      </c>
      <c r="J456" t="s">
        <v>5</v>
      </c>
      <c r="K456" t="s">
        <v>41</v>
      </c>
      <c r="L456" t="s">
        <v>3</v>
      </c>
      <c r="M456" t="s">
        <v>26</v>
      </c>
      <c r="N456" t="s">
        <v>85</v>
      </c>
      <c r="O456" s="6" t="s">
        <v>462</v>
      </c>
      <c r="P456" t="s">
        <v>113</v>
      </c>
      <c r="Q456">
        <v>10</v>
      </c>
      <c r="R456" t="s">
        <v>213</v>
      </c>
      <c r="S456" t="s">
        <v>15</v>
      </c>
      <c r="T456">
        <v>4</v>
      </c>
      <c r="U456">
        <v>7.67</v>
      </c>
      <c r="V456">
        <v>980</v>
      </c>
      <c r="W456" t="s">
        <v>28</v>
      </c>
      <c r="X456">
        <f>9.51/Q456</f>
        <v>0.95099999999999996</v>
      </c>
      <c r="Y456">
        <f t="shared" si="9"/>
        <v>9.2000000000000165E-2</v>
      </c>
      <c r="Z456">
        <f>(9.97-(X456*10))/10</f>
        <v>4.6000000000000082E-2</v>
      </c>
    </row>
    <row r="457" spans="1:26" x14ac:dyDescent="0.2">
      <c r="A457" t="s">
        <v>438</v>
      </c>
      <c r="B457">
        <v>2019</v>
      </c>
      <c r="C457" t="s">
        <v>807</v>
      </c>
      <c r="D457" t="s">
        <v>825</v>
      </c>
      <c r="E457" t="s">
        <v>35</v>
      </c>
      <c r="F457" t="s">
        <v>313</v>
      </c>
      <c r="G457">
        <v>34.416666999999997</v>
      </c>
      <c r="H457">
        <v>126.833333</v>
      </c>
      <c r="I457" t="s">
        <v>772</v>
      </c>
      <c r="J457" t="s">
        <v>16</v>
      </c>
      <c r="K457" t="s">
        <v>41</v>
      </c>
      <c r="L457" t="s">
        <v>3</v>
      </c>
      <c r="M457" t="s">
        <v>26</v>
      </c>
      <c r="N457" t="s">
        <v>85</v>
      </c>
      <c r="O457" s="6" t="s">
        <v>462</v>
      </c>
      <c r="P457" t="s">
        <v>113</v>
      </c>
      <c r="Q457">
        <v>10</v>
      </c>
      <c r="R457" t="s">
        <v>213</v>
      </c>
      <c r="S457" t="s">
        <v>37</v>
      </c>
      <c r="T457">
        <v>4</v>
      </c>
      <c r="U457">
        <v>7.68</v>
      </c>
      <c r="V457">
        <v>980</v>
      </c>
      <c r="W457">
        <v>20</v>
      </c>
      <c r="X457">
        <f>7.42/Q457</f>
        <v>0.74199999999999999</v>
      </c>
      <c r="Y457">
        <f t="shared" si="9"/>
        <v>0.1379999999999999</v>
      </c>
      <c r="Z457">
        <f>(8.11-(X457*10))/10</f>
        <v>6.899999999999995E-2</v>
      </c>
    </row>
    <row r="458" spans="1:26" x14ac:dyDescent="0.2">
      <c r="A458" t="s">
        <v>120</v>
      </c>
      <c r="B458">
        <v>2017</v>
      </c>
      <c r="C458" t="s">
        <v>816</v>
      </c>
      <c r="D458" t="s">
        <v>817</v>
      </c>
      <c r="E458" t="s">
        <v>31</v>
      </c>
      <c r="F458" t="s">
        <v>310</v>
      </c>
      <c r="G458">
        <v>50.351534999999998</v>
      </c>
      <c r="H458">
        <v>-4.1321969999999997</v>
      </c>
      <c r="I458" t="s">
        <v>771</v>
      </c>
      <c r="J458" t="s">
        <v>7</v>
      </c>
      <c r="K458" t="s">
        <v>122</v>
      </c>
      <c r="L458" t="s">
        <v>144</v>
      </c>
      <c r="M458" t="s">
        <v>26</v>
      </c>
      <c r="N458" t="s">
        <v>85</v>
      </c>
      <c r="O458" t="s">
        <v>462</v>
      </c>
      <c r="P458" t="s">
        <v>124</v>
      </c>
      <c r="Q458">
        <v>16</v>
      </c>
      <c r="R458" t="s">
        <v>213</v>
      </c>
      <c r="S458" t="s">
        <v>7</v>
      </c>
      <c r="T458">
        <v>4</v>
      </c>
      <c r="U458" t="s">
        <v>28</v>
      </c>
      <c r="V458" t="s">
        <v>28</v>
      </c>
      <c r="W458">
        <v>12</v>
      </c>
      <c r="X458">
        <v>0.52700000000000002</v>
      </c>
      <c r="Y458">
        <f>0.713-X458</f>
        <v>0.18599999999999994</v>
      </c>
    </row>
    <row r="459" spans="1:26" x14ac:dyDescent="0.2">
      <c r="A459" t="s">
        <v>120</v>
      </c>
      <c r="B459">
        <v>2017</v>
      </c>
      <c r="C459" t="s">
        <v>816</v>
      </c>
      <c r="D459" t="s">
        <v>817</v>
      </c>
      <c r="E459" t="s">
        <v>121</v>
      </c>
      <c r="F459" t="s">
        <v>310</v>
      </c>
      <c r="G459">
        <v>50.351534999999998</v>
      </c>
      <c r="H459">
        <v>-4.1321969999999997</v>
      </c>
      <c r="I459" t="s">
        <v>771</v>
      </c>
      <c r="J459" t="s">
        <v>7</v>
      </c>
      <c r="K459" t="s">
        <v>123</v>
      </c>
      <c r="L459" t="s">
        <v>144</v>
      </c>
      <c r="M459" t="s">
        <v>26</v>
      </c>
      <c r="N459" t="s">
        <v>85</v>
      </c>
      <c r="O459" t="s">
        <v>462</v>
      </c>
      <c r="P459" t="s">
        <v>124</v>
      </c>
      <c r="Q459">
        <v>16</v>
      </c>
      <c r="R459" t="s">
        <v>213</v>
      </c>
      <c r="S459" t="s">
        <v>7</v>
      </c>
      <c r="T459">
        <v>4</v>
      </c>
      <c r="U459" t="s">
        <v>28</v>
      </c>
      <c r="V459" t="s">
        <v>28</v>
      </c>
      <c r="W459">
        <v>12</v>
      </c>
      <c r="X459">
        <v>0.83299999999999996</v>
      </c>
      <c r="Y459">
        <f>0.929-X459</f>
        <v>9.6000000000000085E-2</v>
      </c>
    </row>
    <row r="460" spans="1:26" x14ac:dyDescent="0.2">
      <c r="A460" t="s">
        <v>120</v>
      </c>
      <c r="B460">
        <v>2017</v>
      </c>
      <c r="C460" t="s">
        <v>816</v>
      </c>
      <c r="D460" t="s">
        <v>817</v>
      </c>
      <c r="E460" t="s">
        <v>31</v>
      </c>
      <c r="F460" t="s">
        <v>310</v>
      </c>
      <c r="G460">
        <v>50.351534999999998</v>
      </c>
      <c r="H460">
        <v>-4.1321969999999997</v>
      </c>
      <c r="I460" t="s">
        <v>771</v>
      </c>
      <c r="J460" t="s">
        <v>14</v>
      </c>
      <c r="K460" t="s">
        <v>122</v>
      </c>
      <c r="L460" t="s">
        <v>144</v>
      </c>
      <c r="M460" t="s">
        <v>26</v>
      </c>
      <c r="N460" t="s">
        <v>85</v>
      </c>
      <c r="O460" t="s">
        <v>462</v>
      </c>
      <c r="P460" t="s">
        <v>124</v>
      </c>
      <c r="Q460">
        <v>16</v>
      </c>
      <c r="R460" t="s">
        <v>213</v>
      </c>
      <c r="S460" t="s">
        <v>9</v>
      </c>
      <c r="T460">
        <v>4</v>
      </c>
      <c r="U460" t="s">
        <v>28</v>
      </c>
      <c r="V460" t="s">
        <v>28</v>
      </c>
      <c r="W460">
        <v>15</v>
      </c>
      <c r="X460">
        <v>0.54</v>
      </c>
      <c r="Y460">
        <f>0.695-X460</f>
        <v>0.15499999999999992</v>
      </c>
    </row>
    <row r="461" spans="1:26" x14ac:dyDescent="0.2">
      <c r="A461" t="s">
        <v>120</v>
      </c>
      <c r="B461">
        <v>2017</v>
      </c>
      <c r="C461" t="s">
        <v>816</v>
      </c>
      <c r="D461" t="s">
        <v>817</v>
      </c>
      <c r="E461" t="s">
        <v>121</v>
      </c>
      <c r="F461" t="s">
        <v>310</v>
      </c>
      <c r="G461">
        <v>50.351534999999998</v>
      </c>
      <c r="H461">
        <v>-4.1321969999999997</v>
      </c>
      <c r="I461" t="s">
        <v>771</v>
      </c>
      <c r="J461" t="s">
        <v>14</v>
      </c>
      <c r="K461" t="s">
        <v>123</v>
      </c>
      <c r="L461" t="s">
        <v>144</v>
      </c>
      <c r="M461" t="s">
        <v>26</v>
      </c>
      <c r="N461" t="s">
        <v>85</v>
      </c>
      <c r="O461" t="s">
        <v>462</v>
      </c>
      <c r="P461" t="s">
        <v>124</v>
      </c>
      <c r="Q461">
        <v>16</v>
      </c>
      <c r="R461" t="s">
        <v>213</v>
      </c>
      <c r="S461" t="s">
        <v>9</v>
      </c>
      <c r="T461">
        <v>4</v>
      </c>
      <c r="U461" t="s">
        <v>28</v>
      </c>
      <c r="V461" t="s">
        <v>28</v>
      </c>
      <c r="W461">
        <v>15</v>
      </c>
      <c r="X461">
        <v>0.95799999999999996</v>
      </c>
      <c r="Y461">
        <f>1.182-X461</f>
        <v>0.22399999999999998</v>
      </c>
    </row>
    <row r="462" spans="1:26" x14ac:dyDescent="0.2">
      <c r="A462" t="s">
        <v>120</v>
      </c>
      <c r="B462">
        <v>2017</v>
      </c>
      <c r="C462" t="s">
        <v>816</v>
      </c>
      <c r="D462" t="s">
        <v>817</v>
      </c>
      <c r="E462" t="s">
        <v>31</v>
      </c>
      <c r="F462" t="s">
        <v>310</v>
      </c>
      <c r="G462">
        <v>50.351534999999998</v>
      </c>
      <c r="H462">
        <v>-4.1321969999999997</v>
      </c>
      <c r="I462" t="s">
        <v>771</v>
      </c>
      <c r="J462" t="s">
        <v>14</v>
      </c>
      <c r="K462" t="s">
        <v>122</v>
      </c>
      <c r="L462" t="s">
        <v>144</v>
      </c>
      <c r="M462" t="s">
        <v>26</v>
      </c>
      <c r="N462" t="s">
        <v>85</v>
      </c>
      <c r="O462" t="s">
        <v>462</v>
      </c>
      <c r="P462" t="s">
        <v>124</v>
      </c>
      <c r="Q462">
        <v>16</v>
      </c>
      <c r="R462" t="s">
        <v>213</v>
      </c>
      <c r="S462" t="s">
        <v>27</v>
      </c>
      <c r="T462">
        <v>4</v>
      </c>
      <c r="U462" t="s">
        <v>28</v>
      </c>
      <c r="V462" t="s">
        <v>28</v>
      </c>
      <c r="W462">
        <v>18</v>
      </c>
      <c r="X462">
        <v>0.154</v>
      </c>
      <c r="Y462">
        <f>0.189-X462</f>
        <v>3.5000000000000003E-2</v>
      </c>
    </row>
    <row r="463" spans="1:26" x14ac:dyDescent="0.2">
      <c r="A463" t="s">
        <v>120</v>
      </c>
      <c r="B463">
        <v>2017</v>
      </c>
      <c r="C463" t="s">
        <v>816</v>
      </c>
      <c r="D463" t="s">
        <v>817</v>
      </c>
      <c r="E463" t="s">
        <v>121</v>
      </c>
      <c r="F463" t="s">
        <v>310</v>
      </c>
      <c r="G463">
        <v>50.351534999999998</v>
      </c>
      <c r="H463">
        <v>-4.1321969999999997</v>
      </c>
      <c r="I463" t="s">
        <v>771</v>
      </c>
      <c r="J463" t="s">
        <v>14</v>
      </c>
      <c r="K463" t="s">
        <v>123</v>
      </c>
      <c r="L463" t="s">
        <v>144</v>
      </c>
      <c r="M463" t="s">
        <v>26</v>
      </c>
      <c r="N463" t="s">
        <v>85</v>
      </c>
      <c r="O463" t="s">
        <v>462</v>
      </c>
      <c r="P463" t="s">
        <v>124</v>
      </c>
      <c r="Q463">
        <v>16</v>
      </c>
      <c r="R463" t="s">
        <v>213</v>
      </c>
      <c r="S463" t="s">
        <v>27</v>
      </c>
      <c r="T463">
        <v>4</v>
      </c>
      <c r="U463" t="s">
        <v>28</v>
      </c>
      <c r="V463" t="s">
        <v>28</v>
      </c>
      <c r="W463">
        <v>18</v>
      </c>
      <c r="X463">
        <v>0.98699999999999999</v>
      </c>
      <c r="Y463">
        <f>1.051-X463</f>
        <v>6.3999999999999946E-2</v>
      </c>
    </row>
    <row r="464" spans="1:26" x14ac:dyDescent="0.2">
      <c r="A464" t="s">
        <v>120</v>
      </c>
      <c r="B464">
        <v>2017</v>
      </c>
      <c r="C464" t="s">
        <v>816</v>
      </c>
      <c r="D464" t="s">
        <v>817</v>
      </c>
      <c r="E464" t="s">
        <v>31</v>
      </c>
      <c r="F464" t="s">
        <v>310</v>
      </c>
      <c r="G464">
        <v>50.351534999999998</v>
      </c>
      <c r="H464">
        <v>-4.1321969999999997</v>
      </c>
      <c r="I464" t="s">
        <v>771</v>
      </c>
      <c r="J464" t="s">
        <v>7</v>
      </c>
      <c r="K464" t="s">
        <v>122</v>
      </c>
      <c r="L464" t="s">
        <v>144</v>
      </c>
      <c r="M464" t="s">
        <v>26</v>
      </c>
      <c r="N464" t="s">
        <v>85</v>
      </c>
      <c r="O464" t="s">
        <v>839</v>
      </c>
      <c r="P464" t="s">
        <v>125</v>
      </c>
      <c r="Q464">
        <v>16</v>
      </c>
      <c r="R464" t="s">
        <v>213</v>
      </c>
      <c r="S464" t="s">
        <v>7</v>
      </c>
      <c r="T464">
        <v>4</v>
      </c>
      <c r="U464" t="s">
        <v>28</v>
      </c>
      <c r="V464" t="s">
        <v>28</v>
      </c>
      <c r="W464">
        <v>12</v>
      </c>
      <c r="X464">
        <v>1.8599999999999998E-2</v>
      </c>
      <c r="Y464">
        <f>0.022-X464</f>
        <v>3.4000000000000002E-3</v>
      </c>
    </row>
    <row r="465" spans="1:25" x14ac:dyDescent="0.2">
      <c r="A465" t="s">
        <v>120</v>
      </c>
      <c r="B465">
        <v>2017</v>
      </c>
      <c r="C465" t="s">
        <v>816</v>
      </c>
      <c r="D465" t="s">
        <v>817</v>
      </c>
      <c r="E465" t="s">
        <v>121</v>
      </c>
      <c r="F465" t="s">
        <v>310</v>
      </c>
      <c r="G465">
        <v>50.351534999999998</v>
      </c>
      <c r="H465">
        <v>-4.1321969999999997</v>
      </c>
      <c r="I465" t="s">
        <v>771</v>
      </c>
      <c r="J465" t="s">
        <v>7</v>
      </c>
      <c r="K465" t="s">
        <v>123</v>
      </c>
      <c r="L465" t="s">
        <v>144</v>
      </c>
      <c r="M465" t="s">
        <v>26</v>
      </c>
      <c r="N465" t="s">
        <v>85</v>
      </c>
      <c r="O465" t="s">
        <v>839</v>
      </c>
      <c r="P465" t="s">
        <v>125</v>
      </c>
      <c r="Q465">
        <v>16</v>
      </c>
      <c r="R465" t="s">
        <v>213</v>
      </c>
      <c r="S465" t="s">
        <v>7</v>
      </c>
      <c r="T465">
        <v>4</v>
      </c>
      <c r="U465" t="s">
        <v>28</v>
      </c>
      <c r="V465" t="s">
        <v>28</v>
      </c>
      <c r="W465">
        <v>12</v>
      </c>
      <c r="X465">
        <v>3.56E-2</v>
      </c>
      <c r="Y465">
        <f>0.0398-X465</f>
        <v>4.2000000000000023E-3</v>
      </c>
    </row>
    <row r="466" spans="1:25" x14ac:dyDescent="0.2">
      <c r="A466" t="s">
        <v>120</v>
      </c>
      <c r="B466">
        <v>2017</v>
      </c>
      <c r="C466" t="s">
        <v>816</v>
      </c>
      <c r="D466" t="s">
        <v>817</v>
      </c>
      <c r="E466" t="s">
        <v>31</v>
      </c>
      <c r="F466" t="s">
        <v>310</v>
      </c>
      <c r="G466">
        <v>50.351534999999998</v>
      </c>
      <c r="H466">
        <v>-4.1321969999999997</v>
      </c>
      <c r="I466" t="s">
        <v>771</v>
      </c>
      <c r="J466" t="s">
        <v>14</v>
      </c>
      <c r="K466" t="s">
        <v>122</v>
      </c>
      <c r="L466" t="s">
        <v>144</v>
      </c>
      <c r="M466" t="s">
        <v>26</v>
      </c>
      <c r="N466" t="s">
        <v>85</v>
      </c>
      <c r="O466" t="s">
        <v>839</v>
      </c>
      <c r="P466" t="s">
        <v>125</v>
      </c>
      <c r="Q466">
        <v>16</v>
      </c>
      <c r="R466" t="s">
        <v>213</v>
      </c>
      <c r="S466" t="s">
        <v>9</v>
      </c>
      <c r="T466">
        <v>4</v>
      </c>
      <c r="U466" t="s">
        <v>28</v>
      </c>
      <c r="V466" t="s">
        <v>28</v>
      </c>
      <c r="W466">
        <v>15</v>
      </c>
      <c r="X466">
        <v>1.5599999999999999E-2</v>
      </c>
      <c r="Y466">
        <f>0.0205-X466</f>
        <v>4.9000000000000016E-3</v>
      </c>
    </row>
    <row r="467" spans="1:25" x14ac:dyDescent="0.2">
      <c r="A467" t="s">
        <v>120</v>
      </c>
      <c r="B467">
        <v>2017</v>
      </c>
      <c r="C467" t="s">
        <v>816</v>
      </c>
      <c r="D467" t="s">
        <v>817</v>
      </c>
      <c r="E467" t="s">
        <v>121</v>
      </c>
      <c r="F467" t="s">
        <v>310</v>
      </c>
      <c r="G467">
        <v>50.351534999999998</v>
      </c>
      <c r="H467">
        <v>-4.1321969999999997</v>
      </c>
      <c r="I467" t="s">
        <v>771</v>
      </c>
      <c r="J467" t="s">
        <v>14</v>
      </c>
      <c r="K467" t="s">
        <v>123</v>
      </c>
      <c r="L467" t="s">
        <v>144</v>
      </c>
      <c r="M467" t="s">
        <v>26</v>
      </c>
      <c r="N467" t="s">
        <v>85</v>
      </c>
      <c r="O467" t="s">
        <v>839</v>
      </c>
      <c r="P467" t="s">
        <v>125</v>
      </c>
      <c r="Q467">
        <v>16</v>
      </c>
      <c r="R467" t="s">
        <v>213</v>
      </c>
      <c r="S467" t="s">
        <v>9</v>
      </c>
      <c r="T467">
        <v>4</v>
      </c>
      <c r="U467" t="s">
        <v>28</v>
      </c>
      <c r="V467" t="s">
        <v>28</v>
      </c>
      <c r="W467">
        <v>15</v>
      </c>
      <c r="X467">
        <v>3.8800000000000001E-2</v>
      </c>
      <c r="Y467">
        <f>0.0449-X467</f>
        <v>6.1000000000000013E-3</v>
      </c>
    </row>
    <row r="468" spans="1:25" x14ac:dyDescent="0.2">
      <c r="A468" t="s">
        <v>120</v>
      </c>
      <c r="B468">
        <v>2017</v>
      </c>
      <c r="C468" t="s">
        <v>816</v>
      </c>
      <c r="D468" t="s">
        <v>817</v>
      </c>
      <c r="E468" t="s">
        <v>31</v>
      </c>
      <c r="F468" t="s">
        <v>310</v>
      </c>
      <c r="G468">
        <v>50.351534999999998</v>
      </c>
      <c r="H468">
        <v>-4.1321969999999997</v>
      </c>
      <c r="I468" t="s">
        <v>771</v>
      </c>
      <c r="J468" t="s">
        <v>14</v>
      </c>
      <c r="K468" t="s">
        <v>122</v>
      </c>
      <c r="L468" t="s">
        <v>144</v>
      </c>
      <c r="M468" t="s">
        <v>26</v>
      </c>
      <c r="N468" t="s">
        <v>85</v>
      </c>
      <c r="O468" t="s">
        <v>839</v>
      </c>
      <c r="P468" t="s">
        <v>125</v>
      </c>
      <c r="Q468">
        <v>16</v>
      </c>
      <c r="R468" t="s">
        <v>213</v>
      </c>
      <c r="S468" t="s">
        <v>27</v>
      </c>
      <c r="T468">
        <v>4</v>
      </c>
      <c r="U468" t="s">
        <v>28</v>
      </c>
      <c r="V468" t="s">
        <v>28</v>
      </c>
      <c r="W468">
        <v>18</v>
      </c>
      <c r="X468">
        <v>6.6E-3</v>
      </c>
      <c r="Y468">
        <f>0.0067-X468</f>
        <v>1.0000000000000026E-4</v>
      </c>
    </row>
    <row r="469" spans="1:25" x14ac:dyDescent="0.2">
      <c r="A469" t="s">
        <v>120</v>
      </c>
      <c r="B469">
        <v>2017</v>
      </c>
      <c r="C469" t="s">
        <v>816</v>
      </c>
      <c r="D469" t="s">
        <v>817</v>
      </c>
      <c r="E469" t="s">
        <v>121</v>
      </c>
      <c r="F469" t="s">
        <v>310</v>
      </c>
      <c r="G469">
        <v>50.351534999999998</v>
      </c>
      <c r="H469">
        <v>-4.1321969999999997</v>
      </c>
      <c r="I469" t="s">
        <v>771</v>
      </c>
      <c r="J469" t="s">
        <v>14</v>
      </c>
      <c r="K469" t="s">
        <v>123</v>
      </c>
      <c r="L469" t="s">
        <v>144</v>
      </c>
      <c r="M469" t="s">
        <v>26</v>
      </c>
      <c r="N469" t="s">
        <v>85</v>
      </c>
      <c r="O469" t="s">
        <v>839</v>
      </c>
      <c r="P469" t="s">
        <v>125</v>
      </c>
      <c r="Q469">
        <v>16</v>
      </c>
      <c r="R469" t="s">
        <v>213</v>
      </c>
      <c r="S469" t="s">
        <v>27</v>
      </c>
      <c r="T469">
        <v>4</v>
      </c>
      <c r="U469" t="s">
        <v>28</v>
      </c>
      <c r="V469" t="s">
        <v>28</v>
      </c>
      <c r="W469">
        <v>18</v>
      </c>
      <c r="X469">
        <v>4.3099999999999999E-2</v>
      </c>
      <c r="Y469">
        <f>0.0476-X469</f>
        <v>4.500000000000004E-3</v>
      </c>
    </row>
    <row r="470" spans="1:25" x14ac:dyDescent="0.2">
      <c r="A470" t="s">
        <v>120</v>
      </c>
      <c r="B470">
        <v>2017</v>
      </c>
      <c r="C470" t="s">
        <v>816</v>
      </c>
      <c r="D470" t="s">
        <v>817</v>
      </c>
      <c r="E470" t="s">
        <v>31</v>
      </c>
      <c r="F470" t="s">
        <v>310</v>
      </c>
      <c r="G470">
        <v>50.351534999999998</v>
      </c>
      <c r="H470">
        <v>-4.1321969999999997</v>
      </c>
      <c r="I470" t="s">
        <v>771</v>
      </c>
      <c r="J470" t="s">
        <v>7</v>
      </c>
      <c r="K470" t="s">
        <v>122</v>
      </c>
      <c r="L470" t="s">
        <v>144</v>
      </c>
      <c r="M470" t="s">
        <v>726</v>
      </c>
      <c r="N470" t="s">
        <v>85</v>
      </c>
      <c r="O470" t="s">
        <v>84</v>
      </c>
      <c r="Q470">
        <v>16</v>
      </c>
      <c r="R470" t="s">
        <v>213</v>
      </c>
      <c r="S470" t="s">
        <v>7</v>
      </c>
      <c r="T470">
        <v>4</v>
      </c>
      <c r="U470" t="s">
        <v>28</v>
      </c>
      <c r="V470" t="s">
        <v>28</v>
      </c>
      <c r="W470">
        <v>12</v>
      </c>
      <c r="X470">
        <v>0.64959999999999996</v>
      </c>
      <c r="Y470">
        <f>0.6634-X470</f>
        <v>1.3800000000000034E-2</v>
      </c>
    </row>
    <row r="471" spans="1:25" x14ac:dyDescent="0.2">
      <c r="A471" t="s">
        <v>120</v>
      </c>
      <c r="B471">
        <v>2017</v>
      </c>
      <c r="C471" t="s">
        <v>816</v>
      </c>
      <c r="D471" t="s">
        <v>817</v>
      </c>
      <c r="E471" t="s">
        <v>121</v>
      </c>
      <c r="F471" t="s">
        <v>310</v>
      </c>
      <c r="G471">
        <v>50.351534999999998</v>
      </c>
      <c r="H471">
        <v>-4.1321969999999997</v>
      </c>
      <c r="I471" t="s">
        <v>771</v>
      </c>
      <c r="J471" t="s">
        <v>7</v>
      </c>
      <c r="K471" t="s">
        <v>123</v>
      </c>
      <c r="L471" t="s">
        <v>144</v>
      </c>
      <c r="M471" t="s">
        <v>726</v>
      </c>
      <c r="N471" t="s">
        <v>85</v>
      </c>
      <c r="O471" t="s">
        <v>84</v>
      </c>
      <c r="Q471">
        <v>16</v>
      </c>
      <c r="R471" t="s">
        <v>213</v>
      </c>
      <c r="S471" t="s">
        <v>7</v>
      </c>
      <c r="T471">
        <v>4</v>
      </c>
      <c r="U471" t="s">
        <v>28</v>
      </c>
      <c r="V471" t="s">
        <v>28</v>
      </c>
      <c r="W471">
        <v>12</v>
      </c>
      <c r="X471">
        <v>0.6663</v>
      </c>
      <c r="Y471">
        <f>0.7024-X471</f>
        <v>3.6100000000000021E-2</v>
      </c>
    </row>
    <row r="472" spans="1:25" x14ac:dyDescent="0.2">
      <c r="A472" t="s">
        <v>120</v>
      </c>
      <c r="B472">
        <v>2017</v>
      </c>
      <c r="C472" t="s">
        <v>816</v>
      </c>
      <c r="D472" t="s">
        <v>817</v>
      </c>
      <c r="E472" t="s">
        <v>31</v>
      </c>
      <c r="F472" t="s">
        <v>310</v>
      </c>
      <c r="G472">
        <v>50.351534999999998</v>
      </c>
      <c r="H472">
        <v>-4.1321969999999997</v>
      </c>
      <c r="I472" t="s">
        <v>771</v>
      </c>
      <c r="J472" t="s">
        <v>14</v>
      </c>
      <c r="K472" t="s">
        <v>122</v>
      </c>
      <c r="L472" t="s">
        <v>144</v>
      </c>
      <c r="M472" t="s">
        <v>726</v>
      </c>
      <c r="N472" t="s">
        <v>85</v>
      </c>
      <c r="O472" t="s">
        <v>84</v>
      </c>
      <c r="Q472">
        <v>16</v>
      </c>
      <c r="R472" t="s">
        <v>213</v>
      </c>
      <c r="S472" t="s">
        <v>9</v>
      </c>
      <c r="T472">
        <v>4</v>
      </c>
      <c r="U472" t="s">
        <v>28</v>
      </c>
      <c r="V472" t="s">
        <v>28</v>
      </c>
      <c r="W472">
        <v>15</v>
      </c>
      <c r="X472">
        <v>0.64959999999999996</v>
      </c>
      <c r="Y472">
        <f>0.6496-X472</f>
        <v>0</v>
      </c>
    </row>
    <row r="473" spans="1:25" x14ac:dyDescent="0.2">
      <c r="A473" t="s">
        <v>120</v>
      </c>
      <c r="B473">
        <v>2017</v>
      </c>
      <c r="C473" t="s">
        <v>816</v>
      </c>
      <c r="D473" t="s">
        <v>817</v>
      </c>
      <c r="E473" t="s">
        <v>121</v>
      </c>
      <c r="F473" t="s">
        <v>310</v>
      </c>
      <c r="G473">
        <v>50.351534999999998</v>
      </c>
      <c r="H473">
        <v>-4.1321969999999997</v>
      </c>
      <c r="I473" t="s">
        <v>771</v>
      </c>
      <c r="J473" t="s">
        <v>14</v>
      </c>
      <c r="K473" t="s">
        <v>123</v>
      </c>
      <c r="L473" t="s">
        <v>144</v>
      </c>
      <c r="M473" t="s">
        <v>726</v>
      </c>
      <c r="N473" t="s">
        <v>85</v>
      </c>
      <c r="O473" t="s">
        <v>84</v>
      </c>
      <c r="Q473">
        <v>16</v>
      </c>
      <c r="R473" t="s">
        <v>213</v>
      </c>
      <c r="S473" t="s">
        <v>9</v>
      </c>
      <c r="T473">
        <v>4</v>
      </c>
      <c r="U473" t="s">
        <v>28</v>
      </c>
      <c r="V473" t="s">
        <v>28</v>
      </c>
      <c r="W473">
        <v>15</v>
      </c>
      <c r="X473">
        <v>0.6976</v>
      </c>
      <c r="Y473">
        <f>0.7-X473</f>
        <v>2.3999999999999577E-3</v>
      </c>
    </row>
    <row r="474" spans="1:25" x14ac:dyDescent="0.2">
      <c r="A474" t="s">
        <v>120</v>
      </c>
      <c r="B474">
        <v>2017</v>
      </c>
      <c r="C474" t="s">
        <v>816</v>
      </c>
      <c r="D474" t="s">
        <v>817</v>
      </c>
      <c r="E474" t="s">
        <v>31</v>
      </c>
      <c r="F474" t="s">
        <v>310</v>
      </c>
      <c r="G474">
        <v>50.351534999999998</v>
      </c>
      <c r="H474">
        <v>-4.1321969999999997</v>
      </c>
      <c r="I474" t="s">
        <v>771</v>
      </c>
      <c r="J474" t="s">
        <v>14</v>
      </c>
      <c r="K474" t="s">
        <v>122</v>
      </c>
      <c r="L474" t="s">
        <v>144</v>
      </c>
      <c r="M474" t="s">
        <v>726</v>
      </c>
      <c r="N474" t="s">
        <v>85</v>
      </c>
      <c r="O474" t="s">
        <v>84</v>
      </c>
      <c r="Q474">
        <v>16</v>
      </c>
      <c r="R474" t="s">
        <v>213</v>
      </c>
      <c r="S474" t="s">
        <v>27</v>
      </c>
      <c r="T474">
        <v>4</v>
      </c>
      <c r="U474" t="s">
        <v>28</v>
      </c>
      <c r="V474" t="s">
        <v>28</v>
      </c>
      <c r="W474">
        <v>18</v>
      </c>
      <c r="X474">
        <v>0.624</v>
      </c>
      <c r="Y474">
        <f>0.6344-X474</f>
        <v>1.0399999999999965E-2</v>
      </c>
    </row>
    <row r="475" spans="1:25" x14ac:dyDescent="0.2">
      <c r="A475" t="s">
        <v>120</v>
      </c>
      <c r="B475">
        <v>2017</v>
      </c>
      <c r="C475" t="s">
        <v>816</v>
      </c>
      <c r="D475" t="s">
        <v>817</v>
      </c>
      <c r="E475" t="s">
        <v>121</v>
      </c>
      <c r="F475" t="s">
        <v>310</v>
      </c>
      <c r="G475">
        <v>50.351534999999998</v>
      </c>
      <c r="H475">
        <v>-4.1321969999999997</v>
      </c>
      <c r="I475" t="s">
        <v>771</v>
      </c>
      <c r="J475" t="s">
        <v>14</v>
      </c>
      <c r="K475" t="s">
        <v>123</v>
      </c>
      <c r="L475" t="s">
        <v>144</v>
      </c>
      <c r="M475" t="s">
        <v>726</v>
      </c>
      <c r="N475" t="s">
        <v>85</v>
      </c>
      <c r="O475" t="s">
        <v>84</v>
      </c>
      <c r="Q475">
        <v>16</v>
      </c>
      <c r="R475" t="s">
        <v>213</v>
      </c>
      <c r="S475" t="s">
        <v>27</v>
      </c>
      <c r="T475">
        <v>4</v>
      </c>
      <c r="U475" t="s">
        <v>28</v>
      </c>
      <c r="V475" t="s">
        <v>28</v>
      </c>
      <c r="W475">
        <v>18</v>
      </c>
      <c r="X475">
        <v>0.68720000000000003</v>
      </c>
      <c r="Y475">
        <f>0.7062-X475</f>
        <v>1.9000000000000017E-2</v>
      </c>
    </row>
    <row r="476" spans="1:25" x14ac:dyDescent="0.2">
      <c r="A476" t="s">
        <v>120</v>
      </c>
      <c r="B476">
        <v>2017</v>
      </c>
      <c r="C476" t="s">
        <v>816</v>
      </c>
      <c r="D476" t="s">
        <v>817</v>
      </c>
      <c r="E476" t="s">
        <v>31</v>
      </c>
      <c r="F476" t="s">
        <v>310</v>
      </c>
      <c r="G476">
        <v>50.351534999999998</v>
      </c>
      <c r="H476">
        <v>-4.1321969999999997</v>
      </c>
      <c r="I476" t="s">
        <v>771</v>
      </c>
      <c r="J476" t="s">
        <v>7</v>
      </c>
      <c r="K476" t="s">
        <v>122</v>
      </c>
      <c r="L476" t="s">
        <v>144</v>
      </c>
      <c r="M476" t="s">
        <v>637</v>
      </c>
      <c r="N476" t="s">
        <v>86</v>
      </c>
      <c r="O476" t="s">
        <v>127</v>
      </c>
      <c r="P476" t="s">
        <v>126</v>
      </c>
      <c r="Q476">
        <v>16</v>
      </c>
      <c r="R476" t="s">
        <v>213</v>
      </c>
      <c r="S476" t="s">
        <v>7</v>
      </c>
      <c r="T476">
        <v>4</v>
      </c>
      <c r="U476" t="s">
        <v>28</v>
      </c>
      <c r="V476" t="s">
        <v>28</v>
      </c>
      <c r="W476">
        <v>12</v>
      </c>
      <c r="X476">
        <v>1.29</v>
      </c>
      <c r="Y476">
        <f>1.48-X476</f>
        <v>0.18999999999999995</v>
      </c>
    </row>
    <row r="477" spans="1:25" x14ac:dyDescent="0.2">
      <c r="A477" t="s">
        <v>120</v>
      </c>
      <c r="B477">
        <v>2017</v>
      </c>
      <c r="C477" t="s">
        <v>816</v>
      </c>
      <c r="D477" t="s">
        <v>817</v>
      </c>
      <c r="E477" t="s">
        <v>121</v>
      </c>
      <c r="F477" t="s">
        <v>310</v>
      </c>
      <c r="G477">
        <v>50.351534999999998</v>
      </c>
      <c r="H477">
        <v>-4.1321969999999997</v>
      </c>
      <c r="I477" t="s">
        <v>771</v>
      </c>
      <c r="J477" t="s">
        <v>7</v>
      </c>
      <c r="K477" t="s">
        <v>123</v>
      </c>
      <c r="L477" t="s">
        <v>144</v>
      </c>
      <c r="M477" t="s">
        <v>637</v>
      </c>
      <c r="N477" t="s">
        <v>86</v>
      </c>
      <c r="O477" t="s">
        <v>127</v>
      </c>
      <c r="P477" t="s">
        <v>126</v>
      </c>
      <c r="Q477">
        <v>16</v>
      </c>
      <c r="R477" t="s">
        <v>213</v>
      </c>
      <c r="S477" t="s">
        <v>7</v>
      </c>
      <c r="T477">
        <v>4</v>
      </c>
      <c r="U477" t="s">
        <v>28</v>
      </c>
      <c r="V477" t="s">
        <v>28</v>
      </c>
      <c r="W477">
        <v>12</v>
      </c>
      <c r="X477">
        <v>0.9</v>
      </c>
      <c r="Y477">
        <f>1.01-X477</f>
        <v>0.10999999999999999</v>
      </c>
    </row>
    <row r="478" spans="1:25" x14ac:dyDescent="0.2">
      <c r="A478" t="s">
        <v>120</v>
      </c>
      <c r="B478">
        <v>2017</v>
      </c>
      <c r="C478" t="s">
        <v>816</v>
      </c>
      <c r="D478" t="s">
        <v>817</v>
      </c>
      <c r="E478" t="s">
        <v>31</v>
      </c>
      <c r="F478" t="s">
        <v>310</v>
      </c>
      <c r="G478">
        <v>50.351534999999998</v>
      </c>
      <c r="H478">
        <v>-4.1321969999999997</v>
      </c>
      <c r="I478" t="s">
        <v>771</v>
      </c>
      <c r="J478" t="s">
        <v>14</v>
      </c>
      <c r="K478" t="s">
        <v>122</v>
      </c>
      <c r="L478" t="s">
        <v>144</v>
      </c>
      <c r="M478" t="s">
        <v>637</v>
      </c>
      <c r="N478" t="s">
        <v>86</v>
      </c>
      <c r="O478" t="s">
        <v>127</v>
      </c>
      <c r="P478" t="s">
        <v>126</v>
      </c>
      <c r="Q478">
        <v>16</v>
      </c>
      <c r="R478" t="s">
        <v>213</v>
      </c>
      <c r="S478" t="s">
        <v>9</v>
      </c>
      <c r="T478">
        <v>4</v>
      </c>
      <c r="U478" t="s">
        <v>28</v>
      </c>
      <c r="V478" t="s">
        <v>28</v>
      </c>
      <c r="W478">
        <v>15</v>
      </c>
      <c r="X478">
        <v>1.35</v>
      </c>
      <c r="Y478">
        <f>1.59-X478</f>
        <v>0.24</v>
      </c>
    </row>
    <row r="479" spans="1:25" x14ac:dyDescent="0.2">
      <c r="A479" t="s">
        <v>120</v>
      </c>
      <c r="B479">
        <v>2017</v>
      </c>
      <c r="C479" t="s">
        <v>816</v>
      </c>
      <c r="D479" t="s">
        <v>817</v>
      </c>
      <c r="E479" t="s">
        <v>121</v>
      </c>
      <c r="F479" t="s">
        <v>310</v>
      </c>
      <c r="G479">
        <v>50.351534999999998</v>
      </c>
      <c r="H479">
        <v>-4.1321969999999997</v>
      </c>
      <c r="I479" t="s">
        <v>771</v>
      </c>
      <c r="J479" t="s">
        <v>14</v>
      </c>
      <c r="K479" t="s">
        <v>123</v>
      </c>
      <c r="L479" t="s">
        <v>144</v>
      </c>
      <c r="M479" t="s">
        <v>637</v>
      </c>
      <c r="N479" t="s">
        <v>86</v>
      </c>
      <c r="O479" t="s">
        <v>127</v>
      </c>
      <c r="P479" t="s">
        <v>126</v>
      </c>
      <c r="Q479">
        <v>16</v>
      </c>
      <c r="R479" t="s">
        <v>213</v>
      </c>
      <c r="S479" t="s">
        <v>9</v>
      </c>
      <c r="T479">
        <v>4</v>
      </c>
      <c r="U479" t="s">
        <v>28</v>
      </c>
      <c r="V479" t="s">
        <v>28</v>
      </c>
      <c r="W479">
        <v>15</v>
      </c>
      <c r="X479">
        <v>0.9</v>
      </c>
      <c r="Y479">
        <f>1.06-X479</f>
        <v>0.16000000000000003</v>
      </c>
    </row>
    <row r="480" spans="1:25" x14ac:dyDescent="0.2">
      <c r="A480" t="s">
        <v>120</v>
      </c>
      <c r="B480">
        <v>2017</v>
      </c>
      <c r="C480" t="s">
        <v>816</v>
      </c>
      <c r="D480" t="s">
        <v>817</v>
      </c>
      <c r="E480" t="s">
        <v>31</v>
      </c>
      <c r="F480" t="s">
        <v>310</v>
      </c>
      <c r="G480">
        <v>50.351534999999998</v>
      </c>
      <c r="H480">
        <v>-4.1321969999999997</v>
      </c>
      <c r="I480" t="s">
        <v>771</v>
      </c>
      <c r="J480" t="s">
        <v>14</v>
      </c>
      <c r="K480" t="s">
        <v>122</v>
      </c>
      <c r="L480" t="s">
        <v>144</v>
      </c>
      <c r="M480" t="s">
        <v>637</v>
      </c>
      <c r="N480" t="s">
        <v>86</v>
      </c>
      <c r="O480" t="s">
        <v>127</v>
      </c>
      <c r="P480" t="s">
        <v>126</v>
      </c>
      <c r="Q480">
        <v>16</v>
      </c>
      <c r="R480" t="s">
        <v>213</v>
      </c>
      <c r="S480" t="s">
        <v>27</v>
      </c>
      <c r="T480">
        <v>4</v>
      </c>
      <c r="U480" t="s">
        <v>28</v>
      </c>
      <c r="V480" t="s">
        <v>28</v>
      </c>
      <c r="W480">
        <v>18</v>
      </c>
      <c r="X480">
        <v>1.82</v>
      </c>
      <c r="Y480">
        <f>2.26-X480</f>
        <v>0.43999999999999972</v>
      </c>
    </row>
    <row r="481" spans="1:25" x14ac:dyDescent="0.2">
      <c r="A481" t="s">
        <v>120</v>
      </c>
      <c r="B481">
        <v>2017</v>
      </c>
      <c r="C481" t="s">
        <v>816</v>
      </c>
      <c r="D481" t="s">
        <v>817</v>
      </c>
      <c r="E481" t="s">
        <v>121</v>
      </c>
      <c r="F481" t="s">
        <v>310</v>
      </c>
      <c r="G481">
        <v>50.351534999999998</v>
      </c>
      <c r="H481">
        <v>-4.1321969999999997</v>
      </c>
      <c r="I481" t="s">
        <v>771</v>
      </c>
      <c r="J481" t="s">
        <v>14</v>
      </c>
      <c r="K481" t="s">
        <v>123</v>
      </c>
      <c r="L481" t="s">
        <v>144</v>
      </c>
      <c r="M481" t="s">
        <v>637</v>
      </c>
      <c r="N481" t="s">
        <v>86</v>
      </c>
      <c r="O481" t="s">
        <v>127</v>
      </c>
      <c r="P481" t="s">
        <v>126</v>
      </c>
      <c r="Q481">
        <v>16</v>
      </c>
      <c r="R481" t="s">
        <v>213</v>
      </c>
      <c r="S481" t="s">
        <v>27</v>
      </c>
      <c r="T481">
        <v>4</v>
      </c>
      <c r="U481" t="s">
        <v>28</v>
      </c>
      <c r="V481" t="s">
        <v>28</v>
      </c>
      <c r="W481">
        <v>18</v>
      </c>
      <c r="X481">
        <v>0.86</v>
      </c>
      <c r="Y481">
        <f>1.05-X481</f>
        <v>0.19000000000000006</v>
      </c>
    </row>
    <row r="482" spans="1:25" x14ac:dyDescent="0.2">
      <c r="A482" t="s">
        <v>120</v>
      </c>
      <c r="B482">
        <v>2017</v>
      </c>
      <c r="C482" t="s">
        <v>816</v>
      </c>
      <c r="D482" t="s">
        <v>817</v>
      </c>
      <c r="E482" t="s">
        <v>31</v>
      </c>
      <c r="F482" t="s">
        <v>310</v>
      </c>
      <c r="G482">
        <v>50.351534999999998</v>
      </c>
      <c r="H482">
        <v>-4.1321969999999997</v>
      </c>
      <c r="I482" t="s">
        <v>771</v>
      </c>
      <c r="J482" t="s">
        <v>7</v>
      </c>
      <c r="K482" t="s">
        <v>122</v>
      </c>
      <c r="L482" t="s">
        <v>144</v>
      </c>
      <c r="M482" t="s">
        <v>637</v>
      </c>
      <c r="N482" t="s">
        <v>86</v>
      </c>
      <c r="O482" t="s">
        <v>128</v>
      </c>
      <c r="P482" t="s">
        <v>126</v>
      </c>
      <c r="Q482">
        <v>16</v>
      </c>
      <c r="R482" t="s">
        <v>213</v>
      </c>
      <c r="S482" t="s">
        <v>7</v>
      </c>
      <c r="T482">
        <v>4</v>
      </c>
      <c r="U482" t="s">
        <v>28</v>
      </c>
      <c r="V482" t="s">
        <v>28</v>
      </c>
      <c r="W482">
        <v>12</v>
      </c>
      <c r="X482">
        <v>2.54</v>
      </c>
      <c r="Y482">
        <f>2.68-X482</f>
        <v>0.14000000000000012</v>
      </c>
    </row>
    <row r="483" spans="1:25" x14ac:dyDescent="0.2">
      <c r="A483" t="s">
        <v>120</v>
      </c>
      <c r="B483">
        <v>2017</v>
      </c>
      <c r="C483" t="s">
        <v>816</v>
      </c>
      <c r="D483" t="s">
        <v>817</v>
      </c>
      <c r="E483" t="s">
        <v>121</v>
      </c>
      <c r="F483" t="s">
        <v>310</v>
      </c>
      <c r="G483">
        <v>50.351534999999998</v>
      </c>
      <c r="H483">
        <v>-4.1321969999999997</v>
      </c>
      <c r="I483" t="s">
        <v>771</v>
      </c>
      <c r="J483" t="s">
        <v>7</v>
      </c>
      <c r="K483" t="s">
        <v>123</v>
      </c>
      <c r="L483" t="s">
        <v>144</v>
      </c>
      <c r="M483" t="s">
        <v>637</v>
      </c>
      <c r="N483" t="s">
        <v>86</v>
      </c>
      <c r="O483" t="s">
        <v>128</v>
      </c>
      <c r="P483" t="s">
        <v>126</v>
      </c>
      <c r="Q483">
        <v>16</v>
      </c>
      <c r="R483" t="s">
        <v>213</v>
      </c>
      <c r="S483" t="s">
        <v>7</v>
      </c>
      <c r="T483">
        <v>4</v>
      </c>
      <c r="U483" t="s">
        <v>28</v>
      </c>
      <c r="V483" t="s">
        <v>28</v>
      </c>
      <c r="W483">
        <v>12</v>
      </c>
      <c r="X483">
        <v>1.92</v>
      </c>
      <c r="Y483">
        <f>2.37-X483</f>
        <v>0.45000000000000018</v>
      </c>
    </row>
    <row r="484" spans="1:25" x14ac:dyDescent="0.2">
      <c r="A484" t="s">
        <v>120</v>
      </c>
      <c r="B484">
        <v>2017</v>
      </c>
      <c r="C484" t="s">
        <v>816</v>
      </c>
      <c r="D484" t="s">
        <v>817</v>
      </c>
      <c r="E484" t="s">
        <v>31</v>
      </c>
      <c r="F484" t="s">
        <v>310</v>
      </c>
      <c r="G484">
        <v>50.351534999999998</v>
      </c>
      <c r="H484">
        <v>-4.1321969999999997</v>
      </c>
      <c r="I484" t="s">
        <v>771</v>
      </c>
      <c r="J484" t="s">
        <v>14</v>
      </c>
      <c r="K484" t="s">
        <v>122</v>
      </c>
      <c r="L484" t="s">
        <v>144</v>
      </c>
      <c r="M484" t="s">
        <v>637</v>
      </c>
      <c r="N484" t="s">
        <v>86</v>
      </c>
      <c r="O484" t="s">
        <v>128</v>
      </c>
      <c r="P484" t="s">
        <v>126</v>
      </c>
      <c r="Q484">
        <v>16</v>
      </c>
      <c r="R484" t="s">
        <v>213</v>
      </c>
      <c r="S484" t="s">
        <v>9</v>
      </c>
      <c r="T484">
        <v>4</v>
      </c>
      <c r="U484" t="s">
        <v>28</v>
      </c>
      <c r="V484" t="s">
        <v>28</v>
      </c>
      <c r="W484">
        <v>15</v>
      </c>
      <c r="X484">
        <v>3.1</v>
      </c>
      <c r="Y484">
        <f>3.51-X484</f>
        <v>0.4099999999999997</v>
      </c>
    </row>
    <row r="485" spans="1:25" x14ac:dyDescent="0.2">
      <c r="A485" t="s">
        <v>120</v>
      </c>
      <c r="B485">
        <v>2017</v>
      </c>
      <c r="C485" t="s">
        <v>816</v>
      </c>
      <c r="D485" t="s">
        <v>817</v>
      </c>
      <c r="E485" t="s">
        <v>121</v>
      </c>
      <c r="F485" t="s">
        <v>310</v>
      </c>
      <c r="G485">
        <v>50.351534999999998</v>
      </c>
      <c r="H485">
        <v>-4.1321969999999997</v>
      </c>
      <c r="I485" t="s">
        <v>771</v>
      </c>
      <c r="J485" t="s">
        <v>14</v>
      </c>
      <c r="K485" t="s">
        <v>123</v>
      </c>
      <c r="L485" t="s">
        <v>144</v>
      </c>
      <c r="M485" t="s">
        <v>637</v>
      </c>
      <c r="N485" t="s">
        <v>86</v>
      </c>
      <c r="O485" t="s">
        <v>128</v>
      </c>
      <c r="P485" t="s">
        <v>126</v>
      </c>
      <c r="Q485">
        <v>16</v>
      </c>
      <c r="R485" t="s">
        <v>213</v>
      </c>
      <c r="S485" t="s">
        <v>9</v>
      </c>
      <c r="T485">
        <v>4</v>
      </c>
      <c r="U485" t="s">
        <v>28</v>
      </c>
      <c r="V485" t="s">
        <v>28</v>
      </c>
      <c r="W485">
        <v>15</v>
      </c>
      <c r="X485">
        <v>1.58</v>
      </c>
      <c r="Y485">
        <f>1.69-X485</f>
        <v>0.10999999999999988</v>
      </c>
    </row>
    <row r="486" spans="1:25" x14ac:dyDescent="0.2">
      <c r="A486" t="s">
        <v>120</v>
      </c>
      <c r="B486">
        <v>2017</v>
      </c>
      <c r="C486" t="s">
        <v>816</v>
      </c>
      <c r="D486" t="s">
        <v>817</v>
      </c>
      <c r="E486" t="s">
        <v>31</v>
      </c>
      <c r="F486" t="s">
        <v>310</v>
      </c>
      <c r="G486">
        <v>50.351534999999998</v>
      </c>
      <c r="H486">
        <v>-4.1321969999999997</v>
      </c>
      <c r="I486" t="s">
        <v>771</v>
      </c>
      <c r="J486" t="s">
        <v>14</v>
      </c>
      <c r="K486" t="s">
        <v>122</v>
      </c>
      <c r="L486" t="s">
        <v>144</v>
      </c>
      <c r="M486" t="s">
        <v>637</v>
      </c>
      <c r="N486" t="s">
        <v>86</v>
      </c>
      <c r="O486" t="s">
        <v>128</v>
      </c>
      <c r="P486" t="s">
        <v>126</v>
      </c>
      <c r="Q486">
        <v>16</v>
      </c>
      <c r="R486" t="s">
        <v>213</v>
      </c>
      <c r="S486" t="s">
        <v>27</v>
      </c>
      <c r="T486">
        <v>4</v>
      </c>
      <c r="U486" t="s">
        <v>28</v>
      </c>
      <c r="V486" t="s">
        <v>28</v>
      </c>
      <c r="W486">
        <v>18</v>
      </c>
      <c r="X486">
        <v>3.16</v>
      </c>
      <c r="Y486">
        <f>3.42-X486</f>
        <v>0.25999999999999979</v>
      </c>
    </row>
    <row r="487" spans="1:25" x14ac:dyDescent="0.2">
      <c r="A487" t="s">
        <v>120</v>
      </c>
      <c r="B487">
        <v>2017</v>
      </c>
      <c r="C487" t="s">
        <v>816</v>
      </c>
      <c r="D487" t="s">
        <v>817</v>
      </c>
      <c r="E487" t="s">
        <v>121</v>
      </c>
      <c r="F487" t="s">
        <v>310</v>
      </c>
      <c r="G487">
        <v>50.351534999999998</v>
      </c>
      <c r="H487">
        <v>-4.1321969999999997</v>
      </c>
      <c r="I487" t="s">
        <v>771</v>
      </c>
      <c r="J487" t="s">
        <v>14</v>
      </c>
      <c r="K487" t="s">
        <v>123</v>
      </c>
      <c r="L487" t="s">
        <v>144</v>
      </c>
      <c r="M487" t="s">
        <v>637</v>
      </c>
      <c r="N487" t="s">
        <v>86</v>
      </c>
      <c r="O487" t="s">
        <v>128</v>
      </c>
      <c r="P487" t="s">
        <v>126</v>
      </c>
      <c r="Q487">
        <v>16</v>
      </c>
      <c r="R487" t="s">
        <v>213</v>
      </c>
      <c r="S487" t="s">
        <v>27</v>
      </c>
      <c r="T487">
        <v>4</v>
      </c>
      <c r="U487" t="s">
        <v>28</v>
      </c>
      <c r="V487" t="s">
        <v>28</v>
      </c>
      <c r="W487">
        <v>18</v>
      </c>
      <c r="X487">
        <v>1.89</v>
      </c>
      <c r="Y487">
        <f>2.24-X487</f>
        <v>0.35000000000000031</v>
      </c>
    </row>
    <row r="488" spans="1:25" x14ac:dyDescent="0.2">
      <c r="A488" t="s">
        <v>129</v>
      </c>
      <c r="B488">
        <v>2017</v>
      </c>
      <c r="C488" t="s">
        <v>816</v>
      </c>
      <c r="D488" t="s">
        <v>820</v>
      </c>
      <c r="E488" t="s">
        <v>34</v>
      </c>
      <c r="F488" t="s">
        <v>319</v>
      </c>
      <c r="G488">
        <v>-45.797499999999999</v>
      </c>
      <c r="H488">
        <v>170.64416700000001</v>
      </c>
      <c r="I488" t="s">
        <v>772</v>
      </c>
      <c r="J488" t="s">
        <v>5</v>
      </c>
      <c r="K488" t="s">
        <v>36</v>
      </c>
      <c r="L488" t="s">
        <v>300</v>
      </c>
      <c r="M488" t="s">
        <v>727</v>
      </c>
      <c r="N488" t="s">
        <v>85</v>
      </c>
      <c r="O488" t="s">
        <v>71</v>
      </c>
      <c r="P488" t="s">
        <v>70</v>
      </c>
      <c r="Q488">
        <v>5</v>
      </c>
      <c r="R488" t="s">
        <v>213</v>
      </c>
      <c r="S488" t="s">
        <v>27</v>
      </c>
      <c r="T488">
        <v>6</v>
      </c>
      <c r="U488">
        <v>7.2</v>
      </c>
      <c r="V488">
        <v>3027</v>
      </c>
      <c r="W488" t="s">
        <v>28</v>
      </c>
      <c r="X488">
        <v>92.97</v>
      </c>
      <c r="Y488">
        <f>97.29-X488</f>
        <v>4.3200000000000074</v>
      </c>
    </row>
    <row r="489" spans="1:25" x14ac:dyDescent="0.2">
      <c r="A489" t="s">
        <v>129</v>
      </c>
      <c r="B489">
        <v>2017</v>
      </c>
      <c r="C489" t="s">
        <v>807</v>
      </c>
      <c r="D489" t="s">
        <v>825</v>
      </c>
      <c r="E489" t="s">
        <v>35</v>
      </c>
      <c r="F489" t="s">
        <v>319</v>
      </c>
      <c r="G489">
        <v>-45.797499999999999</v>
      </c>
      <c r="H489">
        <v>170.64416700000001</v>
      </c>
      <c r="I489" t="s">
        <v>772</v>
      </c>
      <c r="J489" t="s">
        <v>5</v>
      </c>
      <c r="K489" t="s">
        <v>36</v>
      </c>
      <c r="L489" t="s">
        <v>300</v>
      </c>
      <c r="M489" t="s">
        <v>727</v>
      </c>
      <c r="N489" t="s">
        <v>85</v>
      </c>
      <c r="O489" t="s">
        <v>71</v>
      </c>
      <c r="P489" t="s">
        <v>70</v>
      </c>
      <c r="Q489">
        <v>5</v>
      </c>
      <c r="R489" t="s">
        <v>213</v>
      </c>
      <c r="S489" t="s">
        <v>27</v>
      </c>
      <c r="T489">
        <v>6</v>
      </c>
      <c r="U489">
        <v>7.2</v>
      </c>
      <c r="V489">
        <v>3027</v>
      </c>
      <c r="W489" t="s">
        <v>28</v>
      </c>
      <c r="X489">
        <v>93.31</v>
      </c>
      <c r="Y489">
        <f>97.88-X489</f>
        <v>4.5699999999999932</v>
      </c>
    </row>
    <row r="490" spans="1:25" x14ac:dyDescent="0.2">
      <c r="A490" t="s">
        <v>129</v>
      </c>
      <c r="B490">
        <v>2017</v>
      </c>
      <c r="C490" t="s">
        <v>816</v>
      </c>
      <c r="D490" t="s">
        <v>820</v>
      </c>
      <c r="E490" t="s">
        <v>34</v>
      </c>
      <c r="F490" t="s">
        <v>319</v>
      </c>
      <c r="G490">
        <v>-45.797499999999999</v>
      </c>
      <c r="H490">
        <v>170.64416700000001</v>
      </c>
      <c r="I490" t="s">
        <v>772</v>
      </c>
      <c r="J490" t="s">
        <v>5</v>
      </c>
      <c r="K490" t="s">
        <v>36</v>
      </c>
      <c r="L490" t="s">
        <v>300</v>
      </c>
      <c r="M490" t="s">
        <v>727</v>
      </c>
      <c r="N490" t="s">
        <v>85</v>
      </c>
      <c r="O490" t="s">
        <v>71</v>
      </c>
      <c r="P490" t="s">
        <v>70</v>
      </c>
      <c r="Q490">
        <v>5</v>
      </c>
      <c r="R490" t="s">
        <v>213</v>
      </c>
      <c r="S490" t="s">
        <v>9</v>
      </c>
      <c r="T490">
        <v>6</v>
      </c>
      <c r="U490">
        <v>7.65</v>
      </c>
      <c r="V490">
        <v>1052</v>
      </c>
      <c r="W490" t="s">
        <v>28</v>
      </c>
      <c r="X490">
        <v>90.76</v>
      </c>
      <c r="Y490">
        <f>96.53-X490</f>
        <v>5.769999999999996</v>
      </c>
    </row>
    <row r="491" spans="1:25" x14ac:dyDescent="0.2">
      <c r="A491" t="s">
        <v>129</v>
      </c>
      <c r="B491">
        <v>2017</v>
      </c>
      <c r="C491" t="s">
        <v>807</v>
      </c>
      <c r="D491" t="s">
        <v>825</v>
      </c>
      <c r="E491" t="s">
        <v>35</v>
      </c>
      <c r="F491" t="s">
        <v>319</v>
      </c>
      <c r="G491">
        <v>-45.797499999999999</v>
      </c>
      <c r="H491">
        <v>170.64416700000001</v>
      </c>
      <c r="I491" t="s">
        <v>772</v>
      </c>
      <c r="J491" t="s">
        <v>5</v>
      </c>
      <c r="K491" t="s">
        <v>36</v>
      </c>
      <c r="L491" t="s">
        <v>300</v>
      </c>
      <c r="M491" t="s">
        <v>727</v>
      </c>
      <c r="N491" t="s">
        <v>85</v>
      </c>
      <c r="O491" t="s">
        <v>71</v>
      </c>
      <c r="P491" t="s">
        <v>70</v>
      </c>
      <c r="Q491">
        <v>5</v>
      </c>
      <c r="R491" t="s">
        <v>213</v>
      </c>
      <c r="S491" t="s">
        <v>9</v>
      </c>
      <c r="T491">
        <v>6</v>
      </c>
      <c r="U491">
        <v>7.65</v>
      </c>
      <c r="V491">
        <v>1052</v>
      </c>
      <c r="W491" t="s">
        <v>28</v>
      </c>
      <c r="X491">
        <v>91.19</v>
      </c>
      <c r="Y491">
        <f>96.86-X491</f>
        <v>5.6700000000000017</v>
      </c>
    </row>
    <row r="492" spans="1:25" x14ac:dyDescent="0.2">
      <c r="A492" t="s">
        <v>129</v>
      </c>
      <c r="B492">
        <v>2017</v>
      </c>
      <c r="C492" t="s">
        <v>816</v>
      </c>
      <c r="D492" t="s">
        <v>820</v>
      </c>
      <c r="E492" t="s">
        <v>34</v>
      </c>
      <c r="F492" t="s">
        <v>319</v>
      </c>
      <c r="G492">
        <v>-45.797499999999999</v>
      </c>
      <c r="H492">
        <v>170.64416700000001</v>
      </c>
      <c r="I492" t="s">
        <v>772</v>
      </c>
      <c r="J492" t="s">
        <v>7</v>
      </c>
      <c r="K492" t="s">
        <v>36</v>
      </c>
      <c r="L492" t="s">
        <v>300</v>
      </c>
      <c r="M492" t="s">
        <v>727</v>
      </c>
      <c r="N492" t="s">
        <v>85</v>
      </c>
      <c r="O492" t="s">
        <v>71</v>
      </c>
      <c r="P492" t="s">
        <v>70</v>
      </c>
      <c r="Q492">
        <v>5</v>
      </c>
      <c r="R492" t="s">
        <v>213</v>
      </c>
      <c r="S492" t="s">
        <v>7</v>
      </c>
      <c r="T492">
        <v>6</v>
      </c>
      <c r="U492">
        <v>8.01</v>
      </c>
      <c r="V492">
        <v>445</v>
      </c>
      <c r="W492" t="s">
        <v>28</v>
      </c>
      <c r="X492">
        <v>93.31</v>
      </c>
      <c r="Y492">
        <f>95.51-X492</f>
        <v>2.2000000000000028</v>
      </c>
    </row>
    <row r="493" spans="1:25" x14ac:dyDescent="0.2">
      <c r="A493" t="s">
        <v>129</v>
      </c>
      <c r="B493">
        <v>2017</v>
      </c>
      <c r="C493" t="s">
        <v>807</v>
      </c>
      <c r="D493" t="s">
        <v>825</v>
      </c>
      <c r="E493" t="s">
        <v>35</v>
      </c>
      <c r="F493" t="s">
        <v>319</v>
      </c>
      <c r="G493">
        <v>-45.797499999999999</v>
      </c>
      <c r="H493">
        <v>170.64416700000001</v>
      </c>
      <c r="I493" t="s">
        <v>772</v>
      </c>
      <c r="J493" t="s">
        <v>7</v>
      </c>
      <c r="K493" t="s">
        <v>36</v>
      </c>
      <c r="L493" t="s">
        <v>300</v>
      </c>
      <c r="M493" t="s">
        <v>727</v>
      </c>
      <c r="N493" t="s">
        <v>85</v>
      </c>
      <c r="O493" t="s">
        <v>71</v>
      </c>
      <c r="P493" t="s">
        <v>70</v>
      </c>
      <c r="Q493">
        <v>5</v>
      </c>
      <c r="R493" t="s">
        <v>213</v>
      </c>
      <c r="S493" t="s">
        <v>7</v>
      </c>
      <c r="T493">
        <v>6</v>
      </c>
      <c r="U493">
        <v>8.01</v>
      </c>
      <c r="V493">
        <v>445</v>
      </c>
      <c r="W493" t="s">
        <v>28</v>
      </c>
      <c r="X493">
        <v>85.42</v>
      </c>
      <c r="Y493">
        <f>88.56-X493</f>
        <v>3.1400000000000006</v>
      </c>
    </row>
    <row r="494" spans="1:25" x14ac:dyDescent="0.2">
      <c r="A494" t="s">
        <v>129</v>
      </c>
      <c r="B494">
        <v>2017</v>
      </c>
      <c r="C494" t="s">
        <v>816</v>
      </c>
      <c r="D494" t="s">
        <v>820</v>
      </c>
      <c r="E494" t="s">
        <v>34</v>
      </c>
      <c r="F494" t="s">
        <v>319</v>
      </c>
      <c r="G494">
        <v>-45.797499999999999</v>
      </c>
      <c r="H494">
        <v>170.64416700000001</v>
      </c>
      <c r="I494" t="s">
        <v>772</v>
      </c>
      <c r="J494" t="s">
        <v>5</v>
      </c>
      <c r="K494" t="s">
        <v>39</v>
      </c>
      <c r="L494" t="s">
        <v>300</v>
      </c>
      <c r="M494" t="s">
        <v>26</v>
      </c>
      <c r="N494" t="s">
        <v>85</v>
      </c>
      <c r="O494" t="s">
        <v>840</v>
      </c>
      <c r="P494" t="s">
        <v>72</v>
      </c>
      <c r="Q494">
        <v>13</v>
      </c>
      <c r="R494" t="s">
        <v>213</v>
      </c>
      <c r="S494" t="s">
        <v>27</v>
      </c>
      <c r="T494">
        <v>6</v>
      </c>
      <c r="U494">
        <v>7.2</v>
      </c>
      <c r="V494">
        <v>3027</v>
      </c>
      <c r="W494" t="s">
        <v>28</v>
      </c>
      <c r="X494">
        <v>22.15</v>
      </c>
      <c r="Y494">
        <f>22.96-X494</f>
        <v>0.81000000000000227</v>
      </c>
    </row>
    <row r="495" spans="1:25" x14ac:dyDescent="0.2">
      <c r="A495" t="s">
        <v>129</v>
      </c>
      <c r="B495">
        <v>2017</v>
      </c>
      <c r="C495" t="s">
        <v>807</v>
      </c>
      <c r="D495" t="s">
        <v>825</v>
      </c>
      <c r="E495" t="s">
        <v>35</v>
      </c>
      <c r="F495" t="s">
        <v>319</v>
      </c>
      <c r="G495">
        <v>-45.797499999999999</v>
      </c>
      <c r="H495">
        <v>170.64416700000001</v>
      </c>
      <c r="I495" t="s">
        <v>772</v>
      </c>
      <c r="J495" t="s">
        <v>5</v>
      </c>
      <c r="K495" t="s">
        <v>39</v>
      </c>
      <c r="L495" t="s">
        <v>300</v>
      </c>
      <c r="M495" t="s">
        <v>26</v>
      </c>
      <c r="N495" t="s">
        <v>85</v>
      </c>
      <c r="O495" t="s">
        <v>840</v>
      </c>
      <c r="P495" t="s">
        <v>72</v>
      </c>
      <c r="Q495">
        <v>13</v>
      </c>
      <c r="R495" t="s">
        <v>213</v>
      </c>
      <c r="S495" t="s">
        <v>27</v>
      </c>
      <c r="T495">
        <v>6</v>
      </c>
      <c r="U495">
        <v>7.2</v>
      </c>
      <c r="V495">
        <v>3027</v>
      </c>
      <c r="W495" t="s">
        <v>28</v>
      </c>
      <c r="X495">
        <v>19.559999999999999</v>
      </c>
      <c r="Y495">
        <f>20.37-X495</f>
        <v>0.81000000000000227</v>
      </c>
    </row>
    <row r="496" spans="1:25" x14ac:dyDescent="0.2">
      <c r="A496" t="s">
        <v>129</v>
      </c>
      <c r="B496">
        <v>2017</v>
      </c>
      <c r="C496" t="s">
        <v>816</v>
      </c>
      <c r="D496" t="s">
        <v>820</v>
      </c>
      <c r="E496" t="s">
        <v>34</v>
      </c>
      <c r="F496" t="s">
        <v>319</v>
      </c>
      <c r="G496">
        <v>-45.797499999999999</v>
      </c>
      <c r="H496">
        <v>170.64416700000001</v>
      </c>
      <c r="I496" t="s">
        <v>772</v>
      </c>
      <c r="J496" t="s">
        <v>5</v>
      </c>
      <c r="K496" t="s">
        <v>39</v>
      </c>
      <c r="L496" t="s">
        <v>300</v>
      </c>
      <c r="M496" t="s">
        <v>26</v>
      </c>
      <c r="N496" t="s">
        <v>85</v>
      </c>
      <c r="O496" t="s">
        <v>840</v>
      </c>
      <c r="P496" t="s">
        <v>72</v>
      </c>
      <c r="Q496">
        <v>13</v>
      </c>
      <c r="R496" t="s">
        <v>213</v>
      </c>
      <c r="S496" t="s">
        <v>9</v>
      </c>
      <c r="T496">
        <v>6</v>
      </c>
      <c r="U496">
        <v>7.65</v>
      </c>
      <c r="V496">
        <v>1052</v>
      </c>
      <c r="W496" t="s">
        <v>28</v>
      </c>
      <c r="X496">
        <v>20.059999999999999</v>
      </c>
      <c r="Y496">
        <f>21.6-X496</f>
        <v>1.5400000000000027</v>
      </c>
    </row>
    <row r="497" spans="1:25" x14ac:dyDescent="0.2">
      <c r="A497" t="s">
        <v>129</v>
      </c>
      <c r="B497">
        <v>2017</v>
      </c>
      <c r="C497" t="s">
        <v>807</v>
      </c>
      <c r="D497" t="s">
        <v>825</v>
      </c>
      <c r="E497" t="s">
        <v>35</v>
      </c>
      <c r="F497" t="s">
        <v>319</v>
      </c>
      <c r="G497">
        <v>-45.797499999999999</v>
      </c>
      <c r="H497">
        <v>170.64416700000001</v>
      </c>
      <c r="I497" t="s">
        <v>772</v>
      </c>
      <c r="J497" t="s">
        <v>5</v>
      </c>
      <c r="K497" t="s">
        <v>39</v>
      </c>
      <c r="L497" t="s">
        <v>300</v>
      </c>
      <c r="M497" t="s">
        <v>26</v>
      </c>
      <c r="N497" t="s">
        <v>85</v>
      </c>
      <c r="O497" t="s">
        <v>840</v>
      </c>
      <c r="P497" t="s">
        <v>72</v>
      </c>
      <c r="Q497">
        <v>13</v>
      </c>
      <c r="R497" t="s">
        <v>213</v>
      </c>
      <c r="S497" t="s">
        <v>9</v>
      </c>
      <c r="T497">
        <v>6</v>
      </c>
      <c r="U497">
        <v>7.65</v>
      </c>
      <c r="V497">
        <v>1052</v>
      </c>
      <c r="W497" t="s">
        <v>28</v>
      </c>
      <c r="X497">
        <v>15.16</v>
      </c>
      <c r="Y497">
        <f>16.9-X497</f>
        <v>1.7399999999999984</v>
      </c>
    </row>
    <row r="498" spans="1:25" x14ac:dyDescent="0.2">
      <c r="A498" t="s">
        <v>129</v>
      </c>
      <c r="B498">
        <v>2017</v>
      </c>
      <c r="C498" t="s">
        <v>816</v>
      </c>
      <c r="D498" t="s">
        <v>820</v>
      </c>
      <c r="E498" t="s">
        <v>34</v>
      </c>
      <c r="F498" t="s">
        <v>319</v>
      </c>
      <c r="G498">
        <v>-45.797499999999999</v>
      </c>
      <c r="H498">
        <v>170.64416700000001</v>
      </c>
      <c r="I498" t="s">
        <v>772</v>
      </c>
      <c r="J498" t="s">
        <v>7</v>
      </c>
      <c r="K498" t="s">
        <v>39</v>
      </c>
      <c r="L498" t="s">
        <v>300</v>
      </c>
      <c r="M498" t="s">
        <v>26</v>
      </c>
      <c r="N498" t="s">
        <v>85</v>
      </c>
      <c r="O498" t="s">
        <v>840</v>
      </c>
      <c r="P498" t="s">
        <v>72</v>
      </c>
      <c r="Q498">
        <v>13</v>
      </c>
      <c r="R498" t="s">
        <v>213</v>
      </c>
      <c r="S498" t="s">
        <v>7</v>
      </c>
      <c r="T498">
        <v>6</v>
      </c>
      <c r="U498">
        <v>8.01</v>
      </c>
      <c r="V498">
        <v>445</v>
      </c>
      <c r="W498" t="s">
        <v>28</v>
      </c>
      <c r="X498">
        <v>17.36</v>
      </c>
      <c r="Y498">
        <f>18.67-X498</f>
        <v>1.3100000000000023</v>
      </c>
    </row>
    <row r="499" spans="1:25" x14ac:dyDescent="0.2">
      <c r="A499" t="s">
        <v>129</v>
      </c>
      <c r="B499">
        <v>2017</v>
      </c>
      <c r="C499" t="s">
        <v>807</v>
      </c>
      <c r="D499" t="s">
        <v>825</v>
      </c>
      <c r="E499" t="s">
        <v>35</v>
      </c>
      <c r="F499" t="s">
        <v>319</v>
      </c>
      <c r="G499">
        <v>-45.797499999999999</v>
      </c>
      <c r="H499">
        <v>170.64416700000001</v>
      </c>
      <c r="I499" t="s">
        <v>772</v>
      </c>
      <c r="J499" t="s">
        <v>7</v>
      </c>
      <c r="K499" t="s">
        <v>39</v>
      </c>
      <c r="L499" t="s">
        <v>300</v>
      </c>
      <c r="M499" t="s">
        <v>26</v>
      </c>
      <c r="N499" t="s">
        <v>85</v>
      </c>
      <c r="O499" t="s">
        <v>840</v>
      </c>
      <c r="P499" t="s">
        <v>72</v>
      </c>
      <c r="Q499">
        <v>13</v>
      </c>
      <c r="R499" t="s">
        <v>213</v>
      </c>
      <c r="S499" t="s">
        <v>7</v>
      </c>
      <c r="T499">
        <v>6</v>
      </c>
      <c r="U499">
        <v>8.01</v>
      </c>
      <c r="V499">
        <v>445</v>
      </c>
      <c r="W499" t="s">
        <v>28</v>
      </c>
      <c r="X499">
        <v>16.440000000000001</v>
      </c>
      <c r="Y499">
        <f>17.32-X499</f>
        <v>0.87999999999999901</v>
      </c>
    </row>
    <row r="500" spans="1:25" x14ac:dyDescent="0.2">
      <c r="A500" t="s">
        <v>129</v>
      </c>
      <c r="B500">
        <v>2017</v>
      </c>
      <c r="C500" t="s">
        <v>816</v>
      </c>
      <c r="D500" t="s">
        <v>820</v>
      </c>
      <c r="E500" t="s">
        <v>34</v>
      </c>
      <c r="F500" t="s">
        <v>319</v>
      </c>
      <c r="G500">
        <v>-45.797499999999999</v>
      </c>
      <c r="H500">
        <v>170.64416700000001</v>
      </c>
      <c r="I500" t="s">
        <v>772</v>
      </c>
      <c r="J500" t="s">
        <v>5</v>
      </c>
      <c r="K500" t="s">
        <v>40</v>
      </c>
      <c r="L500" t="s">
        <v>3</v>
      </c>
      <c r="M500" t="s">
        <v>26</v>
      </c>
      <c r="N500" t="s">
        <v>85</v>
      </c>
      <c r="O500" t="s">
        <v>80</v>
      </c>
      <c r="P500" t="s">
        <v>79</v>
      </c>
      <c r="Q500">
        <v>15</v>
      </c>
      <c r="R500" t="s">
        <v>213</v>
      </c>
      <c r="S500" t="s">
        <v>27</v>
      </c>
      <c r="T500">
        <v>6</v>
      </c>
      <c r="U500">
        <v>7.2</v>
      </c>
      <c r="V500">
        <v>3027</v>
      </c>
      <c r="W500" t="s">
        <v>28</v>
      </c>
      <c r="X500">
        <v>690.2</v>
      </c>
      <c r="Y500">
        <f>795.9-X500</f>
        <v>105.69999999999993</v>
      </c>
    </row>
    <row r="501" spans="1:25" x14ac:dyDescent="0.2">
      <c r="A501" t="s">
        <v>129</v>
      </c>
      <c r="B501">
        <v>2017</v>
      </c>
      <c r="C501" t="s">
        <v>807</v>
      </c>
      <c r="D501" t="s">
        <v>825</v>
      </c>
      <c r="E501" t="s">
        <v>35</v>
      </c>
      <c r="F501" t="s">
        <v>319</v>
      </c>
      <c r="G501">
        <v>-45.797499999999999</v>
      </c>
      <c r="H501">
        <v>170.64416700000001</v>
      </c>
      <c r="I501" t="s">
        <v>772</v>
      </c>
      <c r="J501" t="s">
        <v>5</v>
      </c>
      <c r="K501" t="s">
        <v>40</v>
      </c>
      <c r="L501" t="s">
        <v>3</v>
      </c>
      <c r="M501" t="s">
        <v>26</v>
      </c>
      <c r="N501" t="s">
        <v>85</v>
      </c>
      <c r="O501" t="s">
        <v>80</v>
      </c>
      <c r="P501" t="s">
        <v>79</v>
      </c>
      <c r="Q501">
        <v>15</v>
      </c>
      <c r="R501" t="s">
        <v>213</v>
      </c>
      <c r="S501" t="s">
        <v>27</v>
      </c>
      <c r="T501">
        <v>6</v>
      </c>
      <c r="U501">
        <v>7.2</v>
      </c>
      <c r="V501">
        <v>3027</v>
      </c>
      <c r="W501" t="s">
        <v>28</v>
      </c>
      <c r="X501">
        <v>652.20000000000005</v>
      </c>
      <c r="Y501">
        <f>730.8-X501</f>
        <v>78.599999999999909</v>
      </c>
    </row>
    <row r="502" spans="1:25" x14ac:dyDescent="0.2">
      <c r="A502" t="s">
        <v>129</v>
      </c>
      <c r="B502">
        <v>2017</v>
      </c>
      <c r="C502" t="s">
        <v>816</v>
      </c>
      <c r="D502" t="s">
        <v>820</v>
      </c>
      <c r="E502" t="s">
        <v>34</v>
      </c>
      <c r="F502" t="s">
        <v>319</v>
      </c>
      <c r="G502">
        <v>-45.797499999999999</v>
      </c>
      <c r="H502">
        <v>170.64416700000001</v>
      </c>
      <c r="I502" t="s">
        <v>772</v>
      </c>
      <c r="J502" t="s">
        <v>5</v>
      </c>
      <c r="K502" t="s">
        <v>40</v>
      </c>
      <c r="L502" t="s">
        <v>3</v>
      </c>
      <c r="M502" t="s">
        <v>26</v>
      </c>
      <c r="N502" t="s">
        <v>85</v>
      </c>
      <c r="O502" t="s">
        <v>80</v>
      </c>
      <c r="P502" t="s">
        <v>79</v>
      </c>
      <c r="Q502">
        <v>15</v>
      </c>
      <c r="R502" t="s">
        <v>213</v>
      </c>
      <c r="S502" t="s">
        <v>9</v>
      </c>
      <c r="T502">
        <v>6</v>
      </c>
      <c r="U502">
        <v>7.65</v>
      </c>
      <c r="V502">
        <v>1052</v>
      </c>
      <c r="W502" t="s">
        <v>28</v>
      </c>
      <c r="X502">
        <v>504.4</v>
      </c>
      <c r="Y502">
        <f>526.1-X502</f>
        <v>21.700000000000045</v>
      </c>
    </row>
    <row r="503" spans="1:25" x14ac:dyDescent="0.2">
      <c r="A503" t="s">
        <v>129</v>
      </c>
      <c r="B503">
        <v>2017</v>
      </c>
      <c r="C503" t="s">
        <v>807</v>
      </c>
      <c r="D503" t="s">
        <v>825</v>
      </c>
      <c r="E503" t="s">
        <v>35</v>
      </c>
      <c r="F503" t="s">
        <v>319</v>
      </c>
      <c r="G503">
        <v>-45.797499999999999</v>
      </c>
      <c r="H503">
        <v>170.64416700000001</v>
      </c>
      <c r="I503" t="s">
        <v>772</v>
      </c>
      <c r="J503" t="s">
        <v>5</v>
      </c>
      <c r="K503" t="s">
        <v>40</v>
      </c>
      <c r="L503" t="s">
        <v>3</v>
      </c>
      <c r="M503" t="s">
        <v>26</v>
      </c>
      <c r="N503" t="s">
        <v>85</v>
      </c>
      <c r="O503" t="s">
        <v>80</v>
      </c>
      <c r="P503" t="s">
        <v>79</v>
      </c>
      <c r="Q503">
        <v>15</v>
      </c>
      <c r="R503" t="s">
        <v>213</v>
      </c>
      <c r="S503" t="s">
        <v>9</v>
      </c>
      <c r="T503">
        <v>6</v>
      </c>
      <c r="U503">
        <v>7.65</v>
      </c>
      <c r="V503">
        <v>1052</v>
      </c>
      <c r="W503" t="s">
        <v>28</v>
      </c>
      <c r="X503">
        <v>577.6</v>
      </c>
      <c r="Y503">
        <f>659-X503</f>
        <v>81.399999999999977</v>
      </c>
    </row>
    <row r="504" spans="1:25" x14ac:dyDescent="0.2">
      <c r="A504" t="s">
        <v>129</v>
      </c>
      <c r="B504">
        <v>2017</v>
      </c>
      <c r="C504" t="s">
        <v>816</v>
      </c>
      <c r="D504" t="s">
        <v>820</v>
      </c>
      <c r="E504" t="s">
        <v>34</v>
      </c>
      <c r="F504" t="s">
        <v>319</v>
      </c>
      <c r="G504">
        <v>-45.797499999999999</v>
      </c>
      <c r="H504">
        <v>170.64416700000001</v>
      </c>
      <c r="I504" t="s">
        <v>772</v>
      </c>
      <c r="J504" t="s">
        <v>7</v>
      </c>
      <c r="K504" t="s">
        <v>40</v>
      </c>
      <c r="L504" t="s">
        <v>3</v>
      </c>
      <c r="M504" t="s">
        <v>26</v>
      </c>
      <c r="N504" t="s">
        <v>85</v>
      </c>
      <c r="O504" t="s">
        <v>80</v>
      </c>
      <c r="P504" t="s">
        <v>79</v>
      </c>
      <c r="Q504">
        <v>15</v>
      </c>
      <c r="R504" t="s">
        <v>213</v>
      </c>
      <c r="S504" t="s">
        <v>7</v>
      </c>
      <c r="T504">
        <v>6</v>
      </c>
      <c r="U504">
        <v>8.01</v>
      </c>
      <c r="V504">
        <v>445</v>
      </c>
      <c r="W504" t="s">
        <v>28</v>
      </c>
      <c r="X504">
        <v>417.6</v>
      </c>
      <c r="Y504">
        <f>451.5-X504</f>
        <v>33.899999999999977</v>
      </c>
    </row>
    <row r="505" spans="1:25" x14ac:dyDescent="0.2">
      <c r="A505" t="s">
        <v>129</v>
      </c>
      <c r="B505">
        <v>2017</v>
      </c>
      <c r="C505" t="s">
        <v>807</v>
      </c>
      <c r="D505" t="s">
        <v>825</v>
      </c>
      <c r="E505" t="s">
        <v>35</v>
      </c>
      <c r="F505" t="s">
        <v>319</v>
      </c>
      <c r="G505">
        <v>-45.797499999999999</v>
      </c>
      <c r="H505">
        <v>170.64416700000001</v>
      </c>
      <c r="I505" t="s">
        <v>772</v>
      </c>
      <c r="J505" t="s">
        <v>7</v>
      </c>
      <c r="K505" t="s">
        <v>40</v>
      </c>
      <c r="L505" t="s">
        <v>3</v>
      </c>
      <c r="M505" t="s">
        <v>26</v>
      </c>
      <c r="N505" t="s">
        <v>85</v>
      </c>
      <c r="O505" t="s">
        <v>80</v>
      </c>
      <c r="P505" t="s">
        <v>79</v>
      </c>
      <c r="Q505">
        <v>15</v>
      </c>
      <c r="R505" t="s">
        <v>213</v>
      </c>
      <c r="S505" t="s">
        <v>7</v>
      </c>
      <c r="T505">
        <v>6</v>
      </c>
      <c r="U505">
        <v>8.01</v>
      </c>
      <c r="V505">
        <v>445</v>
      </c>
      <c r="W505" t="s">
        <v>28</v>
      </c>
      <c r="X505">
        <v>416.3</v>
      </c>
      <c r="Y505">
        <f>454.2-X505</f>
        <v>37.899999999999977</v>
      </c>
    </row>
    <row r="506" spans="1:25" x14ac:dyDescent="0.2">
      <c r="A506" t="s">
        <v>129</v>
      </c>
      <c r="B506">
        <v>2017</v>
      </c>
      <c r="C506" t="s">
        <v>816</v>
      </c>
      <c r="D506" t="s">
        <v>820</v>
      </c>
      <c r="E506" t="s">
        <v>34</v>
      </c>
      <c r="F506" t="s">
        <v>319</v>
      </c>
      <c r="G506">
        <v>-45.797499999999999</v>
      </c>
      <c r="H506">
        <v>170.64416700000001</v>
      </c>
      <c r="I506" t="s">
        <v>772</v>
      </c>
      <c r="J506" t="s">
        <v>5</v>
      </c>
      <c r="K506" t="s">
        <v>41</v>
      </c>
      <c r="L506" t="s">
        <v>3</v>
      </c>
      <c r="M506" t="s">
        <v>26</v>
      </c>
      <c r="N506" t="s">
        <v>85</v>
      </c>
      <c r="O506" t="s">
        <v>80</v>
      </c>
      <c r="P506" t="s">
        <v>79</v>
      </c>
      <c r="Q506">
        <v>15</v>
      </c>
      <c r="R506" t="s">
        <v>213</v>
      </c>
      <c r="S506" t="s">
        <v>27</v>
      </c>
      <c r="T506">
        <v>6</v>
      </c>
      <c r="U506">
        <v>7.2</v>
      </c>
      <c r="V506">
        <v>3027</v>
      </c>
      <c r="W506" t="s">
        <v>28</v>
      </c>
      <c r="X506">
        <v>448.1</v>
      </c>
      <c r="Y506">
        <f>523.9-X506</f>
        <v>75.799999999999955</v>
      </c>
    </row>
    <row r="507" spans="1:25" x14ac:dyDescent="0.2">
      <c r="A507" t="s">
        <v>129</v>
      </c>
      <c r="B507">
        <v>2017</v>
      </c>
      <c r="C507" t="s">
        <v>807</v>
      </c>
      <c r="D507" t="s">
        <v>825</v>
      </c>
      <c r="E507" t="s">
        <v>35</v>
      </c>
      <c r="F507" t="s">
        <v>319</v>
      </c>
      <c r="G507">
        <v>-45.797499999999999</v>
      </c>
      <c r="H507">
        <v>170.64416700000001</v>
      </c>
      <c r="I507" t="s">
        <v>772</v>
      </c>
      <c r="J507" t="s">
        <v>5</v>
      </c>
      <c r="K507" t="s">
        <v>41</v>
      </c>
      <c r="L507" t="s">
        <v>3</v>
      </c>
      <c r="M507" t="s">
        <v>26</v>
      </c>
      <c r="N507" t="s">
        <v>85</v>
      </c>
      <c r="O507" t="s">
        <v>80</v>
      </c>
      <c r="P507" t="s">
        <v>79</v>
      </c>
      <c r="Q507">
        <v>15</v>
      </c>
      <c r="R507" t="s">
        <v>213</v>
      </c>
      <c r="S507" t="s">
        <v>27</v>
      </c>
      <c r="T507">
        <v>6</v>
      </c>
      <c r="U507">
        <v>7.2</v>
      </c>
      <c r="V507">
        <v>3027</v>
      </c>
      <c r="W507" t="s">
        <v>28</v>
      </c>
      <c r="X507">
        <v>437.2</v>
      </c>
      <c r="Y507">
        <f>479.2-X507</f>
        <v>42</v>
      </c>
    </row>
    <row r="508" spans="1:25" x14ac:dyDescent="0.2">
      <c r="A508" t="s">
        <v>129</v>
      </c>
      <c r="B508">
        <v>2017</v>
      </c>
      <c r="C508" t="s">
        <v>816</v>
      </c>
      <c r="D508" t="s">
        <v>820</v>
      </c>
      <c r="E508" t="s">
        <v>34</v>
      </c>
      <c r="F508" t="s">
        <v>319</v>
      </c>
      <c r="G508">
        <v>-45.797499999999999</v>
      </c>
      <c r="H508">
        <v>170.64416700000001</v>
      </c>
      <c r="I508" t="s">
        <v>772</v>
      </c>
      <c r="J508" t="s">
        <v>5</v>
      </c>
      <c r="K508" t="s">
        <v>41</v>
      </c>
      <c r="L508" t="s">
        <v>3</v>
      </c>
      <c r="M508" t="s">
        <v>26</v>
      </c>
      <c r="N508" t="s">
        <v>85</v>
      </c>
      <c r="O508" t="s">
        <v>80</v>
      </c>
      <c r="P508" t="s">
        <v>79</v>
      </c>
      <c r="Q508">
        <v>15</v>
      </c>
      <c r="R508" t="s">
        <v>213</v>
      </c>
      <c r="S508" t="s">
        <v>9</v>
      </c>
      <c r="T508">
        <v>6</v>
      </c>
      <c r="U508">
        <v>7.65</v>
      </c>
      <c r="V508">
        <v>1052</v>
      </c>
      <c r="W508" t="s">
        <v>28</v>
      </c>
      <c r="X508">
        <v>395.3</v>
      </c>
      <c r="Y508">
        <f>444-X508</f>
        <v>48.699999999999989</v>
      </c>
    </row>
    <row r="509" spans="1:25" x14ac:dyDescent="0.2">
      <c r="A509" t="s">
        <v>129</v>
      </c>
      <c r="B509">
        <v>2017</v>
      </c>
      <c r="C509" t="s">
        <v>807</v>
      </c>
      <c r="D509" t="s">
        <v>825</v>
      </c>
      <c r="E509" t="s">
        <v>35</v>
      </c>
      <c r="F509" t="s">
        <v>319</v>
      </c>
      <c r="G509">
        <v>-45.797499999999999</v>
      </c>
      <c r="H509">
        <v>170.64416700000001</v>
      </c>
      <c r="I509" t="s">
        <v>772</v>
      </c>
      <c r="J509" t="s">
        <v>5</v>
      </c>
      <c r="K509" t="s">
        <v>41</v>
      </c>
      <c r="L509" t="s">
        <v>3</v>
      </c>
      <c r="M509" t="s">
        <v>26</v>
      </c>
      <c r="N509" t="s">
        <v>85</v>
      </c>
      <c r="O509" t="s">
        <v>80</v>
      </c>
      <c r="P509" t="s">
        <v>79</v>
      </c>
      <c r="Q509">
        <v>15</v>
      </c>
      <c r="R509" t="s">
        <v>213</v>
      </c>
      <c r="S509" t="s">
        <v>9</v>
      </c>
      <c r="T509">
        <v>6</v>
      </c>
      <c r="U509">
        <v>7.65</v>
      </c>
      <c r="V509">
        <v>1052</v>
      </c>
      <c r="W509" t="s">
        <v>28</v>
      </c>
      <c r="X509">
        <v>345.2</v>
      </c>
      <c r="Y509">
        <f>381.7-X509</f>
        <v>36.5</v>
      </c>
    </row>
    <row r="510" spans="1:25" x14ac:dyDescent="0.2">
      <c r="A510" t="s">
        <v>129</v>
      </c>
      <c r="B510">
        <v>2017</v>
      </c>
      <c r="C510" t="s">
        <v>816</v>
      </c>
      <c r="D510" t="s">
        <v>820</v>
      </c>
      <c r="E510" t="s">
        <v>34</v>
      </c>
      <c r="F510" t="s">
        <v>319</v>
      </c>
      <c r="G510">
        <v>-45.797499999999999</v>
      </c>
      <c r="H510">
        <v>170.64416700000001</v>
      </c>
      <c r="I510" t="s">
        <v>772</v>
      </c>
      <c r="J510" t="s">
        <v>7</v>
      </c>
      <c r="K510" t="s">
        <v>41</v>
      </c>
      <c r="L510" t="s">
        <v>3</v>
      </c>
      <c r="M510" t="s">
        <v>26</v>
      </c>
      <c r="N510" t="s">
        <v>85</v>
      </c>
      <c r="O510" t="s">
        <v>80</v>
      </c>
      <c r="P510" t="s">
        <v>79</v>
      </c>
      <c r="Q510">
        <v>15</v>
      </c>
      <c r="R510" t="s">
        <v>213</v>
      </c>
      <c r="S510" t="s">
        <v>7</v>
      </c>
      <c r="T510">
        <v>6</v>
      </c>
      <c r="U510">
        <v>8.01</v>
      </c>
      <c r="V510">
        <v>445</v>
      </c>
      <c r="W510" t="s">
        <v>28</v>
      </c>
      <c r="X510">
        <v>320.8</v>
      </c>
      <c r="Y510">
        <f>368.2-X510</f>
        <v>47.399999999999977</v>
      </c>
    </row>
    <row r="511" spans="1:25" x14ac:dyDescent="0.2">
      <c r="A511" t="s">
        <v>129</v>
      </c>
      <c r="B511">
        <v>2017</v>
      </c>
      <c r="C511" t="s">
        <v>807</v>
      </c>
      <c r="D511" t="s">
        <v>825</v>
      </c>
      <c r="E511" t="s">
        <v>35</v>
      </c>
      <c r="F511" t="s">
        <v>319</v>
      </c>
      <c r="G511">
        <v>-45.797499999999999</v>
      </c>
      <c r="H511">
        <v>170.64416700000001</v>
      </c>
      <c r="I511" t="s">
        <v>772</v>
      </c>
      <c r="J511" t="s">
        <v>7</v>
      </c>
      <c r="K511" t="s">
        <v>41</v>
      </c>
      <c r="L511" t="s">
        <v>3</v>
      </c>
      <c r="M511" t="s">
        <v>26</v>
      </c>
      <c r="N511" t="s">
        <v>85</v>
      </c>
      <c r="O511" t="s">
        <v>80</v>
      </c>
      <c r="P511" t="s">
        <v>79</v>
      </c>
      <c r="Q511">
        <v>15</v>
      </c>
      <c r="R511" t="s">
        <v>213</v>
      </c>
      <c r="S511" t="s">
        <v>7</v>
      </c>
      <c r="T511">
        <v>6</v>
      </c>
      <c r="U511">
        <v>8.01</v>
      </c>
      <c r="V511">
        <v>445</v>
      </c>
      <c r="W511" t="s">
        <v>28</v>
      </c>
      <c r="X511">
        <v>300.5</v>
      </c>
      <c r="Y511">
        <f>341.1-X511</f>
        <v>40.600000000000023</v>
      </c>
    </row>
    <row r="512" spans="1:25" x14ac:dyDescent="0.2">
      <c r="A512" t="s">
        <v>129</v>
      </c>
      <c r="B512">
        <v>2017</v>
      </c>
      <c r="C512" t="s">
        <v>816</v>
      </c>
      <c r="D512" t="s">
        <v>820</v>
      </c>
      <c r="E512" t="s">
        <v>34</v>
      </c>
      <c r="F512" t="s">
        <v>319</v>
      </c>
      <c r="G512">
        <v>-45.797499999999999</v>
      </c>
      <c r="H512">
        <v>170.64416700000001</v>
      </c>
      <c r="I512" t="s">
        <v>772</v>
      </c>
      <c r="J512" t="s">
        <v>5</v>
      </c>
      <c r="K512" t="s">
        <v>3</v>
      </c>
      <c r="L512" t="s">
        <v>3</v>
      </c>
      <c r="M512" t="s">
        <v>727</v>
      </c>
      <c r="N512" t="s">
        <v>85</v>
      </c>
      <c r="O512" t="s">
        <v>42</v>
      </c>
      <c r="P512" t="s">
        <v>743</v>
      </c>
      <c r="Q512">
        <v>15</v>
      </c>
      <c r="R512" t="s">
        <v>213</v>
      </c>
      <c r="S512" t="s">
        <v>27</v>
      </c>
      <c r="T512">
        <v>6</v>
      </c>
      <c r="U512">
        <v>7.2</v>
      </c>
      <c r="V512">
        <v>3027</v>
      </c>
      <c r="W512" t="s">
        <v>28</v>
      </c>
      <c r="X512">
        <v>0.4572</v>
      </c>
      <c r="Y512">
        <f>X512-0.4366</f>
        <v>2.0600000000000007E-2</v>
      </c>
    </row>
    <row r="513" spans="1:25" x14ac:dyDescent="0.2">
      <c r="A513" t="s">
        <v>129</v>
      </c>
      <c r="B513">
        <v>2017</v>
      </c>
      <c r="C513" t="s">
        <v>807</v>
      </c>
      <c r="D513" t="s">
        <v>825</v>
      </c>
      <c r="E513" t="s">
        <v>35</v>
      </c>
      <c r="F513" t="s">
        <v>319</v>
      </c>
      <c r="G513">
        <v>-45.797499999999999</v>
      </c>
      <c r="H513">
        <v>170.64416700000001</v>
      </c>
      <c r="I513" t="s">
        <v>772</v>
      </c>
      <c r="J513" t="s">
        <v>5</v>
      </c>
      <c r="K513" t="s">
        <v>3</v>
      </c>
      <c r="L513" t="s">
        <v>3</v>
      </c>
      <c r="M513" t="s">
        <v>727</v>
      </c>
      <c r="N513" t="s">
        <v>85</v>
      </c>
      <c r="O513" t="s">
        <v>42</v>
      </c>
      <c r="P513" t="s">
        <v>743</v>
      </c>
      <c r="Q513">
        <v>15</v>
      </c>
      <c r="R513" t="s">
        <v>213</v>
      </c>
      <c r="S513" t="s">
        <v>27</v>
      </c>
      <c r="T513">
        <v>6</v>
      </c>
      <c r="U513">
        <v>7.2</v>
      </c>
      <c r="V513">
        <v>3027</v>
      </c>
      <c r="W513" t="s">
        <v>28</v>
      </c>
      <c r="X513">
        <v>0.49030000000000001</v>
      </c>
      <c r="Y513">
        <f>X513-0.4479</f>
        <v>4.2399999999999993E-2</v>
      </c>
    </row>
    <row r="514" spans="1:25" x14ac:dyDescent="0.2">
      <c r="A514" t="s">
        <v>129</v>
      </c>
      <c r="B514">
        <v>2017</v>
      </c>
      <c r="C514" t="s">
        <v>816</v>
      </c>
      <c r="D514" t="s">
        <v>820</v>
      </c>
      <c r="E514" t="s">
        <v>34</v>
      </c>
      <c r="F514" t="s">
        <v>319</v>
      </c>
      <c r="G514">
        <v>-45.797499999999999</v>
      </c>
      <c r="H514">
        <v>170.64416700000001</v>
      </c>
      <c r="I514" t="s">
        <v>772</v>
      </c>
      <c r="J514" t="s">
        <v>5</v>
      </c>
      <c r="K514" t="s">
        <v>3</v>
      </c>
      <c r="L514" t="s">
        <v>3</v>
      </c>
      <c r="M514" t="s">
        <v>727</v>
      </c>
      <c r="N514" t="s">
        <v>85</v>
      </c>
      <c r="O514" t="s">
        <v>42</v>
      </c>
      <c r="P514" t="s">
        <v>743</v>
      </c>
      <c r="Q514">
        <v>15</v>
      </c>
      <c r="R514" t="s">
        <v>213</v>
      </c>
      <c r="S514" t="s">
        <v>9</v>
      </c>
      <c r="T514">
        <v>6</v>
      </c>
      <c r="U514">
        <v>7.65</v>
      </c>
      <c r="V514">
        <v>1052</v>
      </c>
      <c r="W514" t="s">
        <v>28</v>
      </c>
      <c r="X514">
        <v>0.46639999999999998</v>
      </c>
      <c r="Y514">
        <f>X514-0.4125</f>
        <v>5.3900000000000003E-2</v>
      </c>
    </row>
    <row r="515" spans="1:25" x14ac:dyDescent="0.2">
      <c r="A515" t="s">
        <v>129</v>
      </c>
      <c r="B515">
        <v>2017</v>
      </c>
      <c r="C515" t="s">
        <v>807</v>
      </c>
      <c r="D515" t="s">
        <v>825</v>
      </c>
      <c r="E515" t="s">
        <v>35</v>
      </c>
      <c r="F515" t="s">
        <v>319</v>
      </c>
      <c r="G515">
        <v>-45.797499999999999</v>
      </c>
      <c r="H515">
        <v>170.64416700000001</v>
      </c>
      <c r="I515" t="s">
        <v>772</v>
      </c>
      <c r="J515" t="s">
        <v>5</v>
      </c>
      <c r="K515" t="s">
        <v>3</v>
      </c>
      <c r="L515" t="s">
        <v>3</v>
      </c>
      <c r="M515" t="s">
        <v>727</v>
      </c>
      <c r="N515" t="s">
        <v>85</v>
      </c>
      <c r="O515" t="s">
        <v>42</v>
      </c>
      <c r="P515" t="s">
        <v>743</v>
      </c>
      <c r="Q515">
        <v>15</v>
      </c>
      <c r="R515" t="s">
        <v>213</v>
      </c>
      <c r="S515" t="s">
        <v>9</v>
      </c>
      <c r="T515">
        <v>6</v>
      </c>
      <c r="U515">
        <v>7.65</v>
      </c>
      <c r="V515">
        <v>1052</v>
      </c>
      <c r="W515" t="s">
        <v>28</v>
      </c>
      <c r="X515">
        <v>0.49509999999999998</v>
      </c>
      <c r="Y515">
        <f>0.5382-X515</f>
        <v>4.3100000000000027E-2</v>
      </c>
    </row>
    <row r="516" spans="1:25" x14ac:dyDescent="0.2">
      <c r="A516" t="s">
        <v>129</v>
      </c>
      <c r="B516">
        <v>2017</v>
      </c>
      <c r="C516" t="s">
        <v>807</v>
      </c>
      <c r="D516" t="s">
        <v>825</v>
      </c>
      <c r="E516" t="s">
        <v>35</v>
      </c>
      <c r="F516" t="s">
        <v>319</v>
      </c>
      <c r="G516">
        <v>-45.797499999999999</v>
      </c>
      <c r="H516">
        <v>170.64416700000001</v>
      </c>
      <c r="I516" t="s">
        <v>772</v>
      </c>
      <c r="J516" t="s">
        <v>7</v>
      </c>
      <c r="K516" t="s">
        <v>3</v>
      </c>
      <c r="L516" t="s">
        <v>3</v>
      </c>
      <c r="M516" t="s">
        <v>727</v>
      </c>
      <c r="N516" t="s">
        <v>85</v>
      </c>
      <c r="O516" t="s">
        <v>42</v>
      </c>
      <c r="P516" t="s">
        <v>743</v>
      </c>
      <c r="Q516">
        <v>15</v>
      </c>
      <c r="R516" t="s">
        <v>213</v>
      </c>
      <c r="S516" t="s">
        <v>7</v>
      </c>
      <c r="T516">
        <v>6</v>
      </c>
      <c r="U516">
        <v>8.01</v>
      </c>
      <c r="V516">
        <v>445</v>
      </c>
      <c r="W516" t="s">
        <v>28</v>
      </c>
      <c r="X516">
        <v>0.49859999999999999</v>
      </c>
      <c r="Y516">
        <f>0.5444-X516</f>
        <v>4.5800000000000007E-2</v>
      </c>
    </row>
    <row r="517" spans="1:25" x14ac:dyDescent="0.2">
      <c r="A517" t="s">
        <v>129</v>
      </c>
      <c r="B517">
        <v>2017</v>
      </c>
      <c r="C517" t="s">
        <v>816</v>
      </c>
      <c r="D517" t="s">
        <v>820</v>
      </c>
      <c r="E517" t="s">
        <v>34</v>
      </c>
      <c r="F517" t="s">
        <v>319</v>
      </c>
      <c r="G517">
        <v>-45.797499999999999</v>
      </c>
      <c r="H517">
        <v>170.64416700000001</v>
      </c>
      <c r="I517" t="s">
        <v>772</v>
      </c>
      <c r="J517" t="s">
        <v>7</v>
      </c>
      <c r="K517" t="s">
        <v>3</v>
      </c>
      <c r="L517" t="s">
        <v>3</v>
      </c>
      <c r="M517" t="s">
        <v>727</v>
      </c>
      <c r="N517" t="s">
        <v>85</v>
      </c>
      <c r="O517" t="s">
        <v>42</v>
      </c>
      <c r="P517" t="s">
        <v>743</v>
      </c>
      <c r="Q517">
        <v>15</v>
      </c>
      <c r="R517" t="s">
        <v>213</v>
      </c>
      <c r="S517" t="s">
        <v>7</v>
      </c>
      <c r="T517">
        <v>6</v>
      </c>
      <c r="U517">
        <v>8.01</v>
      </c>
      <c r="V517">
        <v>445</v>
      </c>
      <c r="W517" t="s">
        <v>28</v>
      </c>
      <c r="X517">
        <v>0.48220000000000002</v>
      </c>
      <c r="Y517">
        <f xml:space="preserve">
0.5269-X517</f>
        <v>4.4700000000000017E-2</v>
      </c>
    </row>
    <row r="518" spans="1:25" x14ac:dyDescent="0.2">
      <c r="A518" t="s">
        <v>130</v>
      </c>
      <c r="B518">
        <v>2018</v>
      </c>
      <c r="C518" t="s">
        <v>816</v>
      </c>
      <c r="D518" t="s">
        <v>820</v>
      </c>
      <c r="E518" t="s">
        <v>34</v>
      </c>
      <c r="F518" t="s">
        <v>319</v>
      </c>
      <c r="G518">
        <v>-45.797499999999999</v>
      </c>
      <c r="H518">
        <v>170.64416700000001</v>
      </c>
      <c r="I518" t="s">
        <v>767</v>
      </c>
      <c r="J518" t="s">
        <v>7</v>
      </c>
      <c r="K518" t="s">
        <v>36</v>
      </c>
      <c r="L518" t="s">
        <v>300</v>
      </c>
      <c r="M518" t="s">
        <v>727</v>
      </c>
      <c r="N518" t="s">
        <v>85</v>
      </c>
      <c r="O518" t="s">
        <v>71</v>
      </c>
      <c r="P518" t="s">
        <v>70</v>
      </c>
      <c r="Q518">
        <v>6</v>
      </c>
      <c r="R518" t="s">
        <v>213</v>
      </c>
      <c r="S518" t="s">
        <v>7</v>
      </c>
      <c r="T518">
        <v>4</v>
      </c>
      <c r="U518">
        <v>8.16</v>
      </c>
      <c r="V518">
        <v>449</v>
      </c>
      <c r="W518">
        <v>12</v>
      </c>
      <c r="X518">
        <v>94.98</v>
      </c>
      <c r="Y518">
        <f>98.49-X518</f>
        <v>3.5099999999999909</v>
      </c>
    </row>
    <row r="519" spans="1:25" x14ac:dyDescent="0.2">
      <c r="A519" t="s">
        <v>130</v>
      </c>
      <c r="B519">
        <v>2018</v>
      </c>
      <c r="C519" t="s">
        <v>816</v>
      </c>
      <c r="D519" t="s">
        <v>820</v>
      </c>
      <c r="E519" t="s">
        <v>34</v>
      </c>
      <c r="F519" t="s">
        <v>319</v>
      </c>
      <c r="G519">
        <v>-45.797499999999999</v>
      </c>
      <c r="H519">
        <v>170.64416700000001</v>
      </c>
      <c r="I519" t="s">
        <v>767</v>
      </c>
      <c r="J519" t="s">
        <v>5</v>
      </c>
      <c r="K519" t="s">
        <v>36</v>
      </c>
      <c r="L519" t="s">
        <v>300</v>
      </c>
      <c r="M519" t="s">
        <v>727</v>
      </c>
      <c r="N519" t="s">
        <v>85</v>
      </c>
      <c r="O519" t="s">
        <v>71</v>
      </c>
      <c r="P519" t="s">
        <v>70</v>
      </c>
      <c r="Q519">
        <v>6</v>
      </c>
      <c r="R519" t="s">
        <v>213</v>
      </c>
      <c r="S519" t="s">
        <v>9</v>
      </c>
      <c r="T519">
        <v>4</v>
      </c>
      <c r="U519">
        <v>7.65</v>
      </c>
      <c r="V519">
        <v>1075</v>
      </c>
      <c r="W519" t="s">
        <v>28</v>
      </c>
      <c r="X519">
        <v>94.09</v>
      </c>
      <c r="Y519">
        <f>99.24-X519</f>
        <v>5.1499999999999915</v>
      </c>
    </row>
    <row r="520" spans="1:25" x14ac:dyDescent="0.2">
      <c r="A520" t="s">
        <v>130</v>
      </c>
      <c r="B520">
        <v>2018</v>
      </c>
      <c r="C520" t="s">
        <v>816</v>
      </c>
      <c r="D520" t="s">
        <v>820</v>
      </c>
      <c r="E520" t="s">
        <v>34</v>
      </c>
      <c r="F520" t="s">
        <v>319</v>
      </c>
      <c r="G520">
        <v>-45.797499999999999</v>
      </c>
      <c r="H520">
        <v>170.64416700000001</v>
      </c>
      <c r="I520" t="s">
        <v>767</v>
      </c>
      <c r="J520" t="s">
        <v>14</v>
      </c>
      <c r="K520" t="s">
        <v>36</v>
      </c>
      <c r="L520" t="s">
        <v>300</v>
      </c>
      <c r="M520" t="s">
        <v>727</v>
      </c>
      <c r="N520" t="s">
        <v>85</v>
      </c>
      <c r="O520" t="s">
        <v>71</v>
      </c>
      <c r="P520" t="s">
        <v>70</v>
      </c>
      <c r="Q520">
        <v>6</v>
      </c>
      <c r="R520" t="s">
        <v>213</v>
      </c>
      <c r="S520" t="s">
        <v>27</v>
      </c>
      <c r="T520">
        <v>4</v>
      </c>
      <c r="U520" t="s">
        <v>28</v>
      </c>
      <c r="V520" t="s">
        <v>28</v>
      </c>
      <c r="W520">
        <v>16</v>
      </c>
      <c r="X520">
        <v>95.4</v>
      </c>
      <c r="Y520">
        <f>97.04-X520</f>
        <v>1.6400000000000006</v>
      </c>
    </row>
    <row r="521" spans="1:25" x14ac:dyDescent="0.2">
      <c r="A521" t="s">
        <v>130</v>
      </c>
      <c r="B521">
        <v>2018</v>
      </c>
      <c r="C521" t="s">
        <v>816</v>
      </c>
      <c r="D521" t="s">
        <v>820</v>
      </c>
      <c r="E521" t="s">
        <v>34</v>
      </c>
      <c r="F521" t="s">
        <v>319</v>
      </c>
      <c r="G521">
        <v>-45.797499999999999</v>
      </c>
      <c r="H521">
        <v>170.64416700000001</v>
      </c>
      <c r="I521" t="s">
        <v>767</v>
      </c>
      <c r="J521" t="s">
        <v>16</v>
      </c>
      <c r="K521" t="s">
        <v>36</v>
      </c>
      <c r="L521" t="s">
        <v>300</v>
      </c>
      <c r="M521" t="s">
        <v>727</v>
      </c>
      <c r="N521" t="s">
        <v>85</v>
      </c>
      <c r="O521" t="s">
        <v>71</v>
      </c>
      <c r="P521" t="s">
        <v>70</v>
      </c>
      <c r="Q521">
        <v>6</v>
      </c>
      <c r="R521" t="s">
        <v>213</v>
      </c>
      <c r="S521" t="s">
        <v>13</v>
      </c>
      <c r="T521">
        <v>4</v>
      </c>
      <c r="U521">
        <v>7.65</v>
      </c>
      <c r="V521">
        <v>871</v>
      </c>
      <c r="W521">
        <v>16</v>
      </c>
      <c r="X521">
        <v>96.77</v>
      </c>
      <c r="Y521">
        <f>97.8-X521</f>
        <v>1.0300000000000011</v>
      </c>
    </row>
    <row r="522" spans="1:25" x14ac:dyDescent="0.2">
      <c r="A522" t="s">
        <v>130</v>
      </c>
      <c r="B522">
        <v>2018</v>
      </c>
      <c r="C522" t="s">
        <v>807</v>
      </c>
      <c r="D522" t="s">
        <v>825</v>
      </c>
      <c r="E522" t="s">
        <v>35</v>
      </c>
      <c r="F522" t="s">
        <v>319</v>
      </c>
      <c r="G522">
        <v>-45.797499999999999</v>
      </c>
      <c r="H522">
        <v>170.64416700000001</v>
      </c>
      <c r="I522" t="s">
        <v>767</v>
      </c>
      <c r="J522" t="s">
        <v>7</v>
      </c>
      <c r="K522" t="s">
        <v>36</v>
      </c>
      <c r="L522" t="s">
        <v>300</v>
      </c>
      <c r="M522" t="s">
        <v>727</v>
      </c>
      <c r="N522" t="s">
        <v>85</v>
      </c>
      <c r="O522" t="s">
        <v>71</v>
      </c>
      <c r="P522" t="s">
        <v>70</v>
      </c>
      <c r="Q522">
        <v>6</v>
      </c>
      <c r="R522" t="s">
        <v>213</v>
      </c>
      <c r="S522" t="s">
        <v>7</v>
      </c>
      <c r="T522">
        <v>4</v>
      </c>
      <c r="U522">
        <v>8.16</v>
      </c>
      <c r="V522">
        <v>449</v>
      </c>
      <c r="W522">
        <v>12</v>
      </c>
      <c r="X522">
        <v>85.64</v>
      </c>
      <c r="Y522">
        <f>88.45-X522</f>
        <v>2.8100000000000023</v>
      </c>
    </row>
    <row r="523" spans="1:25" x14ac:dyDescent="0.2">
      <c r="A523" t="s">
        <v>130</v>
      </c>
      <c r="B523">
        <v>2018</v>
      </c>
      <c r="C523" t="s">
        <v>807</v>
      </c>
      <c r="D523" t="s">
        <v>825</v>
      </c>
      <c r="E523" t="s">
        <v>35</v>
      </c>
      <c r="F523" t="s">
        <v>319</v>
      </c>
      <c r="G523">
        <v>-45.797499999999999</v>
      </c>
      <c r="H523">
        <v>170.64416700000001</v>
      </c>
      <c r="I523" t="s">
        <v>767</v>
      </c>
      <c r="J523" t="s">
        <v>5</v>
      </c>
      <c r="K523" t="s">
        <v>36</v>
      </c>
      <c r="L523" t="s">
        <v>300</v>
      </c>
      <c r="M523" t="s">
        <v>727</v>
      </c>
      <c r="N523" t="s">
        <v>85</v>
      </c>
      <c r="O523" t="s">
        <v>71</v>
      </c>
      <c r="P523" t="s">
        <v>70</v>
      </c>
      <c r="Q523">
        <v>6</v>
      </c>
      <c r="R523" t="s">
        <v>213</v>
      </c>
      <c r="S523" t="s">
        <v>9</v>
      </c>
      <c r="T523">
        <v>4</v>
      </c>
      <c r="U523">
        <v>7.65</v>
      </c>
      <c r="V523">
        <v>1075</v>
      </c>
      <c r="W523" t="s">
        <v>28</v>
      </c>
      <c r="X523">
        <v>90.58</v>
      </c>
      <c r="Y523">
        <f>94.02-X523</f>
        <v>3.4399999999999977</v>
      </c>
    </row>
    <row r="524" spans="1:25" x14ac:dyDescent="0.2">
      <c r="A524" t="s">
        <v>130</v>
      </c>
      <c r="B524">
        <v>2018</v>
      </c>
      <c r="C524" t="s">
        <v>807</v>
      </c>
      <c r="D524" t="s">
        <v>825</v>
      </c>
      <c r="E524" t="s">
        <v>35</v>
      </c>
      <c r="F524" t="s">
        <v>319</v>
      </c>
      <c r="G524">
        <v>-45.797499999999999</v>
      </c>
      <c r="H524">
        <v>170.64416700000001</v>
      </c>
      <c r="I524" t="s">
        <v>767</v>
      </c>
      <c r="J524" t="s">
        <v>14</v>
      </c>
      <c r="K524" t="s">
        <v>36</v>
      </c>
      <c r="L524" t="s">
        <v>300</v>
      </c>
      <c r="M524" t="s">
        <v>727</v>
      </c>
      <c r="N524" t="s">
        <v>85</v>
      </c>
      <c r="O524" t="s">
        <v>71</v>
      </c>
      <c r="P524" t="s">
        <v>70</v>
      </c>
      <c r="Q524">
        <v>6</v>
      </c>
      <c r="R524" t="s">
        <v>213</v>
      </c>
      <c r="S524" t="s">
        <v>27</v>
      </c>
      <c r="T524">
        <v>4</v>
      </c>
      <c r="U524" t="s">
        <v>28</v>
      </c>
      <c r="V524" t="s">
        <v>28</v>
      </c>
      <c r="W524">
        <v>16</v>
      </c>
      <c r="X524">
        <v>95.6</v>
      </c>
      <c r="Y524">
        <f>98.49-X524</f>
        <v>2.8900000000000006</v>
      </c>
    </row>
    <row r="525" spans="1:25" x14ac:dyDescent="0.2">
      <c r="A525" t="s">
        <v>130</v>
      </c>
      <c r="B525">
        <v>2018</v>
      </c>
      <c r="C525" t="s">
        <v>807</v>
      </c>
      <c r="D525" t="s">
        <v>825</v>
      </c>
      <c r="E525" t="s">
        <v>35</v>
      </c>
      <c r="F525" t="s">
        <v>319</v>
      </c>
      <c r="G525">
        <v>-45.797499999999999</v>
      </c>
      <c r="H525">
        <v>170.64416700000001</v>
      </c>
      <c r="I525" t="s">
        <v>767</v>
      </c>
      <c r="J525" t="s">
        <v>16</v>
      </c>
      <c r="K525" t="s">
        <v>36</v>
      </c>
      <c r="L525" t="s">
        <v>300</v>
      </c>
      <c r="M525" t="s">
        <v>727</v>
      </c>
      <c r="N525" t="s">
        <v>85</v>
      </c>
      <c r="O525" t="s">
        <v>71</v>
      </c>
      <c r="P525" t="s">
        <v>70</v>
      </c>
      <c r="Q525">
        <v>6</v>
      </c>
      <c r="R525" t="s">
        <v>213</v>
      </c>
      <c r="S525" t="s">
        <v>13</v>
      </c>
      <c r="T525">
        <v>4</v>
      </c>
      <c r="U525">
        <v>7.65</v>
      </c>
      <c r="V525">
        <v>871</v>
      </c>
      <c r="W525">
        <v>16</v>
      </c>
      <c r="X525">
        <v>93.2</v>
      </c>
      <c r="Y525">
        <f>96.84-X525</f>
        <v>3.6400000000000006</v>
      </c>
    </row>
    <row r="526" spans="1:25" x14ac:dyDescent="0.2">
      <c r="A526" t="s">
        <v>130</v>
      </c>
      <c r="B526">
        <v>2018</v>
      </c>
      <c r="C526" t="s">
        <v>816</v>
      </c>
      <c r="D526" t="s">
        <v>820</v>
      </c>
      <c r="E526" t="s">
        <v>34</v>
      </c>
      <c r="F526" t="s">
        <v>319</v>
      </c>
      <c r="G526">
        <v>-45.797499999999999</v>
      </c>
      <c r="H526">
        <v>170.64416700000001</v>
      </c>
      <c r="I526" t="s">
        <v>767</v>
      </c>
      <c r="J526" t="s">
        <v>7</v>
      </c>
      <c r="K526" t="s">
        <v>39</v>
      </c>
      <c r="L526" t="s">
        <v>300</v>
      </c>
      <c r="M526" t="s">
        <v>26</v>
      </c>
      <c r="N526" t="s">
        <v>85</v>
      </c>
      <c r="O526" t="s">
        <v>840</v>
      </c>
      <c r="P526" t="s">
        <v>72</v>
      </c>
      <c r="Q526">
        <v>12</v>
      </c>
      <c r="R526" t="s">
        <v>213</v>
      </c>
      <c r="S526" t="s">
        <v>7</v>
      </c>
      <c r="T526">
        <v>4</v>
      </c>
      <c r="U526">
        <v>8.16</v>
      </c>
      <c r="V526">
        <v>449</v>
      </c>
      <c r="W526">
        <v>12</v>
      </c>
      <c r="X526">
        <v>23.67</v>
      </c>
      <c r="Y526">
        <f>24.16-X526</f>
        <v>0.48999999999999844</v>
      </c>
    </row>
    <row r="527" spans="1:25" x14ac:dyDescent="0.2">
      <c r="A527" t="s">
        <v>130</v>
      </c>
      <c r="B527">
        <v>2018</v>
      </c>
      <c r="C527" t="s">
        <v>816</v>
      </c>
      <c r="D527" t="s">
        <v>820</v>
      </c>
      <c r="E527" t="s">
        <v>34</v>
      </c>
      <c r="F527" t="s">
        <v>319</v>
      </c>
      <c r="G527">
        <v>-45.797499999999999</v>
      </c>
      <c r="H527">
        <v>170.64416700000001</v>
      </c>
      <c r="I527" t="s">
        <v>767</v>
      </c>
      <c r="J527" t="s">
        <v>5</v>
      </c>
      <c r="K527" t="s">
        <v>39</v>
      </c>
      <c r="L527" t="s">
        <v>300</v>
      </c>
      <c r="M527" t="s">
        <v>26</v>
      </c>
      <c r="N527" t="s">
        <v>85</v>
      </c>
      <c r="O527" t="s">
        <v>840</v>
      </c>
      <c r="P527" t="s">
        <v>72</v>
      </c>
      <c r="Q527">
        <v>12</v>
      </c>
      <c r="R527" t="s">
        <v>213</v>
      </c>
      <c r="S527" t="s">
        <v>9</v>
      </c>
      <c r="T527">
        <v>4</v>
      </c>
      <c r="U527">
        <v>7.65</v>
      </c>
      <c r="V527">
        <v>1075</v>
      </c>
      <c r="W527" t="s">
        <v>28</v>
      </c>
      <c r="X527">
        <v>30.47</v>
      </c>
      <c r="Y527">
        <f>32.47-X527</f>
        <v>2</v>
      </c>
    </row>
    <row r="528" spans="1:25" x14ac:dyDescent="0.2">
      <c r="A528" t="s">
        <v>130</v>
      </c>
      <c r="B528">
        <v>2018</v>
      </c>
      <c r="C528" t="s">
        <v>816</v>
      </c>
      <c r="D528" t="s">
        <v>820</v>
      </c>
      <c r="E528" t="s">
        <v>34</v>
      </c>
      <c r="F528" t="s">
        <v>319</v>
      </c>
      <c r="G528">
        <v>-45.797499999999999</v>
      </c>
      <c r="H528">
        <v>170.64416700000001</v>
      </c>
      <c r="I528" t="s">
        <v>767</v>
      </c>
      <c r="J528" t="s">
        <v>14</v>
      </c>
      <c r="K528" t="s">
        <v>39</v>
      </c>
      <c r="L528" t="s">
        <v>300</v>
      </c>
      <c r="M528" t="s">
        <v>26</v>
      </c>
      <c r="N528" t="s">
        <v>85</v>
      </c>
      <c r="O528" t="s">
        <v>840</v>
      </c>
      <c r="P528" t="s">
        <v>72</v>
      </c>
      <c r="Q528">
        <v>12</v>
      </c>
      <c r="R528" t="s">
        <v>213</v>
      </c>
      <c r="S528" t="s">
        <v>27</v>
      </c>
      <c r="T528">
        <v>4</v>
      </c>
      <c r="U528" t="s">
        <v>28</v>
      </c>
      <c r="V528" t="s">
        <v>28</v>
      </c>
      <c r="W528">
        <v>16</v>
      </c>
      <c r="X528">
        <v>28.41</v>
      </c>
      <c r="Y528">
        <f>29.56-X528</f>
        <v>1.1499999999999986</v>
      </c>
    </row>
    <row r="529" spans="1:25" x14ac:dyDescent="0.2">
      <c r="A529" t="s">
        <v>130</v>
      </c>
      <c r="B529">
        <v>2018</v>
      </c>
      <c r="C529" t="s">
        <v>816</v>
      </c>
      <c r="D529" t="s">
        <v>820</v>
      </c>
      <c r="E529" t="s">
        <v>34</v>
      </c>
      <c r="F529" t="s">
        <v>319</v>
      </c>
      <c r="G529">
        <v>-45.797499999999999</v>
      </c>
      <c r="H529">
        <v>170.64416700000001</v>
      </c>
      <c r="I529" t="s">
        <v>767</v>
      </c>
      <c r="J529" t="s">
        <v>16</v>
      </c>
      <c r="K529" t="s">
        <v>39</v>
      </c>
      <c r="L529" t="s">
        <v>300</v>
      </c>
      <c r="M529" t="s">
        <v>26</v>
      </c>
      <c r="N529" t="s">
        <v>85</v>
      </c>
      <c r="O529" t="s">
        <v>840</v>
      </c>
      <c r="P529" t="s">
        <v>72</v>
      </c>
      <c r="Q529">
        <v>12</v>
      </c>
      <c r="R529" t="s">
        <v>213</v>
      </c>
      <c r="S529" t="s">
        <v>13</v>
      </c>
      <c r="T529">
        <v>4</v>
      </c>
      <c r="U529">
        <v>7.65</v>
      </c>
      <c r="V529">
        <v>871</v>
      </c>
      <c r="W529">
        <v>16</v>
      </c>
      <c r="X529">
        <v>31.02</v>
      </c>
      <c r="Y529">
        <f>32.11-X529</f>
        <v>1.0899999999999999</v>
      </c>
    </row>
    <row r="530" spans="1:25" x14ac:dyDescent="0.2">
      <c r="A530" t="s">
        <v>130</v>
      </c>
      <c r="B530">
        <v>2018</v>
      </c>
      <c r="C530" t="s">
        <v>807</v>
      </c>
      <c r="D530" t="s">
        <v>825</v>
      </c>
      <c r="E530" t="s">
        <v>35</v>
      </c>
      <c r="F530" t="s">
        <v>319</v>
      </c>
      <c r="G530">
        <v>-45.797499999999999</v>
      </c>
      <c r="H530">
        <v>170.64416700000001</v>
      </c>
      <c r="I530" t="s">
        <v>767</v>
      </c>
      <c r="J530" t="s">
        <v>7</v>
      </c>
      <c r="K530" t="s">
        <v>39</v>
      </c>
      <c r="L530" t="s">
        <v>300</v>
      </c>
      <c r="M530" t="s">
        <v>26</v>
      </c>
      <c r="N530" t="s">
        <v>85</v>
      </c>
      <c r="O530" t="s">
        <v>840</v>
      </c>
      <c r="P530" t="s">
        <v>72</v>
      </c>
      <c r="Q530">
        <v>12</v>
      </c>
      <c r="R530" t="s">
        <v>213</v>
      </c>
      <c r="S530" t="s">
        <v>7</v>
      </c>
      <c r="T530">
        <v>4</v>
      </c>
      <c r="U530">
        <v>8.16</v>
      </c>
      <c r="V530">
        <v>449</v>
      </c>
      <c r="W530">
        <v>12</v>
      </c>
      <c r="X530">
        <v>28.36</v>
      </c>
      <c r="Y530">
        <f>31.52-X530</f>
        <v>3.16</v>
      </c>
    </row>
    <row r="531" spans="1:25" x14ac:dyDescent="0.2">
      <c r="A531" t="s">
        <v>130</v>
      </c>
      <c r="B531">
        <v>2018</v>
      </c>
      <c r="C531" t="s">
        <v>807</v>
      </c>
      <c r="D531" t="s">
        <v>825</v>
      </c>
      <c r="E531" t="s">
        <v>35</v>
      </c>
      <c r="F531" t="s">
        <v>319</v>
      </c>
      <c r="G531">
        <v>-45.797499999999999</v>
      </c>
      <c r="H531">
        <v>170.64416700000001</v>
      </c>
      <c r="I531" t="s">
        <v>767</v>
      </c>
      <c r="J531" t="s">
        <v>5</v>
      </c>
      <c r="K531" t="s">
        <v>39</v>
      </c>
      <c r="L531" t="s">
        <v>300</v>
      </c>
      <c r="M531" t="s">
        <v>26</v>
      </c>
      <c r="N531" t="s">
        <v>85</v>
      </c>
      <c r="O531" t="s">
        <v>840</v>
      </c>
      <c r="P531" t="s">
        <v>72</v>
      </c>
      <c r="Q531">
        <v>12</v>
      </c>
      <c r="R531" t="s">
        <v>213</v>
      </c>
      <c r="S531" t="s">
        <v>9</v>
      </c>
      <c r="T531">
        <v>4</v>
      </c>
      <c r="U531">
        <v>7.65</v>
      </c>
      <c r="V531">
        <v>1075</v>
      </c>
      <c r="W531" t="s">
        <v>28</v>
      </c>
      <c r="X531">
        <v>30.97</v>
      </c>
      <c r="Y531">
        <f>33.4-X531</f>
        <v>2.4299999999999997</v>
      </c>
    </row>
    <row r="532" spans="1:25" x14ac:dyDescent="0.2">
      <c r="A532" t="s">
        <v>130</v>
      </c>
      <c r="B532">
        <v>2018</v>
      </c>
      <c r="C532" t="s">
        <v>807</v>
      </c>
      <c r="D532" t="s">
        <v>825</v>
      </c>
      <c r="E532" t="s">
        <v>35</v>
      </c>
      <c r="F532" t="s">
        <v>319</v>
      </c>
      <c r="G532">
        <v>-45.797499999999999</v>
      </c>
      <c r="H532">
        <v>170.64416700000001</v>
      </c>
      <c r="I532" t="s">
        <v>767</v>
      </c>
      <c r="J532" t="s">
        <v>14</v>
      </c>
      <c r="K532" t="s">
        <v>39</v>
      </c>
      <c r="L532" t="s">
        <v>300</v>
      </c>
      <c r="M532" t="s">
        <v>26</v>
      </c>
      <c r="N532" t="s">
        <v>85</v>
      </c>
      <c r="O532" t="s">
        <v>840</v>
      </c>
      <c r="P532" t="s">
        <v>72</v>
      </c>
      <c r="Q532">
        <v>12</v>
      </c>
      <c r="R532" t="s">
        <v>213</v>
      </c>
      <c r="S532" t="s">
        <v>27</v>
      </c>
      <c r="T532">
        <v>4</v>
      </c>
      <c r="U532" t="s">
        <v>28</v>
      </c>
      <c r="V532" t="s">
        <v>28</v>
      </c>
      <c r="W532">
        <v>16</v>
      </c>
      <c r="X532">
        <v>25.38</v>
      </c>
      <c r="Y532">
        <f>27.02-X532</f>
        <v>1.6400000000000006</v>
      </c>
    </row>
    <row r="533" spans="1:25" x14ac:dyDescent="0.2">
      <c r="A533" t="s">
        <v>130</v>
      </c>
      <c r="B533">
        <v>2018</v>
      </c>
      <c r="C533" t="s">
        <v>807</v>
      </c>
      <c r="D533" t="s">
        <v>825</v>
      </c>
      <c r="E533" t="s">
        <v>35</v>
      </c>
      <c r="F533" t="s">
        <v>319</v>
      </c>
      <c r="G533">
        <v>-45.797499999999999</v>
      </c>
      <c r="H533">
        <v>170.64416700000001</v>
      </c>
      <c r="I533" t="s">
        <v>767</v>
      </c>
      <c r="J533" t="s">
        <v>16</v>
      </c>
      <c r="K533" t="s">
        <v>39</v>
      </c>
      <c r="L533" t="s">
        <v>300</v>
      </c>
      <c r="M533" t="s">
        <v>26</v>
      </c>
      <c r="N533" t="s">
        <v>85</v>
      </c>
      <c r="O533" t="s">
        <v>840</v>
      </c>
      <c r="P533" t="s">
        <v>72</v>
      </c>
      <c r="Q533">
        <v>12</v>
      </c>
      <c r="R533" t="s">
        <v>213</v>
      </c>
      <c r="S533" t="s">
        <v>13</v>
      </c>
      <c r="T533">
        <v>4</v>
      </c>
      <c r="U533">
        <v>7.65</v>
      </c>
      <c r="V533">
        <v>871</v>
      </c>
      <c r="W533">
        <v>16</v>
      </c>
      <c r="X533">
        <v>25.75</v>
      </c>
      <c r="Y533">
        <f>27.39-X533</f>
        <v>1.6400000000000006</v>
      </c>
    </row>
    <row r="534" spans="1:25" x14ac:dyDescent="0.2">
      <c r="A534" t="s">
        <v>130</v>
      </c>
      <c r="B534">
        <v>2018</v>
      </c>
      <c r="C534" t="s">
        <v>816</v>
      </c>
      <c r="D534" t="s">
        <v>820</v>
      </c>
      <c r="E534" t="s">
        <v>34</v>
      </c>
      <c r="F534" t="s">
        <v>319</v>
      </c>
      <c r="G534">
        <v>-45.797499999999999</v>
      </c>
      <c r="H534">
        <v>170.64416700000001</v>
      </c>
      <c r="I534" t="s">
        <v>767</v>
      </c>
      <c r="J534" t="s">
        <v>7</v>
      </c>
      <c r="K534" t="s">
        <v>40</v>
      </c>
      <c r="L534" t="s">
        <v>3</v>
      </c>
      <c r="M534" t="s">
        <v>26</v>
      </c>
      <c r="N534" t="s">
        <v>85</v>
      </c>
      <c r="O534" t="s">
        <v>80</v>
      </c>
      <c r="P534" t="s">
        <v>79</v>
      </c>
      <c r="Q534">
        <v>15</v>
      </c>
      <c r="R534" t="s">
        <v>213</v>
      </c>
      <c r="S534" t="s">
        <v>7</v>
      </c>
      <c r="T534">
        <v>4</v>
      </c>
      <c r="U534">
        <v>8.16</v>
      </c>
      <c r="V534">
        <v>449</v>
      </c>
      <c r="W534">
        <v>12</v>
      </c>
      <c r="X534">
        <v>1783</v>
      </c>
      <c r="Y534">
        <f>1920-X534</f>
        <v>137</v>
      </c>
    </row>
    <row r="535" spans="1:25" x14ac:dyDescent="0.2">
      <c r="A535" t="s">
        <v>130</v>
      </c>
      <c r="B535">
        <v>2018</v>
      </c>
      <c r="C535" t="s">
        <v>816</v>
      </c>
      <c r="D535" t="s">
        <v>820</v>
      </c>
      <c r="E535" t="s">
        <v>34</v>
      </c>
      <c r="F535" t="s">
        <v>319</v>
      </c>
      <c r="G535">
        <v>-45.797499999999999</v>
      </c>
      <c r="H535">
        <v>170.64416700000001</v>
      </c>
      <c r="I535" t="s">
        <v>767</v>
      </c>
      <c r="J535" t="s">
        <v>7</v>
      </c>
      <c r="K535" t="s">
        <v>41</v>
      </c>
      <c r="L535" t="s">
        <v>3</v>
      </c>
      <c r="M535" t="s">
        <v>26</v>
      </c>
      <c r="N535" t="s">
        <v>85</v>
      </c>
      <c r="O535" t="s">
        <v>80</v>
      </c>
      <c r="P535" t="s">
        <v>79</v>
      </c>
      <c r="Q535">
        <v>15</v>
      </c>
      <c r="R535" t="s">
        <v>213</v>
      </c>
      <c r="S535" t="s">
        <v>7</v>
      </c>
      <c r="T535">
        <v>4</v>
      </c>
      <c r="U535">
        <v>8.16</v>
      </c>
      <c r="V535">
        <v>449</v>
      </c>
      <c r="W535">
        <v>12</v>
      </c>
      <c r="X535">
        <v>1270</v>
      </c>
      <c r="Y535">
        <f>1525-X535</f>
        <v>255</v>
      </c>
    </row>
    <row r="536" spans="1:25" x14ac:dyDescent="0.2">
      <c r="A536" t="s">
        <v>130</v>
      </c>
      <c r="B536">
        <v>2018</v>
      </c>
      <c r="C536" t="s">
        <v>816</v>
      </c>
      <c r="D536" t="s">
        <v>820</v>
      </c>
      <c r="E536" t="s">
        <v>34</v>
      </c>
      <c r="F536" t="s">
        <v>319</v>
      </c>
      <c r="G536">
        <v>-45.797499999999999</v>
      </c>
      <c r="H536">
        <v>170.64416700000001</v>
      </c>
      <c r="I536" t="s">
        <v>767</v>
      </c>
      <c r="J536" t="s">
        <v>5</v>
      </c>
      <c r="K536" t="s">
        <v>40</v>
      </c>
      <c r="L536" t="s">
        <v>3</v>
      </c>
      <c r="M536" t="s">
        <v>26</v>
      </c>
      <c r="N536" t="s">
        <v>85</v>
      </c>
      <c r="O536" t="s">
        <v>80</v>
      </c>
      <c r="P536" t="s">
        <v>79</v>
      </c>
      <c r="Q536">
        <v>15</v>
      </c>
      <c r="R536" t="s">
        <v>213</v>
      </c>
      <c r="S536" t="s">
        <v>9</v>
      </c>
      <c r="T536">
        <v>4</v>
      </c>
      <c r="U536">
        <v>7.65</v>
      </c>
      <c r="V536">
        <v>1075</v>
      </c>
      <c r="W536" t="s">
        <v>28</v>
      </c>
      <c r="X536">
        <v>1795</v>
      </c>
      <c r="Y536">
        <f>1838-X536</f>
        <v>43</v>
      </c>
    </row>
    <row r="537" spans="1:25" x14ac:dyDescent="0.2">
      <c r="A537" t="s">
        <v>130</v>
      </c>
      <c r="B537">
        <v>2018</v>
      </c>
      <c r="C537" t="s">
        <v>816</v>
      </c>
      <c r="D537" t="s">
        <v>820</v>
      </c>
      <c r="E537" t="s">
        <v>34</v>
      </c>
      <c r="F537" t="s">
        <v>319</v>
      </c>
      <c r="G537">
        <v>-45.797499999999999</v>
      </c>
      <c r="H537">
        <v>170.64416700000001</v>
      </c>
      <c r="I537" t="s">
        <v>767</v>
      </c>
      <c r="J537" t="s">
        <v>5</v>
      </c>
      <c r="K537" t="s">
        <v>41</v>
      </c>
      <c r="L537" t="s">
        <v>3</v>
      </c>
      <c r="M537" t="s">
        <v>26</v>
      </c>
      <c r="N537" t="s">
        <v>85</v>
      </c>
      <c r="O537" t="s">
        <v>80</v>
      </c>
      <c r="P537" t="s">
        <v>79</v>
      </c>
      <c r="Q537">
        <v>15</v>
      </c>
      <c r="R537" t="s">
        <v>213</v>
      </c>
      <c r="S537" t="s">
        <v>9</v>
      </c>
      <c r="T537">
        <v>4</v>
      </c>
      <c r="U537">
        <v>7.65</v>
      </c>
      <c r="V537">
        <v>1075</v>
      </c>
      <c r="W537" t="s">
        <v>28</v>
      </c>
      <c r="X537">
        <v>1051</v>
      </c>
      <c r="Y537">
        <f>1149-X537</f>
        <v>98</v>
      </c>
    </row>
    <row r="538" spans="1:25" x14ac:dyDescent="0.2">
      <c r="A538" t="s">
        <v>130</v>
      </c>
      <c r="B538">
        <v>2018</v>
      </c>
      <c r="C538" t="s">
        <v>816</v>
      </c>
      <c r="D538" t="s">
        <v>820</v>
      </c>
      <c r="E538" t="s">
        <v>34</v>
      </c>
      <c r="F538" t="s">
        <v>319</v>
      </c>
      <c r="G538">
        <v>-45.797499999999999</v>
      </c>
      <c r="H538">
        <v>170.64416700000001</v>
      </c>
      <c r="I538" t="s">
        <v>767</v>
      </c>
      <c r="J538" t="s">
        <v>14</v>
      </c>
      <c r="K538" t="s">
        <v>40</v>
      </c>
      <c r="L538" t="s">
        <v>3</v>
      </c>
      <c r="M538" t="s">
        <v>26</v>
      </c>
      <c r="N538" t="s">
        <v>85</v>
      </c>
      <c r="O538" t="s">
        <v>80</v>
      </c>
      <c r="P538" t="s">
        <v>79</v>
      </c>
      <c r="Q538">
        <v>15</v>
      </c>
      <c r="R538" t="s">
        <v>213</v>
      </c>
      <c r="S538" t="s">
        <v>27</v>
      </c>
      <c r="T538">
        <v>4</v>
      </c>
      <c r="U538" t="s">
        <v>28</v>
      </c>
      <c r="V538" t="s">
        <v>28</v>
      </c>
      <c r="W538">
        <v>16</v>
      </c>
      <c r="X538">
        <v>1678</v>
      </c>
      <c r="Y538">
        <f>2148-X538</f>
        <v>470</v>
      </c>
    </row>
    <row r="539" spans="1:25" x14ac:dyDescent="0.2">
      <c r="A539" t="s">
        <v>130</v>
      </c>
      <c r="B539">
        <v>2018</v>
      </c>
      <c r="C539" t="s">
        <v>816</v>
      </c>
      <c r="D539" t="s">
        <v>820</v>
      </c>
      <c r="E539" t="s">
        <v>34</v>
      </c>
      <c r="F539" t="s">
        <v>319</v>
      </c>
      <c r="G539">
        <v>-45.797499999999999</v>
      </c>
      <c r="H539">
        <v>170.64416700000001</v>
      </c>
      <c r="I539" t="s">
        <v>767</v>
      </c>
      <c r="J539" t="s">
        <v>14</v>
      </c>
      <c r="K539" t="s">
        <v>41</v>
      </c>
      <c r="L539" t="s">
        <v>3</v>
      </c>
      <c r="M539" t="s">
        <v>26</v>
      </c>
      <c r="N539" t="s">
        <v>85</v>
      </c>
      <c r="O539" t="s">
        <v>80</v>
      </c>
      <c r="P539" t="s">
        <v>79</v>
      </c>
      <c r="Q539">
        <v>15</v>
      </c>
      <c r="R539" t="s">
        <v>213</v>
      </c>
      <c r="S539" t="s">
        <v>27</v>
      </c>
      <c r="T539">
        <v>4</v>
      </c>
      <c r="U539" t="s">
        <v>28</v>
      </c>
      <c r="V539" t="s">
        <v>28</v>
      </c>
      <c r="W539">
        <v>16</v>
      </c>
      <c r="X539">
        <v>773</v>
      </c>
      <c r="Y539">
        <f>933-X539</f>
        <v>160</v>
      </c>
    </row>
    <row r="540" spans="1:25" x14ac:dyDescent="0.2">
      <c r="A540" t="s">
        <v>130</v>
      </c>
      <c r="B540">
        <v>2018</v>
      </c>
      <c r="C540" t="s">
        <v>816</v>
      </c>
      <c r="D540" t="s">
        <v>820</v>
      </c>
      <c r="E540" t="s">
        <v>34</v>
      </c>
      <c r="F540" t="s">
        <v>319</v>
      </c>
      <c r="G540">
        <v>-45.797499999999999</v>
      </c>
      <c r="H540">
        <v>170.64416700000001</v>
      </c>
      <c r="I540" t="s">
        <v>767</v>
      </c>
      <c r="J540" t="s">
        <v>16</v>
      </c>
      <c r="K540" t="s">
        <v>40</v>
      </c>
      <c r="L540" t="s">
        <v>3</v>
      </c>
      <c r="M540" t="s">
        <v>26</v>
      </c>
      <c r="N540" t="s">
        <v>85</v>
      </c>
      <c r="O540" t="s">
        <v>80</v>
      </c>
      <c r="P540" t="s">
        <v>79</v>
      </c>
      <c r="Q540">
        <v>15</v>
      </c>
      <c r="R540" t="s">
        <v>213</v>
      </c>
      <c r="S540" t="s">
        <v>13</v>
      </c>
      <c r="T540">
        <v>4</v>
      </c>
      <c r="U540">
        <v>7.65</v>
      </c>
      <c r="V540">
        <v>871</v>
      </c>
      <c r="W540">
        <v>16</v>
      </c>
      <c r="X540">
        <v>2054</v>
      </c>
      <c r="Y540">
        <f>2308-X540</f>
        <v>254</v>
      </c>
    </row>
    <row r="541" spans="1:25" x14ac:dyDescent="0.2">
      <c r="A541" t="s">
        <v>130</v>
      </c>
      <c r="B541">
        <v>2018</v>
      </c>
      <c r="C541" t="s">
        <v>816</v>
      </c>
      <c r="D541" t="s">
        <v>820</v>
      </c>
      <c r="E541" t="s">
        <v>34</v>
      </c>
      <c r="F541" t="s">
        <v>319</v>
      </c>
      <c r="G541">
        <v>-45.797499999999999</v>
      </c>
      <c r="H541">
        <v>170.64416700000001</v>
      </c>
      <c r="I541" t="s">
        <v>767</v>
      </c>
      <c r="J541" t="s">
        <v>16</v>
      </c>
      <c r="K541" t="s">
        <v>41</v>
      </c>
      <c r="L541" t="s">
        <v>3</v>
      </c>
      <c r="M541" t="s">
        <v>26</v>
      </c>
      <c r="N541" t="s">
        <v>85</v>
      </c>
      <c r="O541" t="s">
        <v>80</v>
      </c>
      <c r="P541" t="s">
        <v>79</v>
      </c>
      <c r="Q541">
        <v>15</v>
      </c>
      <c r="R541" t="s">
        <v>213</v>
      </c>
      <c r="S541" t="s">
        <v>13</v>
      </c>
      <c r="T541">
        <v>4</v>
      </c>
      <c r="U541">
        <v>7.65</v>
      </c>
      <c r="V541">
        <v>871</v>
      </c>
      <c r="W541">
        <v>16</v>
      </c>
      <c r="X541">
        <v>1411</v>
      </c>
      <c r="Y541">
        <f>1670-X541</f>
        <v>259</v>
      </c>
    </row>
    <row r="542" spans="1:25" x14ac:dyDescent="0.2">
      <c r="A542" t="s">
        <v>130</v>
      </c>
      <c r="B542">
        <v>2018</v>
      </c>
      <c r="C542" t="s">
        <v>807</v>
      </c>
      <c r="D542" t="s">
        <v>825</v>
      </c>
      <c r="E542" t="s">
        <v>35</v>
      </c>
      <c r="F542" t="s">
        <v>319</v>
      </c>
      <c r="G542">
        <v>-45.797499999999999</v>
      </c>
      <c r="H542">
        <v>170.64416700000001</v>
      </c>
      <c r="I542" t="s">
        <v>767</v>
      </c>
      <c r="J542" t="s">
        <v>7</v>
      </c>
      <c r="K542" t="s">
        <v>40</v>
      </c>
      <c r="L542" t="s">
        <v>3</v>
      </c>
      <c r="M542" t="s">
        <v>26</v>
      </c>
      <c r="N542" t="s">
        <v>85</v>
      </c>
      <c r="O542" t="s">
        <v>80</v>
      </c>
      <c r="P542" t="s">
        <v>79</v>
      </c>
      <c r="Q542">
        <v>15</v>
      </c>
      <c r="R542" t="s">
        <v>213</v>
      </c>
      <c r="S542" t="s">
        <v>7</v>
      </c>
      <c r="T542">
        <v>4</v>
      </c>
      <c r="U542">
        <v>8.16</v>
      </c>
      <c r="V542">
        <v>449</v>
      </c>
      <c r="W542">
        <v>12</v>
      </c>
      <c r="X542">
        <v>1141</v>
      </c>
      <c r="Y542">
        <f>1352-X542</f>
        <v>211</v>
      </c>
    </row>
    <row r="543" spans="1:25" x14ac:dyDescent="0.2">
      <c r="A543" t="s">
        <v>130</v>
      </c>
      <c r="B543">
        <v>2018</v>
      </c>
      <c r="C543" t="s">
        <v>807</v>
      </c>
      <c r="D543" t="s">
        <v>825</v>
      </c>
      <c r="E543" t="s">
        <v>35</v>
      </c>
      <c r="F543" t="s">
        <v>319</v>
      </c>
      <c r="G543">
        <v>-45.797499999999999</v>
      </c>
      <c r="H543">
        <v>170.64416700000001</v>
      </c>
      <c r="I543" t="s">
        <v>767</v>
      </c>
      <c r="J543" t="s">
        <v>7</v>
      </c>
      <c r="K543" t="s">
        <v>41</v>
      </c>
      <c r="L543" t="s">
        <v>3</v>
      </c>
      <c r="M543" t="s">
        <v>26</v>
      </c>
      <c r="N543" t="s">
        <v>85</v>
      </c>
      <c r="O543" t="s">
        <v>80</v>
      </c>
      <c r="P543" t="s">
        <v>79</v>
      </c>
      <c r="Q543">
        <v>15</v>
      </c>
      <c r="R543" t="s">
        <v>213</v>
      </c>
      <c r="S543" t="s">
        <v>7</v>
      </c>
      <c r="T543">
        <v>4</v>
      </c>
      <c r="U543">
        <v>8.16</v>
      </c>
      <c r="V543">
        <v>449</v>
      </c>
      <c r="W543">
        <v>12</v>
      </c>
      <c r="X543">
        <v>1325</v>
      </c>
      <c r="Y543">
        <f>1584-X543</f>
        <v>259</v>
      </c>
    </row>
    <row r="544" spans="1:25" x14ac:dyDescent="0.2">
      <c r="A544" t="s">
        <v>130</v>
      </c>
      <c r="B544">
        <v>2018</v>
      </c>
      <c r="C544" t="s">
        <v>807</v>
      </c>
      <c r="D544" t="s">
        <v>825</v>
      </c>
      <c r="E544" t="s">
        <v>35</v>
      </c>
      <c r="F544" t="s">
        <v>319</v>
      </c>
      <c r="G544">
        <v>-45.797499999999999</v>
      </c>
      <c r="H544">
        <v>170.64416700000001</v>
      </c>
      <c r="I544" t="s">
        <v>767</v>
      </c>
      <c r="J544" t="s">
        <v>5</v>
      </c>
      <c r="K544" t="s">
        <v>40</v>
      </c>
      <c r="L544" t="s">
        <v>3</v>
      </c>
      <c r="M544" t="s">
        <v>26</v>
      </c>
      <c r="N544" t="s">
        <v>85</v>
      </c>
      <c r="O544" t="s">
        <v>80</v>
      </c>
      <c r="P544" t="s">
        <v>79</v>
      </c>
      <c r="Q544">
        <v>15</v>
      </c>
      <c r="R544" t="s">
        <v>213</v>
      </c>
      <c r="S544" t="s">
        <v>9</v>
      </c>
      <c r="T544">
        <v>4</v>
      </c>
      <c r="U544">
        <v>7.65</v>
      </c>
      <c r="V544">
        <v>1075</v>
      </c>
      <c r="W544" t="s">
        <v>28</v>
      </c>
      <c r="X544">
        <v>1051</v>
      </c>
      <c r="Y544">
        <f>1239-X544</f>
        <v>188</v>
      </c>
    </row>
    <row r="545" spans="1:26" x14ac:dyDescent="0.2">
      <c r="A545" t="s">
        <v>130</v>
      </c>
      <c r="B545">
        <v>2018</v>
      </c>
      <c r="C545" t="s">
        <v>807</v>
      </c>
      <c r="D545" t="s">
        <v>825</v>
      </c>
      <c r="E545" t="s">
        <v>35</v>
      </c>
      <c r="F545" t="s">
        <v>319</v>
      </c>
      <c r="G545">
        <v>-45.797499999999999</v>
      </c>
      <c r="H545">
        <v>170.64416700000001</v>
      </c>
      <c r="I545" t="s">
        <v>767</v>
      </c>
      <c r="J545" t="s">
        <v>5</v>
      </c>
      <c r="K545" t="s">
        <v>41</v>
      </c>
      <c r="L545" t="s">
        <v>3</v>
      </c>
      <c r="M545" t="s">
        <v>26</v>
      </c>
      <c r="N545" t="s">
        <v>85</v>
      </c>
      <c r="O545" t="s">
        <v>80</v>
      </c>
      <c r="P545" t="s">
        <v>79</v>
      </c>
      <c r="Q545">
        <v>15</v>
      </c>
      <c r="R545" t="s">
        <v>213</v>
      </c>
      <c r="S545" t="s">
        <v>9</v>
      </c>
      <c r="T545">
        <v>4</v>
      </c>
      <c r="U545">
        <v>7.65</v>
      </c>
      <c r="V545">
        <v>1075</v>
      </c>
      <c r="W545" t="s">
        <v>28</v>
      </c>
      <c r="X545">
        <v>1012</v>
      </c>
      <c r="Y545">
        <f>1149-X545</f>
        <v>137</v>
      </c>
    </row>
    <row r="546" spans="1:26" x14ac:dyDescent="0.2">
      <c r="A546" t="s">
        <v>130</v>
      </c>
      <c r="B546">
        <v>2018</v>
      </c>
      <c r="C546" t="s">
        <v>807</v>
      </c>
      <c r="D546" t="s">
        <v>825</v>
      </c>
      <c r="E546" t="s">
        <v>35</v>
      </c>
      <c r="F546" t="s">
        <v>319</v>
      </c>
      <c r="G546">
        <v>-45.797499999999999</v>
      </c>
      <c r="H546">
        <v>170.64416700000001</v>
      </c>
      <c r="I546" t="s">
        <v>767</v>
      </c>
      <c r="J546" t="s">
        <v>14</v>
      </c>
      <c r="K546" t="s">
        <v>40</v>
      </c>
      <c r="L546" t="s">
        <v>3</v>
      </c>
      <c r="M546" t="s">
        <v>26</v>
      </c>
      <c r="N546" t="s">
        <v>85</v>
      </c>
      <c r="O546" t="s">
        <v>80</v>
      </c>
      <c r="P546" t="s">
        <v>79</v>
      </c>
      <c r="Q546">
        <v>15</v>
      </c>
      <c r="R546" t="s">
        <v>213</v>
      </c>
      <c r="S546" t="s">
        <v>27</v>
      </c>
      <c r="T546">
        <v>4</v>
      </c>
      <c r="U546" t="s">
        <v>28</v>
      </c>
      <c r="V546" t="s">
        <v>28</v>
      </c>
      <c r="W546">
        <v>16</v>
      </c>
      <c r="X546">
        <v>1145</v>
      </c>
      <c r="Y546">
        <f>1223-X546</f>
        <v>78</v>
      </c>
    </row>
    <row r="547" spans="1:26" x14ac:dyDescent="0.2">
      <c r="A547" t="s">
        <v>130</v>
      </c>
      <c r="B547">
        <v>2018</v>
      </c>
      <c r="C547" t="s">
        <v>807</v>
      </c>
      <c r="D547" t="s">
        <v>825</v>
      </c>
      <c r="E547" t="s">
        <v>35</v>
      </c>
      <c r="F547" t="s">
        <v>319</v>
      </c>
      <c r="G547">
        <v>-45.797499999999999</v>
      </c>
      <c r="H547">
        <v>170.64416700000001</v>
      </c>
      <c r="I547" t="s">
        <v>767</v>
      </c>
      <c r="J547" t="s">
        <v>14</v>
      </c>
      <c r="K547" t="s">
        <v>41</v>
      </c>
      <c r="L547" t="s">
        <v>3</v>
      </c>
      <c r="M547" t="s">
        <v>26</v>
      </c>
      <c r="N547" t="s">
        <v>85</v>
      </c>
      <c r="O547" t="s">
        <v>80</v>
      </c>
      <c r="P547" t="s">
        <v>79</v>
      </c>
      <c r="Q547">
        <v>15</v>
      </c>
      <c r="R547" t="s">
        <v>213</v>
      </c>
      <c r="S547" t="s">
        <v>27</v>
      </c>
      <c r="T547">
        <v>4</v>
      </c>
      <c r="U547" t="s">
        <v>28</v>
      </c>
      <c r="V547" t="s">
        <v>28</v>
      </c>
      <c r="W547">
        <v>16</v>
      </c>
      <c r="X547">
        <v>984</v>
      </c>
      <c r="Y547">
        <f>1184-X547</f>
        <v>200</v>
      </c>
    </row>
    <row r="548" spans="1:26" x14ac:dyDescent="0.2">
      <c r="A548" t="s">
        <v>130</v>
      </c>
      <c r="B548">
        <v>2018</v>
      </c>
      <c r="C548" t="s">
        <v>807</v>
      </c>
      <c r="D548" t="s">
        <v>825</v>
      </c>
      <c r="E548" t="s">
        <v>35</v>
      </c>
      <c r="F548" t="s">
        <v>319</v>
      </c>
      <c r="G548">
        <v>-45.797499999999999</v>
      </c>
      <c r="H548">
        <v>170.64416700000001</v>
      </c>
      <c r="I548" t="s">
        <v>767</v>
      </c>
      <c r="J548" t="s">
        <v>16</v>
      </c>
      <c r="K548" t="s">
        <v>40</v>
      </c>
      <c r="L548" t="s">
        <v>3</v>
      </c>
      <c r="M548" t="s">
        <v>26</v>
      </c>
      <c r="N548" t="s">
        <v>85</v>
      </c>
      <c r="O548" t="s">
        <v>80</v>
      </c>
      <c r="P548" t="s">
        <v>79</v>
      </c>
      <c r="Q548">
        <v>15</v>
      </c>
      <c r="R548" t="s">
        <v>213</v>
      </c>
      <c r="S548" t="s">
        <v>13</v>
      </c>
      <c r="T548">
        <v>4</v>
      </c>
      <c r="U548">
        <v>7.65</v>
      </c>
      <c r="V548">
        <v>871</v>
      </c>
      <c r="W548">
        <v>16</v>
      </c>
      <c r="X548">
        <v>1078</v>
      </c>
      <c r="Y548">
        <f>1251-X548</f>
        <v>173</v>
      </c>
    </row>
    <row r="549" spans="1:26" x14ac:dyDescent="0.2">
      <c r="A549" t="s">
        <v>130</v>
      </c>
      <c r="B549">
        <v>2018</v>
      </c>
      <c r="C549" t="s">
        <v>807</v>
      </c>
      <c r="D549" t="s">
        <v>825</v>
      </c>
      <c r="E549" t="s">
        <v>35</v>
      </c>
      <c r="F549" t="s">
        <v>319</v>
      </c>
      <c r="G549">
        <v>-45.797499999999999</v>
      </c>
      <c r="H549">
        <v>170.64416700000001</v>
      </c>
      <c r="I549" t="s">
        <v>767</v>
      </c>
      <c r="J549" t="s">
        <v>16</v>
      </c>
      <c r="K549" t="s">
        <v>41</v>
      </c>
      <c r="L549" t="s">
        <v>3</v>
      </c>
      <c r="M549" t="s">
        <v>26</v>
      </c>
      <c r="N549" t="s">
        <v>85</v>
      </c>
      <c r="O549" t="s">
        <v>80</v>
      </c>
      <c r="P549" t="s">
        <v>79</v>
      </c>
      <c r="Q549">
        <v>15</v>
      </c>
      <c r="R549" t="s">
        <v>213</v>
      </c>
      <c r="S549" t="s">
        <v>13</v>
      </c>
      <c r="T549">
        <v>4</v>
      </c>
      <c r="U549">
        <v>7.65</v>
      </c>
      <c r="V549">
        <v>871</v>
      </c>
      <c r="W549">
        <v>16</v>
      </c>
      <c r="X549">
        <v>863</v>
      </c>
      <c r="Y549">
        <f>1098-X549</f>
        <v>235</v>
      </c>
    </row>
    <row r="550" spans="1:26" x14ac:dyDescent="0.2">
      <c r="A550" t="s">
        <v>130</v>
      </c>
      <c r="B550">
        <v>2018</v>
      </c>
      <c r="C550" t="s">
        <v>816</v>
      </c>
      <c r="D550" t="s">
        <v>820</v>
      </c>
      <c r="E550" t="s">
        <v>34</v>
      </c>
      <c r="F550" t="s">
        <v>319</v>
      </c>
      <c r="G550">
        <v>-45.797499999999999</v>
      </c>
      <c r="H550">
        <v>170.64416700000001</v>
      </c>
      <c r="I550" t="s">
        <v>767</v>
      </c>
      <c r="J550" t="s">
        <v>7</v>
      </c>
      <c r="K550" t="s">
        <v>3</v>
      </c>
      <c r="L550" t="s">
        <v>3</v>
      </c>
      <c r="M550" t="s">
        <v>727</v>
      </c>
      <c r="N550" t="s">
        <v>85</v>
      </c>
      <c r="O550" t="s">
        <v>42</v>
      </c>
      <c r="P550" t="s">
        <v>743</v>
      </c>
      <c r="Q550">
        <v>15</v>
      </c>
      <c r="R550" t="s">
        <v>213</v>
      </c>
      <c r="S550" t="s">
        <v>7</v>
      </c>
      <c r="T550">
        <v>4</v>
      </c>
      <c r="U550">
        <v>8.16</v>
      </c>
      <c r="V550">
        <v>449</v>
      </c>
      <c r="W550">
        <v>12</v>
      </c>
      <c r="X550">
        <v>0.53449999999999998</v>
      </c>
      <c r="Y550">
        <f>0.5657-X550</f>
        <v>3.1200000000000006E-2</v>
      </c>
    </row>
    <row r="551" spans="1:26" x14ac:dyDescent="0.2">
      <c r="A551" t="s">
        <v>130</v>
      </c>
      <c r="B551">
        <v>2018</v>
      </c>
      <c r="C551" t="s">
        <v>816</v>
      </c>
      <c r="D551" t="s">
        <v>820</v>
      </c>
      <c r="E551" t="s">
        <v>34</v>
      </c>
      <c r="F551" t="s">
        <v>319</v>
      </c>
      <c r="G551">
        <v>-45.797499999999999</v>
      </c>
      <c r="H551">
        <v>170.64416700000001</v>
      </c>
      <c r="I551" t="s">
        <v>767</v>
      </c>
      <c r="J551" t="s">
        <v>5</v>
      </c>
      <c r="K551" t="s">
        <v>3</v>
      </c>
      <c r="L551" t="s">
        <v>3</v>
      </c>
      <c r="M551" t="s">
        <v>727</v>
      </c>
      <c r="N551" t="s">
        <v>85</v>
      </c>
      <c r="O551" t="s">
        <v>42</v>
      </c>
      <c r="P551" t="s">
        <v>743</v>
      </c>
      <c r="Q551">
        <v>15</v>
      </c>
      <c r="R551" t="s">
        <v>213</v>
      </c>
      <c r="S551" t="s">
        <v>9</v>
      </c>
      <c r="T551">
        <v>4</v>
      </c>
      <c r="U551">
        <v>7.65</v>
      </c>
      <c r="V551">
        <v>1075</v>
      </c>
      <c r="W551" t="s">
        <v>28</v>
      </c>
      <c r="X551">
        <v>0.50480000000000003</v>
      </c>
      <c r="Y551">
        <f>0.5249-X551</f>
        <v>2.0100000000000007E-2</v>
      </c>
    </row>
    <row r="552" spans="1:26" x14ac:dyDescent="0.2">
      <c r="A552" t="s">
        <v>130</v>
      </c>
      <c r="B552">
        <v>2018</v>
      </c>
      <c r="C552" t="s">
        <v>816</v>
      </c>
      <c r="D552" t="s">
        <v>820</v>
      </c>
      <c r="E552" t="s">
        <v>34</v>
      </c>
      <c r="F552" t="s">
        <v>319</v>
      </c>
      <c r="G552">
        <v>-45.797499999999999</v>
      </c>
      <c r="H552">
        <v>170.64416700000001</v>
      </c>
      <c r="I552" t="s">
        <v>767</v>
      </c>
      <c r="J552" t="s">
        <v>14</v>
      </c>
      <c r="K552" t="s">
        <v>3</v>
      </c>
      <c r="L552" t="s">
        <v>3</v>
      </c>
      <c r="M552" t="s">
        <v>727</v>
      </c>
      <c r="N552" t="s">
        <v>85</v>
      </c>
      <c r="O552" t="s">
        <v>42</v>
      </c>
      <c r="P552" t="s">
        <v>743</v>
      </c>
      <c r="Q552">
        <v>15</v>
      </c>
      <c r="R552" t="s">
        <v>213</v>
      </c>
      <c r="S552" t="s">
        <v>27</v>
      </c>
      <c r="T552">
        <v>4</v>
      </c>
      <c r="U552" t="s">
        <v>28</v>
      </c>
      <c r="V552" t="s">
        <v>28</v>
      </c>
      <c r="W552">
        <v>16</v>
      </c>
      <c r="X552">
        <v>0.51719999999999999</v>
      </c>
      <c r="Y552">
        <f>0.583-X552</f>
        <v>6.579999999999997E-2</v>
      </c>
    </row>
    <row r="553" spans="1:26" x14ac:dyDescent="0.2">
      <c r="A553" t="s">
        <v>130</v>
      </c>
      <c r="B553">
        <v>2018</v>
      </c>
      <c r="C553" t="s">
        <v>816</v>
      </c>
      <c r="D553" t="s">
        <v>820</v>
      </c>
      <c r="E553" t="s">
        <v>34</v>
      </c>
      <c r="F553" t="s">
        <v>319</v>
      </c>
      <c r="G553">
        <v>-45.797499999999999</v>
      </c>
      <c r="H553">
        <v>170.64416700000001</v>
      </c>
      <c r="I553" t="s">
        <v>767</v>
      </c>
      <c r="J553" t="s">
        <v>16</v>
      </c>
      <c r="K553" t="s">
        <v>3</v>
      </c>
      <c r="L553" t="s">
        <v>3</v>
      </c>
      <c r="M553" t="s">
        <v>727</v>
      </c>
      <c r="N553" t="s">
        <v>85</v>
      </c>
      <c r="O553" t="s">
        <v>42</v>
      </c>
      <c r="P553" t="s">
        <v>743</v>
      </c>
      <c r="Q553">
        <v>15</v>
      </c>
      <c r="R553" t="s">
        <v>213</v>
      </c>
      <c r="S553" t="s">
        <v>13</v>
      </c>
      <c r="T553">
        <v>4</v>
      </c>
      <c r="U553">
        <v>7.65</v>
      </c>
      <c r="V553">
        <v>871</v>
      </c>
      <c r="W553">
        <v>16</v>
      </c>
      <c r="X553">
        <v>0.46650000000000003</v>
      </c>
      <c r="Y553">
        <f>0.4943-X553</f>
        <v>2.7799999999999991E-2</v>
      </c>
    </row>
    <row r="554" spans="1:26" x14ac:dyDescent="0.2">
      <c r="A554" t="s">
        <v>130</v>
      </c>
      <c r="B554">
        <v>2018</v>
      </c>
      <c r="C554" t="s">
        <v>807</v>
      </c>
      <c r="D554" t="s">
        <v>825</v>
      </c>
      <c r="E554" t="s">
        <v>35</v>
      </c>
      <c r="F554" t="s">
        <v>319</v>
      </c>
      <c r="G554">
        <v>-45.797499999999999</v>
      </c>
      <c r="H554">
        <v>170.64416700000001</v>
      </c>
      <c r="I554" t="s">
        <v>767</v>
      </c>
      <c r="J554" t="s">
        <v>7</v>
      </c>
      <c r="K554" t="s">
        <v>3</v>
      </c>
      <c r="L554" t="s">
        <v>3</v>
      </c>
      <c r="M554" t="s">
        <v>727</v>
      </c>
      <c r="N554" t="s">
        <v>85</v>
      </c>
      <c r="O554" t="s">
        <v>42</v>
      </c>
      <c r="P554" t="s">
        <v>743</v>
      </c>
      <c r="Q554">
        <v>15</v>
      </c>
      <c r="R554" t="s">
        <v>213</v>
      </c>
      <c r="S554" t="s">
        <v>7</v>
      </c>
      <c r="T554">
        <v>4</v>
      </c>
      <c r="U554">
        <v>8.16</v>
      </c>
      <c r="V554">
        <v>449</v>
      </c>
      <c r="W554">
        <v>12</v>
      </c>
      <c r="X554">
        <v>0.5071</v>
      </c>
      <c r="Y554">
        <f>0.5641-X554</f>
        <v>5.7000000000000051E-2</v>
      </c>
    </row>
    <row r="555" spans="1:26" x14ac:dyDescent="0.2">
      <c r="A555" t="s">
        <v>130</v>
      </c>
      <c r="B555">
        <v>2018</v>
      </c>
      <c r="C555" t="s">
        <v>807</v>
      </c>
      <c r="D555" t="s">
        <v>825</v>
      </c>
      <c r="E555" t="s">
        <v>35</v>
      </c>
      <c r="F555" t="s">
        <v>319</v>
      </c>
      <c r="G555">
        <v>-45.797499999999999</v>
      </c>
      <c r="H555">
        <v>170.64416700000001</v>
      </c>
      <c r="I555" t="s">
        <v>767</v>
      </c>
      <c r="J555" t="s">
        <v>5</v>
      </c>
      <c r="K555" t="s">
        <v>3</v>
      </c>
      <c r="L555" t="s">
        <v>3</v>
      </c>
      <c r="M555" t="s">
        <v>727</v>
      </c>
      <c r="N555" t="s">
        <v>85</v>
      </c>
      <c r="O555" t="s">
        <v>42</v>
      </c>
      <c r="P555" t="s">
        <v>743</v>
      </c>
      <c r="Q555">
        <v>15</v>
      </c>
      <c r="R555" t="s">
        <v>213</v>
      </c>
      <c r="S555" t="s">
        <v>9</v>
      </c>
      <c r="T555">
        <v>4</v>
      </c>
      <c r="U555">
        <v>7.65</v>
      </c>
      <c r="V555">
        <v>1075</v>
      </c>
      <c r="W555" t="s">
        <v>28</v>
      </c>
      <c r="X555">
        <v>0.48580000000000001</v>
      </c>
      <c r="Y555">
        <f>0.5015-X555</f>
        <v>1.5699999999999936E-2</v>
      </c>
    </row>
    <row r="556" spans="1:26" x14ac:dyDescent="0.2">
      <c r="A556" t="s">
        <v>130</v>
      </c>
      <c r="B556">
        <v>2018</v>
      </c>
      <c r="C556" t="s">
        <v>807</v>
      </c>
      <c r="D556" t="s">
        <v>825</v>
      </c>
      <c r="E556" t="s">
        <v>35</v>
      </c>
      <c r="F556" t="s">
        <v>319</v>
      </c>
      <c r="G556">
        <v>-45.797499999999999</v>
      </c>
      <c r="H556">
        <v>170.64416700000001</v>
      </c>
      <c r="I556" t="s">
        <v>767</v>
      </c>
      <c r="J556" t="s">
        <v>14</v>
      </c>
      <c r="K556" t="s">
        <v>3</v>
      </c>
      <c r="L556" t="s">
        <v>3</v>
      </c>
      <c r="M556" t="s">
        <v>727</v>
      </c>
      <c r="N556" t="s">
        <v>85</v>
      </c>
      <c r="O556" t="s">
        <v>42</v>
      </c>
      <c r="P556" t="s">
        <v>743</v>
      </c>
      <c r="Q556">
        <v>15</v>
      </c>
      <c r="R556" t="s">
        <v>213</v>
      </c>
      <c r="S556" t="s">
        <v>27</v>
      </c>
      <c r="T556">
        <v>4</v>
      </c>
      <c r="U556" t="s">
        <v>28</v>
      </c>
      <c r="V556" t="s">
        <v>28</v>
      </c>
      <c r="W556">
        <v>16</v>
      </c>
      <c r="X556">
        <v>0.51019999999999999</v>
      </c>
      <c r="Y556">
        <f>0.5582-X556</f>
        <v>4.8000000000000043E-2</v>
      </c>
    </row>
    <row r="557" spans="1:26" x14ac:dyDescent="0.2">
      <c r="A557" t="s">
        <v>130</v>
      </c>
      <c r="B557">
        <v>2018</v>
      </c>
      <c r="C557" t="s">
        <v>807</v>
      </c>
      <c r="D557" t="s">
        <v>825</v>
      </c>
      <c r="E557" t="s">
        <v>35</v>
      </c>
      <c r="F557" t="s">
        <v>319</v>
      </c>
      <c r="G557">
        <v>-45.797499999999999</v>
      </c>
      <c r="H557">
        <v>170.64416700000001</v>
      </c>
      <c r="I557" t="s">
        <v>767</v>
      </c>
      <c r="J557" t="s">
        <v>16</v>
      </c>
      <c r="K557" t="s">
        <v>3</v>
      </c>
      <c r="L557" t="s">
        <v>3</v>
      </c>
      <c r="M557" t="s">
        <v>727</v>
      </c>
      <c r="N557" t="s">
        <v>85</v>
      </c>
      <c r="O557" t="s">
        <v>42</v>
      </c>
      <c r="P557" t="s">
        <v>743</v>
      </c>
      <c r="Q557">
        <v>15</v>
      </c>
      <c r="R557" t="s">
        <v>213</v>
      </c>
      <c r="S557" t="s">
        <v>13</v>
      </c>
      <c r="T557">
        <v>4</v>
      </c>
      <c r="U557">
        <v>7.65</v>
      </c>
      <c r="V557">
        <v>871</v>
      </c>
      <c r="W557">
        <v>16</v>
      </c>
      <c r="X557">
        <v>0.50339999999999996</v>
      </c>
      <c r="Y557">
        <f>0.5362-X557</f>
        <v>3.2800000000000051E-2</v>
      </c>
    </row>
    <row r="558" spans="1:26" x14ac:dyDescent="0.2">
      <c r="A558" t="s">
        <v>131</v>
      </c>
      <c r="B558">
        <v>2017</v>
      </c>
      <c r="C558" t="s">
        <v>807</v>
      </c>
      <c r="D558" t="s">
        <v>815</v>
      </c>
      <c r="E558" t="s">
        <v>132</v>
      </c>
      <c r="F558" t="s">
        <v>321</v>
      </c>
      <c r="G558">
        <v>59.728521000000001</v>
      </c>
      <c r="H558">
        <v>-151.12964299999999</v>
      </c>
      <c r="I558" t="s">
        <v>764</v>
      </c>
      <c r="J558" t="s">
        <v>7</v>
      </c>
      <c r="K558" t="s">
        <v>92</v>
      </c>
      <c r="L558" t="s">
        <v>300</v>
      </c>
      <c r="M558" t="s">
        <v>12</v>
      </c>
      <c r="N558" t="s">
        <v>85</v>
      </c>
      <c r="O558" t="s">
        <v>141</v>
      </c>
      <c r="P558" t="s">
        <v>133</v>
      </c>
      <c r="Q558">
        <v>1</v>
      </c>
      <c r="R558" t="s">
        <v>213</v>
      </c>
      <c r="S558" t="s">
        <v>7</v>
      </c>
      <c r="T558">
        <v>5</v>
      </c>
      <c r="U558" t="s">
        <v>28</v>
      </c>
      <c r="V558" t="s">
        <v>28</v>
      </c>
      <c r="W558">
        <v>9</v>
      </c>
      <c r="X558">
        <v>15.27</v>
      </c>
      <c r="Y558">
        <f t="shared" ref="Y558:Y581" si="10">Z558*SQRT(T558)</f>
        <v>1.1180339887498949</v>
      </c>
      <c r="Z558">
        <f>15.77-X558</f>
        <v>0.5</v>
      </c>
    </row>
    <row r="559" spans="1:26" x14ac:dyDescent="0.2">
      <c r="A559" t="s">
        <v>131</v>
      </c>
      <c r="B559">
        <v>2017</v>
      </c>
      <c r="C559" t="s">
        <v>807</v>
      </c>
      <c r="D559" t="s">
        <v>815</v>
      </c>
      <c r="E559" t="s">
        <v>132</v>
      </c>
      <c r="F559" t="s">
        <v>321</v>
      </c>
      <c r="G559">
        <v>59.728521000000001</v>
      </c>
      <c r="H559">
        <v>-151.12964299999999</v>
      </c>
      <c r="I559" t="s">
        <v>764</v>
      </c>
      <c r="J559" t="s">
        <v>14</v>
      </c>
      <c r="K559" t="s">
        <v>92</v>
      </c>
      <c r="L559" t="s">
        <v>300</v>
      </c>
      <c r="M559" t="s">
        <v>12</v>
      </c>
      <c r="N559" t="s">
        <v>85</v>
      </c>
      <c r="O559" t="s">
        <v>141</v>
      </c>
      <c r="P559" t="s">
        <v>133</v>
      </c>
      <c r="Q559">
        <v>1</v>
      </c>
      <c r="R559" t="s">
        <v>213</v>
      </c>
      <c r="S559" t="s">
        <v>9</v>
      </c>
      <c r="T559">
        <v>5</v>
      </c>
      <c r="U559" t="s">
        <v>28</v>
      </c>
      <c r="V559" t="s">
        <v>28</v>
      </c>
      <c r="W559">
        <v>13</v>
      </c>
      <c r="X559">
        <v>6.21</v>
      </c>
      <c r="Y559">
        <f t="shared" si="10"/>
        <v>0.60373835392494424</v>
      </c>
      <c r="Z559">
        <f>6.48-X559</f>
        <v>0.27000000000000046</v>
      </c>
    </row>
    <row r="560" spans="1:26" x14ac:dyDescent="0.2">
      <c r="A560" t="s">
        <v>131</v>
      </c>
      <c r="B560">
        <v>2017</v>
      </c>
      <c r="C560" t="s">
        <v>807</v>
      </c>
      <c r="D560" t="s">
        <v>815</v>
      </c>
      <c r="E560" t="s">
        <v>132</v>
      </c>
      <c r="F560" t="s">
        <v>321</v>
      </c>
      <c r="G560">
        <v>59.728521000000001</v>
      </c>
      <c r="H560">
        <v>-151.12964299999999</v>
      </c>
      <c r="I560" t="s">
        <v>764</v>
      </c>
      <c r="J560" t="s">
        <v>14</v>
      </c>
      <c r="K560" t="s">
        <v>92</v>
      </c>
      <c r="L560" t="s">
        <v>300</v>
      </c>
      <c r="M560" t="s">
        <v>12</v>
      </c>
      <c r="N560" t="s">
        <v>85</v>
      </c>
      <c r="O560" t="s">
        <v>141</v>
      </c>
      <c r="P560" t="s">
        <v>133</v>
      </c>
      <c r="Q560">
        <v>1</v>
      </c>
      <c r="R560" t="s">
        <v>213</v>
      </c>
      <c r="S560" t="s">
        <v>27</v>
      </c>
      <c r="T560">
        <v>5</v>
      </c>
      <c r="U560" t="s">
        <v>28</v>
      </c>
      <c r="V560" t="s">
        <v>28</v>
      </c>
      <c r="W560">
        <v>17</v>
      </c>
      <c r="X560">
        <v>4.5599999999999996</v>
      </c>
      <c r="Y560">
        <f t="shared" si="10"/>
        <v>0.73790243257493082</v>
      </c>
      <c r="Z560">
        <f>4.89-X560</f>
        <v>0.33000000000000007</v>
      </c>
    </row>
    <row r="561" spans="1:26" x14ac:dyDescent="0.2">
      <c r="A561" t="s">
        <v>131</v>
      </c>
      <c r="B561">
        <v>2017</v>
      </c>
      <c r="C561" t="s">
        <v>807</v>
      </c>
      <c r="D561" t="s">
        <v>815</v>
      </c>
      <c r="E561" t="s">
        <v>132</v>
      </c>
      <c r="F561" t="s">
        <v>321</v>
      </c>
      <c r="G561">
        <v>59.728521000000001</v>
      </c>
      <c r="H561">
        <v>-151.12964299999999</v>
      </c>
      <c r="I561" t="s">
        <v>764</v>
      </c>
      <c r="J561" t="s">
        <v>14</v>
      </c>
      <c r="K561" t="s">
        <v>92</v>
      </c>
      <c r="L561" t="s">
        <v>300</v>
      </c>
      <c r="M561" t="s">
        <v>12</v>
      </c>
      <c r="N561" t="s">
        <v>85</v>
      </c>
      <c r="O561" t="s">
        <v>141</v>
      </c>
      <c r="P561" t="s">
        <v>133</v>
      </c>
      <c r="Q561">
        <v>1</v>
      </c>
      <c r="R561" t="s">
        <v>213</v>
      </c>
      <c r="S561" t="s">
        <v>13</v>
      </c>
      <c r="T561">
        <v>5</v>
      </c>
      <c r="U561" t="s">
        <v>28</v>
      </c>
      <c r="V561" t="s">
        <v>28</v>
      </c>
      <c r="W561">
        <v>21</v>
      </c>
      <c r="X561">
        <v>4.01</v>
      </c>
      <c r="Y561">
        <f t="shared" si="10"/>
        <v>0.73790243257493082</v>
      </c>
      <c r="Z561">
        <f>4.34-X561</f>
        <v>0.33000000000000007</v>
      </c>
    </row>
    <row r="562" spans="1:26" x14ac:dyDescent="0.2">
      <c r="A562" t="s">
        <v>131</v>
      </c>
      <c r="B562">
        <v>2017</v>
      </c>
      <c r="C562" t="s">
        <v>826</v>
      </c>
      <c r="D562" t="s">
        <v>821</v>
      </c>
      <c r="E562" t="s">
        <v>134</v>
      </c>
      <c r="F562" t="s">
        <v>321</v>
      </c>
      <c r="G562">
        <v>59.728521000000001</v>
      </c>
      <c r="H562">
        <v>-151.12964299999999</v>
      </c>
      <c r="I562" t="s">
        <v>764</v>
      </c>
      <c r="J562" t="s">
        <v>7</v>
      </c>
      <c r="K562" t="s">
        <v>92</v>
      </c>
      <c r="L562" t="s">
        <v>300</v>
      </c>
      <c r="M562" t="s">
        <v>12</v>
      </c>
      <c r="N562" t="s">
        <v>85</v>
      </c>
      <c r="O562" t="s">
        <v>141</v>
      </c>
      <c r="P562" t="s">
        <v>133</v>
      </c>
      <c r="Q562">
        <v>1</v>
      </c>
      <c r="R562" t="s">
        <v>213</v>
      </c>
      <c r="S562" t="s">
        <v>7</v>
      </c>
      <c r="T562">
        <v>5</v>
      </c>
      <c r="U562" t="s">
        <v>28</v>
      </c>
      <c r="V562" t="s">
        <v>28</v>
      </c>
      <c r="W562">
        <v>9</v>
      </c>
      <c r="X562">
        <v>23.76</v>
      </c>
      <c r="Y562">
        <f t="shared" si="10"/>
        <v>3.6000694437746601</v>
      </c>
      <c r="Z562">
        <f>25.37-X562</f>
        <v>1.6099999999999994</v>
      </c>
    </row>
    <row r="563" spans="1:26" x14ac:dyDescent="0.2">
      <c r="A563" t="s">
        <v>131</v>
      </c>
      <c r="B563">
        <v>2017</v>
      </c>
      <c r="C563" t="s">
        <v>826</v>
      </c>
      <c r="D563" t="s">
        <v>821</v>
      </c>
      <c r="E563" t="s">
        <v>134</v>
      </c>
      <c r="F563" t="s">
        <v>321</v>
      </c>
      <c r="G563">
        <v>59.728521000000001</v>
      </c>
      <c r="H563">
        <v>-151.12964299999999</v>
      </c>
      <c r="I563" t="s">
        <v>764</v>
      </c>
      <c r="J563" t="s">
        <v>14</v>
      </c>
      <c r="K563" t="s">
        <v>92</v>
      </c>
      <c r="L563" t="s">
        <v>300</v>
      </c>
      <c r="M563" t="s">
        <v>12</v>
      </c>
      <c r="N563" t="s">
        <v>85</v>
      </c>
      <c r="O563" t="s">
        <v>141</v>
      </c>
      <c r="P563" t="s">
        <v>133</v>
      </c>
      <c r="Q563">
        <v>1</v>
      </c>
      <c r="R563" t="s">
        <v>213</v>
      </c>
      <c r="S563" t="s">
        <v>9</v>
      </c>
      <c r="T563">
        <v>5</v>
      </c>
      <c r="U563" t="s">
        <v>28</v>
      </c>
      <c r="V563" t="s">
        <v>28</v>
      </c>
      <c r="W563">
        <v>13</v>
      </c>
      <c r="X563">
        <v>20.67</v>
      </c>
      <c r="Y563">
        <f t="shared" si="10"/>
        <v>4.2485291572495978</v>
      </c>
      <c r="Z563">
        <f>22.57-X563</f>
        <v>1.8999999999999986</v>
      </c>
    </row>
    <row r="564" spans="1:26" x14ac:dyDescent="0.2">
      <c r="A564" t="s">
        <v>131</v>
      </c>
      <c r="B564">
        <v>2017</v>
      </c>
      <c r="C564" t="s">
        <v>826</v>
      </c>
      <c r="D564" t="s">
        <v>821</v>
      </c>
      <c r="E564" t="s">
        <v>134</v>
      </c>
      <c r="F564" t="s">
        <v>321</v>
      </c>
      <c r="G564">
        <v>59.728521000000001</v>
      </c>
      <c r="H564">
        <v>-151.12964299999999</v>
      </c>
      <c r="I564" t="s">
        <v>764</v>
      </c>
      <c r="J564" t="s">
        <v>14</v>
      </c>
      <c r="K564" t="s">
        <v>92</v>
      </c>
      <c r="L564" t="s">
        <v>300</v>
      </c>
      <c r="M564" t="s">
        <v>12</v>
      </c>
      <c r="N564" t="s">
        <v>85</v>
      </c>
      <c r="O564" t="s">
        <v>141</v>
      </c>
      <c r="P564" t="s">
        <v>133</v>
      </c>
      <c r="Q564">
        <v>1</v>
      </c>
      <c r="R564" t="s">
        <v>213</v>
      </c>
      <c r="S564" t="s">
        <v>27</v>
      </c>
      <c r="T564">
        <v>5</v>
      </c>
      <c r="U564" t="s">
        <v>28</v>
      </c>
      <c r="V564" t="s">
        <v>28</v>
      </c>
      <c r="W564">
        <v>17</v>
      </c>
      <c r="X564">
        <v>17.579999999999998</v>
      </c>
      <c r="Y564">
        <f t="shared" si="10"/>
        <v>2.5267568145747683</v>
      </c>
      <c r="Z564">
        <f>18.71-X564</f>
        <v>1.1300000000000026</v>
      </c>
    </row>
    <row r="565" spans="1:26" x14ac:dyDescent="0.2">
      <c r="A565" t="s">
        <v>131</v>
      </c>
      <c r="B565">
        <v>2017</v>
      </c>
      <c r="C565" t="s">
        <v>826</v>
      </c>
      <c r="D565" t="s">
        <v>821</v>
      </c>
      <c r="E565" t="s">
        <v>134</v>
      </c>
      <c r="F565" t="s">
        <v>321</v>
      </c>
      <c r="G565">
        <v>59.728521000000001</v>
      </c>
      <c r="H565">
        <v>-151.12964299999999</v>
      </c>
      <c r="I565" t="s">
        <v>764</v>
      </c>
      <c r="J565" t="s">
        <v>14</v>
      </c>
      <c r="K565" t="s">
        <v>92</v>
      </c>
      <c r="L565" t="s">
        <v>300</v>
      </c>
      <c r="M565" t="s">
        <v>12</v>
      </c>
      <c r="N565" t="s">
        <v>85</v>
      </c>
      <c r="O565" t="s">
        <v>141</v>
      </c>
      <c r="P565" t="s">
        <v>133</v>
      </c>
      <c r="Q565">
        <v>1</v>
      </c>
      <c r="R565" t="s">
        <v>213</v>
      </c>
      <c r="S565" t="s">
        <v>13</v>
      </c>
      <c r="T565">
        <v>5</v>
      </c>
      <c r="U565" t="s">
        <v>28</v>
      </c>
      <c r="V565" t="s">
        <v>28</v>
      </c>
      <c r="W565">
        <v>21</v>
      </c>
      <c r="X565">
        <v>11.7</v>
      </c>
      <c r="Y565">
        <f t="shared" si="10"/>
        <v>1.4758048651498616</v>
      </c>
      <c r="Z565">
        <f>12.36-X565</f>
        <v>0.66000000000000014</v>
      </c>
    </row>
    <row r="566" spans="1:26" x14ac:dyDescent="0.2">
      <c r="A566" t="s">
        <v>131</v>
      </c>
      <c r="B566">
        <v>2017</v>
      </c>
      <c r="C566" t="s">
        <v>826</v>
      </c>
      <c r="D566" t="s">
        <v>824</v>
      </c>
      <c r="E566" t="s">
        <v>48</v>
      </c>
      <c r="F566" t="s">
        <v>321</v>
      </c>
      <c r="G566">
        <v>59.728521000000001</v>
      </c>
      <c r="H566">
        <v>-151.12964299999999</v>
      </c>
      <c r="I566" t="s">
        <v>764</v>
      </c>
      <c r="J566" t="s">
        <v>7</v>
      </c>
      <c r="K566" t="s">
        <v>92</v>
      </c>
      <c r="L566" t="s">
        <v>300</v>
      </c>
      <c r="M566" t="s">
        <v>12</v>
      </c>
      <c r="N566" t="s">
        <v>85</v>
      </c>
      <c r="O566" t="s">
        <v>141</v>
      </c>
      <c r="P566" t="s">
        <v>133</v>
      </c>
      <c r="Q566">
        <v>1</v>
      </c>
      <c r="R566" t="s">
        <v>213</v>
      </c>
      <c r="S566" t="s">
        <v>7</v>
      </c>
      <c r="T566">
        <v>5</v>
      </c>
      <c r="U566" t="s">
        <v>28</v>
      </c>
      <c r="V566" t="s">
        <v>28</v>
      </c>
      <c r="W566">
        <v>9</v>
      </c>
      <c r="X566">
        <v>16.72</v>
      </c>
      <c r="Y566">
        <f t="shared" si="10"/>
        <v>3.1304951684997104</v>
      </c>
      <c r="Z566">
        <f>18.12-X566</f>
        <v>1.4000000000000021</v>
      </c>
    </row>
    <row r="567" spans="1:26" x14ac:dyDescent="0.2">
      <c r="A567" t="s">
        <v>131</v>
      </c>
      <c r="B567">
        <v>2017</v>
      </c>
      <c r="C567" t="s">
        <v>826</v>
      </c>
      <c r="D567" t="s">
        <v>824</v>
      </c>
      <c r="E567" t="s">
        <v>48</v>
      </c>
      <c r="F567" t="s">
        <v>321</v>
      </c>
      <c r="G567">
        <v>59.728521000000001</v>
      </c>
      <c r="H567">
        <v>-151.12964299999999</v>
      </c>
      <c r="I567" t="s">
        <v>764</v>
      </c>
      <c r="J567" t="s">
        <v>14</v>
      </c>
      <c r="K567" t="s">
        <v>92</v>
      </c>
      <c r="L567" t="s">
        <v>300</v>
      </c>
      <c r="M567" t="s">
        <v>12</v>
      </c>
      <c r="N567" t="s">
        <v>85</v>
      </c>
      <c r="O567" t="s">
        <v>141</v>
      </c>
      <c r="P567" t="s">
        <v>133</v>
      </c>
      <c r="Q567">
        <v>1</v>
      </c>
      <c r="R567" t="s">
        <v>213</v>
      </c>
      <c r="S567" t="s">
        <v>9</v>
      </c>
      <c r="T567">
        <v>5</v>
      </c>
      <c r="U567" t="s">
        <v>28</v>
      </c>
      <c r="V567" t="s">
        <v>28</v>
      </c>
      <c r="W567">
        <v>13</v>
      </c>
      <c r="X567">
        <v>14.24</v>
      </c>
      <c r="Y567">
        <f t="shared" si="10"/>
        <v>2.2584286572747874</v>
      </c>
      <c r="Z567">
        <f>15.25-X567</f>
        <v>1.0099999999999998</v>
      </c>
    </row>
    <row r="568" spans="1:26" x14ac:dyDescent="0.2">
      <c r="A568" t="s">
        <v>131</v>
      </c>
      <c r="B568">
        <v>2017</v>
      </c>
      <c r="C568" t="s">
        <v>826</v>
      </c>
      <c r="D568" t="s">
        <v>824</v>
      </c>
      <c r="E568" t="s">
        <v>48</v>
      </c>
      <c r="F568" t="s">
        <v>321</v>
      </c>
      <c r="G568">
        <v>59.728521000000001</v>
      </c>
      <c r="H568">
        <v>-151.12964299999999</v>
      </c>
      <c r="I568" t="s">
        <v>764</v>
      </c>
      <c r="J568" t="s">
        <v>14</v>
      </c>
      <c r="K568" t="s">
        <v>92</v>
      </c>
      <c r="L568" t="s">
        <v>300</v>
      </c>
      <c r="M568" t="s">
        <v>12</v>
      </c>
      <c r="N568" t="s">
        <v>85</v>
      </c>
      <c r="O568" t="s">
        <v>141</v>
      </c>
      <c r="P568" t="s">
        <v>133</v>
      </c>
      <c r="Q568">
        <v>1</v>
      </c>
      <c r="R568" t="s">
        <v>213</v>
      </c>
      <c r="S568" t="s">
        <v>27</v>
      </c>
      <c r="T568">
        <v>5</v>
      </c>
      <c r="U568" t="s">
        <v>28</v>
      </c>
      <c r="V568" t="s">
        <v>28</v>
      </c>
      <c r="W568">
        <v>17</v>
      </c>
      <c r="X568">
        <v>13.06</v>
      </c>
      <c r="Y568">
        <f t="shared" si="10"/>
        <v>2.3925927359247758</v>
      </c>
      <c r="Z568">
        <f>14.13-X568</f>
        <v>1.0700000000000003</v>
      </c>
    </row>
    <row r="569" spans="1:26" x14ac:dyDescent="0.2">
      <c r="A569" t="s">
        <v>131</v>
      </c>
      <c r="B569">
        <v>2017</v>
      </c>
      <c r="C569" t="s">
        <v>826</v>
      </c>
      <c r="D569" t="s">
        <v>824</v>
      </c>
      <c r="E569" t="s">
        <v>48</v>
      </c>
      <c r="F569" t="s">
        <v>321</v>
      </c>
      <c r="G569">
        <v>59.728521000000001</v>
      </c>
      <c r="H569">
        <v>-151.12964299999999</v>
      </c>
      <c r="I569" t="s">
        <v>764</v>
      </c>
      <c r="J569" t="s">
        <v>14</v>
      </c>
      <c r="K569" t="s">
        <v>92</v>
      </c>
      <c r="L569" t="s">
        <v>300</v>
      </c>
      <c r="M569" t="s">
        <v>12</v>
      </c>
      <c r="N569" t="s">
        <v>85</v>
      </c>
      <c r="O569" t="s">
        <v>141</v>
      </c>
      <c r="P569" t="s">
        <v>133</v>
      </c>
      <c r="Q569">
        <v>1</v>
      </c>
      <c r="R569" t="s">
        <v>213</v>
      </c>
      <c r="S569" t="s">
        <v>13</v>
      </c>
      <c r="T569">
        <v>5</v>
      </c>
      <c r="U569" t="s">
        <v>28</v>
      </c>
      <c r="V569" t="s">
        <v>28</v>
      </c>
      <c r="W569">
        <v>21</v>
      </c>
      <c r="X569">
        <v>5.85</v>
      </c>
      <c r="Y569">
        <f t="shared" si="10"/>
        <v>1.7664937022248339</v>
      </c>
      <c r="Z569">
        <f>6.64-X569</f>
        <v>0.79</v>
      </c>
    </row>
    <row r="570" spans="1:26" x14ac:dyDescent="0.2">
      <c r="A570" t="s">
        <v>131</v>
      </c>
      <c r="B570">
        <v>2017</v>
      </c>
      <c r="C570" t="s">
        <v>807</v>
      </c>
      <c r="D570" t="s">
        <v>815</v>
      </c>
      <c r="E570" t="s">
        <v>132</v>
      </c>
      <c r="F570" t="s">
        <v>321</v>
      </c>
      <c r="G570">
        <v>59.728521000000001</v>
      </c>
      <c r="H570">
        <v>-151.12964299999999</v>
      </c>
      <c r="I570" t="s">
        <v>764</v>
      </c>
      <c r="J570" t="s">
        <v>7</v>
      </c>
      <c r="K570" t="s">
        <v>3</v>
      </c>
      <c r="L570" t="s">
        <v>3</v>
      </c>
      <c r="M570" t="s">
        <v>26</v>
      </c>
      <c r="N570" t="s">
        <v>85</v>
      </c>
      <c r="O570" t="s">
        <v>135</v>
      </c>
      <c r="P570" t="s">
        <v>65</v>
      </c>
      <c r="Q570">
        <v>7</v>
      </c>
      <c r="R570" t="s">
        <v>213</v>
      </c>
      <c r="S570" t="s">
        <v>7</v>
      </c>
      <c r="T570">
        <v>5</v>
      </c>
      <c r="U570" t="s">
        <v>28</v>
      </c>
      <c r="V570" t="s">
        <v>28</v>
      </c>
      <c r="W570">
        <v>9</v>
      </c>
      <c r="X570">
        <v>20.98</v>
      </c>
      <c r="Y570">
        <f t="shared" si="10"/>
        <v>0.49193495504995122</v>
      </c>
      <c r="Z570">
        <f>21.2-X570</f>
        <v>0.21999999999999886</v>
      </c>
    </row>
    <row r="571" spans="1:26" x14ac:dyDescent="0.2">
      <c r="A571" t="s">
        <v>131</v>
      </c>
      <c r="B571">
        <v>2017</v>
      </c>
      <c r="C571" t="s">
        <v>807</v>
      </c>
      <c r="D571" t="s">
        <v>815</v>
      </c>
      <c r="E571" t="s">
        <v>132</v>
      </c>
      <c r="F571" t="s">
        <v>321</v>
      </c>
      <c r="G571">
        <v>59.728521000000001</v>
      </c>
      <c r="H571">
        <v>-151.12964299999999</v>
      </c>
      <c r="I571" t="s">
        <v>764</v>
      </c>
      <c r="J571" t="s">
        <v>14</v>
      </c>
      <c r="K571" t="s">
        <v>3</v>
      </c>
      <c r="L571" t="s">
        <v>3</v>
      </c>
      <c r="M571" t="s">
        <v>26</v>
      </c>
      <c r="N571" t="s">
        <v>85</v>
      </c>
      <c r="O571" t="s">
        <v>135</v>
      </c>
      <c r="P571" t="s">
        <v>65</v>
      </c>
      <c r="Q571">
        <v>7</v>
      </c>
      <c r="R571" t="s">
        <v>213</v>
      </c>
      <c r="S571" t="s">
        <v>9</v>
      </c>
      <c r="T571">
        <v>5</v>
      </c>
      <c r="U571" t="s">
        <v>28</v>
      </c>
      <c r="V571" t="s">
        <v>28</v>
      </c>
      <c r="W571">
        <v>13</v>
      </c>
      <c r="X571">
        <v>14.1</v>
      </c>
      <c r="Y571">
        <f t="shared" si="10"/>
        <v>0.76026311234992816</v>
      </c>
      <c r="Z571">
        <f>14.44-X571</f>
        <v>0.33999999999999986</v>
      </c>
    </row>
    <row r="572" spans="1:26" x14ac:dyDescent="0.2">
      <c r="A572" t="s">
        <v>131</v>
      </c>
      <c r="B572">
        <v>2017</v>
      </c>
      <c r="C572" t="s">
        <v>807</v>
      </c>
      <c r="D572" t="s">
        <v>815</v>
      </c>
      <c r="E572" t="s">
        <v>132</v>
      </c>
      <c r="F572" t="s">
        <v>321</v>
      </c>
      <c r="G572">
        <v>59.728521000000001</v>
      </c>
      <c r="H572">
        <v>-151.12964299999999</v>
      </c>
      <c r="I572" t="s">
        <v>764</v>
      </c>
      <c r="J572" t="s">
        <v>14</v>
      </c>
      <c r="K572" t="s">
        <v>3</v>
      </c>
      <c r="L572" t="s">
        <v>3</v>
      </c>
      <c r="M572" t="s">
        <v>26</v>
      </c>
      <c r="N572" t="s">
        <v>85</v>
      </c>
      <c r="O572" t="s">
        <v>135</v>
      </c>
      <c r="P572" t="s">
        <v>65</v>
      </c>
      <c r="Q572">
        <v>7</v>
      </c>
      <c r="R572" t="s">
        <v>213</v>
      </c>
      <c r="S572" t="s">
        <v>27</v>
      </c>
      <c r="T572">
        <v>5</v>
      </c>
      <c r="U572" t="s">
        <v>28</v>
      </c>
      <c r="V572" t="s">
        <v>28</v>
      </c>
      <c r="W572">
        <v>17</v>
      </c>
      <c r="X572">
        <v>3.5</v>
      </c>
      <c r="Y572">
        <f t="shared" si="10"/>
        <v>0.24596747752497661</v>
      </c>
      <c r="Z572">
        <f>3.61-X572</f>
        <v>0.10999999999999988</v>
      </c>
    </row>
    <row r="573" spans="1:26" x14ac:dyDescent="0.2">
      <c r="A573" t="s">
        <v>131</v>
      </c>
      <c r="B573">
        <v>2017</v>
      </c>
      <c r="C573" t="s">
        <v>807</v>
      </c>
      <c r="D573" t="s">
        <v>815</v>
      </c>
      <c r="E573" t="s">
        <v>132</v>
      </c>
      <c r="F573" t="s">
        <v>321</v>
      </c>
      <c r="G573">
        <v>59.728521000000001</v>
      </c>
      <c r="H573">
        <v>-151.12964299999999</v>
      </c>
      <c r="I573" t="s">
        <v>764</v>
      </c>
      <c r="J573" t="s">
        <v>14</v>
      </c>
      <c r="K573" t="s">
        <v>3</v>
      </c>
      <c r="L573" t="s">
        <v>3</v>
      </c>
      <c r="M573" t="s">
        <v>26</v>
      </c>
      <c r="N573" t="s">
        <v>85</v>
      </c>
      <c r="O573" t="s">
        <v>135</v>
      </c>
      <c r="P573" t="s">
        <v>65</v>
      </c>
      <c r="Q573">
        <v>7</v>
      </c>
      <c r="R573" t="s">
        <v>213</v>
      </c>
      <c r="S573" t="s">
        <v>13</v>
      </c>
      <c r="T573">
        <v>5</v>
      </c>
      <c r="U573" t="s">
        <v>28</v>
      </c>
      <c r="V573" t="s">
        <v>28</v>
      </c>
      <c r="W573">
        <v>21</v>
      </c>
      <c r="X573">
        <v>1.35</v>
      </c>
      <c r="Y573">
        <f t="shared" si="10"/>
        <v>0.51429563482495166</v>
      </c>
      <c r="Z573">
        <f>1.58-X573</f>
        <v>0.22999999999999998</v>
      </c>
    </row>
    <row r="574" spans="1:26" x14ac:dyDescent="0.2">
      <c r="A574" t="s">
        <v>131</v>
      </c>
      <c r="B574">
        <v>2017</v>
      </c>
      <c r="C574" t="s">
        <v>826</v>
      </c>
      <c r="D574" t="s">
        <v>821</v>
      </c>
      <c r="E574" t="s">
        <v>134</v>
      </c>
      <c r="F574" t="s">
        <v>321</v>
      </c>
      <c r="G574">
        <v>59.728521000000001</v>
      </c>
      <c r="H574">
        <v>-151.12964299999999</v>
      </c>
      <c r="I574" t="s">
        <v>764</v>
      </c>
      <c r="J574" t="s">
        <v>7</v>
      </c>
      <c r="K574" t="s">
        <v>3</v>
      </c>
      <c r="L574" t="s">
        <v>3</v>
      </c>
      <c r="M574" t="s">
        <v>26</v>
      </c>
      <c r="N574" t="s">
        <v>85</v>
      </c>
      <c r="O574" t="s">
        <v>135</v>
      </c>
      <c r="P574" t="s">
        <v>65</v>
      </c>
      <c r="Q574">
        <v>7</v>
      </c>
      <c r="R574" t="s">
        <v>213</v>
      </c>
      <c r="S574" t="s">
        <v>7</v>
      </c>
      <c r="T574">
        <v>5</v>
      </c>
      <c r="U574" t="s">
        <v>28</v>
      </c>
      <c r="V574" t="s">
        <v>28</v>
      </c>
      <c r="W574">
        <v>9</v>
      </c>
      <c r="X574">
        <v>22.24</v>
      </c>
      <c r="Y574">
        <f t="shared" si="10"/>
        <v>0.49193495504995916</v>
      </c>
      <c r="Z574">
        <f>22.46-X574</f>
        <v>0.22000000000000242</v>
      </c>
    </row>
    <row r="575" spans="1:26" x14ac:dyDescent="0.2">
      <c r="A575" t="s">
        <v>131</v>
      </c>
      <c r="B575">
        <v>2017</v>
      </c>
      <c r="C575" t="s">
        <v>826</v>
      </c>
      <c r="D575" t="s">
        <v>821</v>
      </c>
      <c r="E575" t="s">
        <v>134</v>
      </c>
      <c r="F575" t="s">
        <v>321</v>
      </c>
      <c r="G575">
        <v>59.728521000000001</v>
      </c>
      <c r="H575">
        <v>-151.12964299999999</v>
      </c>
      <c r="I575" t="s">
        <v>764</v>
      </c>
      <c r="J575" t="s">
        <v>14</v>
      </c>
      <c r="K575" t="s">
        <v>3</v>
      </c>
      <c r="L575" t="s">
        <v>3</v>
      </c>
      <c r="M575" t="s">
        <v>26</v>
      </c>
      <c r="N575" t="s">
        <v>85</v>
      </c>
      <c r="O575" t="s">
        <v>135</v>
      </c>
      <c r="P575" t="s">
        <v>65</v>
      </c>
      <c r="Q575">
        <v>7</v>
      </c>
      <c r="R575" t="s">
        <v>213</v>
      </c>
      <c r="S575" t="s">
        <v>9</v>
      </c>
      <c r="T575">
        <v>5</v>
      </c>
      <c r="U575" t="s">
        <v>28</v>
      </c>
      <c r="V575" t="s">
        <v>28</v>
      </c>
      <c r="W575">
        <v>13</v>
      </c>
      <c r="X575">
        <v>24.73</v>
      </c>
      <c r="Y575">
        <f t="shared" si="10"/>
        <v>0.62609903369994369</v>
      </c>
      <c r="Z575">
        <f>25.01-X575</f>
        <v>0.28000000000000114</v>
      </c>
    </row>
    <row r="576" spans="1:26" x14ac:dyDescent="0.2">
      <c r="A576" t="s">
        <v>131</v>
      </c>
      <c r="B576">
        <v>2017</v>
      </c>
      <c r="C576" t="s">
        <v>826</v>
      </c>
      <c r="D576" t="s">
        <v>821</v>
      </c>
      <c r="E576" t="s">
        <v>134</v>
      </c>
      <c r="F576" t="s">
        <v>321</v>
      </c>
      <c r="G576">
        <v>59.728521000000001</v>
      </c>
      <c r="H576">
        <v>-151.12964299999999</v>
      </c>
      <c r="I576" t="s">
        <v>764</v>
      </c>
      <c r="J576" t="s">
        <v>14</v>
      </c>
      <c r="K576" t="s">
        <v>3</v>
      </c>
      <c r="L576" t="s">
        <v>3</v>
      </c>
      <c r="M576" t="s">
        <v>26</v>
      </c>
      <c r="N576" t="s">
        <v>85</v>
      </c>
      <c r="O576" t="s">
        <v>135</v>
      </c>
      <c r="P576" t="s">
        <v>65</v>
      </c>
      <c r="Q576">
        <v>7</v>
      </c>
      <c r="R576" t="s">
        <v>213</v>
      </c>
      <c r="S576" t="s">
        <v>27</v>
      </c>
      <c r="T576">
        <v>5</v>
      </c>
      <c r="U576" t="s">
        <v>28</v>
      </c>
      <c r="V576" t="s">
        <v>28</v>
      </c>
      <c r="W576">
        <v>17</v>
      </c>
      <c r="X576">
        <v>21.68</v>
      </c>
      <c r="Y576">
        <f t="shared" si="10"/>
        <v>0.24596747752497561</v>
      </c>
      <c r="Z576">
        <f>21.79-X576</f>
        <v>0.10999999999999943</v>
      </c>
    </row>
    <row r="577" spans="1:26" x14ac:dyDescent="0.2">
      <c r="A577" t="s">
        <v>131</v>
      </c>
      <c r="B577">
        <v>2017</v>
      </c>
      <c r="C577" t="s">
        <v>826</v>
      </c>
      <c r="D577" t="s">
        <v>821</v>
      </c>
      <c r="E577" t="s">
        <v>134</v>
      </c>
      <c r="F577" t="s">
        <v>321</v>
      </c>
      <c r="G577">
        <v>59.728521000000001</v>
      </c>
      <c r="H577">
        <v>-151.12964299999999</v>
      </c>
      <c r="I577" t="s">
        <v>764</v>
      </c>
      <c r="J577" t="s">
        <v>14</v>
      </c>
      <c r="K577" t="s">
        <v>3</v>
      </c>
      <c r="L577" t="s">
        <v>3</v>
      </c>
      <c r="M577" t="s">
        <v>26</v>
      </c>
      <c r="N577" t="s">
        <v>85</v>
      </c>
      <c r="O577" t="s">
        <v>135</v>
      </c>
      <c r="P577" t="s">
        <v>65</v>
      </c>
      <c r="Q577">
        <v>7</v>
      </c>
      <c r="R577" t="s">
        <v>213</v>
      </c>
      <c r="S577" t="s">
        <v>13</v>
      </c>
      <c r="T577">
        <v>5</v>
      </c>
      <c r="U577" t="s">
        <v>28</v>
      </c>
      <c r="V577" t="s">
        <v>28</v>
      </c>
      <c r="W577">
        <v>21</v>
      </c>
      <c r="X577">
        <v>8.15</v>
      </c>
      <c r="Y577">
        <f t="shared" si="10"/>
        <v>0.73790243257493082</v>
      </c>
      <c r="Z577">
        <f xml:space="preserve"> 8.48-X577</f>
        <v>0.33000000000000007</v>
      </c>
    </row>
    <row r="578" spans="1:26" x14ac:dyDescent="0.2">
      <c r="A578" t="s">
        <v>131</v>
      </c>
      <c r="B578">
        <v>2017</v>
      </c>
      <c r="C578" t="s">
        <v>826</v>
      </c>
      <c r="D578" t="s">
        <v>824</v>
      </c>
      <c r="E578" t="s">
        <v>48</v>
      </c>
      <c r="F578" t="s">
        <v>321</v>
      </c>
      <c r="G578">
        <v>59.728521000000001</v>
      </c>
      <c r="H578">
        <v>-151.12964299999999</v>
      </c>
      <c r="I578" t="s">
        <v>764</v>
      </c>
      <c r="J578" t="s">
        <v>7</v>
      </c>
      <c r="K578" t="s">
        <v>3</v>
      </c>
      <c r="L578" t="s">
        <v>3</v>
      </c>
      <c r="M578" t="s">
        <v>26</v>
      </c>
      <c r="N578" t="s">
        <v>85</v>
      </c>
      <c r="O578" t="s">
        <v>135</v>
      </c>
      <c r="P578" t="s">
        <v>65</v>
      </c>
      <c r="Q578">
        <v>7</v>
      </c>
      <c r="R578" t="s">
        <v>213</v>
      </c>
      <c r="S578" t="s">
        <v>7</v>
      </c>
      <c r="T578">
        <v>5</v>
      </c>
      <c r="U578" t="s">
        <v>28</v>
      </c>
      <c r="V578" t="s">
        <v>28</v>
      </c>
      <c r="W578">
        <v>9</v>
      </c>
      <c r="X578">
        <v>29.01</v>
      </c>
      <c r="Y578">
        <f t="shared" si="10"/>
        <v>0.26832815729996906</v>
      </c>
      <c r="Z578">
        <f>29.13-X578</f>
        <v>0.11999999999999744</v>
      </c>
    </row>
    <row r="579" spans="1:26" x14ac:dyDescent="0.2">
      <c r="A579" t="s">
        <v>131</v>
      </c>
      <c r="B579">
        <v>2017</v>
      </c>
      <c r="C579" t="s">
        <v>826</v>
      </c>
      <c r="D579" t="s">
        <v>824</v>
      </c>
      <c r="E579" t="s">
        <v>48</v>
      </c>
      <c r="F579" t="s">
        <v>321</v>
      </c>
      <c r="G579">
        <v>59.728521000000001</v>
      </c>
      <c r="H579">
        <v>-151.12964299999999</v>
      </c>
      <c r="I579" t="s">
        <v>764</v>
      </c>
      <c r="J579" t="s">
        <v>14</v>
      </c>
      <c r="K579" t="s">
        <v>3</v>
      </c>
      <c r="L579" t="s">
        <v>3</v>
      </c>
      <c r="M579" t="s">
        <v>26</v>
      </c>
      <c r="N579" t="s">
        <v>85</v>
      </c>
      <c r="O579" t="s">
        <v>135</v>
      </c>
      <c r="P579" t="s">
        <v>65</v>
      </c>
      <c r="Q579">
        <v>7</v>
      </c>
      <c r="R579" t="s">
        <v>213</v>
      </c>
      <c r="S579" t="s">
        <v>9</v>
      </c>
      <c r="T579">
        <v>5</v>
      </c>
      <c r="U579" t="s">
        <v>28</v>
      </c>
      <c r="V579" t="s">
        <v>28</v>
      </c>
      <c r="W579">
        <v>13</v>
      </c>
      <c r="X579">
        <v>25.52</v>
      </c>
      <c r="Y579">
        <f t="shared" si="10"/>
        <v>0.268328157299977</v>
      </c>
      <c r="Z579">
        <f>25.64-X579</f>
        <v>0.12000000000000099</v>
      </c>
    </row>
    <row r="580" spans="1:26" x14ac:dyDescent="0.2">
      <c r="A580" t="s">
        <v>131</v>
      </c>
      <c r="B580">
        <v>2017</v>
      </c>
      <c r="C580" t="s">
        <v>826</v>
      </c>
      <c r="D580" t="s">
        <v>824</v>
      </c>
      <c r="E580" t="s">
        <v>48</v>
      </c>
      <c r="F580" t="s">
        <v>321</v>
      </c>
      <c r="G580">
        <v>59.728521000000001</v>
      </c>
      <c r="H580">
        <v>-151.12964299999999</v>
      </c>
      <c r="I580" t="s">
        <v>764</v>
      </c>
      <c r="J580" t="s">
        <v>14</v>
      </c>
      <c r="K580" t="s">
        <v>3</v>
      </c>
      <c r="L580" t="s">
        <v>3</v>
      </c>
      <c r="M580" t="s">
        <v>26</v>
      </c>
      <c r="N580" t="s">
        <v>85</v>
      </c>
      <c r="O580" t="s">
        <v>135</v>
      </c>
      <c r="P580" t="s">
        <v>65</v>
      </c>
      <c r="Q580">
        <v>7</v>
      </c>
      <c r="R580" t="s">
        <v>213</v>
      </c>
      <c r="S580" t="s">
        <v>27</v>
      </c>
      <c r="T580">
        <v>5</v>
      </c>
      <c r="U580" t="s">
        <v>28</v>
      </c>
      <c r="V580" t="s">
        <v>28</v>
      </c>
      <c r="W580">
        <v>17</v>
      </c>
      <c r="X580">
        <v>21.45</v>
      </c>
      <c r="Y580">
        <f t="shared" si="10"/>
        <v>0.536656314599954</v>
      </c>
      <c r="Z580">
        <f>21.69-X580</f>
        <v>0.24000000000000199</v>
      </c>
    </row>
    <row r="581" spans="1:26" x14ac:dyDescent="0.2">
      <c r="A581" t="s">
        <v>131</v>
      </c>
      <c r="B581">
        <v>2017</v>
      </c>
      <c r="C581" t="s">
        <v>826</v>
      </c>
      <c r="D581" t="s">
        <v>824</v>
      </c>
      <c r="E581" t="s">
        <v>48</v>
      </c>
      <c r="F581" t="s">
        <v>321</v>
      </c>
      <c r="G581">
        <v>59.728521000000001</v>
      </c>
      <c r="H581">
        <v>-151.12964299999999</v>
      </c>
      <c r="I581" t="s">
        <v>764</v>
      </c>
      <c r="J581" t="s">
        <v>14</v>
      </c>
      <c r="K581" t="s">
        <v>3</v>
      </c>
      <c r="L581" t="s">
        <v>3</v>
      </c>
      <c r="M581" t="s">
        <v>26</v>
      </c>
      <c r="N581" t="s">
        <v>85</v>
      </c>
      <c r="O581" t="s">
        <v>135</v>
      </c>
      <c r="P581" t="s">
        <v>65</v>
      </c>
      <c r="Q581">
        <v>7</v>
      </c>
      <c r="R581" t="s">
        <v>213</v>
      </c>
      <c r="S581" t="s">
        <v>13</v>
      </c>
      <c r="T581">
        <v>5</v>
      </c>
      <c r="U581" t="s">
        <v>28</v>
      </c>
      <c r="V581" t="s">
        <v>28</v>
      </c>
      <c r="W581">
        <v>21</v>
      </c>
      <c r="X581">
        <v>11.63</v>
      </c>
      <c r="Y581">
        <f t="shared" si="10"/>
        <v>0.51429563482494867</v>
      </c>
      <c r="Z581">
        <f>11.86-X581</f>
        <v>0.22999999999999865</v>
      </c>
    </row>
    <row r="582" spans="1:26" x14ac:dyDescent="0.2">
      <c r="A582" t="s">
        <v>131</v>
      </c>
      <c r="B582">
        <v>2017</v>
      </c>
      <c r="C582" t="s">
        <v>807</v>
      </c>
      <c r="D582" t="s">
        <v>815</v>
      </c>
      <c r="E582" t="s">
        <v>132</v>
      </c>
      <c r="F582" t="s">
        <v>321</v>
      </c>
      <c r="G582">
        <v>59.728521000000001</v>
      </c>
      <c r="H582">
        <v>-151.12964299999999</v>
      </c>
      <c r="I582" t="s">
        <v>764</v>
      </c>
      <c r="J582" t="s">
        <v>7</v>
      </c>
      <c r="K582" t="s">
        <v>3</v>
      </c>
      <c r="L582" t="s">
        <v>3</v>
      </c>
      <c r="M582" t="s">
        <v>727</v>
      </c>
      <c r="N582" t="s">
        <v>85</v>
      </c>
      <c r="O582" t="s">
        <v>136</v>
      </c>
      <c r="P582" t="s">
        <v>70</v>
      </c>
      <c r="Q582">
        <v>7</v>
      </c>
      <c r="R582" t="s">
        <v>213</v>
      </c>
      <c r="S582" t="s">
        <v>7</v>
      </c>
      <c r="T582">
        <v>5</v>
      </c>
      <c r="U582" t="s">
        <v>28</v>
      </c>
      <c r="V582" t="s">
        <v>28</v>
      </c>
      <c r="W582">
        <v>9</v>
      </c>
      <c r="X582" s="3"/>
      <c r="Y582" s="3"/>
      <c r="Z582" s="3"/>
    </row>
    <row r="583" spans="1:26" x14ac:dyDescent="0.2">
      <c r="A583" t="s">
        <v>131</v>
      </c>
      <c r="B583">
        <v>2017</v>
      </c>
      <c r="C583" t="s">
        <v>807</v>
      </c>
      <c r="D583" t="s">
        <v>815</v>
      </c>
      <c r="E583" t="s">
        <v>132</v>
      </c>
      <c r="F583" t="s">
        <v>321</v>
      </c>
      <c r="G583">
        <v>59.728521000000001</v>
      </c>
      <c r="H583">
        <v>-151.12964299999999</v>
      </c>
      <c r="I583" t="s">
        <v>764</v>
      </c>
      <c r="J583" t="s">
        <v>14</v>
      </c>
      <c r="K583" t="s">
        <v>3</v>
      </c>
      <c r="L583" t="s">
        <v>3</v>
      </c>
      <c r="M583" t="s">
        <v>727</v>
      </c>
      <c r="N583" t="s">
        <v>85</v>
      </c>
      <c r="O583" t="s">
        <v>136</v>
      </c>
      <c r="P583" t="s">
        <v>70</v>
      </c>
      <c r="Q583">
        <v>7</v>
      </c>
      <c r="R583" t="s">
        <v>213</v>
      </c>
      <c r="S583" t="s">
        <v>9</v>
      </c>
      <c r="T583">
        <v>5</v>
      </c>
      <c r="U583" t="s">
        <v>28</v>
      </c>
      <c r="V583" t="s">
        <v>28</v>
      </c>
      <c r="W583">
        <v>13</v>
      </c>
      <c r="X583" s="3"/>
      <c r="Y583" s="3"/>
      <c r="Z583" s="3"/>
    </row>
    <row r="584" spans="1:26" x14ac:dyDescent="0.2">
      <c r="A584" t="s">
        <v>131</v>
      </c>
      <c r="B584">
        <v>2017</v>
      </c>
      <c r="C584" t="s">
        <v>807</v>
      </c>
      <c r="D584" t="s">
        <v>815</v>
      </c>
      <c r="E584" t="s">
        <v>132</v>
      </c>
      <c r="F584" t="s">
        <v>321</v>
      </c>
      <c r="G584">
        <v>59.728521000000001</v>
      </c>
      <c r="H584">
        <v>-151.12964299999999</v>
      </c>
      <c r="I584" t="s">
        <v>764</v>
      </c>
      <c r="J584" t="s">
        <v>14</v>
      </c>
      <c r="K584" t="s">
        <v>3</v>
      </c>
      <c r="L584" t="s">
        <v>3</v>
      </c>
      <c r="M584" t="s">
        <v>727</v>
      </c>
      <c r="N584" t="s">
        <v>85</v>
      </c>
      <c r="O584" t="s">
        <v>136</v>
      </c>
      <c r="P584" t="s">
        <v>70</v>
      </c>
      <c r="Q584">
        <v>7</v>
      </c>
      <c r="R584" t="s">
        <v>213</v>
      </c>
      <c r="S584" t="s">
        <v>27</v>
      </c>
      <c r="T584">
        <v>5</v>
      </c>
      <c r="U584" t="s">
        <v>28</v>
      </c>
      <c r="V584" t="s">
        <v>28</v>
      </c>
      <c r="W584">
        <v>17</v>
      </c>
      <c r="X584" s="3"/>
      <c r="Y584" s="3"/>
      <c r="Z584" s="3"/>
    </row>
    <row r="585" spans="1:26" x14ac:dyDescent="0.2">
      <c r="A585" t="s">
        <v>131</v>
      </c>
      <c r="B585">
        <v>2017</v>
      </c>
      <c r="C585" t="s">
        <v>807</v>
      </c>
      <c r="D585" t="s">
        <v>815</v>
      </c>
      <c r="E585" t="s">
        <v>132</v>
      </c>
      <c r="F585" t="s">
        <v>321</v>
      </c>
      <c r="G585">
        <v>59.728521000000001</v>
      </c>
      <c r="H585">
        <v>-151.12964299999999</v>
      </c>
      <c r="I585" t="s">
        <v>764</v>
      </c>
      <c r="J585" t="s">
        <v>14</v>
      </c>
      <c r="K585" t="s">
        <v>3</v>
      </c>
      <c r="L585" t="s">
        <v>3</v>
      </c>
      <c r="M585" t="s">
        <v>727</v>
      </c>
      <c r="N585" t="s">
        <v>85</v>
      </c>
      <c r="O585" t="s">
        <v>136</v>
      </c>
      <c r="P585" t="s">
        <v>70</v>
      </c>
      <c r="Q585">
        <v>7</v>
      </c>
      <c r="R585" t="s">
        <v>213</v>
      </c>
      <c r="S585" t="s">
        <v>13</v>
      </c>
      <c r="T585">
        <v>5</v>
      </c>
      <c r="U585" t="s">
        <v>28</v>
      </c>
      <c r="V585" t="s">
        <v>28</v>
      </c>
      <c r="W585">
        <v>21</v>
      </c>
      <c r="X585" s="3"/>
      <c r="Y585" s="3"/>
      <c r="Z585" s="3"/>
    </row>
    <row r="586" spans="1:26" x14ac:dyDescent="0.2">
      <c r="A586" t="s">
        <v>131</v>
      </c>
      <c r="B586">
        <v>2017</v>
      </c>
      <c r="C586" t="s">
        <v>826</v>
      </c>
      <c r="D586" t="s">
        <v>821</v>
      </c>
      <c r="E586" t="s">
        <v>134</v>
      </c>
      <c r="F586" t="s">
        <v>321</v>
      </c>
      <c r="G586">
        <v>59.728521000000001</v>
      </c>
      <c r="H586">
        <v>-151.12964299999999</v>
      </c>
      <c r="I586" t="s">
        <v>764</v>
      </c>
      <c r="J586" t="s">
        <v>7</v>
      </c>
      <c r="K586" t="s">
        <v>3</v>
      </c>
      <c r="L586" t="s">
        <v>3</v>
      </c>
      <c r="M586" t="s">
        <v>727</v>
      </c>
      <c r="N586" t="s">
        <v>85</v>
      </c>
      <c r="O586" t="s">
        <v>136</v>
      </c>
      <c r="P586" t="s">
        <v>70</v>
      </c>
      <c r="Q586">
        <v>7</v>
      </c>
      <c r="R586" t="s">
        <v>213</v>
      </c>
      <c r="S586" t="s">
        <v>7</v>
      </c>
      <c r="T586">
        <v>5</v>
      </c>
      <c r="U586" t="s">
        <v>28</v>
      </c>
      <c r="V586" t="s">
        <v>28</v>
      </c>
      <c r="W586">
        <v>9</v>
      </c>
      <c r="X586" s="3"/>
      <c r="Y586" s="3"/>
      <c r="Z586" s="3"/>
    </row>
    <row r="587" spans="1:26" x14ac:dyDescent="0.2">
      <c r="A587" t="s">
        <v>131</v>
      </c>
      <c r="B587">
        <v>2017</v>
      </c>
      <c r="C587" t="s">
        <v>826</v>
      </c>
      <c r="D587" t="s">
        <v>821</v>
      </c>
      <c r="E587" t="s">
        <v>134</v>
      </c>
      <c r="F587" t="s">
        <v>321</v>
      </c>
      <c r="G587">
        <v>59.728521000000001</v>
      </c>
      <c r="H587">
        <v>-151.12964299999999</v>
      </c>
      <c r="I587" t="s">
        <v>764</v>
      </c>
      <c r="J587" t="s">
        <v>14</v>
      </c>
      <c r="K587" t="s">
        <v>3</v>
      </c>
      <c r="L587" t="s">
        <v>3</v>
      </c>
      <c r="M587" t="s">
        <v>727</v>
      </c>
      <c r="N587" t="s">
        <v>85</v>
      </c>
      <c r="O587" t="s">
        <v>136</v>
      </c>
      <c r="P587" t="s">
        <v>70</v>
      </c>
      <c r="Q587">
        <v>7</v>
      </c>
      <c r="R587" t="s">
        <v>213</v>
      </c>
      <c r="S587" t="s">
        <v>9</v>
      </c>
      <c r="T587">
        <v>5</v>
      </c>
      <c r="U587" t="s">
        <v>28</v>
      </c>
      <c r="V587" t="s">
        <v>28</v>
      </c>
      <c r="W587">
        <v>13</v>
      </c>
      <c r="X587" s="3"/>
      <c r="Y587" s="3"/>
      <c r="Z587" s="3"/>
    </row>
    <row r="588" spans="1:26" x14ac:dyDescent="0.2">
      <c r="A588" t="s">
        <v>131</v>
      </c>
      <c r="B588">
        <v>2017</v>
      </c>
      <c r="C588" t="s">
        <v>826</v>
      </c>
      <c r="D588" t="s">
        <v>821</v>
      </c>
      <c r="E588" t="s">
        <v>134</v>
      </c>
      <c r="F588" t="s">
        <v>321</v>
      </c>
      <c r="G588">
        <v>59.728521000000001</v>
      </c>
      <c r="H588">
        <v>-151.12964299999999</v>
      </c>
      <c r="I588" t="s">
        <v>764</v>
      </c>
      <c r="J588" t="s">
        <v>14</v>
      </c>
      <c r="K588" t="s">
        <v>3</v>
      </c>
      <c r="L588" t="s">
        <v>3</v>
      </c>
      <c r="M588" t="s">
        <v>727</v>
      </c>
      <c r="N588" t="s">
        <v>85</v>
      </c>
      <c r="O588" t="s">
        <v>136</v>
      </c>
      <c r="P588" t="s">
        <v>70</v>
      </c>
      <c r="Q588">
        <v>7</v>
      </c>
      <c r="R588" t="s">
        <v>213</v>
      </c>
      <c r="S588" t="s">
        <v>27</v>
      </c>
      <c r="T588">
        <v>5</v>
      </c>
      <c r="U588" t="s">
        <v>28</v>
      </c>
      <c r="V588" t="s">
        <v>28</v>
      </c>
      <c r="W588">
        <v>17</v>
      </c>
      <c r="X588" s="3"/>
      <c r="Y588" s="3"/>
      <c r="Z588" s="3"/>
    </row>
    <row r="589" spans="1:26" x14ac:dyDescent="0.2">
      <c r="A589" t="s">
        <v>131</v>
      </c>
      <c r="B589">
        <v>2017</v>
      </c>
      <c r="C589" t="s">
        <v>826</v>
      </c>
      <c r="D589" t="s">
        <v>821</v>
      </c>
      <c r="E589" t="s">
        <v>134</v>
      </c>
      <c r="F589" t="s">
        <v>321</v>
      </c>
      <c r="G589">
        <v>59.728521000000001</v>
      </c>
      <c r="H589">
        <v>-151.12964299999999</v>
      </c>
      <c r="I589" t="s">
        <v>764</v>
      </c>
      <c r="J589" t="s">
        <v>14</v>
      </c>
      <c r="K589" t="s">
        <v>3</v>
      </c>
      <c r="L589" t="s">
        <v>3</v>
      </c>
      <c r="M589" t="s">
        <v>727</v>
      </c>
      <c r="N589" t="s">
        <v>85</v>
      </c>
      <c r="O589" t="s">
        <v>136</v>
      </c>
      <c r="P589" t="s">
        <v>70</v>
      </c>
      <c r="Q589">
        <v>7</v>
      </c>
      <c r="R589" t="s">
        <v>213</v>
      </c>
      <c r="S589" t="s">
        <v>13</v>
      </c>
      <c r="T589">
        <v>5</v>
      </c>
      <c r="U589" t="s">
        <v>28</v>
      </c>
      <c r="V589" t="s">
        <v>28</v>
      </c>
      <c r="W589">
        <v>21</v>
      </c>
      <c r="X589" s="3"/>
      <c r="Y589" s="3"/>
      <c r="Z589" s="3"/>
    </row>
    <row r="590" spans="1:26" x14ac:dyDescent="0.2">
      <c r="A590" t="s">
        <v>131</v>
      </c>
      <c r="B590">
        <v>2017</v>
      </c>
      <c r="C590" t="s">
        <v>826</v>
      </c>
      <c r="D590" t="s">
        <v>824</v>
      </c>
      <c r="E590" t="s">
        <v>48</v>
      </c>
      <c r="F590" t="s">
        <v>321</v>
      </c>
      <c r="G590">
        <v>59.728521000000001</v>
      </c>
      <c r="H590">
        <v>-151.12964299999999</v>
      </c>
      <c r="I590" t="s">
        <v>764</v>
      </c>
      <c r="J590" t="s">
        <v>7</v>
      </c>
      <c r="K590" t="s">
        <v>3</v>
      </c>
      <c r="L590" t="s">
        <v>3</v>
      </c>
      <c r="M590" t="s">
        <v>727</v>
      </c>
      <c r="N590" t="s">
        <v>85</v>
      </c>
      <c r="O590" t="s">
        <v>136</v>
      </c>
      <c r="P590" t="s">
        <v>70</v>
      </c>
      <c r="Q590">
        <v>7</v>
      </c>
      <c r="R590" t="s">
        <v>213</v>
      </c>
      <c r="S590" t="s">
        <v>7</v>
      </c>
      <c r="T590">
        <v>5</v>
      </c>
      <c r="U590" t="s">
        <v>28</v>
      </c>
      <c r="V590" t="s">
        <v>28</v>
      </c>
      <c r="W590">
        <v>9</v>
      </c>
      <c r="X590" s="3"/>
      <c r="Y590" s="3"/>
      <c r="Z590" s="3"/>
    </row>
    <row r="591" spans="1:26" x14ac:dyDescent="0.2">
      <c r="A591" t="s">
        <v>131</v>
      </c>
      <c r="B591">
        <v>2017</v>
      </c>
      <c r="C591" t="s">
        <v>826</v>
      </c>
      <c r="D591" t="s">
        <v>824</v>
      </c>
      <c r="E591" t="s">
        <v>48</v>
      </c>
      <c r="F591" t="s">
        <v>321</v>
      </c>
      <c r="G591">
        <v>59.728521000000001</v>
      </c>
      <c r="H591">
        <v>-151.12964299999999</v>
      </c>
      <c r="I591" t="s">
        <v>764</v>
      </c>
      <c r="J591" t="s">
        <v>14</v>
      </c>
      <c r="K591" t="s">
        <v>3</v>
      </c>
      <c r="L591" t="s">
        <v>3</v>
      </c>
      <c r="M591" t="s">
        <v>727</v>
      </c>
      <c r="N591" t="s">
        <v>85</v>
      </c>
      <c r="O591" t="s">
        <v>136</v>
      </c>
      <c r="P591" t="s">
        <v>70</v>
      </c>
      <c r="Q591">
        <v>7</v>
      </c>
      <c r="R591" t="s">
        <v>213</v>
      </c>
      <c r="S591" t="s">
        <v>9</v>
      </c>
      <c r="T591">
        <v>5</v>
      </c>
      <c r="U591" t="s">
        <v>28</v>
      </c>
      <c r="V591" t="s">
        <v>28</v>
      </c>
      <c r="W591">
        <v>13</v>
      </c>
      <c r="X591" s="3"/>
      <c r="Y591" s="3"/>
      <c r="Z591" s="3"/>
    </row>
    <row r="592" spans="1:26" x14ac:dyDescent="0.2">
      <c r="A592" t="s">
        <v>131</v>
      </c>
      <c r="B592">
        <v>2017</v>
      </c>
      <c r="C592" t="s">
        <v>826</v>
      </c>
      <c r="D592" t="s">
        <v>824</v>
      </c>
      <c r="E592" t="s">
        <v>48</v>
      </c>
      <c r="F592" t="s">
        <v>321</v>
      </c>
      <c r="G592">
        <v>59.728521000000001</v>
      </c>
      <c r="H592">
        <v>-151.12964299999999</v>
      </c>
      <c r="I592" t="s">
        <v>764</v>
      </c>
      <c r="J592" t="s">
        <v>14</v>
      </c>
      <c r="K592" t="s">
        <v>3</v>
      </c>
      <c r="L592" t="s">
        <v>3</v>
      </c>
      <c r="M592" t="s">
        <v>727</v>
      </c>
      <c r="N592" t="s">
        <v>85</v>
      </c>
      <c r="O592" t="s">
        <v>136</v>
      </c>
      <c r="P592" t="s">
        <v>70</v>
      </c>
      <c r="Q592">
        <v>7</v>
      </c>
      <c r="R592" t="s">
        <v>213</v>
      </c>
      <c r="S592" t="s">
        <v>27</v>
      </c>
      <c r="T592">
        <v>5</v>
      </c>
      <c r="U592" t="s">
        <v>28</v>
      </c>
      <c r="V592" t="s">
        <v>28</v>
      </c>
      <c r="W592">
        <v>17</v>
      </c>
      <c r="X592" s="3"/>
      <c r="Y592" s="3"/>
      <c r="Z592" s="3"/>
    </row>
    <row r="593" spans="1:29" x14ac:dyDescent="0.2">
      <c r="A593" t="s">
        <v>131</v>
      </c>
      <c r="B593">
        <v>2017</v>
      </c>
      <c r="C593" t="s">
        <v>826</v>
      </c>
      <c r="D593" t="s">
        <v>824</v>
      </c>
      <c r="E593" t="s">
        <v>48</v>
      </c>
      <c r="F593" t="s">
        <v>321</v>
      </c>
      <c r="G593">
        <v>59.728521000000001</v>
      </c>
      <c r="H593">
        <v>-151.12964299999999</v>
      </c>
      <c r="I593" t="s">
        <v>764</v>
      </c>
      <c r="J593" t="s">
        <v>14</v>
      </c>
      <c r="K593" t="s">
        <v>3</v>
      </c>
      <c r="L593" t="s">
        <v>3</v>
      </c>
      <c r="M593" t="s">
        <v>727</v>
      </c>
      <c r="N593" t="s">
        <v>85</v>
      </c>
      <c r="O593" t="s">
        <v>136</v>
      </c>
      <c r="P593" t="s">
        <v>70</v>
      </c>
      <c r="Q593">
        <v>7</v>
      </c>
      <c r="R593" t="s">
        <v>213</v>
      </c>
      <c r="S593" t="s">
        <v>13</v>
      </c>
      <c r="T593">
        <v>5</v>
      </c>
      <c r="U593" t="s">
        <v>28</v>
      </c>
      <c r="V593" t="s">
        <v>28</v>
      </c>
      <c r="W593">
        <v>21</v>
      </c>
      <c r="X593" s="3"/>
      <c r="Y593" s="3"/>
      <c r="Z593" s="3"/>
    </row>
    <row r="594" spans="1:29" x14ac:dyDescent="0.2">
      <c r="A594" t="s">
        <v>137</v>
      </c>
      <c r="B594">
        <v>2007</v>
      </c>
      <c r="C594" t="s">
        <v>811</v>
      </c>
      <c r="D594" t="s">
        <v>814</v>
      </c>
      <c r="E594" t="s">
        <v>849</v>
      </c>
      <c r="F594" t="s">
        <v>325</v>
      </c>
      <c r="G594">
        <v>32.668478</v>
      </c>
      <c r="H594">
        <v>-117.246672</v>
      </c>
      <c r="I594" t="s">
        <v>139</v>
      </c>
      <c r="J594" t="s">
        <v>7</v>
      </c>
      <c r="K594" t="s">
        <v>140</v>
      </c>
      <c r="L594" t="s">
        <v>143</v>
      </c>
      <c r="M594" t="s">
        <v>12</v>
      </c>
      <c r="N594" t="s">
        <v>85</v>
      </c>
      <c r="O594" t="s">
        <v>141</v>
      </c>
      <c r="P594" t="s">
        <v>74</v>
      </c>
      <c r="Q594">
        <v>28</v>
      </c>
      <c r="R594" t="s">
        <v>214</v>
      </c>
      <c r="S594" t="s">
        <v>7</v>
      </c>
      <c r="T594">
        <v>5</v>
      </c>
      <c r="U594" t="s">
        <v>28</v>
      </c>
      <c r="V594" t="s">
        <v>28</v>
      </c>
      <c r="W594">
        <v>12</v>
      </c>
      <c r="X594">
        <v>4.0099999999999997E-2</v>
      </c>
      <c r="Y594">
        <f t="shared" ref="Y594:Y619" si="11">Z594*SQRT(T594)</f>
        <v>6.6187612133993767E-2</v>
      </c>
      <c r="Z594">
        <f>X594-0.0105</f>
        <v>2.9599999999999994E-2</v>
      </c>
      <c r="AC594" s="4"/>
    </row>
    <row r="595" spans="1:29" x14ac:dyDescent="0.2">
      <c r="A595" t="s">
        <v>137</v>
      </c>
      <c r="B595">
        <v>2007</v>
      </c>
      <c r="C595" t="s">
        <v>811</v>
      </c>
      <c r="D595" t="s">
        <v>814</v>
      </c>
      <c r="E595" t="s">
        <v>849</v>
      </c>
      <c r="F595" t="s">
        <v>325</v>
      </c>
      <c r="G595">
        <v>32.668478</v>
      </c>
      <c r="H595">
        <v>-117.246672</v>
      </c>
      <c r="I595" t="s">
        <v>139</v>
      </c>
      <c r="J595" t="s">
        <v>7</v>
      </c>
      <c r="K595" t="s">
        <v>140</v>
      </c>
      <c r="L595" t="s">
        <v>143</v>
      </c>
      <c r="M595" t="s">
        <v>12</v>
      </c>
      <c r="N595" t="s">
        <v>85</v>
      </c>
      <c r="O595" t="s">
        <v>141</v>
      </c>
      <c r="P595" t="s">
        <v>74</v>
      </c>
      <c r="Q595">
        <v>35</v>
      </c>
      <c r="R595" t="s">
        <v>214</v>
      </c>
      <c r="S595" t="s">
        <v>7</v>
      </c>
      <c r="T595">
        <v>5</v>
      </c>
      <c r="U595" t="s">
        <v>28</v>
      </c>
      <c r="V595" t="s">
        <v>28</v>
      </c>
      <c r="W595">
        <v>12</v>
      </c>
      <c r="X595">
        <v>4.65E-2</v>
      </c>
      <c r="Y595">
        <f t="shared" si="11"/>
        <v>5.7466947021744597E-2</v>
      </c>
      <c r="Z595">
        <f>X595-0.0208</f>
        <v>2.5700000000000001E-2</v>
      </c>
      <c r="AC595" s="4"/>
    </row>
    <row r="596" spans="1:29" x14ac:dyDescent="0.2">
      <c r="A596" t="s">
        <v>137</v>
      </c>
      <c r="B596">
        <v>2007</v>
      </c>
      <c r="C596" t="s">
        <v>811</v>
      </c>
      <c r="D596" t="s">
        <v>814</v>
      </c>
      <c r="E596" t="s">
        <v>849</v>
      </c>
      <c r="F596" t="s">
        <v>325</v>
      </c>
      <c r="G596">
        <v>32.668478</v>
      </c>
      <c r="H596">
        <v>-117.246672</v>
      </c>
      <c r="I596" t="s">
        <v>139</v>
      </c>
      <c r="J596" t="s">
        <v>7</v>
      </c>
      <c r="K596" t="s">
        <v>140</v>
      </c>
      <c r="L596" t="s">
        <v>143</v>
      </c>
      <c r="M596" t="s">
        <v>12</v>
      </c>
      <c r="N596" t="s">
        <v>85</v>
      </c>
      <c r="O596" t="s">
        <v>141</v>
      </c>
      <c r="P596" t="s">
        <v>74</v>
      </c>
      <c r="Q596">
        <v>42</v>
      </c>
      <c r="R596" t="s">
        <v>214</v>
      </c>
      <c r="S596" t="s">
        <v>7</v>
      </c>
      <c r="T596">
        <v>5</v>
      </c>
      <c r="U596" t="s">
        <v>28</v>
      </c>
      <c r="V596" t="s">
        <v>28</v>
      </c>
      <c r="W596">
        <v>12</v>
      </c>
      <c r="X596">
        <v>2.5999999999999999E-2</v>
      </c>
      <c r="Y596">
        <f t="shared" si="11"/>
        <v>4.5839393538745693E-2</v>
      </c>
      <c r="Z596">
        <f>0.0465-X596</f>
        <v>2.0500000000000001E-2</v>
      </c>
      <c r="AC596" s="4"/>
    </row>
    <row r="597" spans="1:29" x14ac:dyDescent="0.2">
      <c r="A597" t="s">
        <v>137</v>
      </c>
      <c r="B597">
        <v>2007</v>
      </c>
      <c r="C597" t="s">
        <v>811</v>
      </c>
      <c r="D597" t="s">
        <v>814</v>
      </c>
      <c r="E597" t="s">
        <v>849</v>
      </c>
      <c r="F597" t="s">
        <v>325</v>
      </c>
      <c r="G597">
        <v>32.668478</v>
      </c>
      <c r="H597">
        <v>-117.246672</v>
      </c>
      <c r="I597" t="s">
        <v>139</v>
      </c>
      <c r="J597" t="s">
        <v>7</v>
      </c>
      <c r="K597" t="s">
        <v>140</v>
      </c>
      <c r="L597" t="s">
        <v>143</v>
      </c>
      <c r="M597" t="s">
        <v>12</v>
      </c>
      <c r="N597" t="s">
        <v>85</v>
      </c>
      <c r="O597" t="s">
        <v>141</v>
      </c>
      <c r="P597" t="s">
        <v>74</v>
      </c>
      <c r="Q597">
        <v>49</v>
      </c>
      <c r="R597" t="s">
        <v>214</v>
      </c>
      <c r="S597" t="s">
        <v>7</v>
      </c>
      <c r="T597">
        <v>5</v>
      </c>
      <c r="U597" t="s">
        <v>28</v>
      </c>
      <c r="V597" t="s">
        <v>28</v>
      </c>
      <c r="W597">
        <v>12</v>
      </c>
      <c r="X597">
        <v>6.9400000000000003E-2</v>
      </c>
      <c r="Y597">
        <f t="shared" si="11"/>
        <v>9.9505024998740657E-2</v>
      </c>
      <c r="Z597">
        <f>X597-0.0249</f>
        <v>4.4500000000000005E-2</v>
      </c>
      <c r="AC597" s="4"/>
    </row>
    <row r="598" spans="1:29" x14ac:dyDescent="0.2">
      <c r="A598" t="s">
        <v>137</v>
      </c>
      <c r="B598">
        <v>2007</v>
      </c>
      <c r="C598" t="s">
        <v>811</v>
      </c>
      <c r="D598" t="s">
        <v>814</v>
      </c>
      <c r="E598" t="s">
        <v>849</v>
      </c>
      <c r="F598" t="s">
        <v>325</v>
      </c>
      <c r="G598">
        <v>32.668478</v>
      </c>
      <c r="H598">
        <v>-117.246672</v>
      </c>
      <c r="I598" t="s">
        <v>139</v>
      </c>
      <c r="J598" t="s">
        <v>7</v>
      </c>
      <c r="K598" t="s">
        <v>140</v>
      </c>
      <c r="L598" t="s">
        <v>143</v>
      </c>
      <c r="M598" t="s">
        <v>12</v>
      </c>
      <c r="N598" t="s">
        <v>85</v>
      </c>
      <c r="O598" t="s">
        <v>141</v>
      </c>
      <c r="P598" t="s">
        <v>74</v>
      </c>
      <c r="Q598">
        <v>56</v>
      </c>
      <c r="R598" t="s">
        <v>214</v>
      </c>
      <c r="S598" t="s">
        <v>7</v>
      </c>
      <c r="T598">
        <v>5</v>
      </c>
      <c r="U598" t="s">
        <v>28</v>
      </c>
      <c r="V598" t="s">
        <v>28</v>
      </c>
      <c r="W598">
        <v>12</v>
      </c>
      <c r="X598">
        <v>6.54E-2</v>
      </c>
      <c r="Y598">
        <f t="shared" si="11"/>
        <v>7.1330568482243284E-2</v>
      </c>
      <c r="Z598">
        <f>X598-0.0335</f>
        <v>3.1899999999999998E-2</v>
      </c>
      <c r="AC598" s="4"/>
    </row>
    <row r="599" spans="1:29" x14ac:dyDescent="0.2">
      <c r="A599" t="s">
        <v>137</v>
      </c>
      <c r="B599">
        <v>2007</v>
      </c>
      <c r="C599" t="s">
        <v>811</v>
      </c>
      <c r="D599" t="s">
        <v>814</v>
      </c>
      <c r="E599" t="s">
        <v>849</v>
      </c>
      <c r="F599" t="s">
        <v>325</v>
      </c>
      <c r="G599">
        <v>32.668478</v>
      </c>
      <c r="H599">
        <v>-117.246672</v>
      </c>
      <c r="I599" t="s">
        <v>139</v>
      </c>
      <c r="J599" t="s">
        <v>7</v>
      </c>
      <c r="K599" t="s">
        <v>140</v>
      </c>
      <c r="L599" t="s">
        <v>143</v>
      </c>
      <c r="M599" t="s">
        <v>12</v>
      </c>
      <c r="N599" t="s">
        <v>85</v>
      </c>
      <c r="O599" t="s">
        <v>141</v>
      </c>
      <c r="P599" t="s">
        <v>74</v>
      </c>
      <c r="Q599">
        <v>63</v>
      </c>
      <c r="R599" t="s">
        <v>214</v>
      </c>
      <c r="S599" t="s">
        <v>7</v>
      </c>
      <c r="T599">
        <v>5</v>
      </c>
      <c r="U599" t="s">
        <v>28</v>
      </c>
      <c r="V599" t="s">
        <v>28</v>
      </c>
      <c r="W599">
        <v>12</v>
      </c>
      <c r="X599">
        <v>4.4999999999999998E-2</v>
      </c>
      <c r="Y599">
        <f t="shared" si="11"/>
        <v>7.6473524830492801E-2</v>
      </c>
      <c r="Z599">
        <f>X599-0.0108</f>
        <v>3.4199999999999994E-2</v>
      </c>
      <c r="AC599" s="4"/>
    </row>
    <row r="600" spans="1:29" x14ac:dyDescent="0.2">
      <c r="A600" t="s">
        <v>137</v>
      </c>
      <c r="B600">
        <v>2007</v>
      </c>
      <c r="C600" t="s">
        <v>811</v>
      </c>
      <c r="D600" t="s">
        <v>814</v>
      </c>
      <c r="E600" t="s">
        <v>849</v>
      </c>
      <c r="F600" t="s">
        <v>325</v>
      </c>
      <c r="G600">
        <v>32.668478</v>
      </c>
      <c r="H600">
        <v>-117.246672</v>
      </c>
      <c r="I600" t="s">
        <v>139</v>
      </c>
      <c r="J600" t="s">
        <v>7</v>
      </c>
      <c r="K600" t="s">
        <v>140</v>
      </c>
      <c r="L600" t="s">
        <v>143</v>
      </c>
      <c r="M600" t="s">
        <v>12</v>
      </c>
      <c r="N600" t="s">
        <v>85</v>
      </c>
      <c r="O600" t="s">
        <v>141</v>
      </c>
      <c r="P600" t="s">
        <v>74</v>
      </c>
      <c r="Q600">
        <v>70</v>
      </c>
      <c r="R600" t="s">
        <v>213</v>
      </c>
      <c r="S600" t="s">
        <v>7</v>
      </c>
      <c r="T600">
        <v>5</v>
      </c>
      <c r="U600" t="s">
        <v>28</v>
      </c>
      <c r="V600" t="s">
        <v>28</v>
      </c>
      <c r="W600">
        <v>12</v>
      </c>
      <c r="X600">
        <v>9.98E-2</v>
      </c>
      <c r="Y600">
        <f t="shared" si="11"/>
        <v>0.17597854982923344</v>
      </c>
      <c r="Z600">
        <f>X600-0.0211</f>
        <v>7.8699999999999992E-2</v>
      </c>
      <c r="AC600" s="4"/>
    </row>
    <row r="601" spans="1:29" x14ac:dyDescent="0.2">
      <c r="A601" t="s">
        <v>137</v>
      </c>
      <c r="B601">
        <v>2007</v>
      </c>
      <c r="C601" t="s">
        <v>811</v>
      </c>
      <c r="D601" t="s">
        <v>814</v>
      </c>
      <c r="E601" t="s">
        <v>849</v>
      </c>
      <c r="F601" t="s">
        <v>325</v>
      </c>
      <c r="G601">
        <v>32.668478</v>
      </c>
      <c r="H601">
        <v>-117.246672</v>
      </c>
      <c r="I601" t="s">
        <v>139</v>
      </c>
      <c r="J601" t="s">
        <v>14</v>
      </c>
      <c r="K601" t="s">
        <v>140</v>
      </c>
      <c r="L601" t="s">
        <v>143</v>
      </c>
      <c r="M601" t="s">
        <v>12</v>
      </c>
      <c r="N601" t="s">
        <v>85</v>
      </c>
      <c r="O601" t="s">
        <v>141</v>
      </c>
      <c r="P601" t="s">
        <v>74</v>
      </c>
      <c r="Q601">
        <v>28</v>
      </c>
      <c r="R601" t="s">
        <v>214</v>
      </c>
      <c r="S601" t="s">
        <v>9</v>
      </c>
      <c r="T601">
        <v>5</v>
      </c>
      <c r="U601" t="s">
        <v>28</v>
      </c>
      <c r="V601" t="s">
        <v>28</v>
      </c>
      <c r="W601">
        <v>18</v>
      </c>
      <c r="X601">
        <v>7.4899999999999994E-2</v>
      </c>
      <c r="Y601">
        <f t="shared" si="11"/>
        <v>0.1044243745492402</v>
      </c>
      <c r="Z601">
        <f>0.1216-X601</f>
        <v>4.6700000000000005E-2</v>
      </c>
      <c r="AC601" s="4"/>
    </row>
    <row r="602" spans="1:29" x14ac:dyDescent="0.2">
      <c r="A602" t="s">
        <v>137</v>
      </c>
      <c r="B602">
        <v>2007</v>
      </c>
      <c r="C602" t="s">
        <v>811</v>
      </c>
      <c r="D602" t="s">
        <v>814</v>
      </c>
      <c r="E602" t="s">
        <v>849</v>
      </c>
      <c r="F602" t="s">
        <v>325</v>
      </c>
      <c r="G602">
        <v>32.668478</v>
      </c>
      <c r="H602">
        <v>-117.246672</v>
      </c>
      <c r="I602" t="s">
        <v>139</v>
      </c>
      <c r="J602" t="s">
        <v>14</v>
      </c>
      <c r="K602" t="s">
        <v>140</v>
      </c>
      <c r="L602" t="s">
        <v>143</v>
      </c>
      <c r="M602" t="s">
        <v>12</v>
      </c>
      <c r="N602" t="s">
        <v>85</v>
      </c>
      <c r="O602" t="s">
        <v>141</v>
      </c>
      <c r="P602" t="s">
        <v>74</v>
      </c>
      <c r="Q602">
        <v>35</v>
      </c>
      <c r="R602" t="s">
        <v>214</v>
      </c>
      <c r="S602" t="s">
        <v>9</v>
      </c>
      <c r="T602">
        <v>5</v>
      </c>
      <c r="U602" t="s">
        <v>28</v>
      </c>
      <c r="V602" t="s">
        <v>28</v>
      </c>
      <c r="W602">
        <v>18</v>
      </c>
      <c r="X602">
        <v>6.8699999999999997E-2</v>
      </c>
      <c r="Y602">
        <f t="shared" si="11"/>
        <v>5.6125306235244719E-2</v>
      </c>
      <c r="Z602">
        <f>0.0938-X602</f>
        <v>2.5099999999999997E-2</v>
      </c>
      <c r="AC602" s="4"/>
    </row>
    <row r="603" spans="1:29" x14ac:dyDescent="0.2">
      <c r="A603" t="s">
        <v>137</v>
      </c>
      <c r="B603">
        <v>2007</v>
      </c>
      <c r="C603" t="s">
        <v>811</v>
      </c>
      <c r="D603" t="s">
        <v>814</v>
      </c>
      <c r="E603" t="s">
        <v>849</v>
      </c>
      <c r="F603" t="s">
        <v>325</v>
      </c>
      <c r="G603">
        <v>32.668478</v>
      </c>
      <c r="H603">
        <v>-117.246672</v>
      </c>
      <c r="I603" t="s">
        <v>139</v>
      </c>
      <c r="J603" t="s">
        <v>14</v>
      </c>
      <c r="K603" t="s">
        <v>140</v>
      </c>
      <c r="L603" t="s">
        <v>143</v>
      </c>
      <c r="M603" t="s">
        <v>12</v>
      </c>
      <c r="N603" t="s">
        <v>85</v>
      </c>
      <c r="O603" t="s">
        <v>141</v>
      </c>
      <c r="P603" t="s">
        <v>74</v>
      </c>
      <c r="Q603">
        <v>42</v>
      </c>
      <c r="R603" t="s">
        <v>214</v>
      </c>
      <c r="S603" t="s">
        <v>9</v>
      </c>
      <c r="T603">
        <v>5</v>
      </c>
      <c r="U603" t="s">
        <v>28</v>
      </c>
      <c r="V603" t="s">
        <v>28</v>
      </c>
      <c r="W603">
        <v>18</v>
      </c>
      <c r="X603">
        <v>0.1041</v>
      </c>
      <c r="Y603">
        <f t="shared" si="11"/>
        <v>9.8163384212240759E-2</v>
      </c>
      <c r="Z603">
        <f>0.148-X603</f>
        <v>4.3899999999999995E-2</v>
      </c>
      <c r="AC603" s="4"/>
    </row>
    <row r="604" spans="1:29" x14ac:dyDescent="0.2">
      <c r="A604" t="s">
        <v>137</v>
      </c>
      <c r="B604">
        <v>2007</v>
      </c>
      <c r="C604" t="s">
        <v>811</v>
      </c>
      <c r="D604" t="s">
        <v>814</v>
      </c>
      <c r="E604" t="s">
        <v>849</v>
      </c>
      <c r="F604" t="s">
        <v>325</v>
      </c>
      <c r="G604">
        <v>32.668478</v>
      </c>
      <c r="H604">
        <v>-117.246672</v>
      </c>
      <c r="I604" t="s">
        <v>139</v>
      </c>
      <c r="J604" t="s">
        <v>14</v>
      </c>
      <c r="K604" t="s">
        <v>140</v>
      </c>
      <c r="L604" t="s">
        <v>143</v>
      </c>
      <c r="M604" t="s">
        <v>12</v>
      </c>
      <c r="N604" t="s">
        <v>85</v>
      </c>
      <c r="O604" t="s">
        <v>141</v>
      </c>
      <c r="P604" t="s">
        <v>74</v>
      </c>
      <c r="Q604">
        <v>49</v>
      </c>
      <c r="R604" t="s">
        <v>214</v>
      </c>
      <c r="S604" t="s">
        <v>9</v>
      </c>
      <c r="T604">
        <v>5</v>
      </c>
      <c r="U604" t="s">
        <v>28</v>
      </c>
      <c r="V604" t="s">
        <v>28</v>
      </c>
      <c r="W604">
        <v>18</v>
      </c>
      <c r="X604">
        <v>0.14230000000000001</v>
      </c>
      <c r="Y604">
        <f t="shared" si="11"/>
        <v>0.1160519280322391</v>
      </c>
      <c r="Z604">
        <f>0.1942-X604</f>
        <v>5.1900000000000002E-2</v>
      </c>
      <c r="AC604" s="4"/>
    </row>
    <row r="605" spans="1:29" x14ac:dyDescent="0.2">
      <c r="A605" t="s">
        <v>137</v>
      </c>
      <c r="B605">
        <v>2007</v>
      </c>
      <c r="C605" t="s">
        <v>811</v>
      </c>
      <c r="D605" t="s">
        <v>814</v>
      </c>
      <c r="E605" t="s">
        <v>849</v>
      </c>
      <c r="F605" t="s">
        <v>325</v>
      </c>
      <c r="G605">
        <v>32.668478</v>
      </c>
      <c r="H605">
        <v>-117.246672</v>
      </c>
      <c r="I605" t="s">
        <v>139</v>
      </c>
      <c r="J605" t="s">
        <v>14</v>
      </c>
      <c r="K605" t="s">
        <v>140</v>
      </c>
      <c r="L605" t="s">
        <v>143</v>
      </c>
      <c r="M605" t="s">
        <v>12</v>
      </c>
      <c r="N605" t="s">
        <v>85</v>
      </c>
      <c r="O605" t="s">
        <v>141</v>
      </c>
      <c r="P605" t="s">
        <v>74</v>
      </c>
      <c r="Q605">
        <v>56</v>
      </c>
      <c r="R605" t="s">
        <v>214</v>
      </c>
      <c r="S605" t="s">
        <v>9</v>
      </c>
      <c r="T605">
        <v>5</v>
      </c>
      <c r="U605" t="s">
        <v>28</v>
      </c>
      <c r="V605" t="s">
        <v>28</v>
      </c>
      <c r="W605">
        <v>18</v>
      </c>
      <c r="X605">
        <v>0.1116</v>
      </c>
      <c r="Y605">
        <f t="shared" si="11"/>
        <v>0.16703427791923428</v>
      </c>
      <c r="Z605">
        <f>0.1863-X605</f>
        <v>7.4699999999999989E-2</v>
      </c>
      <c r="AC605" s="4"/>
    </row>
    <row r="606" spans="1:29" x14ac:dyDescent="0.2">
      <c r="A606" t="s">
        <v>137</v>
      </c>
      <c r="B606">
        <v>2007</v>
      </c>
      <c r="C606" t="s">
        <v>811</v>
      </c>
      <c r="D606" t="s">
        <v>814</v>
      </c>
      <c r="E606" t="s">
        <v>849</v>
      </c>
      <c r="F606" t="s">
        <v>325</v>
      </c>
      <c r="G606">
        <v>32.668478</v>
      </c>
      <c r="H606">
        <v>-117.246672</v>
      </c>
      <c r="I606" t="s">
        <v>139</v>
      </c>
      <c r="J606" t="s">
        <v>14</v>
      </c>
      <c r="K606" t="s">
        <v>140</v>
      </c>
      <c r="L606" t="s">
        <v>143</v>
      </c>
      <c r="M606" t="s">
        <v>12</v>
      </c>
      <c r="N606" t="s">
        <v>85</v>
      </c>
      <c r="O606" t="s">
        <v>141</v>
      </c>
      <c r="P606" t="s">
        <v>74</v>
      </c>
      <c r="Q606">
        <v>63</v>
      </c>
      <c r="R606" t="s">
        <v>214</v>
      </c>
      <c r="S606" t="s">
        <v>9</v>
      </c>
      <c r="T606">
        <v>5</v>
      </c>
      <c r="U606" t="s">
        <v>28</v>
      </c>
      <c r="V606" t="s">
        <v>28</v>
      </c>
      <c r="W606">
        <v>18</v>
      </c>
      <c r="X606">
        <v>0.1077</v>
      </c>
      <c r="Y606">
        <f t="shared" si="11"/>
        <v>8.5417796740491964E-2</v>
      </c>
      <c r="Z606">
        <f>0.1459-X606</f>
        <v>3.8199999999999998E-2</v>
      </c>
      <c r="AC606" s="4"/>
    </row>
    <row r="607" spans="1:29" x14ac:dyDescent="0.2">
      <c r="A607" t="s">
        <v>137</v>
      </c>
      <c r="B607">
        <v>2007</v>
      </c>
      <c r="C607" t="s">
        <v>811</v>
      </c>
      <c r="D607" t="s">
        <v>814</v>
      </c>
      <c r="E607" t="s">
        <v>849</v>
      </c>
      <c r="F607" t="s">
        <v>325</v>
      </c>
      <c r="G607">
        <v>32.668478</v>
      </c>
      <c r="H607">
        <v>-117.246672</v>
      </c>
      <c r="I607" t="s">
        <v>139</v>
      </c>
      <c r="J607" t="s">
        <v>14</v>
      </c>
      <c r="K607" t="s">
        <v>140</v>
      </c>
      <c r="L607" t="s">
        <v>143</v>
      </c>
      <c r="M607" t="s">
        <v>12</v>
      </c>
      <c r="N607" t="s">
        <v>85</v>
      </c>
      <c r="O607" t="s">
        <v>141</v>
      </c>
      <c r="P607" t="s">
        <v>74</v>
      </c>
      <c r="Q607">
        <v>70</v>
      </c>
      <c r="R607" t="s">
        <v>213</v>
      </c>
      <c r="S607" t="s">
        <v>9</v>
      </c>
      <c r="T607">
        <v>5</v>
      </c>
      <c r="U607" t="s">
        <v>28</v>
      </c>
      <c r="V607" t="s">
        <v>28</v>
      </c>
      <c r="W607">
        <v>18</v>
      </c>
      <c r="X607">
        <v>0.1835</v>
      </c>
      <c r="Y607">
        <f t="shared" si="11"/>
        <v>0.23724681241272777</v>
      </c>
      <c r="Z607">
        <f>0.2896-X607</f>
        <v>0.10610000000000003</v>
      </c>
      <c r="AC607" s="4"/>
    </row>
    <row r="608" spans="1:29" x14ac:dyDescent="0.2">
      <c r="A608" t="s">
        <v>137</v>
      </c>
      <c r="B608">
        <v>2007</v>
      </c>
      <c r="C608" t="s">
        <v>807</v>
      </c>
      <c r="D608" t="s">
        <v>823</v>
      </c>
      <c r="E608" t="s">
        <v>138</v>
      </c>
      <c r="F608" t="s">
        <v>325</v>
      </c>
      <c r="G608">
        <v>32.668478</v>
      </c>
      <c r="H608">
        <v>-117.246672</v>
      </c>
      <c r="I608" t="s">
        <v>139</v>
      </c>
      <c r="J608" t="s">
        <v>7</v>
      </c>
      <c r="K608" t="s">
        <v>140</v>
      </c>
      <c r="L608" t="s">
        <v>143</v>
      </c>
      <c r="M608" t="s">
        <v>12</v>
      </c>
      <c r="N608" t="s">
        <v>85</v>
      </c>
      <c r="O608" t="s">
        <v>141</v>
      </c>
      <c r="P608" t="s">
        <v>74</v>
      </c>
      <c r="Q608">
        <v>14</v>
      </c>
      <c r="R608" t="s">
        <v>214</v>
      </c>
      <c r="S608" t="s">
        <v>7</v>
      </c>
      <c r="T608">
        <v>5</v>
      </c>
      <c r="U608" t="s">
        <v>28</v>
      </c>
      <c r="V608" t="s">
        <v>28</v>
      </c>
      <c r="W608">
        <v>12</v>
      </c>
      <c r="X608">
        <v>0.30159999999999998</v>
      </c>
      <c r="Y608">
        <f t="shared" si="11"/>
        <v>8.0722053987742459E-2</v>
      </c>
      <c r="Z608">
        <f>0.3377-X608</f>
        <v>3.6100000000000021E-2</v>
      </c>
      <c r="AC608" s="4"/>
    </row>
    <row r="609" spans="1:29" x14ac:dyDescent="0.2">
      <c r="A609" t="s">
        <v>137</v>
      </c>
      <c r="B609">
        <v>2007</v>
      </c>
      <c r="C609" t="s">
        <v>807</v>
      </c>
      <c r="D609" t="s">
        <v>823</v>
      </c>
      <c r="E609" t="s">
        <v>138</v>
      </c>
      <c r="F609" t="s">
        <v>325</v>
      </c>
      <c r="G609">
        <v>32.668478</v>
      </c>
      <c r="H609">
        <v>-117.246672</v>
      </c>
      <c r="I609" t="s">
        <v>139</v>
      </c>
      <c r="J609" t="s">
        <v>7</v>
      </c>
      <c r="K609" t="s">
        <v>140</v>
      </c>
      <c r="L609" t="s">
        <v>143</v>
      </c>
      <c r="M609" t="s">
        <v>12</v>
      </c>
      <c r="N609" t="s">
        <v>85</v>
      </c>
      <c r="O609" t="s">
        <v>141</v>
      </c>
      <c r="P609" t="s">
        <v>74</v>
      </c>
      <c r="Q609">
        <v>21</v>
      </c>
      <c r="R609" t="s">
        <v>214</v>
      </c>
      <c r="S609" t="s">
        <v>7</v>
      </c>
      <c r="T609">
        <v>5</v>
      </c>
      <c r="U609" t="s">
        <v>28</v>
      </c>
      <c r="V609" t="s">
        <v>28</v>
      </c>
      <c r="W609">
        <v>12</v>
      </c>
      <c r="X609">
        <v>1.3279000000000001</v>
      </c>
      <c r="Y609">
        <f t="shared" si="11"/>
        <v>0.17597854982923344</v>
      </c>
      <c r="Z609">
        <f>1.4066-X609</f>
        <v>7.8699999999999992E-2</v>
      </c>
      <c r="AC609" s="4"/>
    </row>
    <row r="610" spans="1:29" x14ac:dyDescent="0.2">
      <c r="A610" t="s">
        <v>137</v>
      </c>
      <c r="B610">
        <v>2007</v>
      </c>
      <c r="C610" t="s">
        <v>807</v>
      </c>
      <c r="D610" t="s">
        <v>823</v>
      </c>
      <c r="E610" t="s">
        <v>138</v>
      </c>
      <c r="F610" t="s">
        <v>325</v>
      </c>
      <c r="G610">
        <v>32.668478</v>
      </c>
      <c r="H610">
        <v>-117.246672</v>
      </c>
      <c r="I610" t="s">
        <v>139</v>
      </c>
      <c r="J610" t="s">
        <v>7</v>
      </c>
      <c r="K610" t="s">
        <v>140</v>
      </c>
      <c r="L610" t="s">
        <v>143</v>
      </c>
      <c r="M610" t="s">
        <v>12</v>
      </c>
      <c r="N610" t="s">
        <v>85</v>
      </c>
      <c r="O610" t="s">
        <v>141</v>
      </c>
      <c r="P610" t="s">
        <v>74</v>
      </c>
      <c r="Q610">
        <v>28</v>
      </c>
      <c r="R610" t="s">
        <v>214</v>
      </c>
      <c r="S610" t="s">
        <v>7</v>
      </c>
      <c r="T610">
        <v>5</v>
      </c>
      <c r="U610" t="s">
        <v>28</v>
      </c>
      <c r="V610" t="s">
        <v>28</v>
      </c>
      <c r="W610">
        <v>12</v>
      </c>
      <c r="X610">
        <v>1.6294999999999999</v>
      </c>
      <c r="Y610">
        <f t="shared" si="11"/>
        <v>0.30790656050172138</v>
      </c>
      <c r="Z610">
        <f>1.7672-X610</f>
        <v>0.13770000000000016</v>
      </c>
      <c r="AC610" s="4"/>
    </row>
    <row r="611" spans="1:29" x14ac:dyDescent="0.2">
      <c r="A611" t="s">
        <v>137</v>
      </c>
      <c r="B611">
        <v>2007</v>
      </c>
      <c r="C611" t="s">
        <v>807</v>
      </c>
      <c r="D611" t="s">
        <v>823</v>
      </c>
      <c r="E611" t="s">
        <v>138</v>
      </c>
      <c r="F611" t="s">
        <v>325</v>
      </c>
      <c r="G611">
        <v>32.668478</v>
      </c>
      <c r="H611">
        <v>-117.246672</v>
      </c>
      <c r="I611" t="s">
        <v>139</v>
      </c>
      <c r="J611" t="s">
        <v>7</v>
      </c>
      <c r="K611" t="s">
        <v>140</v>
      </c>
      <c r="L611" t="s">
        <v>143</v>
      </c>
      <c r="M611" t="s">
        <v>12</v>
      </c>
      <c r="N611" t="s">
        <v>85</v>
      </c>
      <c r="O611" t="s">
        <v>141</v>
      </c>
      <c r="P611" t="s">
        <v>74</v>
      </c>
      <c r="Q611">
        <v>35</v>
      </c>
      <c r="R611" t="s">
        <v>214</v>
      </c>
      <c r="S611" t="s">
        <v>7</v>
      </c>
      <c r="T611">
        <v>5</v>
      </c>
      <c r="U611" t="s">
        <v>28</v>
      </c>
      <c r="V611" t="s">
        <v>28</v>
      </c>
      <c r="W611">
        <v>12</v>
      </c>
      <c r="X611">
        <v>1.7049000000000001</v>
      </c>
      <c r="Y611">
        <f t="shared" si="11"/>
        <v>0.24194255516547691</v>
      </c>
      <c r="Z611">
        <f>1.8131-X611</f>
        <v>0.10819999999999985</v>
      </c>
      <c r="AC611" s="4"/>
    </row>
    <row r="612" spans="1:29" x14ac:dyDescent="0.2">
      <c r="A612" t="s">
        <v>137</v>
      </c>
      <c r="B612">
        <v>2007</v>
      </c>
      <c r="C612" t="s">
        <v>807</v>
      </c>
      <c r="D612" t="s">
        <v>823</v>
      </c>
      <c r="E612" t="s">
        <v>138</v>
      </c>
      <c r="F612" t="s">
        <v>325</v>
      </c>
      <c r="G612">
        <v>32.668478</v>
      </c>
      <c r="H612">
        <v>-117.246672</v>
      </c>
      <c r="I612" t="s">
        <v>139</v>
      </c>
      <c r="J612" t="s">
        <v>7</v>
      </c>
      <c r="K612" t="s">
        <v>140</v>
      </c>
      <c r="L612" t="s">
        <v>143</v>
      </c>
      <c r="M612" t="s">
        <v>12</v>
      </c>
      <c r="N612" t="s">
        <v>85</v>
      </c>
      <c r="O612" t="s">
        <v>141</v>
      </c>
      <c r="P612" t="s">
        <v>74</v>
      </c>
      <c r="Q612">
        <v>42</v>
      </c>
      <c r="R612" t="s">
        <v>214</v>
      </c>
      <c r="S612" t="s">
        <v>7</v>
      </c>
      <c r="T612">
        <v>5</v>
      </c>
      <c r="U612" t="s">
        <v>28</v>
      </c>
      <c r="V612" t="s">
        <v>28</v>
      </c>
      <c r="W612">
        <v>12</v>
      </c>
      <c r="X612">
        <v>1.2721</v>
      </c>
      <c r="Y612">
        <f t="shared" si="11"/>
        <v>0.22740811331172842</v>
      </c>
      <c r="Z612">
        <f>1.3738-X612</f>
        <v>0.1016999999999999</v>
      </c>
      <c r="AC612" s="4"/>
    </row>
    <row r="613" spans="1:29" x14ac:dyDescent="0.2">
      <c r="A613" t="s">
        <v>137</v>
      </c>
      <c r="B613">
        <v>2007</v>
      </c>
      <c r="C613" t="s">
        <v>807</v>
      </c>
      <c r="D613" t="s">
        <v>823</v>
      </c>
      <c r="E613" t="s">
        <v>138</v>
      </c>
      <c r="F613" t="s">
        <v>325</v>
      </c>
      <c r="G613">
        <v>32.668478</v>
      </c>
      <c r="H613">
        <v>-117.246672</v>
      </c>
      <c r="I613" t="s">
        <v>139</v>
      </c>
      <c r="J613" t="s">
        <v>7</v>
      </c>
      <c r="K613" t="s">
        <v>140</v>
      </c>
      <c r="L613" t="s">
        <v>143</v>
      </c>
      <c r="M613" t="s">
        <v>12</v>
      </c>
      <c r="N613" t="s">
        <v>85</v>
      </c>
      <c r="O613" t="s">
        <v>141</v>
      </c>
      <c r="P613" t="s">
        <v>74</v>
      </c>
      <c r="Q613">
        <v>70</v>
      </c>
      <c r="R613" t="s">
        <v>213</v>
      </c>
      <c r="S613" t="s">
        <v>7</v>
      </c>
      <c r="T613">
        <v>5</v>
      </c>
      <c r="U613" t="s">
        <v>28</v>
      </c>
      <c r="V613" t="s">
        <v>28</v>
      </c>
      <c r="W613">
        <v>12</v>
      </c>
      <c r="X613">
        <v>0.86229999999999996</v>
      </c>
      <c r="Y613">
        <f t="shared" si="11"/>
        <v>0.17597854982923344</v>
      </c>
      <c r="Z613">
        <f>0.941-X613</f>
        <v>7.8699999999999992E-2</v>
      </c>
      <c r="AC613" s="4"/>
    </row>
    <row r="614" spans="1:29" x14ac:dyDescent="0.2">
      <c r="A614" t="s">
        <v>137</v>
      </c>
      <c r="B614">
        <v>2007</v>
      </c>
      <c r="C614" t="s">
        <v>807</v>
      </c>
      <c r="D614" t="s">
        <v>823</v>
      </c>
      <c r="E614" t="s">
        <v>138</v>
      </c>
      <c r="F614" t="s">
        <v>325</v>
      </c>
      <c r="G614">
        <v>32.668478</v>
      </c>
      <c r="H614">
        <v>-117.246672</v>
      </c>
      <c r="I614" t="s">
        <v>139</v>
      </c>
      <c r="J614" t="s">
        <v>14</v>
      </c>
      <c r="K614" t="s">
        <v>140</v>
      </c>
      <c r="L614" t="s">
        <v>143</v>
      </c>
      <c r="M614" t="s">
        <v>12</v>
      </c>
      <c r="N614" t="s">
        <v>85</v>
      </c>
      <c r="O614" t="s">
        <v>141</v>
      </c>
      <c r="P614" t="s">
        <v>74</v>
      </c>
      <c r="Q614">
        <v>14</v>
      </c>
      <c r="R614" t="s">
        <v>214</v>
      </c>
      <c r="S614" t="s">
        <v>9</v>
      </c>
      <c r="T614">
        <v>5</v>
      </c>
      <c r="U614" t="s">
        <v>28</v>
      </c>
      <c r="V614" t="s">
        <v>28</v>
      </c>
      <c r="W614">
        <v>18</v>
      </c>
      <c r="X614">
        <v>0</v>
      </c>
      <c r="Y614">
        <f t="shared" si="11"/>
        <v>0</v>
      </c>
      <c r="Z614">
        <v>0</v>
      </c>
      <c r="AC614" s="4"/>
    </row>
    <row r="615" spans="1:29" x14ac:dyDescent="0.2">
      <c r="A615" t="s">
        <v>137</v>
      </c>
      <c r="B615">
        <v>2007</v>
      </c>
      <c r="C615" t="s">
        <v>807</v>
      </c>
      <c r="D615" t="s">
        <v>823</v>
      </c>
      <c r="E615" t="s">
        <v>138</v>
      </c>
      <c r="F615" t="s">
        <v>325</v>
      </c>
      <c r="G615">
        <v>32.668478</v>
      </c>
      <c r="H615">
        <v>-117.246672</v>
      </c>
      <c r="I615" t="s">
        <v>139</v>
      </c>
      <c r="J615" t="s">
        <v>14</v>
      </c>
      <c r="K615" t="s">
        <v>140</v>
      </c>
      <c r="L615" t="s">
        <v>143</v>
      </c>
      <c r="M615" t="s">
        <v>12</v>
      </c>
      <c r="N615" t="s">
        <v>85</v>
      </c>
      <c r="O615" t="s">
        <v>141</v>
      </c>
      <c r="P615" t="s">
        <v>74</v>
      </c>
      <c r="Q615">
        <v>21</v>
      </c>
      <c r="R615" t="s">
        <v>214</v>
      </c>
      <c r="S615" t="s">
        <v>9</v>
      </c>
      <c r="T615">
        <v>5</v>
      </c>
      <c r="U615" t="s">
        <v>28</v>
      </c>
      <c r="V615" t="s">
        <v>28</v>
      </c>
      <c r="W615">
        <v>18</v>
      </c>
      <c r="X615">
        <v>0</v>
      </c>
      <c r="Y615">
        <f t="shared" si="11"/>
        <v>0</v>
      </c>
      <c r="Z615">
        <v>0</v>
      </c>
      <c r="AC615" s="4"/>
    </row>
    <row r="616" spans="1:29" x14ac:dyDescent="0.2">
      <c r="A616" t="s">
        <v>137</v>
      </c>
      <c r="B616">
        <v>2007</v>
      </c>
      <c r="C616" t="s">
        <v>807</v>
      </c>
      <c r="D616" t="s">
        <v>823</v>
      </c>
      <c r="E616" t="s">
        <v>138</v>
      </c>
      <c r="F616" t="s">
        <v>325</v>
      </c>
      <c r="G616">
        <v>32.668478</v>
      </c>
      <c r="H616">
        <v>-117.246672</v>
      </c>
      <c r="I616" t="s">
        <v>139</v>
      </c>
      <c r="J616" t="s">
        <v>14</v>
      </c>
      <c r="K616" t="s">
        <v>140</v>
      </c>
      <c r="L616" t="s">
        <v>143</v>
      </c>
      <c r="M616" t="s">
        <v>12</v>
      </c>
      <c r="N616" t="s">
        <v>85</v>
      </c>
      <c r="O616" t="s">
        <v>141</v>
      </c>
      <c r="P616" t="s">
        <v>74</v>
      </c>
      <c r="Q616">
        <v>28</v>
      </c>
      <c r="R616" t="s">
        <v>214</v>
      </c>
      <c r="S616" t="s">
        <v>9</v>
      </c>
      <c r="T616">
        <v>5</v>
      </c>
      <c r="U616" t="s">
        <v>28</v>
      </c>
      <c r="V616" t="s">
        <v>28</v>
      </c>
      <c r="W616">
        <v>18</v>
      </c>
      <c r="X616">
        <v>0</v>
      </c>
      <c r="Y616">
        <f t="shared" si="11"/>
        <v>0</v>
      </c>
      <c r="Z616">
        <v>0</v>
      </c>
      <c r="AC616" s="4"/>
    </row>
    <row r="617" spans="1:29" x14ac:dyDescent="0.2">
      <c r="A617" t="s">
        <v>137</v>
      </c>
      <c r="B617">
        <v>2007</v>
      </c>
      <c r="C617" t="s">
        <v>807</v>
      </c>
      <c r="D617" t="s">
        <v>823</v>
      </c>
      <c r="E617" t="s">
        <v>138</v>
      </c>
      <c r="F617" t="s">
        <v>325</v>
      </c>
      <c r="G617">
        <v>32.668478</v>
      </c>
      <c r="H617">
        <v>-117.246672</v>
      </c>
      <c r="I617" t="s">
        <v>139</v>
      </c>
      <c r="J617" t="s">
        <v>14</v>
      </c>
      <c r="K617" t="s">
        <v>140</v>
      </c>
      <c r="L617" t="s">
        <v>143</v>
      </c>
      <c r="M617" t="s">
        <v>12</v>
      </c>
      <c r="N617" t="s">
        <v>85</v>
      </c>
      <c r="O617" t="s">
        <v>141</v>
      </c>
      <c r="P617" t="s">
        <v>74</v>
      </c>
      <c r="Q617">
        <v>35</v>
      </c>
      <c r="R617" t="s">
        <v>214</v>
      </c>
      <c r="S617" t="s">
        <v>9</v>
      </c>
      <c r="T617">
        <v>5</v>
      </c>
      <c r="U617" t="s">
        <v>28</v>
      </c>
      <c r="V617" t="s">
        <v>28</v>
      </c>
      <c r="W617">
        <v>18</v>
      </c>
      <c r="X617">
        <v>0</v>
      </c>
      <c r="Y617">
        <f t="shared" si="11"/>
        <v>0</v>
      </c>
      <c r="Z617">
        <v>0</v>
      </c>
      <c r="AC617" s="4"/>
    </row>
    <row r="618" spans="1:29" x14ac:dyDescent="0.2">
      <c r="A618" t="s">
        <v>137</v>
      </c>
      <c r="B618">
        <v>2007</v>
      </c>
      <c r="C618" t="s">
        <v>807</v>
      </c>
      <c r="D618" t="s">
        <v>823</v>
      </c>
      <c r="E618" t="s">
        <v>138</v>
      </c>
      <c r="F618" t="s">
        <v>325</v>
      </c>
      <c r="G618">
        <v>32.668478</v>
      </c>
      <c r="H618">
        <v>-117.246672</v>
      </c>
      <c r="I618" t="s">
        <v>139</v>
      </c>
      <c r="J618" t="s">
        <v>14</v>
      </c>
      <c r="K618" t="s">
        <v>140</v>
      </c>
      <c r="L618" t="s">
        <v>143</v>
      </c>
      <c r="M618" t="s">
        <v>12</v>
      </c>
      <c r="N618" t="s">
        <v>85</v>
      </c>
      <c r="O618" t="s">
        <v>141</v>
      </c>
      <c r="P618" t="s">
        <v>74</v>
      </c>
      <c r="Q618">
        <v>42</v>
      </c>
      <c r="R618" t="s">
        <v>214</v>
      </c>
      <c r="S618" t="s">
        <v>9</v>
      </c>
      <c r="T618">
        <v>5</v>
      </c>
      <c r="U618" t="s">
        <v>28</v>
      </c>
      <c r="V618" t="s">
        <v>28</v>
      </c>
      <c r="W618">
        <v>18</v>
      </c>
      <c r="X618">
        <v>0</v>
      </c>
      <c r="Y618">
        <f t="shared" si="11"/>
        <v>0</v>
      </c>
      <c r="Z618">
        <v>0</v>
      </c>
      <c r="AC618" s="4"/>
    </row>
    <row r="619" spans="1:29" x14ac:dyDescent="0.2">
      <c r="A619" t="s">
        <v>137</v>
      </c>
      <c r="B619">
        <v>2007</v>
      </c>
      <c r="C619" t="s">
        <v>807</v>
      </c>
      <c r="D619" t="s">
        <v>823</v>
      </c>
      <c r="E619" t="s">
        <v>138</v>
      </c>
      <c r="F619" t="s">
        <v>325</v>
      </c>
      <c r="G619">
        <v>32.668478</v>
      </c>
      <c r="H619">
        <v>-117.246672</v>
      </c>
      <c r="I619" t="s">
        <v>139</v>
      </c>
      <c r="J619" t="s">
        <v>14</v>
      </c>
      <c r="K619" t="s">
        <v>140</v>
      </c>
      <c r="L619" t="s">
        <v>143</v>
      </c>
      <c r="M619" t="s">
        <v>12</v>
      </c>
      <c r="N619" t="s">
        <v>85</v>
      </c>
      <c r="O619" t="s">
        <v>141</v>
      </c>
      <c r="P619" t="s">
        <v>74</v>
      </c>
      <c r="Q619">
        <v>70</v>
      </c>
      <c r="R619" t="s">
        <v>213</v>
      </c>
      <c r="S619" t="s">
        <v>9</v>
      </c>
      <c r="T619">
        <v>5</v>
      </c>
      <c r="U619" t="s">
        <v>28</v>
      </c>
      <c r="V619" t="s">
        <v>28</v>
      </c>
      <c r="W619">
        <v>18</v>
      </c>
      <c r="X619">
        <v>0</v>
      </c>
      <c r="Y619">
        <f t="shared" si="11"/>
        <v>0</v>
      </c>
      <c r="Z619">
        <v>0</v>
      </c>
      <c r="AC619" s="4"/>
    </row>
    <row r="620" spans="1:29" x14ac:dyDescent="0.2">
      <c r="A620" t="s">
        <v>631</v>
      </c>
      <c r="B620">
        <v>2012</v>
      </c>
      <c r="C620" t="s">
        <v>816</v>
      </c>
      <c r="D620" t="s">
        <v>817</v>
      </c>
      <c r="E620" t="s">
        <v>32</v>
      </c>
      <c r="F620" t="s">
        <v>307</v>
      </c>
      <c r="G620">
        <v>54.183827999999998</v>
      </c>
      <c r="H620">
        <v>7.8726450000000003</v>
      </c>
      <c r="I620" t="s">
        <v>769</v>
      </c>
      <c r="J620" t="s">
        <v>7</v>
      </c>
      <c r="K620" t="s">
        <v>92</v>
      </c>
      <c r="L620" t="s">
        <v>300</v>
      </c>
      <c r="M620" t="s">
        <v>727</v>
      </c>
      <c r="N620" t="s">
        <v>85</v>
      </c>
      <c r="O620" t="s">
        <v>71</v>
      </c>
      <c r="P620" t="s">
        <v>70</v>
      </c>
      <c r="Q620">
        <v>3</v>
      </c>
      <c r="R620" t="s">
        <v>213</v>
      </c>
      <c r="S620" t="s">
        <v>7</v>
      </c>
      <c r="T620">
        <v>5</v>
      </c>
      <c r="U620">
        <v>8.1199999999999992</v>
      </c>
      <c r="V620">
        <v>393</v>
      </c>
      <c r="W620" t="s">
        <v>28</v>
      </c>
      <c r="X620">
        <v>74.09</v>
      </c>
      <c r="Y620">
        <f>82.42-X620</f>
        <v>8.3299999999999983</v>
      </c>
      <c r="AC620" s="4"/>
    </row>
    <row r="621" spans="1:29" x14ac:dyDescent="0.2">
      <c r="A621" t="s">
        <v>631</v>
      </c>
      <c r="B621">
        <v>2012</v>
      </c>
      <c r="C621" t="s">
        <v>816</v>
      </c>
      <c r="D621" t="s">
        <v>817</v>
      </c>
      <c r="E621" t="s">
        <v>32</v>
      </c>
      <c r="F621" t="s">
        <v>307</v>
      </c>
      <c r="G621">
        <v>54.183827999999998</v>
      </c>
      <c r="H621">
        <v>7.8726450000000003</v>
      </c>
      <c r="I621" t="s">
        <v>769</v>
      </c>
      <c r="J621" t="s">
        <v>5</v>
      </c>
      <c r="K621" t="s">
        <v>92</v>
      </c>
      <c r="L621" t="s">
        <v>300</v>
      </c>
      <c r="M621" t="s">
        <v>727</v>
      </c>
      <c r="N621" t="s">
        <v>85</v>
      </c>
      <c r="O621" t="s">
        <v>71</v>
      </c>
      <c r="P621" t="s">
        <v>70</v>
      </c>
      <c r="Q621">
        <v>3</v>
      </c>
      <c r="R621" t="s">
        <v>213</v>
      </c>
      <c r="S621" t="s">
        <v>9</v>
      </c>
      <c r="T621">
        <v>5</v>
      </c>
      <c r="U621">
        <v>7.87</v>
      </c>
      <c r="V621">
        <v>706</v>
      </c>
      <c r="W621" t="s">
        <v>28</v>
      </c>
      <c r="X621">
        <v>64.53</v>
      </c>
      <c r="Y621">
        <f>77.24-X621</f>
        <v>12.709999999999994</v>
      </c>
    </row>
    <row r="622" spans="1:29" x14ac:dyDescent="0.2">
      <c r="A622" t="s">
        <v>631</v>
      </c>
      <c r="B622">
        <v>2012</v>
      </c>
      <c r="C622" t="s">
        <v>816</v>
      </c>
      <c r="D622" t="s">
        <v>817</v>
      </c>
      <c r="E622" t="s">
        <v>32</v>
      </c>
      <c r="F622" t="s">
        <v>307</v>
      </c>
      <c r="G622">
        <v>54.183827999999998</v>
      </c>
      <c r="H622">
        <v>7.8726450000000003</v>
      </c>
      <c r="I622" t="s">
        <v>769</v>
      </c>
      <c r="J622" t="s">
        <v>7</v>
      </c>
      <c r="K622" t="s">
        <v>3</v>
      </c>
      <c r="L622" t="s">
        <v>3</v>
      </c>
      <c r="M622" t="s">
        <v>727</v>
      </c>
      <c r="N622" t="s">
        <v>85</v>
      </c>
      <c r="O622" t="s">
        <v>374</v>
      </c>
      <c r="P622" t="s">
        <v>70</v>
      </c>
      <c r="Q622">
        <v>11</v>
      </c>
      <c r="R622" t="s">
        <v>213</v>
      </c>
      <c r="S622" t="s">
        <v>7</v>
      </c>
      <c r="T622">
        <v>6</v>
      </c>
      <c r="U622">
        <v>8.17</v>
      </c>
      <c r="V622">
        <v>323</v>
      </c>
      <c r="W622" t="s">
        <v>28</v>
      </c>
      <c r="X622">
        <v>68.69</v>
      </c>
      <c r="Y622">
        <f>74.06-X622</f>
        <v>5.3700000000000045</v>
      </c>
    </row>
    <row r="623" spans="1:29" x14ac:dyDescent="0.2">
      <c r="A623" t="s">
        <v>631</v>
      </c>
      <c r="B623">
        <v>2012</v>
      </c>
      <c r="C623" t="s">
        <v>816</v>
      </c>
      <c r="D623" t="s">
        <v>817</v>
      </c>
      <c r="E623" t="s">
        <v>32</v>
      </c>
      <c r="F623" t="s">
        <v>307</v>
      </c>
      <c r="G623">
        <v>54.183827999999998</v>
      </c>
      <c r="H623">
        <v>7.8726450000000003</v>
      </c>
      <c r="I623" t="s">
        <v>769</v>
      </c>
      <c r="J623" t="s">
        <v>5</v>
      </c>
      <c r="K623" t="s">
        <v>3</v>
      </c>
      <c r="L623" t="s">
        <v>3</v>
      </c>
      <c r="M623" t="s">
        <v>727</v>
      </c>
      <c r="N623" t="s">
        <v>85</v>
      </c>
      <c r="O623" t="s">
        <v>374</v>
      </c>
      <c r="P623" t="s">
        <v>70</v>
      </c>
      <c r="Q623">
        <v>11</v>
      </c>
      <c r="R623" t="s">
        <v>213</v>
      </c>
      <c r="S623" t="s">
        <v>9</v>
      </c>
      <c r="T623">
        <v>6</v>
      </c>
      <c r="U623">
        <v>7.88</v>
      </c>
      <c r="V623">
        <v>703</v>
      </c>
      <c r="W623" t="s">
        <v>28</v>
      </c>
      <c r="X623">
        <v>80.239999999999995</v>
      </c>
      <c r="Y623">
        <f>85.82-X623</f>
        <v>5.5799999999999983</v>
      </c>
    </row>
    <row r="624" spans="1:29" x14ac:dyDescent="0.2">
      <c r="A624" t="s">
        <v>631</v>
      </c>
      <c r="B624">
        <v>2012</v>
      </c>
      <c r="C624" t="s">
        <v>816</v>
      </c>
      <c r="D624" t="s">
        <v>817</v>
      </c>
      <c r="E624" t="s">
        <v>32</v>
      </c>
      <c r="F624" t="s">
        <v>307</v>
      </c>
      <c r="G624">
        <v>54.183827999999998</v>
      </c>
      <c r="H624">
        <v>7.8726450000000003</v>
      </c>
      <c r="I624" t="s">
        <v>769</v>
      </c>
      <c r="J624" t="s">
        <v>7</v>
      </c>
      <c r="K624" t="s">
        <v>143</v>
      </c>
      <c r="L624" t="s">
        <v>143</v>
      </c>
      <c r="M624" t="s">
        <v>26</v>
      </c>
      <c r="N624" t="s">
        <v>85</v>
      </c>
      <c r="O624" t="s">
        <v>839</v>
      </c>
      <c r="P624" t="s">
        <v>72</v>
      </c>
      <c r="Q624">
        <v>14</v>
      </c>
      <c r="R624" t="s">
        <v>213</v>
      </c>
      <c r="S624" t="s">
        <v>7</v>
      </c>
      <c r="T624">
        <v>6</v>
      </c>
      <c r="U624">
        <v>8.18</v>
      </c>
      <c r="V624">
        <v>301</v>
      </c>
      <c r="W624" t="s">
        <v>28</v>
      </c>
      <c r="X624">
        <v>7.16</v>
      </c>
      <c r="Y624">
        <f>8.14-X624</f>
        <v>0.98000000000000043</v>
      </c>
    </row>
    <row r="625" spans="1:25" x14ac:dyDescent="0.2">
      <c r="A625" t="s">
        <v>631</v>
      </c>
      <c r="B625">
        <v>2012</v>
      </c>
      <c r="C625" t="s">
        <v>816</v>
      </c>
      <c r="D625" t="s">
        <v>817</v>
      </c>
      <c r="E625" t="s">
        <v>32</v>
      </c>
      <c r="F625" t="s">
        <v>307</v>
      </c>
      <c r="G625">
        <v>54.183827999999998</v>
      </c>
      <c r="H625">
        <v>7.8726450000000003</v>
      </c>
      <c r="I625" t="s">
        <v>769</v>
      </c>
      <c r="J625" t="s">
        <v>5</v>
      </c>
      <c r="K625" t="s">
        <v>143</v>
      </c>
      <c r="L625" t="s">
        <v>143</v>
      </c>
      <c r="M625" t="s">
        <v>26</v>
      </c>
      <c r="N625" t="s">
        <v>85</v>
      </c>
      <c r="O625" t="s">
        <v>839</v>
      </c>
      <c r="P625" t="s">
        <v>72</v>
      </c>
      <c r="Q625">
        <v>14</v>
      </c>
      <c r="R625" t="s">
        <v>213</v>
      </c>
      <c r="S625" t="s">
        <v>9</v>
      </c>
      <c r="T625">
        <v>6</v>
      </c>
      <c r="U625">
        <v>7.91</v>
      </c>
      <c r="V625">
        <v>621</v>
      </c>
      <c r="W625" t="s">
        <v>28</v>
      </c>
      <c r="X625">
        <v>9.23</v>
      </c>
      <c r="Y625">
        <f>10.83-X625</f>
        <v>1.5999999999999996</v>
      </c>
    </row>
    <row r="626" spans="1:25" x14ac:dyDescent="0.2">
      <c r="A626" t="s">
        <v>631</v>
      </c>
      <c r="B626">
        <v>2012</v>
      </c>
      <c r="C626" t="s">
        <v>816</v>
      </c>
      <c r="D626" t="s">
        <v>817</v>
      </c>
      <c r="E626" t="s">
        <v>32</v>
      </c>
      <c r="F626" t="s">
        <v>307</v>
      </c>
      <c r="G626">
        <v>54.183827999999998</v>
      </c>
      <c r="H626">
        <v>7.8726450000000003</v>
      </c>
      <c r="I626" t="s">
        <v>765</v>
      </c>
      <c r="J626" t="s">
        <v>7</v>
      </c>
      <c r="K626" t="s">
        <v>144</v>
      </c>
      <c r="L626" t="s">
        <v>144</v>
      </c>
      <c r="M626" t="s">
        <v>727</v>
      </c>
      <c r="N626" t="s">
        <v>85</v>
      </c>
      <c r="O626" t="s">
        <v>344</v>
      </c>
      <c r="P626" t="s">
        <v>145</v>
      </c>
      <c r="Q626">
        <f>AVERAGE(93,74)</f>
        <v>83.5</v>
      </c>
      <c r="R626" t="s">
        <v>213</v>
      </c>
      <c r="S626" t="s">
        <v>7</v>
      </c>
      <c r="T626">
        <v>4.5</v>
      </c>
      <c r="U626">
        <v>8.2100000000000009</v>
      </c>
      <c r="V626">
        <v>288</v>
      </c>
      <c r="W626" t="s">
        <v>28</v>
      </c>
      <c r="X626">
        <v>0.59960000000000002</v>
      </c>
      <c r="Y626">
        <f>0.8953-X626</f>
        <v>0.29569999999999996</v>
      </c>
    </row>
    <row r="627" spans="1:25" x14ac:dyDescent="0.2">
      <c r="A627" t="s">
        <v>631</v>
      </c>
      <c r="B627">
        <v>2012</v>
      </c>
      <c r="C627" t="s">
        <v>816</v>
      </c>
      <c r="D627" t="s">
        <v>817</v>
      </c>
      <c r="E627" t="s">
        <v>32</v>
      </c>
      <c r="F627" t="s">
        <v>307</v>
      </c>
      <c r="G627">
        <v>54.183827999999998</v>
      </c>
      <c r="H627">
        <v>7.8726450000000003</v>
      </c>
      <c r="I627" t="s">
        <v>765</v>
      </c>
      <c r="J627" t="s">
        <v>5</v>
      </c>
      <c r="K627" t="s">
        <v>144</v>
      </c>
      <c r="L627" t="s">
        <v>144</v>
      </c>
      <c r="M627" t="s">
        <v>727</v>
      </c>
      <c r="N627" t="s">
        <v>85</v>
      </c>
      <c r="O627" t="s">
        <v>344</v>
      </c>
      <c r="P627" t="s">
        <v>145</v>
      </c>
      <c r="Q627">
        <f>AVERAGE(93,74)</f>
        <v>83.5</v>
      </c>
      <c r="R627" t="s">
        <v>213</v>
      </c>
      <c r="S627" t="s">
        <v>9</v>
      </c>
      <c r="T627">
        <v>4.5</v>
      </c>
      <c r="U627">
        <v>7.89</v>
      </c>
      <c r="V627">
        <v>659</v>
      </c>
      <c r="W627" t="s">
        <v>28</v>
      </c>
      <c r="X627">
        <v>0.60260000000000002</v>
      </c>
      <c r="Y627">
        <f>0.8963-X627</f>
        <v>0.29369999999999996</v>
      </c>
    </row>
    <row r="628" spans="1:25" x14ac:dyDescent="0.2">
      <c r="A628" t="s">
        <v>631</v>
      </c>
      <c r="B628">
        <v>2012</v>
      </c>
      <c r="C628" t="s">
        <v>816</v>
      </c>
      <c r="D628" t="s">
        <v>817</v>
      </c>
      <c r="E628" t="s">
        <v>32</v>
      </c>
      <c r="F628" t="s">
        <v>307</v>
      </c>
      <c r="G628">
        <v>54.183827999999998</v>
      </c>
      <c r="H628">
        <v>7.8726450000000003</v>
      </c>
      <c r="I628" t="s">
        <v>769</v>
      </c>
      <c r="J628" t="s">
        <v>7</v>
      </c>
      <c r="K628" t="s">
        <v>143</v>
      </c>
      <c r="L628" t="s">
        <v>143</v>
      </c>
      <c r="M628" t="s">
        <v>726</v>
      </c>
      <c r="N628" t="s">
        <v>85</v>
      </c>
      <c r="O628" t="s">
        <v>84</v>
      </c>
      <c r="Q628">
        <v>15</v>
      </c>
      <c r="R628" t="s">
        <v>213</v>
      </c>
      <c r="S628" t="s">
        <v>7</v>
      </c>
      <c r="T628">
        <v>6</v>
      </c>
      <c r="U628">
        <v>8.2100000000000009</v>
      </c>
      <c r="V628">
        <v>301</v>
      </c>
      <c r="W628" t="s">
        <v>28</v>
      </c>
      <c r="X628">
        <v>0.70879999999999999</v>
      </c>
      <c r="Y628">
        <f>0.7515-X628</f>
        <v>4.269999999999996E-2</v>
      </c>
    </row>
    <row r="629" spans="1:25" x14ac:dyDescent="0.2">
      <c r="A629" t="s">
        <v>631</v>
      </c>
      <c r="B629">
        <v>2012</v>
      </c>
      <c r="C629" t="s">
        <v>816</v>
      </c>
      <c r="D629" t="s">
        <v>817</v>
      </c>
      <c r="E629" t="s">
        <v>32</v>
      </c>
      <c r="F629" t="s">
        <v>307</v>
      </c>
      <c r="G629">
        <v>54.183827999999998</v>
      </c>
      <c r="H629">
        <v>7.8726450000000003</v>
      </c>
      <c r="I629" t="s">
        <v>769</v>
      </c>
      <c r="J629" t="s">
        <v>5</v>
      </c>
      <c r="K629" t="s">
        <v>143</v>
      </c>
      <c r="L629" t="s">
        <v>143</v>
      </c>
      <c r="M629" t="s">
        <v>726</v>
      </c>
      <c r="N629" t="s">
        <v>85</v>
      </c>
      <c r="O629" t="s">
        <v>84</v>
      </c>
      <c r="Q629">
        <v>15</v>
      </c>
      <c r="R629" t="s">
        <v>213</v>
      </c>
      <c r="S629" t="s">
        <v>9</v>
      </c>
      <c r="T629">
        <v>6</v>
      </c>
      <c r="U629">
        <v>7.81</v>
      </c>
      <c r="V629">
        <v>621</v>
      </c>
      <c r="W629" t="s">
        <v>28</v>
      </c>
      <c r="X629">
        <v>0.72809999999999997</v>
      </c>
      <c r="Y629">
        <f>0.779-X629</f>
        <v>5.0900000000000056E-2</v>
      </c>
    </row>
    <row r="630" spans="1:25" x14ac:dyDescent="0.2">
      <c r="A630" t="s">
        <v>631</v>
      </c>
      <c r="B630">
        <v>2012</v>
      </c>
      <c r="C630" t="s">
        <v>816</v>
      </c>
      <c r="D630" t="s">
        <v>817</v>
      </c>
      <c r="E630" t="s">
        <v>32</v>
      </c>
      <c r="F630" t="s">
        <v>307</v>
      </c>
      <c r="G630">
        <v>54.183827999999998</v>
      </c>
      <c r="H630">
        <v>7.8726450000000003</v>
      </c>
      <c r="I630" t="s">
        <v>769</v>
      </c>
      <c r="J630" t="s">
        <v>7</v>
      </c>
      <c r="K630" t="s">
        <v>143</v>
      </c>
      <c r="L630" t="s">
        <v>143</v>
      </c>
      <c r="M630" t="s">
        <v>726</v>
      </c>
      <c r="N630" t="s">
        <v>85</v>
      </c>
      <c r="O630" t="s">
        <v>112</v>
      </c>
      <c r="Q630">
        <v>15</v>
      </c>
      <c r="R630" t="s">
        <v>213</v>
      </c>
      <c r="S630" t="s">
        <v>7</v>
      </c>
      <c r="T630">
        <v>6</v>
      </c>
      <c r="U630">
        <v>8.2100000000000009</v>
      </c>
      <c r="V630">
        <v>301</v>
      </c>
      <c r="W630" t="s">
        <v>28</v>
      </c>
      <c r="X630">
        <v>9.2799999999999994</v>
      </c>
      <c r="Y630">
        <f>10.69-X630</f>
        <v>1.4100000000000001</v>
      </c>
    </row>
    <row r="631" spans="1:25" x14ac:dyDescent="0.2">
      <c r="A631" t="s">
        <v>631</v>
      </c>
      <c r="B631">
        <v>2012</v>
      </c>
      <c r="C631" t="s">
        <v>816</v>
      </c>
      <c r="D631" t="s">
        <v>817</v>
      </c>
      <c r="E631" t="s">
        <v>32</v>
      </c>
      <c r="F631" t="s">
        <v>307</v>
      </c>
      <c r="G631">
        <v>54.183827999999998</v>
      </c>
      <c r="H631">
        <v>7.8726450000000003</v>
      </c>
      <c r="I631" t="s">
        <v>769</v>
      </c>
      <c r="J631" t="s">
        <v>5</v>
      </c>
      <c r="K631" t="s">
        <v>143</v>
      </c>
      <c r="L631" t="s">
        <v>143</v>
      </c>
      <c r="M631" t="s">
        <v>726</v>
      </c>
      <c r="N631" t="s">
        <v>85</v>
      </c>
      <c r="O631" t="s">
        <v>112</v>
      </c>
      <c r="Q631">
        <v>15</v>
      </c>
      <c r="R631" t="s">
        <v>213</v>
      </c>
      <c r="S631" t="s">
        <v>9</v>
      </c>
      <c r="T631">
        <v>6</v>
      </c>
      <c r="U631">
        <v>7.81</v>
      </c>
      <c r="V631">
        <v>621</v>
      </c>
      <c r="W631" t="s">
        <v>28</v>
      </c>
      <c r="X631">
        <v>11.31</v>
      </c>
      <c r="Y631">
        <f>13.1-X631</f>
        <v>1.7899999999999991</v>
      </c>
    </row>
    <row r="632" spans="1:25" x14ac:dyDescent="0.2">
      <c r="A632" t="s">
        <v>631</v>
      </c>
      <c r="B632">
        <v>2012</v>
      </c>
      <c r="C632" t="s">
        <v>816</v>
      </c>
      <c r="D632" t="s">
        <v>817</v>
      </c>
      <c r="E632" t="s">
        <v>32</v>
      </c>
      <c r="F632" t="s">
        <v>307</v>
      </c>
      <c r="G632">
        <v>54.183827999999998</v>
      </c>
      <c r="H632">
        <v>7.8726450000000003</v>
      </c>
      <c r="I632" t="s">
        <v>765</v>
      </c>
      <c r="J632" t="s">
        <v>7</v>
      </c>
      <c r="K632" t="s">
        <v>144</v>
      </c>
      <c r="L632" t="s">
        <v>144</v>
      </c>
      <c r="M632" t="s">
        <v>726</v>
      </c>
      <c r="N632" t="s">
        <v>85</v>
      </c>
      <c r="O632" t="s">
        <v>84</v>
      </c>
      <c r="Q632">
        <v>22</v>
      </c>
      <c r="R632" t="s">
        <v>213</v>
      </c>
      <c r="S632" t="s">
        <v>7</v>
      </c>
      <c r="T632">
        <v>8</v>
      </c>
      <c r="U632">
        <v>8.2100000000000009</v>
      </c>
      <c r="V632">
        <f>AVERAGE(270,291)</f>
        <v>280.5</v>
      </c>
      <c r="W632" t="s">
        <v>28</v>
      </c>
      <c r="X632">
        <f>AVERAGE(0.6283,0.4891)</f>
        <v>0.55869999999999997</v>
      </c>
      <c r="Y632">
        <f>AVERAGE(0.0211,0.06)</f>
        <v>4.0550000000000003E-2</v>
      </c>
    </row>
    <row r="633" spans="1:25" x14ac:dyDescent="0.2">
      <c r="A633" t="s">
        <v>631</v>
      </c>
      <c r="B633">
        <v>2012</v>
      </c>
      <c r="C633" t="s">
        <v>816</v>
      </c>
      <c r="D633" t="s">
        <v>817</v>
      </c>
      <c r="E633" t="s">
        <v>32</v>
      </c>
      <c r="F633" t="s">
        <v>307</v>
      </c>
      <c r="G633">
        <v>54.183827999999998</v>
      </c>
      <c r="H633">
        <v>7.8726450000000003</v>
      </c>
      <c r="I633" t="s">
        <v>765</v>
      </c>
      <c r="J633" t="s">
        <v>5</v>
      </c>
      <c r="K633" t="s">
        <v>144</v>
      </c>
      <c r="L633" t="s">
        <v>144</v>
      </c>
      <c r="M633" t="s">
        <v>726</v>
      </c>
      <c r="N633" t="s">
        <v>85</v>
      </c>
      <c r="O633" t="s">
        <v>84</v>
      </c>
      <c r="Q633">
        <v>22</v>
      </c>
      <c r="R633" t="s">
        <v>213</v>
      </c>
      <c r="S633" t="s">
        <v>9</v>
      </c>
      <c r="T633">
        <v>8</v>
      </c>
      <c r="U633">
        <v>7.81</v>
      </c>
      <c r="V633">
        <f>AVERAGE(690,667)</f>
        <v>678.5</v>
      </c>
      <c r="W633" t="s">
        <v>28</v>
      </c>
      <c r="X633">
        <f>AVERAGE(0.66,0.44)</f>
        <v>0.55000000000000004</v>
      </c>
      <c r="Y633">
        <f>AVERAGE(0.0268999999999999,0.0895)</f>
        <v>5.8199999999999946E-2</v>
      </c>
    </row>
    <row r="634" spans="1:25" x14ac:dyDescent="0.2">
      <c r="A634" t="s">
        <v>631</v>
      </c>
      <c r="B634">
        <v>2012</v>
      </c>
      <c r="C634" t="s">
        <v>816</v>
      </c>
      <c r="D634" t="s">
        <v>817</v>
      </c>
      <c r="E634" t="s">
        <v>32</v>
      </c>
      <c r="F634" t="s">
        <v>307</v>
      </c>
      <c r="G634">
        <v>54.183827999999998</v>
      </c>
      <c r="H634">
        <v>7.8726450000000003</v>
      </c>
      <c r="I634" t="s">
        <v>765</v>
      </c>
      <c r="J634" t="s">
        <v>7</v>
      </c>
      <c r="K634" t="s">
        <v>144</v>
      </c>
      <c r="L634" t="s">
        <v>144</v>
      </c>
      <c r="M634" t="s">
        <v>726</v>
      </c>
      <c r="N634" t="s">
        <v>85</v>
      </c>
      <c r="O634" t="s">
        <v>112</v>
      </c>
      <c r="Q634">
        <v>22</v>
      </c>
      <c r="R634" t="s">
        <v>213</v>
      </c>
      <c r="S634" t="s">
        <v>7</v>
      </c>
      <c r="T634">
        <v>8</v>
      </c>
      <c r="U634">
        <v>8.2100000000000009</v>
      </c>
      <c r="V634">
        <f>AVERAGE(270,291)</f>
        <v>280.5</v>
      </c>
      <c r="W634" t="s">
        <v>28</v>
      </c>
      <c r="X634">
        <f>AVERAGE(8.327,7.096)</f>
        <v>7.7115</v>
      </c>
      <c r="Y634">
        <f>AVERAGE(1.301,1.963)</f>
        <v>1.6320000000000001</v>
      </c>
    </row>
    <row r="635" spans="1:25" x14ac:dyDescent="0.2">
      <c r="A635" t="s">
        <v>631</v>
      </c>
      <c r="B635">
        <v>2012</v>
      </c>
      <c r="C635" t="s">
        <v>816</v>
      </c>
      <c r="D635" t="s">
        <v>817</v>
      </c>
      <c r="E635" t="s">
        <v>32</v>
      </c>
      <c r="F635" t="s">
        <v>307</v>
      </c>
      <c r="G635">
        <v>54.183827999999998</v>
      </c>
      <c r="H635">
        <v>7.8726450000000003</v>
      </c>
      <c r="I635" t="s">
        <v>765</v>
      </c>
      <c r="J635" t="s">
        <v>5</v>
      </c>
      <c r="K635" t="s">
        <v>144</v>
      </c>
      <c r="L635" t="s">
        <v>144</v>
      </c>
      <c r="M635" t="s">
        <v>726</v>
      </c>
      <c r="N635" t="s">
        <v>85</v>
      </c>
      <c r="O635" t="s">
        <v>112</v>
      </c>
      <c r="Q635">
        <v>22</v>
      </c>
      <c r="R635" t="s">
        <v>213</v>
      </c>
      <c r="S635" t="s">
        <v>9</v>
      </c>
      <c r="T635">
        <v>8</v>
      </c>
      <c r="U635">
        <v>7.81</v>
      </c>
      <c r="V635">
        <f>AVERAGE(690,667)</f>
        <v>678.5</v>
      </c>
      <c r="W635" t="s">
        <v>28</v>
      </c>
      <c r="X635">
        <f>AVERAGE(7.408,6.442)</f>
        <v>6.9250000000000007</v>
      </c>
      <c r="Y635">
        <f>AVERAGE(1.546,0.542)</f>
        <v>1.044</v>
      </c>
    </row>
    <row r="636" spans="1:25" x14ac:dyDescent="0.2">
      <c r="A636" t="s">
        <v>631</v>
      </c>
      <c r="B636">
        <v>2012</v>
      </c>
      <c r="C636" t="s">
        <v>816</v>
      </c>
      <c r="D636" t="s">
        <v>817</v>
      </c>
      <c r="E636" t="s">
        <v>32</v>
      </c>
      <c r="F636" t="s">
        <v>307</v>
      </c>
      <c r="G636">
        <v>54.183827999999998</v>
      </c>
      <c r="H636">
        <v>7.8726450000000003</v>
      </c>
      <c r="I636" t="s">
        <v>769</v>
      </c>
      <c r="J636" t="s">
        <v>7</v>
      </c>
      <c r="K636" t="s">
        <v>143</v>
      </c>
      <c r="L636" t="s">
        <v>143</v>
      </c>
      <c r="M636" t="s">
        <v>73</v>
      </c>
      <c r="N636" t="s">
        <v>85</v>
      </c>
      <c r="O636" t="s">
        <v>146</v>
      </c>
      <c r="P636" t="s">
        <v>78</v>
      </c>
      <c r="Q636">
        <v>15</v>
      </c>
      <c r="R636" t="s">
        <v>213</v>
      </c>
      <c r="S636" t="s">
        <v>7</v>
      </c>
      <c r="T636">
        <v>6</v>
      </c>
      <c r="U636">
        <v>8.2100000000000009</v>
      </c>
      <c r="V636">
        <v>301</v>
      </c>
      <c r="W636" t="s">
        <v>28</v>
      </c>
      <c r="X636">
        <v>29.66</v>
      </c>
      <c r="Y636">
        <f>36.49-X636</f>
        <v>6.8300000000000018</v>
      </c>
    </row>
    <row r="637" spans="1:25" x14ac:dyDescent="0.2">
      <c r="A637" t="s">
        <v>631</v>
      </c>
      <c r="B637">
        <v>2012</v>
      </c>
      <c r="C637" t="s">
        <v>816</v>
      </c>
      <c r="D637" t="s">
        <v>817</v>
      </c>
      <c r="E637" t="s">
        <v>32</v>
      </c>
      <c r="F637" t="s">
        <v>307</v>
      </c>
      <c r="G637">
        <v>54.183827999999998</v>
      </c>
      <c r="H637">
        <v>7.8726450000000003</v>
      </c>
      <c r="I637" t="s">
        <v>769</v>
      </c>
      <c r="J637" t="s">
        <v>5</v>
      </c>
      <c r="K637" t="s">
        <v>143</v>
      </c>
      <c r="L637" t="s">
        <v>143</v>
      </c>
      <c r="M637" t="s">
        <v>73</v>
      </c>
      <c r="N637" t="s">
        <v>85</v>
      </c>
      <c r="O637" t="s">
        <v>146</v>
      </c>
      <c r="P637" t="s">
        <v>78</v>
      </c>
      <c r="Q637">
        <v>15</v>
      </c>
      <c r="R637" t="s">
        <v>213</v>
      </c>
      <c r="S637" t="s">
        <v>9</v>
      </c>
      <c r="T637">
        <v>6</v>
      </c>
      <c r="U637">
        <v>7.81</v>
      </c>
      <c r="V637">
        <v>621</v>
      </c>
      <c r="W637" t="s">
        <v>28</v>
      </c>
      <c r="X637">
        <v>36.75</v>
      </c>
      <c r="Y637">
        <f>45.7-X637</f>
        <v>8.9500000000000028</v>
      </c>
    </row>
    <row r="638" spans="1:25" x14ac:dyDescent="0.2">
      <c r="A638" t="s">
        <v>631</v>
      </c>
      <c r="B638">
        <v>2012</v>
      </c>
      <c r="C638" t="s">
        <v>816</v>
      </c>
      <c r="D638" t="s">
        <v>817</v>
      </c>
      <c r="E638" t="s">
        <v>32</v>
      </c>
      <c r="F638" t="s">
        <v>307</v>
      </c>
      <c r="G638">
        <v>54.183827999999998</v>
      </c>
      <c r="H638">
        <v>7.8726450000000003</v>
      </c>
      <c r="I638" t="s">
        <v>769</v>
      </c>
      <c r="J638" t="s">
        <v>7</v>
      </c>
      <c r="K638" t="s">
        <v>143</v>
      </c>
      <c r="L638" t="s">
        <v>143</v>
      </c>
      <c r="M638" t="s">
        <v>553</v>
      </c>
      <c r="N638" t="s">
        <v>85</v>
      </c>
      <c r="O638" t="s">
        <v>61</v>
      </c>
      <c r="P638" t="s">
        <v>147</v>
      </c>
      <c r="Q638">
        <v>15</v>
      </c>
      <c r="R638" t="s">
        <v>213</v>
      </c>
      <c r="S638" t="s">
        <v>7</v>
      </c>
      <c r="T638">
        <v>5.5</v>
      </c>
      <c r="U638">
        <v>8.2100000000000009</v>
      </c>
      <c r="V638">
        <v>301</v>
      </c>
      <c r="W638" t="s">
        <v>28</v>
      </c>
      <c r="X638">
        <v>0.36930000000000002</v>
      </c>
      <c r="Y638">
        <f>0.4486-X638</f>
        <v>7.9299999999999982E-2</v>
      </c>
    </row>
    <row r="639" spans="1:25" x14ac:dyDescent="0.2">
      <c r="A639" t="s">
        <v>631</v>
      </c>
      <c r="B639">
        <v>2012</v>
      </c>
      <c r="C639" t="s">
        <v>816</v>
      </c>
      <c r="D639" t="s">
        <v>817</v>
      </c>
      <c r="E639" t="s">
        <v>32</v>
      </c>
      <c r="F639" t="s">
        <v>307</v>
      </c>
      <c r="G639">
        <v>54.183827999999998</v>
      </c>
      <c r="H639">
        <v>7.8726450000000003</v>
      </c>
      <c r="I639" t="s">
        <v>769</v>
      </c>
      <c r="J639" t="s">
        <v>5</v>
      </c>
      <c r="K639" t="s">
        <v>143</v>
      </c>
      <c r="L639" t="s">
        <v>143</v>
      </c>
      <c r="M639" t="s">
        <v>553</v>
      </c>
      <c r="N639" t="s">
        <v>85</v>
      </c>
      <c r="O639" t="s">
        <v>61</v>
      </c>
      <c r="P639" t="s">
        <v>147</v>
      </c>
      <c r="Q639">
        <v>15</v>
      </c>
      <c r="R639" t="s">
        <v>213</v>
      </c>
      <c r="S639" t="s">
        <v>9</v>
      </c>
      <c r="T639">
        <v>5.5</v>
      </c>
      <c r="U639">
        <v>7.81</v>
      </c>
      <c r="V639">
        <v>621</v>
      </c>
      <c r="W639" t="s">
        <v>28</v>
      </c>
      <c r="X639">
        <v>0.31940000000000002</v>
      </c>
      <c r="Y639">
        <f>0.4186-X639</f>
        <v>9.920000000000001E-2</v>
      </c>
    </row>
    <row r="640" spans="1:25" x14ac:dyDescent="0.2">
      <c r="A640" t="s">
        <v>631</v>
      </c>
      <c r="B640">
        <v>2012</v>
      </c>
      <c r="C640" t="s">
        <v>816</v>
      </c>
      <c r="D640" t="s">
        <v>817</v>
      </c>
      <c r="E640" t="s">
        <v>32</v>
      </c>
      <c r="F640" t="s">
        <v>307</v>
      </c>
      <c r="G640">
        <v>54.183827999999998</v>
      </c>
      <c r="H640">
        <v>7.8726450000000003</v>
      </c>
      <c r="I640" t="s">
        <v>769</v>
      </c>
      <c r="J640" t="s">
        <v>7</v>
      </c>
      <c r="K640" t="s">
        <v>143</v>
      </c>
      <c r="L640" t="s">
        <v>143</v>
      </c>
      <c r="M640" t="s">
        <v>637</v>
      </c>
      <c r="N640" t="s">
        <v>85</v>
      </c>
      <c r="O640" t="s">
        <v>148</v>
      </c>
      <c r="P640" t="s">
        <v>149</v>
      </c>
      <c r="Q640">
        <v>15</v>
      </c>
      <c r="R640" t="s">
        <v>213</v>
      </c>
      <c r="S640" t="s">
        <v>7</v>
      </c>
      <c r="T640">
        <v>5.5</v>
      </c>
      <c r="U640">
        <v>8.2100000000000009</v>
      </c>
      <c r="V640">
        <v>301</v>
      </c>
      <c r="W640" t="s">
        <v>28</v>
      </c>
      <c r="X640">
        <v>2.5990000000000002</v>
      </c>
      <c r="Y640">
        <f>3.588-X640</f>
        <v>0.98899999999999988</v>
      </c>
    </row>
    <row r="641" spans="1:26" x14ac:dyDescent="0.2">
      <c r="A641" t="s">
        <v>631</v>
      </c>
      <c r="B641">
        <v>2012</v>
      </c>
      <c r="C641" t="s">
        <v>816</v>
      </c>
      <c r="D641" t="s">
        <v>817</v>
      </c>
      <c r="E641" t="s">
        <v>32</v>
      </c>
      <c r="F641" t="s">
        <v>307</v>
      </c>
      <c r="G641">
        <v>54.183827999999998</v>
      </c>
      <c r="H641">
        <v>7.8726450000000003</v>
      </c>
      <c r="I641" t="s">
        <v>769</v>
      </c>
      <c r="J641" t="s">
        <v>5</v>
      </c>
      <c r="K641" t="s">
        <v>143</v>
      </c>
      <c r="L641" t="s">
        <v>143</v>
      </c>
      <c r="M641" t="s">
        <v>637</v>
      </c>
      <c r="N641" t="s">
        <v>85</v>
      </c>
      <c r="O641" t="s">
        <v>148</v>
      </c>
      <c r="P641" t="s">
        <v>149</v>
      </c>
      <c r="Q641">
        <v>15</v>
      </c>
      <c r="R641" t="s">
        <v>213</v>
      </c>
      <c r="S641" t="s">
        <v>9</v>
      </c>
      <c r="T641">
        <v>5.5</v>
      </c>
      <c r="U641">
        <v>7.81</v>
      </c>
      <c r="V641">
        <v>621</v>
      </c>
      <c r="W641" t="s">
        <v>28</v>
      </c>
      <c r="X641">
        <v>3.4510000000000001</v>
      </c>
      <c r="Y641">
        <f>3.94-X641</f>
        <v>0.48899999999999988</v>
      </c>
    </row>
    <row r="642" spans="1:26" x14ac:dyDescent="0.2">
      <c r="A642" t="s">
        <v>631</v>
      </c>
      <c r="B642">
        <v>2012</v>
      </c>
      <c r="C642" t="s">
        <v>816</v>
      </c>
      <c r="D642" t="s">
        <v>817</v>
      </c>
      <c r="E642" t="s">
        <v>32</v>
      </c>
      <c r="F642" t="s">
        <v>307</v>
      </c>
      <c r="G642">
        <v>54.183827999999998</v>
      </c>
      <c r="H642">
        <v>7.8726450000000003</v>
      </c>
      <c r="I642" t="s">
        <v>769</v>
      </c>
      <c r="J642" t="s">
        <v>7</v>
      </c>
      <c r="K642" t="s">
        <v>143</v>
      </c>
      <c r="L642" t="s">
        <v>143</v>
      </c>
      <c r="M642" s="6" t="s">
        <v>663</v>
      </c>
      <c r="N642" s="6" t="s">
        <v>85</v>
      </c>
      <c r="O642" t="s">
        <v>150</v>
      </c>
      <c r="Q642">
        <v>15</v>
      </c>
      <c r="R642" t="s">
        <v>213</v>
      </c>
      <c r="S642" t="s">
        <v>7</v>
      </c>
      <c r="T642">
        <v>5.5</v>
      </c>
      <c r="U642">
        <v>8.2100000000000009</v>
      </c>
      <c r="V642">
        <v>301</v>
      </c>
      <c r="W642" t="s">
        <v>28</v>
      </c>
      <c r="X642">
        <v>0.22459999999999999</v>
      </c>
      <c r="Y642">
        <f>0.245-X642</f>
        <v>2.0400000000000001E-2</v>
      </c>
    </row>
    <row r="643" spans="1:26" x14ac:dyDescent="0.2">
      <c r="A643" t="s">
        <v>631</v>
      </c>
      <c r="B643">
        <v>2012</v>
      </c>
      <c r="C643" t="s">
        <v>816</v>
      </c>
      <c r="D643" t="s">
        <v>817</v>
      </c>
      <c r="E643" t="s">
        <v>32</v>
      </c>
      <c r="F643" t="s">
        <v>307</v>
      </c>
      <c r="G643">
        <v>54.183827999999998</v>
      </c>
      <c r="H643">
        <v>7.8726450000000003</v>
      </c>
      <c r="I643" t="s">
        <v>769</v>
      </c>
      <c r="J643" t="s">
        <v>5</v>
      </c>
      <c r="K643" t="s">
        <v>143</v>
      </c>
      <c r="L643" t="s">
        <v>143</v>
      </c>
      <c r="M643" s="6" t="s">
        <v>663</v>
      </c>
      <c r="N643" s="6" t="s">
        <v>85</v>
      </c>
      <c r="O643" t="s">
        <v>150</v>
      </c>
      <c r="Q643">
        <v>15</v>
      </c>
      <c r="R643" t="s">
        <v>213</v>
      </c>
      <c r="S643" t="s">
        <v>9</v>
      </c>
      <c r="T643">
        <v>5.5</v>
      </c>
      <c r="U643">
        <v>7.81</v>
      </c>
      <c r="V643">
        <v>621</v>
      </c>
      <c r="W643" t="s">
        <v>28</v>
      </c>
      <c r="X643">
        <v>0.224</v>
      </c>
      <c r="Y643">
        <f>0.2343-X643</f>
        <v>1.0300000000000004E-2</v>
      </c>
    </row>
    <row r="644" spans="1:26" x14ac:dyDescent="0.2">
      <c r="A644" t="s">
        <v>165</v>
      </c>
      <c r="B644">
        <v>2011</v>
      </c>
      <c r="C644" t="s">
        <v>811</v>
      </c>
      <c r="D644" t="s">
        <v>818</v>
      </c>
      <c r="E644" t="s">
        <v>167</v>
      </c>
      <c r="F644" t="s">
        <v>329</v>
      </c>
      <c r="G644">
        <v>-20.433444000000001</v>
      </c>
      <c r="H644">
        <v>-70.166951999999995</v>
      </c>
      <c r="I644" t="s">
        <v>772</v>
      </c>
      <c r="J644" t="s">
        <v>7</v>
      </c>
      <c r="K644" t="s">
        <v>3</v>
      </c>
      <c r="L644" t="s">
        <v>3</v>
      </c>
      <c r="M644" t="s">
        <v>727</v>
      </c>
      <c r="N644" t="s">
        <v>85</v>
      </c>
      <c r="O644" t="s">
        <v>42</v>
      </c>
      <c r="P644" t="s">
        <v>743</v>
      </c>
      <c r="Q644">
        <v>15</v>
      </c>
      <c r="R644" t="s">
        <v>213</v>
      </c>
      <c r="S644" t="s">
        <v>7</v>
      </c>
      <c r="T644">
        <v>27</v>
      </c>
      <c r="U644" t="s">
        <v>28</v>
      </c>
      <c r="V644" t="s">
        <v>28</v>
      </c>
      <c r="W644">
        <v>10</v>
      </c>
      <c r="X644">
        <v>0.52349999999999997</v>
      </c>
      <c r="Y644">
        <f t="shared" ref="Y644:Y675" si="12">Z644*SQRT(T644)</f>
        <v>1.0392304845413274E-2</v>
      </c>
      <c r="Z644">
        <f>0.5255-X644</f>
        <v>2.0000000000000018E-3</v>
      </c>
    </row>
    <row r="645" spans="1:26" x14ac:dyDescent="0.2">
      <c r="A645" t="s">
        <v>165</v>
      </c>
      <c r="B645">
        <v>2011</v>
      </c>
      <c r="C645" t="s">
        <v>811</v>
      </c>
      <c r="D645" t="s">
        <v>818</v>
      </c>
      <c r="E645" t="s">
        <v>167</v>
      </c>
      <c r="F645" t="s">
        <v>329</v>
      </c>
      <c r="G645">
        <v>-20.433444000000001</v>
      </c>
      <c r="H645">
        <v>-70.166951999999995</v>
      </c>
      <c r="I645" t="s">
        <v>772</v>
      </c>
      <c r="J645" t="s">
        <v>14</v>
      </c>
      <c r="K645" t="s">
        <v>3</v>
      </c>
      <c r="L645" t="s">
        <v>3</v>
      </c>
      <c r="M645" t="s">
        <v>727</v>
      </c>
      <c r="N645" t="s">
        <v>85</v>
      </c>
      <c r="O645" t="s">
        <v>42</v>
      </c>
      <c r="P645" t="s">
        <v>743</v>
      </c>
      <c r="Q645">
        <v>15</v>
      </c>
      <c r="R645" t="s">
        <v>213</v>
      </c>
      <c r="S645" t="s">
        <v>9</v>
      </c>
      <c r="T645">
        <v>29</v>
      </c>
      <c r="U645" t="s">
        <v>28</v>
      </c>
      <c r="V645" t="s">
        <v>28</v>
      </c>
      <c r="W645">
        <v>14</v>
      </c>
      <c r="X645">
        <v>0.54490000000000005</v>
      </c>
      <c r="Y645">
        <f t="shared" si="12"/>
        <v>1.5616977940689537E-2</v>
      </c>
      <c r="Z645">
        <f>0.5478-X645</f>
        <v>2.8999999999999027E-3</v>
      </c>
    </row>
    <row r="646" spans="1:26" x14ac:dyDescent="0.2">
      <c r="A646" t="s">
        <v>165</v>
      </c>
      <c r="B646">
        <v>2011</v>
      </c>
      <c r="C646" t="s">
        <v>811</v>
      </c>
      <c r="D646" t="s">
        <v>818</v>
      </c>
      <c r="E646" t="s">
        <v>167</v>
      </c>
      <c r="F646" t="s">
        <v>335</v>
      </c>
      <c r="G646">
        <v>-26.132470000000001</v>
      </c>
      <c r="H646">
        <v>-70.654349999999994</v>
      </c>
      <c r="I646" t="s">
        <v>766</v>
      </c>
      <c r="J646" t="s">
        <v>7</v>
      </c>
      <c r="K646" t="s">
        <v>3</v>
      </c>
      <c r="L646" t="s">
        <v>3</v>
      </c>
      <c r="M646" t="s">
        <v>727</v>
      </c>
      <c r="N646" t="s">
        <v>85</v>
      </c>
      <c r="O646" t="s">
        <v>42</v>
      </c>
      <c r="P646" t="s">
        <v>743</v>
      </c>
      <c r="Q646">
        <v>15</v>
      </c>
      <c r="R646" t="s">
        <v>213</v>
      </c>
      <c r="S646" t="s">
        <v>7</v>
      </c>
      <c r="T646">
        <v>33</v>
      </c>
      <c r="U646" t="s">
        <v>28</v>
      </c>
      <c r="V646" t="s">
        <v>28</v>
      </c>
      <c r="W646">
        <v>10</v>
      </c>
      <c r="X646">
        <v>0.53149999999999997</v>
      </c>
      <c r="Y646">
        <f t="shared" si="12"/>
        <v>1.3212494087037924E-2</v>
      </c>
      <c r="Z646">
        <f>0.5338-X646</f>
        <v>2.3000000000000798E-3</v>
      </c>
    </row>
    <row r="647" spans="1:26" x14ac:dyDescent="0.2">
      <c r="A647" t="s">
        <v>165</v>
      </c>
      <c r="B647">
        <v>2011</v>
      </c>
      <c r="C647" t="s">
        <v>811</v>
      </c>
      <c r="D647" t="s">
        <v>818</v>
      </c>
      <c r="E647" t="s">
        <v>167</v>
      </c>
      <c r="F647" t="s">
        <v>335</v>
      </c>
      <c r="G647">
        <v>-26.132470000000001</v>
      </c>
      <c r="H647">
        <v>-70.654349999999994</v>
      </c>
      <c r="I647" t="s">
        <v>766</v>
      </c>
      <c r="J647" t="s">
        <v>14</v>
      </c>
      <c r="K647" t="s">
        <v>3</v>
      </c>
      <c r="L647" t="s">
        <v>3</v>
      </c>
      <c r="M647" t="s">
        <v>727</v>
      </c>
      <c r="N647" t="s">
        <v>85</v>
      </c>
      <c r="O647" t="s">
        <v>42</v>
      </c>
      <c r="P647" t="s">
        <v>743</v>
      </c>
      <c r="Q647">
        <v>15</v>
      </c>
      <c r="R647" t="s">
        <v>213</v>
      </c>
      <c r="S647" t="s">
        <v>9</v>
      </c>
      <c r="T647">
        <v>21</v>
      </c>
      <c r="U647" t="s">
        <v>28</v>
      </c>
      <c r="V647" t="s">
        <v>28</v>
      </c>
      <c r="W647">
        <v>14</v>
      </c>
      <c r="X647">
        <v>0.55830000000000002</v>
      </c>
      <c r="Y647">
        <f t="shared" si="12"/>
        <v>1.6955530071336777E-2</v>
      </c>
      <c r="Z647">
        <f>0.562-X647</f>
        <v>3.7000000000000366E-3</v>
      </c>
    </row>
    <row r="648" spans="1:26" x14ac:dyDescent="0.2">
      <c r="A648" t="s">
        <v>165</v>
      </c>
      <c r="B648">
        <v>2011</v>
      </c>
      <c r="C648" t="s">
        <v>811</v>
      </c>
      <c r="D648" t="s">
        <v>818</v>
      </c>
      <c r="E648" t="s">
        <v>167</v>
      </c>
      <c r="F648" t="s">
        <v>327</v>
      </c>
      <c r="G648">
        <v>-33.423727999999997</v>
      </c>
      <c r="H648">
        <v>-71.708954000000006</v>
      </c>
      <c r="I648" t="s">
        <v>762</v>
      </c>
      <c r="J648" t="s">
        <v>7</v>
      </c>
      <c r="K648" t="s">
        <v>3</v>
      </c>
      <c r="L648" t="s">
        <v>3</v>
      </c>
      <c r="M648" t="s">
        <v>727</v>
      </c>
      <c r="N648" t="s">
        <v>85</v>
      </c>
      <c r="O648" t="s">
        <v>42</v>
      </c>
      <c r="P648" t="s">
        <v>743</v>
      </c>
      <c r="Q648">
        <v>15</v>
      </c>
      <c r="R648" t="s">
        <v>213</v>
      </c>
      <c r="S648" t="s">
        <v>7</v>
      </c>
      <c r="T648">
        <v>24</v>
      </c>
      <c r="U648" t="s">
        <v>28</v>
      </c>
      <c r="V648" t="s">
        <v>28</v>
      </c>
      <c r="W648">
        <v>10</v>
      </c>
      <c r="X648">
        <v>0.54490000000000005</v>
      </c>
      <c r="Y648">
        <f t="shared" si="12"/>
        <v>1.7146428199481988E-2</v>
      </c>
      <c r="Z648">
        <f>0.5484-X648</f>
        <v>3.4999999999999476E-3</v>
      </c>
    </row>
    <row r="649" spans="1:26" x14ac:dyDescent="0.2">
      <c r="A649" t="s">
        <v>165</v>
      </c>
      <c r="B649">
        <v>2011</v>
      </c>
      <c r="C649" t="s">
        <v>811</v>
      </c>
      <c r="D649" t="s">
        <v>818</v>
      </c>
      <c r="E649" t="s">
        <v>167</v>
      </c>
      <c r="F649" t="s">
        <v>327</v>
      </c>
      <c r="G649">
        <v>-33.423727999999997</v>
      </c>
      <c r="H649">
        <v>-71.708954000000006</v>
      </c>
      <c r="I649" t="s">
        <v>762</v>
      </c>
      <c r="J649" t="s">
        <v>14</v>
      </c>
      <c r="K649" t="s">
        <v>3</v>
      </c>
      <c r="L649" t="s">
        <v>3</v>
      </c>
      <c r="M649" t="s">
        <v>727</v>
      </c>
      <c r="N649" t="s">
        <v>85</v>
      </c>
      <c r="O649" t="s">
        <v>42</v>
      </c>
      <c r="P649" t="s">
        <v>743</v>
      </c>
      <c r="Q649">
        <v>15</v>
      </c>
      <c r="R649" t="s">
        <v>213</v>
      </c>
      <c r="S649" t="s">
        <v>9</v>
      </c>
      <c r="T649">
        <v>23</v>
      </c>
      <c r="U649" t="s">
        <v>28</v>
      </c>
      <c r="V649" t="s">
        <v>28</v>
      </c>
      <c r="W649">
        <v>14</v>
      </c>
      <c r="X649">
        <v>0.52410000000000001</v>
      </c>
      <c r="Y649">
        <f t="shared" si="12"/>
        <v>1.3907911417606951E-2</v>
      </c>
      <c r="Z649">
        <f>0.527-X649</f>
        <v>2.9000000000000137E-3</v>
      </c>
    </row>
    <row r="650" spans="1:26" x14ac:dyDescent="0.2">
      <c r="A650" t="s">
        <v>165</v>
      </c>
      <c r="B650">
        <v>2011</v>
      </c>
      <c r="C650" t="s">
        <v>811</v>
      </c>
      <c r="D650" t="s">
        <v>818</v>
      </c>
      <c r="E650" t="s">
        <v>167</v>
      </c>
      <c r="F650" t="s">
        <v>316</v>
      </c>
      <c r="G650">
        <v>-33.503135</v>
      </c>
      <c r="H650">
        <v>-71.633611000000002</v>
      </c>
      <c r="I650" t="s">
        <v>762</v>
      </c>
      <c r="J650" t="s">
        <v>7</v>
      </c>
      <c r="K650" t="s">
        <v>3</v>
      </c>
      <c r="L650" t="s">
        <v>3</v>
      </c>
      <c r="M650" t="s">
        <v>727</v>
      </c>
      <c r="N650" t="s">
        <v>85</v>
      </c>
      <c r="O650" t="s">
        <v>42</v>
      </c>
      <c r="P650" t="s">
        <v>743</v>
      </c>
      <c r="Q650">
        <v>15</v>
      </c>
      <c r="R650" t="s">
        <v>213</v>
      </c>
      <c r="S650" t="s">
        <v>7</v>
      </c>
      <c r="T650">
        <v>27</v>
      </c>
      <c r="U650" t="s">
        <v>28</v>
      </c>
      <c r="V650" t="s">
        <v>28</v>
      </c>
      <c r="W650">
        <v>10</v>
      </c>
      <c r="X650">
        <v>0.53549999999999998</v>
      </c>
      <c r="Y650">
        <f t="shared" si="12"/>
        <v>7.2746133917896373E-3</v>
      </c>
      <c r="Z650">
        <f>0.5369-X650</f>
        <v>1.4000000000000679E-3</v>
      </c>
    </row>
    <row r="651" spans="1:26" x14ac:dyDescent="0.2">
      <c r="A651" t="s">
        <v>165</v>
      </c>
      <c r="B651">
        <v>2011</v>
      </c>
      <c r="C651" t="s">
        <v>811</v>
      </c>
      <c r="D651" t="s">
        <v>818</v>
      </c>
      <c r="E651" t="s">
        <v>167</v>
      </c>
      <c r="F651" t="s">
        <v>316</v>
      </c>
      <c r="G651">
        <v>-33.503135</v>
      </c>
      <c r="H651">
        <v>-71.633611000000002</v>
      </c>
      <c r="I651" t="s">
        <v>762</v>
      </c>
      <c r="J651" t="s">
        <v>14</v>
      </c>
      <c r="K651" t="s">
        <v>3</v>
      </c>
      <c r="L651" t="s">
        <v>3</v>
      </c>
      <c r="M651" t="s">
        <v>727</v>
      </c>
      <c r="N651" t="s">
        <v>85</v>
      </c>
      <c r="O651" t="s">
        <v>42</v>
      </c>
      <c r="P651" t="s">
        <v>743</v>
      </c>
      <c r="Q651">
        <v>15</v>
      </c>
      <c r="R651" t="s">
        <v>213</v>
      </c>
      <c r="S651" t="s">
        <v>9</v>
      </c>
      <c r="T651">
        <v>25</v>
      </c>
      <c r="U651" t="s">
        <v>28</v>
      </c>
      <c r="V651" t="s">
        <v>28</v>
      </c>
      <c r="W651">
        <v>14</v>
      </c>
      <c r="X651">
        <v>0.53039999999999998</v>
      </c>
      <c r="Y651">
        <f t="shared" si="12"/>
        <v>8.5000000000001741E-3</v>
      </c>
      <c r="Z651">
        <f>0.5321-X651</f>
        <v>1.7000000000000348E-3</v>
      </c>
    </row>
    <row r="652" spans="1:26" x14ac:dyDescent="0.2">
      <c r="A652" t="s">
        <v>165</v>
      </c>
      <c r="B652">
        <v>2011</v>
      </c>
      <c r="C652" t="s">
        <v>811</v>
      </c>
      <c r="D652" t="s">
        <v>818</v>
      </c>
      <c r="E652" t="s">
        <v>167</v>
      </c>
      <c r="F652" t="s">
        <v>332</v>
      </c>
      <c r="G652">
        <v>-39.783056000000002</v>
      </c>
      <c r="H652">
        <v>-73.396944000000005</v>
      </c>
      <c r="I652" t="s">
        <v>762</v>
      </c>
      <c r="J652" t="s">
        <v>7</v>
      </c>
      <c r="K652" t="s">
        <v>3</v>
      </c>
      <c r="L652" t="s">
        <v>3</v>
      </c>
      <c r="M652" t="s">
        <v>727</v>
      </c>
      <c r="N652" t="s">
        <v>85</v>
      </c>
      <c r="O652" t="s">
        <v>42</v>
      </c>
      <c r="P652" t="s">
        <v>743</v>
      </c>
      <c r="Q652">
        <v>15</v>
      </c>
      <c r="R652" t="s">
        <v>213</v>
      </c>
      <c r="S652" t="s">
        <v>7</v>
      </c>
      <c r="T652">
        <v>18</v>
      </c>
      <c r="U652" t="s">
        <v>28</v>
      </c>
      <c r="V652" t="s">
        <v>28</v>
      </c>
      <c r="W652">
        <v>10</v>
      </c>
      <c r="X652">
        <v>0.52210000000000001</v>
      </c>
      <c r="Y652">
        <f t="shared" si="12"/>
        <v>1.1030865786510339E-2</v>
      </c>
      <c r="Z652">
        <f>0.5247-X652</f>
        <v>2.6000000000000467E-3</v>
      </c>
    </row>
    <row r="653" spans="1:26" x14ac:dyDescent="0.2">
      <c r="A653" t="s">
        <v>165</v>
      </c>
      <c r="B653">
        <v>2011</v>
      </c>
      <c r="C653" t="s">
        <v>811</v>
      </c>
      <c r="D653" t="s">
        <v>818</v>
      </c>
      <c r="E653" t="s">
        <v>167</v>
      </c>
      <c r="F653" t="s">
        <v>332</v>
      </c>
      <c r="G653">
        <v>-39.783056000000002</v>
      </c>
      <c r="H653">
        <v>-73.396944000000005</v>
      </c>
      <c r="I653" t="s">
        <v>762</v>
      </c>
      <c r="J653" t="s">
        <v>14</v>
      </c>
      <c r="K653" t="s">
        <v>3</v>
      </c>
      <c r="L653" t="s">
        <v>3</v>
      </c>
      <c r="M653" t="s">
        <v>727</v>
      </c>
      <c r="N653" t="s">
        <v>85</v>
      </c>
      <c r="O653" t="s">
        <v>42</v>
      </c>
      <c r="P653" t="s">
        <v>743</v>
      </c>
      <c r="Q653">
        <v>15</v>
      </c>
      <c r="R653" t="s">
        <v>213</v>
      </c>
      <c r="S653" t="s">
        <v>9</v>
      </c>
      <c r="T653">
        <v>23</v>
      </c>
      <c r="U653" t="s">
        <v>28</v>
      </c>
      <c r="V653" t="s">
        <v>28</v>
      </c>
      <c r="W653">
        <v>14</v>
      </c>
      <c r="X653">
        <v>0.48649999999999999</v>
      </c>
      <c r="Y653">
        <f t="shared" si="12"/>
        <v>1.1989578808281809E-2</v>
      </c>
      <c r="Z653">
        <f>0.489-X653</f>
        <v>2.5000000000000022E-3</v>
      </c>
    </row>
    <row r="654" spans="1:26" x14ac:dyDescent="0.2">
      <c r="A654" t="s">
        <v>151</v>
      </c>
      <c r="B654">
        <v>2019</v>
      </c>
      <c r="C654" t="s">
        <v>807</v>
      </c>
      <c r="D654" t="s">
        <v>819</v>
      </c>
      <c r="E654" t="s">
        <v>152</v>
      </c>
      <c r="F654" t="s">
        <v>333</v>
      </c>
      <c r="G654">
        <v>49.177954999999997</v>
      </c>
      <c r="H654">
        <v>-126.085087</v>
      </c>
      <c r="I654" t="s">
        <v>766</v>
      </c>
      <c r="J654" t="s">
        <v>7</v>
      </c>
      <c r="K654" t="s">
        <v>143</v>
      </c>
      <c r="L654" t="s">
        <v>143</v>
      </c>
      <c r="M654" t="s">
        <v>12</v>
      </c>
      <c r="N654" t="s">
        <v>85</v>
      </c>
      <c r="O654" t="s">
        <v>141</v>
      </c>
      <c r="P654" t="s">
        <v>74</v>
      </c>
      <c r="Q654">
        <v>4</v>
      </c>
      <c r="R654" t="s">
        <v>213</v>
      </c>
      <c r="S654" t="s">
        <v>7</v>
      </c>
      <c r="T654">
        <v>7</v>
      </c>
      <c r="U654" t="s">
        <v>28</v>
      </c>
      <c r="V654" t="s">
        <v>28</v>
      </c>
      <c r="W654">
        <v>12</v>
      </c>
      <c r="X654">
        <v>3.06</v>
      </c>
      <c r="Y654">
        <f t="shared" si="12"/>
        <v>2.0107709964090885</v>
      </c>
      <c r="Z654">
        <f>3.82-X654</f>
        <v>0.75999999999999979</v>
      </c>
    </row>
    <row r="655" spans="1:26" x14ac:dyDescent="0.2">
      <c r="A655" t="s">
        <v>151</v>
      </c>
      <c r="B655">
        <v>2019</v>
      </c>
      <c r="C655" t="s">
        <v>807</v>
      </c>
      <c r="D655" t="s">
        <v>819</v>
      </c>
      <c r="E655" t="s">
        <v>152</v>
      </c>
      <c r="F655" t="s">
        <v>333</v>
      </c>
      <c r="G655">
        <v>49.177954999999997</v>
      </c>
      <c r="H655">
        <v>-126.085087</v>
      </c>
      <c r="I655" t="s">
        <v>766</v>
      </c>
      <c r="J655" t="s">
        <v>14</v>
      </c>
      <c r="K655" t="s">
        <v>143</v>
      </c>
      <c r="L655" t="s">
        <v>143</v>
      </c>
      <c r="M655" t="s">
        <v>12</v>
      </c>
      <c r="N655" t="s">
        <v>85</v>
      </c>
      <c r="O655" t="s">
        <v>141</v>
      </c>
      <c r="P655" t="s">
        <v>74</v>
      </c>
      <c r="Q655">
        <v>4</v>
      </c>
      <c r="R655" t="s">
        <v>213</v>
      </c>
      <c r="S655" t="s">
        <v>9</v>
      </c>
      <c r="T655">
        <v>7</v>
      </c>
      <c r="U655" t="s">
        <v>28</v>
      </c>
      <c r="V655" t="s">
        <v>28</v>
      </c>
      <c r="W655">
        <v>18</v>
      </c>
      <c r="X655">
        <v>0</v>
      </c>
      <c r="Y655">
        <f t="shared" si="12"/>
        <v>0</v>
      </c>
      <c r="Z655">
        <v>0</v>
      </c>
    </row>
    <row r="656" spans="1:26" x14ac:dyDescent="0.2">
      <c r="A656" t="s">
        <v>151</v>
      </c>
      <c r="B656">
        <v>2019</v>
      </c>
      <c r="C656" t="s">
        <v>807</v>
      </c>
      <c r="D656" t="s">
        <v>823</v>
      </c>
      <c r="E656" t="s">
        <v>138</v>
      </c>
      <c r="F656" t="s">
        <v>333</v>
      </c>
      <c r="G656">
        <v>49.177954999999997</v>
      </c>
      <c r="H656">
        <v>-126.085087</v>
      </c>
      <c r="I656" t="s">
        <v>761</v>
      </c>
      <c r="J656" t="s">
        <v>7</v>
      </c>
      <c r="K656" t="s">
        <v>143</v>
      </c>
      <c r="L656" t="s">
        <v>143</v>
      </c>
      <c r="M656" t="s">
        <v>12</v>
      </c>
      <c r="N656" t="s">
        <v>85</v>
      </c>
      <c r="O656" t="s">
        <v>141</v>
      </c>
      <c r="P656" t="s">
        <v>74</v>
      </c>
      <c r="Q656">
        <v>4</v>
      </c>
      <c r="R656" t="s">
        <v>213</v>
      </c>
      <c r="S656" t="s">
        <v>7</v>
      </c>
      <c r="T656">
        <v>7</v>
      </c>
      <c r="U656" t="s">
        <v>28</v>
      </c>
      <c r="V656" t="s">
        <v>28</v>
      </c>
      <c r="W656">
        <v>12</v>
      </c>
      <c r="X656">
        <v>0.1426</v>
      </c>
      <c r="Y656">
        <f t="shared" si="12"/>
        <v>9.471789693611235E-2</v>
      </c>
      <c r="Z656">
        <f>0.1784-X656</f>
        <v>3.5799999999999998E-2</v>
      </c>
    </row>
    <row r="657" spans="1:26" x14ac:dyDescent="0.2">
      <c r="A657" t="s">
        <v>151</v>
      </c>
      <c r="B657">
        <v>2019</v>
      </c>
      <c r="C657" t="s">
        <v>807</v>
      </c>
      <c r="D657" t="s">
        <v>823</v>
      </c>
      <c r="E657" t="s">
        <v>138</v>
      </c>
      <c r="F657" t="s">
        <v>333</v>
      </c>
      <c r="G657">
        <v>49.177954999999997</v>
      </c>
      <c r="H657">
        <v>-126.085087</v>
      </c>
      <c r="I657" t="s">
        <v>761</v>
      </c>
      <c r="J657" t="s">
        <v>14</v>
      </c>
      <c r="K657" t="s">
        <v>143</v>
      </c>
      <c r="L657" t="s">
        <v>143</v>
      </c>
      <c r="M657" t="s">
        <v>12</v>
      </c>
      <c r="N657" t="s">
        <v>85</v>
      </c>
      <c r="O657" t="s">
        <v>141</v>
      </c>
      <c r="P657" t="s">
        <v>74</v>
      </c>
      <c r="Q657">
        <v>4</v>
      </c>
      <c r="R657" t="s">
        <v>213</v>
      </c>
      <c r="S657" t="s">
        <v>9</v>
      </c>
      <c r="T657">
        <v>7</v>
      </c>
      <c r="U657" t="s">
        <v>28</v>
      </c>
      <c r="V657" t="s">
        <v>28</v>
      </c>
      <c r="W657">
        <v>18</v>
      </c>
      <c r="X657">
        <v>0</v>
      </c>
      <c r="Y657">
        <f t="shared" si="12"/>
        <v>0</v>
      </c>
      <c r="Z657">
        <v>0</v>
      </c>
    </row>
    <row r="658" spans="1:26" x14ac:dyDescent="0.2">
      <c r="A658" t="s">
        <v>151</v>
      </c>
      <c r="B658">
        <v>2019</v>
      </c>
      <c r="C658" t="s">
        <v>807</v>
      </c>
      <c r="D658" t="s">
        <v>808</v>
      </c>
      <c r="E658" t="s">
        <v>153</v>
      </c>
      <c r="F658" t="s">
        <v>333</v>
      </c>
      <c r="G658">
        <v>49.177954999999997</v>
      </c>
      <c r="H658">
        <v>-126.085087</v>
      </c>
      <c r="I658" t="s">
        <v>772</v>
      </c>
      <c r="J658" t="s">
        <v>7</v>
      </c>
      <c r="K658" t="s">
        <v>143</v>
      </c>
      <c r="L658" t="s">
        <v>143</v>
      </c>
      <c r="M658" t="s">
        <v>12</v>
      </c>
      <c r="N658" t="s">
        <v>85</v>
      </c>
      <c r="O658" t="s">
        <v>141</v>
      </c>
      <c r="P658" t="s">
        <v>74</v>
      </c>
      <c r="Q658">
        <v>4</v>
      </c>
      <c r="R658" t="s">
        <v>213</v>
      </c>
      <c r="S658" t="s">
        <v>7</v>
      </c>
      <c r="T658">
        <v>7</v>
      </c>
      <c r="U658" t="s">
        <v>28</v>
      </c>
      <c r="V658" t="s">
        <v>28</v>
      </c>
      <c r="W658">
        <v>12</v>
      </c>
      <c r="X658">
        <v>7.59</v>
      </c>
      <c r="Y658">
        <f t="shared" si="12"/>
        <v>3.3071891388307382</v>
      </c>
      <c r="Z658">
        <f>8.84-X658</f>
        <v>1.25</v>
      </c>
    </row>
    <row r="659" spans="1:26" x14ac:dyDescent="0.2">
      <c r="A659" t="s">
        <v>151</v>
      </c>
      <c r="B659">
        <v>2019</v>
      </c>
      <c r="C659" t="s">
        <v>807</v>
      </c>
      <c r="D659" t="s">
        <v>808</v>
      </c>
      <c r="E659" t="s">
        <v>153</v>
      </c>
      <c r="F659" t="s">
        <v>333</v>
      </c>
      <c r="G659">
        <v>49.177954999999997</v>
      </c>
      <c r="H659">
        <v>-126.085087</v>
      </c>
      <c r="I659" t="s">
        <v>772</v>
      </c>
      <c r="J659" t="s">
        <v>14</v>
      </c>
      <c r="K659" t="s">
        <v>143</v>
      </c>
      <c r="L659" t="s">
        <v>143</v>
      </c>
      <c r="M659" t="s">
        <v>12</v>
      </c>
      <c r="N659" t="s">
        <v>85</v>
      </c>
      <c r="O659" t="s">
        <v>141</v>
      </c>
      <c r="P659" t="s">
        <v>74</v>
      </c>
      <c r="Q659">
        <v>4</v>
      </c>
      <c r="R659" t="s">
        <v>213</v>
      </c>
      <c r="S659" t="s">
        <v>9</v>
      </c>
      <c r="T659">
        <v>7</v>
      </c>
      <c r="U659" t="s">
        <v>28</v>
      </c>
      <c r="V659" t="s">
        <v>28</v>
      </c>
      <c r="W659">
        <v>18</v>
      </c>
      <c r="X659">
        <v>0</v>
      </c>
      <c r="Y659">
        <f t="shared" si="12"/>
        <v>0</v>
      </c>
      <c r="Z659">
        <v>0</v>
      </c>
    </row>
    <row r="660" spans="1:26" x14ac:dyDescent="0.2">
      <c r="A660" t="s">
        <v>151</v>
      </c>
      <c r="B660">
        <v>2019</v>
      </c>
      <c r="C660" t="s">
        <v>805</v>
      </c>
      <c r="D660" t="s">
        <v>809</v>
      </c>
      <c r="E660" t="s">
        <v>154</v>
      </c>
      <c r="F660" t="s">
        <v>155</v>
      </c>
      <c r="G660">
        <v>48.511465000000001</v>
      </c>
      <c r="H660">
        <v>-123.158355</v>
      </c>
      <c r="I660" t="s">
        <v>769</v>
      </c>
      <c r="J660" t="s">
        <v>7</v>
      </c>
      <c r="K660" t="s">
        <v>143</v>
      </c>
      <c r="L660" t="s">
        <v>143</v>
      </c>
      <c r="M660" t="s">
        <v>12</v>
      </c>
      <c r="N660" t="s">
        <v>85</v>
      </c>
      <c r="O660" t="s">
        <v>141</v>
      </c>
      <c r="P660" t="s">
        <v>74</v>
      </c>
      <c r="Q660">
        <v>4</v>
      </c>
      <c r="R660" t="s">
        <v>213</v>
      </c>
      <c r="S660" t="s">
        <v>7</v>
      </c>
      <c r="T660">
        <v>7</v>
      </c>
      <c r="U660" t="s">
        <v>28</v>
      </c>
      <c r="V660" t="s">
        <v>28</v>
      </c>
      <c r="W660">
        <v>12</v>
      </c>
      <c r="X660">
        <v>2.1100000000000001E-2</v>
      </c>
      <c r="Y660">
        <f t="shared" si="12"/>
        <v>1.3599161738871993E-2</v>
      </c>
      <c r="Z660">
        <f>0.02624-X660</f>
        <v>5.1399999999999987E-3</v>
      </c>
    </row>
    <row r="661" spans="1:26" x14ac:dyDescent="0.2">
      <c r="A661" t="s">
        <v>151</v>
      </c>
      <c r="B661">
        <v>2019</v>
      </c>
      <c r="C661" t="s">
        <v>805</v>
      </c>
      <c r="D661" t="s">
        <v>809</v>
      </c>
      <c r="E661" t="s">
        <v>154</v>
      </c>
      <c r="F661" t="s">
        <v>155</v>
      </c>
      <c r="G661">
        <v>48.511465000000001</v>
      </c>
      <c r="H661">
        <v>-123.158355</v>
      </c>
      <c r="I661" t="s">
        <v>769</v>
      </c>
      <c r="J661" t="s">
        <v>14</v>
      </c>
      <c r="K661" t="s">
        <v>143</v>
      </c>
      <c r="L661" t="s">
        <v>143</v>
      </c>
      <c r="M661" t="s">
        <v>12</v>
      </c>
      <c r="N661" t="s">
        <v>85</v>
      </c>
      <c r="O661" t="s">
        <v>141</v>
      </c>
      <c r="P661" t="s">
        <v>74</v>
      </c>
      <c r="Q661">
        <v>4</v>
      </c>
      <c r="R661" t="s">
        <v>213</v>
      </c>
      <c r="S661" t="s">
        <v>9</v>
      </c>
      <c r="T661">
        <v>7</v>
      </c>
      <c r="U661" t="s">
        <v>28</v>
      </c>
      <c r="V661" t="s">
        <v>28</v>
      </c>
      <c r="W661">
        <v>18</v>
      </c>
      <c r="X661">
        <v>5.0600000000000003E-3</v>
      </c>
      <c r="Y661">
        <f t="shared" si="12"/>
        <v>1.338750163398683E-2</v>
      </c>
      <c r="Z661">
        <f>0.01012-X661</f>
        <v>5.0600000000000003E-3</v>
      </c>
    </row>
    <row r="662" spans="1:26" x14ac:dyDescent="0.2">
      <c r="A662" t="s">
        <v>151</v>
      </c>
      <c r="B662">
        <v>2019</v>
      </c>
      <c r="C662" t="s">
        <v>816</v>
      </c>
      <c r="D662" t="s">
        <v>817</v>
      </c>
      <c r="E662" t="s">
        <v>156</v>
      </c>
      <c r="F662" t="s">
        <v>333</v>
      </c>
      <c r="G662">
        <v>49.177954999999997</v>
      </c>
      <c r="H662">
        <v>-126.085087</v>
      </c>
      <c r="I662" t="s">
        <v>772</v>
      </c>
      <c r="J662" t="s">
        <v>7</v>
      </c>
      <c r="K662" t="s">
        <v>143</v>
      </c>
      <c r="L662" t="s">
        <v>143</v>
      </c>
      <c r="M662" t="s">
        <v>12</v>
      </c>
      <c r="N662" t="s">
        <v>85</v>
      </c>
      <c r="O662" t="s">
        <v>141</v>
      </c>
      <c r="P662" t="s">
        <v>74</v>
      </c>
      <c r="Q662">
        <v>4</v>
      </c>
      <c r="R662" t="s">
        <v>213</v>
      </c>
      <c r="S662" t="s">
        <v>7</v>
      </c>
      <c r="T662">
        <v>7</v>
      </c>
      <c r="U662" t="s">
        <v>28</v>
      </c>
      <c r="V662" t="s">
        <v>28</v>
      </c>
      <c r="W662">
        <v>12</v>
      </c>
      <c r="X662">
        <v>4.2619999999999996</v>
      </c>
      <c r="Y662">
        <f t="shared" si="12"/>
        <v>3.5320780002712309</v>
      </c>
      <c r="Z662">
        <f>5.597-X662</f>
        <v>1.3350000000000009</v>
      </c>
    </row>
    <row r="663" spans="1:26" x14ac:dyDescent="0.2">
      <c r="A663" t="s">
        <v>151</v>
      </c>
      <c r="B663">
        <v>2019</v>
      </c>
      <c r="C663" t="s">
        <v>816</v>
      </c>
      <c r="D663" t="s">
        <v>817</v>
      </c>
      <c r="E663" t="s">
        <v>156</v>
      </c>
      <c r="F663" t="s">
        <v>333</v>
      </c>
      <c r="G663">
        <v>49.177954999999997</v>
      </c>
      <c r="H663">
        <v>-126.085087</v>
      </c>
      <c r="I663" t="s">
        <v>772</v>
      </c>
      <c r="J663" t="s">
        <v>14</v>
      </c>
      <c r="K663" t="s">
        <v>143</v>
      </c>
      <c r="L663" t="s">
        <v>143</v>
      </c>
      <c r="M663" t="s">
        <v>12</v>
      </c>
      <c r="N663" t="s">
        <v>85</v>
      </c>
      <c r="O663" t="s">
        <v>141</v>
      </c>
      <c r="P663" t="s">
        <v>74</v>
      </c>
      <c r="Q663">
        <v>4</v>
      </c>
      <c r="R663" t="s">
        <v>213</v>
      </c>
      <c r="S663" t="s">
        <v>9</v>
      </c>
      <c r="T663">
        <v>7</v>
      </c>
      <c r="U663" t="s">
        <v>28</v>
      </c>
      <c r="V663" t="s">
        <v>28</v>
      </c>
      <c r="W663">
        <v>18</v>
      </c>
      <c r="X663">
        <v>0</v>
      </c>
      <c r="Y663">
        <f t="shared" si="12"/>
        <v>0</v>
      </c>
      <c r="Z663">
        <v>0</v>
      </c>
    </row>
    <row r="664" spans="1:26" x14ac:dyDescent="0.2">
      <c r="A664" t="s">
        <v>151</v>
      </c>
      <c r="B664">
        <v>2019</v>
      </c>
      <c r="C664" t="s">
        <v>816</v>
      </c>
      <c r="D664" t="s">
        <v>820</v>
      </c>
      <c r="E664" t="s">
        <v>34</v>
      </c>
      <c r="F664" t="s">
        <v>333</v>
      </c>
      <c r="G664">
        <v>49.177954999999997</v>
      </c>
      <c r="H664">
        <v>-126.085087</v>
      </c>
      <c r="I664" t="s">
        <v>770</v>
      </c>
      <c r="J664" t="s">
        <v>7</v>
      </c>
      <c r="K664" t="s">
        <v>143</v>
      </c>
      <c r="L664" t="s">
        <v>143</v>
      </c>
      <c r="M664" t="s">
        <v>12</v>
      </c>
      <c r="N664" t="s">
        <v>85</v>
      </c>
      <c r="O664" t="s">
        <v>141</v>
      </c>
      <c r="P664" t="s">
        <v>74</v>
      </c>
      <c r="Q664">
        <v>4</v>
      </c>
      <c r="R664" t="s">
        <v>213</v>
      </c>
      <c r="S664" t="s">
        <v>7</v>
      </c>
      <c r="T664">
        <v>7</v>
      </c>
      <c r="U664" t="s">
        <v>28</v>
      </c>
      <c r="V664" t="s">
        <v>28</v>
      </c>
      <c r="W664">
        <v>12</v>
      </c>
      <c r="X664">
        <v>4.9950000000000001</v>
      </c>
      <c r="Y664">
        <f t="shared" si="12"/>
        <v>2.576961776976912</v>
      </c>
      <c r="Z664">
        <f>5.969-X664</f>
        <v>0.9740000000000002</v>
      </c>
    </row>
    <row r="665" spans="1:26" x14ac:dyDescent="0.2">
      <c r="A665" t="s">
        <v>151</v>
      </c>
      <c r="B665">
        <v>2019</v>
      </c>
      <c r="C665" t="s">
        <v>816</v>
      </c>
      <c r="D665" t="s">
        <v>820</v>
      </c>
      <c r="E665" t="s">
        <v>34</v>
      </c>
      <c r="F665" t="s">
        <v>333</v>
      </c>
      <c r="G665">
        <v>49.177954999999997</v>
      </c>
      <c r="H665">
        <v>-126.085087</v>
      </c>
      <c r="I665" t="s">
        <v>770</v>
      </c>
      <c r="J665" t="s">
        <v>14</v>
      </c>
      <c r="K665" t="s">
        <v>143</v>
      </c>
      <c r="L665" t="s">
        <v>143</v>
      </c>
      <c r="M665" t="s">
        <v>12</v>
      </c>
      <c r="N665" t="s">
        <v>85</v>
      </c>
      <c r="O665" t="s">
        <v>141</v>
      </c>
      <c r="P665" t="s">
        <v>74</v>
      </c>
      <c r="Q665">
        <v>4</v>
      </c>
      <c r="R665" t="s">
        <v>213</v>
      </c>
      <c r="S665" t="s">
        <v>9</v>
      </c>
      <c r="T665">
        <v>7</v>
      </c>
      <c r="U665" t="s">
        <v>28</v>
      </c>
      <c r="V665" t="s">
        <v>28</v>
      </c>
      <c r="W665">
        <v>18</v>
      </c>
      <c r="X665">
        <v>0.495</v>
      </c>
      <c r="Y665">
        <f t="shared" si="12"/>
        <v>0.4497777228809805</v>
      </c>
      <c r="Z665">
        <f>0.665-X665</f>
        <v>0.17000000000000004</v>
      </c>
    </row>
    <row r="666" spans="1:26" x14ac:dyDescent="0.2">
      <c r="A666" t="s">
        <v>151</v>
      </c>
      <c r="B666">
        <v>2019</v>
      </c>
      <c r="C666" t="s">
        <v>826</v>
      </c>
      <c r="D666" t="s">
        <v>821</v>
      </c>
      <c r="E666" t="s">
        <v>134</v>
      </c>
      <c r="F666" t="s">
        <v>333</v>
      </c>
      <c r="G666">
        <v>49.177954999999997</v>
      </c>
      <c r="H666">
        <v>-126.085087</v>
      </c>
      <c r="I666" t="s">
        <v>772</v>
      </c>
      <c r="J666" t="s">
        <v>7</v>
      </c>
      <c r="K666" t="s">
        <v>143</v>
      </c>
      <c r="L666" t="s">
        <v>143</v>
      </c>
      <c r="M666" t="s">
        <v>12</v>
      </c>
      <c r="N666" t="s">
        <v>85</v>
      </c>
      <c r="O666" t="s">
        <v>141</v>
      </c>
      <c r="P666" t="s">
        <v>74</v>
      </c>
      <c r="Q666">
        <v>4</v>
      </c>
      <c r="R666" t="s">
        <v>213</v>
      </c>
      <c r="S666" t="s">
        <v>7</v>
      </c>
      <c r="T666">
        <v>7</v>
      </c>
      <c r="U666" t="s">
        <v>28</v>
      </c>
      <c r="V666" t="s">
        <v>28</v>
      </c>
      <c r="W666">
        <v>12</v>
      </c>
      <c r="X666">
        <v>10.85</v>
      </c>
      <c r="Y666">
        <f t="shared" si="12"/>
        <v>5.6619078056782257</v>
      </c>
      <c r="Z666">
        <f>12.99-X666</f>
        <v>2.1400000000000006</v>
      </c>
    </row>
    <row r="667" spans="1:26" x14ac:dyDescent="0.2">
      <c r="A667" t="s">
        <v>151</v>
      </c>
      <c r="B667">
        <v>2019</v>
      </c>
      <c r="C667" t="s">
        <v>826</v>
      </c>
      <c r="D667" t="s">
        <v>821</v>
      </c>
      <c r="E667" t="s">
        <v>134</v>
      </c>
      <c r="F667" t="s">
        <v>333</v>
      </c>
      <c r="G667">
        <v>49.177954999999997</v>
      </c>
      <c r="H667">
        <v>-126.085087</v>
      </c>
      <c r="I667" t="s">
        <v>772</v>
      </c>
      <c r="J667" t="s">
        <v>14</v>
      </c>
      <c r="K667" t="s">
        <v>143</v>
      </c>
      <c r="L667" t="s">
        <v>143</v>
      </c>
      <c r="M667" t="s">
        <v>12</v>
      </c>
      <c r="N667" t="s">
        <v>85</v>
      </c>
      <c r="O667" t="s">
        <v>141</v>
      </c>
      <c r="P667" t="s">
        <v>74</v>
      </c>
      <c r="Q667">
        <v>4</v>
      </c>
      <c r="R667" t="s">
        <v>213</v>
      </c>
      <c r="S667" t="s">
        <v>9</v>
      </c>
      <c r="T667">
        <v>7</v>
      </c>
      <c r="U667" t="s">
        <v>28</v>
      </c>
      <c r="V667" t="s">
        <v>28</v>
      </c>
      <c r="W667">
        <v>18</v>
      </c>
      <c r="X667">
        <v>0</v>
      </c>
      <c r="Y667">
        <f t="shared" si="12"/>
        <v>0</v>
      </c>
      <c r="Z667">
        <v>0</v>
      </c>
    </row>
    <row r="668" spans="1:26" x14ac:dyDescent="0.2">
      <c r="A668" t="s">
        <v>151</v>
      </c>
      <c r="B668">
        <v>2019</v>
      </c>
      <c r="C668" t="s">
        <v>816</v>
      </c>
      <c r="D668" t="s">
        <v>822</v>
      </c>
      <c r="E668" t="s">
        <v>850</v>
      </c>
      <c r="F668" t="s">
        <v>157</v>
      </c>
      <c r="G668">
        <v>48.39105</v>
      </c>
      <c r="H668">
        <v>-124.73800300000001</v>
      </c>
      <c r="I668" t="s">
        <v>764</v>
      </c>
      <c r="J668" t="s">
        <v>7</v>
      </c>
      <c r="K668" t="s">
        <v>143</v>
      </c>
      <c r="L668" t="s">
        <v>143</v>
      </c>
      <c r="M668" t="s">
        <v>12</v>
      </c>
      <c r="N668" t="s">
        <v>85</v>
      </c>
      <c r="O668" t="s">
        <v>141</v>
      </c>
      <c r="P668" t="s">
        <v>74</v>
      </c>
      <c r="Q668">
        <v>4</v>
      </c>
      <c r="R668" t="s">
        <v>213</v>
      </c>
      <c r="S668" t="s">
        <v>7</v>
      </c>
      <c r="T668">
        <v>7</v>
      </c>
      <c r="U668" t="s">
        <v>28</v>
      </c>
      <c r="V668" t="s">
        <v>28</v>
      </c>
      <c r="W668">
        <v>12</v>
      </c>
      <c r="X668">
        <v>1.804</v>
      </c>
      <c r="Y668">
        <f t="shared" si="12"/>
        <v>1.217045603089711</v>
      </c>
      <c r="Z668">
        <f>2.264-X668</f>
        <v>0.45999999999999974</v>
      </c>
    </row>
    <row r="669" spans="1:26" x14ac:dyDescent="0.2">
      <c r="A669" t="s">
        <v>151</v>
      </c>
      <c r="B669">
        <v>2019</v>
      </c>
      <c r="C669" t="s">
        <v>816</v>
      </c>
      <c r="D669" t="s">
        <v>822</v>
      </c>
      <c r="E669" t="s">
        <v>850</v>
      </c>
      <c r="F669" t="s">
        <v>157</v>
      </c>
      <c r="G669">
        <v>48.39105</v>
      </c>
      <c r="H669">
        <v>-124.73800300000001</v>
      </c>
      <c r="I669" t="s">
        <v>764</v>
      </c>
      <c r="J669" t="s">
        <v>14</v>
      </c>
      <c r="K669" t="s">
        <v>143</v>
      </c>
      <c r="L669" t="s">
        <v>143</v>
      </c>
      <c r="M669" t="s">
        <v>12</v>
      </c>
      <c r="N669" t="s">
        <v>85</v>
      </c>
      <c r="O669" t="s">
        <v>141</v>
      </c>
      <c r="P669" t="s">
        <v>74</v>
      </c>
      <c r="Q669">
        <v>4</v>
      </c>
      <c r="R669" t="s">
        <v>213</v>
      </c>
      <c r="S669" t="s">
        <v>9</v>
      </c>
      <c r="T669">
        <v>7</v>
      </c>
      <c r="U669" t="s">
        <v>28</v>
      </c>
      <c r="V669" t="s">
        <v>28</v>
      </c>
      <c r="W669">
        <v>18</v>
      </c>
      <c r="X669">
        <v>0</v>
      </c>
      <c r="Y669">
        <f t="shared" si="12"/>
        <v>0</v>
      </c>
      <c r="Z669">
        <v>0</v>
      </c>
    </row>
    <row r="670" spans="1:26" x14ac:dyDescent="0.2">
      <c r="A670" t="s">
        <v>151</v>
      </c>
      <c r="B670">
        <v>2019</v>
      </c>
      <c r="C670" t="s">
        <v>811</v>
      </c>
      <c r="D670" t="s">
        <v>814</v>
      </c>
      <c r="E670" t="s">
        <v>849</v>
      </c>
      <c r="F670" t="s">
        <v>333</v>
      </c>
      <c r="G670">
        <v>49.177954999999997</v>
      </c>
      <c r="H670">
        <v>-126.085087</v>
      </c>
      <c r="I670" t="s">
        <v>763</v>
      </c>
      <c r="J670" t="s">
        <v>7</v>
      </c>
      <c r="K670" t="s">
        <v>143</v>
      </c>
      <c r="L670" t="s">
        <v>143</v>
      </c>
      <c r="M670" t="s">
        <v>12</v>
      </c>
      <c r="N670" t="s">
        <v>85</v>
      </c>
      <c r="O670" t="s">
        <v>141</v>
      </c>
      <c r="P670" t="s">
        <v>74</v>
      </c>
      <c r="Q670">
        <v>4</v>
      </c>
      <c r="R670" t="s">
        <v>213</v>
      </c>
      <c r="S670" t="s">
        <v>7</v>
      </c>
      <c r="T670">
        <v>7</v>
      </c>
      <c r="U670" t="s">
        <v>28</v>
      </c>
      <c r="V670" t="s">
        <v>28</v>
      </c>
      <c r="W670">
        <v>12</v>
      </c>
      <c r="X670">
        <v>4.0960000000000001</v>
      </c>
      <c r="Y670">
        <f t="shared" si="12"/>
        <v>2.7092493425301409</v>
      </c>
      <c r="Z670">
        <f>5.12-X670</f>
        <v>1.024</v>
      </c>
    </row>
    <row r="671" spans="1:26" x14ac:dyDescent="0.2">
      <c r="A671" t="s">
        <v>151</v>
      </c>
      <c r="B671">
        <v>2019</v>
      </c>
      <c r="C671" t="s">
        <v>811</v>
      </c>
      <c r="D671" t="s">
        <v>814</v>
      </c>
      <c r="E671" t="s">
        <v>849</v>
      </c>
      <c r="F671" t="s">
        <v>333</v>
      </c>
      <c r="G671">
        <v>49.177954999999997</v>
      </c>
      <c r="H671">
        <v>-126.085087</v>
      </c>
      <c r="I671" t="s">
        <v>763</v>
      </c>
      <c r="J671" t="s">
        <v>14</v>
      </c>
      <c r="K671" t="s">
        <v>143</v>
      </c>
      <c r="L671" t="s">
        <v>143</v>
      </c>
      <c r="M671" t="s">
        <v>12</v>
      </c>
      <c r="N671" t="s">
        <v>85</v>
      </c>
      <c r="O671" t="s">
        <v>141</v>
      </c>
      <c r="P671" t="s">
        <v>74</v>
      </c>
      <c r="Q671">
        <v>4</v>
      </c>
      <c r="R671" t="s">
        <v>213</v>
      </c>
      <c r="S671" t="s">
        <v>9</v>
      </c>
      <c r="T671">
        <v>7</v>
      </c>
      <c r="U671" t="s">
        <v>28</v>
      </c>
      <c r="V671" t="s">
        <v>28</v>
      </c>
      <c r="W671">
        <v>18</v>
      </c>
      <c r="X671">
        <v>0.253</v>
      </c>
      <c r="Y671">
        <f t="shared" si="12"/>
        <v>0.31484440601668628</v>
      </c>
      <c r="Z671">
        <f>0.372-X671</f>
        <v>0.11899999999999999</v>
      </c>
    </row>
    <row r="672" spans="1:26" x14ac:dyDescent="0.2">
      <c r="A672" t="s">
        <v>151</v>
      </c>
      <c r="B672">
        <v>2019</v>
      </c>
      <c r="C672" t="s">
        <v>826</v>
      </c>
      <c r="D672" t="s">
        <v>813</v>
      </c>
      <c r="E672" t="s">
        <v>158</v>
      </c>
      <c r="F672" t="s">
        <v>333</v>
      </c>
      <c r="G672">
        <v>49.177954999999997</v>
      </c>
      <c r="H672">
        <v>-126.085087</v>
      </c>
      <c r="I672" t="s">
        <v>763</v>
      </c>
      <c r="J672" t="s">
        <v>7</v>
      </c>
      <c r="K672" t="s">
        <v>143</v>
      </c>
      <c r="L672" t="s">
        <v>143</v>
      </c>
      <c r="M672" t="s">
        <v>12</v>
      </c>
      <c r="N672" t="s">
        <v>85</v>
      </c>
      <c r="O672" t="s">
        <v>141</v>
      </c>
      <c r="P672" t="s">
        <v>74</v>
      </c>
      <c r="Q672">
        <v>4</v>
      </c>
      <c r="R672" t="s">
        <v>213</v>
      </c>
      <c r="S672" t="s">
        <v>7</v>
      </c>
      <c r="T672">
        <v>7</v>
      </c>
      <c r="U672" t="s">
        <v>28</v>
      </c>
      <c r="V672" t="s">
        <v>28</v>
      </c>
      <c r="W672">
        <v>12</v>
      </c>
      <c r="X672">
        <v>0.93700000000000006</v>
      </c>
      <c r="Y672">
        <f t="shared" si="12"/>
        <v>0.915429953628348</v>
      </c>
      <c r="Z672">
        <f>1.283-X672</f>
        <v>0.34599999999999986</v>
      </c>
    </row>
    <row r="673" spans="1:26" x14ac:dyDescent="0.2">
      <c r="A673" t="s">
        <v>151</v>
      </c>
      <c r="B673">
        <v>2019</v>
      </c>
      <c r="C673" t="s">
        <v>826</v>
      </c>
      <c r="D673" t="s">
        <v>813</v>
      </c>
      <c r="E673" t="s">
        <v>158</v>
      </c>
      <c r="F673" t="s">
        <v>333</v>
      </c>
      <c r="G673">
        <v>49.177954999999997</v>
      </c>
      <c r="H673">
        <v>-126.085087</v>
      </c>
      <c r="I673" t="s">
        <v>763</v>
      </c>
      <c r="J673" t="s">
        <v>14</v>
      </c>
      <c r="K673" t="s">
        <v>143</v>
      </c>
      <c r="L673" t="s">
        <v>143</v>
      </c>
      <c r="M673" t="s">
        <v>12</v>
      </c>
      <c r="N673" t="s">
        <v>85</v>
      </c>
      <c r="O673" t="s">
        <v>141</v>
      </c>
      <c r="P673" t="s">
        <v>74</v>
      </c>
      <c r="Q673">
        <v>4</v>
      </c>
      <c r="R673" t="s">
        <v>213</v>
      </c>
      <c r="S673" t="s">
        <v>9</v>
      </c>
      <c r="T673">
        <v>7</v>
      </c>
      <c r="U673" t="s">
        <v>28</v>
      </c>
      <c r="V673" t="s">
        <v>28</v>
      </c>
      <c r="W673">
        <v>18</v>
      </c>
      <c r="X673">
        <v>0</v>
      </c>
      <c r="Y673">
        <f t="shared" si="12"/>
        <v>0</v>
      </c>
      <c r="Z673">
        <v>0</v>
      </c>
    </row>
    <row r="674" spans="1:26" x14ac:dyDescent="0.2">
      <c r="A674" t="s">
        <v>151</v>
      </c>
      <c r="B674">
        <v>2019</v>
      </c>
      <c r="C674" t="s">
        <v>807</v>
      </c>
      <c r="D674" t="s">
        <v>819</v>
      </c>
      <c r="E674" t="s">
        <v>152</v>
      </c>
      <c r="F674" t="s">
        <v>159</v>
      </c>
      <c r="G674">
        <v>36.452595000000002</v>
      </c>
      <c r="H674">
        <v>-121.930361</v>
      </c>
      <c r="I674" t="s">
        <v>769</v>
      </c>
      <c r="J674" t="s">
        <v>7</v>
      </c>
      <c r="K674" t="s">
        <v>143</v>
      </c>
      <c r="L674" t="s">
        <v>143</v>
      </c>
      <c r="M674" t="s">
        <v>12</v>
      </c>
      <c r="N674" t="s">
        <v>85</v>
      </c>
      <c r="O674" t="s">
        <v>141</v>
      </c>
      <c r="P674" t="s">
        <v>74</v>
      </c>
      <c r="Q674">
        <v>4</v>
      </c>
      <c r="R674" t="s">
        <v>213</v>
      </c>
      <c r="S674" t="s">
        <v>7</v>
      </c>
      <c r="T674">
        <v>7</v>
      </c>
      <c r="U674" t="s">
        <v>28</v>
      </c>
      <c r="V674" t="s">
        <v>28</v>
      </c>
      <c r="W674">
        <v>12</v>
      </c>
      <c r="X674">
        <v>1.546</v>
      </c>
      <c r="Y674">
        <f t="shared" si="12"/>
        <v>2.4340912061794238</v>
      </c>
      <c r="Z674">
        <f>2.466-X674</f>
        <v>0.92000000000000015</v>
      </c>
    </row>
    <row r="675" spans="1:26" x14ac:dyDescent="0.2">
      <c r="A675" t="s">
        <v>151</v>
      </c>
      <c r="B675">
        <v>2019</v>
      </c>
      <c r="C675" t="s">
        <v>807</v>
      </c>
      <c r="D675" t="s">
        <v>819</v>
      </c>
      <c r="E675" t="s">
        <v>152</v>
      </c>
      <c r="F675" t="s">
        <v>159</v>
      </c>
      <c r="G675">
        <v>36.452595000000002</v>
      </c>
      <c r="H675">
        <v>-121.930361</v>
      </c>
      <c r="I675" t="s">
        <v>769</v>
      </c>
      <c r="J675" t="s">
        <v>14</v>
      </c>
      <c r="K675" t="s">
        <v>143</v>
      </c>
      <c r="L675" t="s">
        <v>143</v>
      </c>
      <c r="M675" t="s">
        <v>12</v>
      </c>
      <c r="N675" t="s">
        <v>85</v>
      </c>
      <c r="O675" t="s">
        <v>141</v>
      </c>
      <c r="P675" t="s">
        <v>74</v>
      </c>
      <c r="Q675">
        <v>4</v>
      </c>
      <c r="R675" t="s">
        <v>213</v>
      </c>
      <c r="S675" t="s">
        <v>9</v>
      </c>
      <c r="T675">
        <v>7</v>
      </c>
      <c r="U675" t="s">
        <v>28</v>
      </c>
      <c r="V675" t="s">
        <v>28</v>
      </c>
      <c r="W675">
        <v>18</v>
      </c>
      <c r="X675">
        <v>0</v>
      </c>
      <c r="Y675">
        <f t="shared" si="12"/>
        <v>0</v>
      </c>
      <c r="Z675">
        <v>0</v>
      </c>
    </row>
    <row r="676" spans="1:26" x14ac:dyDescent="0.2">
      <c r="A676" t="s">
        <v>151</v>
      </c>
      <c r="B676">
        <v>2019</v>
      </c>
      <c r="C676" t="s">
        <v>807</v>
      </c>
      <c r="D676" t="s">
        <v>823</v>
      </c>
      <c r="E676" t="s">
        <v>138</v>
      </c>
      <c r="F676" t="s">
        <v>160</v>
      </c>
      <c r="G676">
        <v>38.538834999999999</v>
      </c>
      <c r="H676">
        <v>-123.289472</v>
      </c>
      <c r="I676" t="s">
        <v>768</v>
      </c>
      <c r="J676" t="s">
        <v>7</v>
      </c>
      <c r="K676" t="s">
        <v>143</v>
      </c>
      <c r="L676" t="s">
        <v>143</v>
      </c>
      <c r="M676" t="s">
        <v>12</v>
      </c>
      <c r="N676" t="s">
        <v>85</v>
      </c>
      <c r="O676" t="s">
        <v>141</v>
      </c>
      <c r="P676" t="s">
        <v>74</v>
      </c>
      <c r="Q676">
        <v>4</v>
      </c>
      <c r="R676" t="s">
        <v>213</v>
      </c>
      <c r="S676" t="s">
        <v>7</v>
      </c>
      <c r="T676">
        <v>7</v>
      </c>
      <c r="U676" t="s">
        <v>28</v>
      </c>
      <c r="V676" t="s">
        <v>28</v>
      </c>
      <c r="W676">
        <v>12</v>
      </c>
      <c r="X676">
        <v>5.9109999999999996</v>
      </c>
      <c r="Y676">
        <f t="shared" ref="Y676:Y707" si="13">Z676*SQRT(T676)</f>
        <v>2.3520729155364219</v>
      </c>
      <c r="Z676">
        <f>6.8-X676</f>
        <v>0.88900000000000023</v>
      </c>
    </row>
    <row r="677" spans="1:26" x14ac:dyDescent="0.2">
      <c r="A677" t="s">
        <v>151</v>
      </c>
      <c r="B677">
        <v>2019</v>
      </c>
      <c r="C677" t="s">
        <v>807</v>
      </c>
      <c r="D677" t="s">
        <v>823</v>
      </c>
      <c r="E677" t="s">
        <v>138</v>
      </c>
      <c r="F677" t="s">
        <v>160</v>
      </c>
      <c r="G677">
        <v>38.538834999999999</v>
      </c>
      <c r="H677">
        <v>-123.289472</v>
      </c>
      <c r="I677" t="s">
        <v>768</v>
      </c>
      <c r="J677" t="s">
        <v>14</v>
      </c>
      <c r="K677" t="s">
        <v>143</v>
      </c>
      <c r="L677" t="s">
        <v>143</v>
      </c>
      <c r="M677" t="s">
        <v>12</v>
      </c>
      <c r="N677" t="s">
        <v>85</v>
      </c>
      <c r="O677" t="s">
        <v>141</v>
      </c>
      <c r="P677" t="s">
        <v>74</v>
      </c>
      <c r="Q677">
        <v>4</v>
      </c>
      <c r="R677" t="s">
        <v>213</v>
      </c>
      <c r="S677" t="s">
        <v>9</v>
      </c>
      <c r="T677">
        <v>7</v>
      </c>
      <c r="U677" t="s">
        <v>28</v>
      </c>
      <c r="V677" t="s">
        <v>28</v>
      </c>
      <c r="W677">
        <v>18</v>
      </c>
      <c r="X677">
        <v>0</v>
      </c>
      <c r="Y677">
        <f t="shared" si="13"/>
        <v>0</v>
      </c>
      <c r="Z677">
        <v>0</v>
      </c>
    </row>
    <row r="678" spans="1:26" x14ac:dyDescent="0.2">
      <c r="A678" t="s">
        <v>151</v>
      </c>
      <c r="B678">
        <v>2019</v>
      </c>
      <c r="C678" t="s">
        <v>807</v>
      </c>
      <c r="D678" t="s">
        <v>808</v>
      </c>
      <c r="E678" t="s">
        <v>153</v>
      </c>
      <c r="F678" t="s">
        <v>159</v>
      </c>
      <c r="G678">
        <v>36.452595000000002</v>
      </c>
      <c r="H678">
        <v>-121.930361</v>
      </c>
      <c r="I678" t="s">
        <v>767</v>
      </c>
      <c r="J678" t="s">
        <v>7</v>
      </c>
      <c r="K678" t="s">
        <v>143</v>
      </c>
      <c r="L678" t="s">
        <v>143</v>
      </c>
      <c r="M678" t="s">
        <v>12</v>
      </c>
      <c r="N678" t="s">
        <v>85</v>
      </c>
      <c r="O678" t="s">
        <v>141</v>
      </c>
      <c r="P678" t="s">
        <v>74</v>
      </c>
      <c r="Q678">
        <v>4</v>
      </c>
      <c r="R678" t="s">
        <v>213</v>
      </c>
      <c r="S678" t="s">
        <v>7</v>
      </c>
      <c r="T678">
        <v>7</v>
      </c>
      <c r="U678" t="s">
        <v>28</v>
      </c>
      <c r="V678" t="s">
        <v>28</v>
      </c>
      <c r="W678">
        <v>12</v>
      </c>
      <c r="X678">
        <v>1.77</v>
      </c>
      <c r="Y678">
        <f t="shared" si="13"/>
        <v>0.55825352663462879</v>
      </c>
      <c r="Z678">
        <f>1.981-X678</f>
        <v>0.21100000000000008</v>
      </c>
    </row>
    <row r="679" spans="1:26" x14ac:dyDescent="0.2">
      <c r="A679" t="s">
        <v>151</v>
      </c>
      <c r="B679">
        <v>2019</v>
      </c>
      <c r="C679" t="s">
        <v>807</v>
      </c>
      <c r="D679" t="s">
        <v>808</v>
      </c>
      <c r="E679" t="s">
        <v>153</v>
      </c>
      <c r="F679" t="s">
        <v>159</v>
      </c>
      <c r="G679">
        <v>36.452595000000002</v>
      </c>
      <c r="H679">
        <v>-121.930361</v>
      </c>
      <c r="I679" t="s">
        <v>767</v>
      </c>
      <c r="J679" t="s">
        <v>14</v>
      </c>
      <c r="K679" t="s">
        <v>143</v>
      </c>
      <c r="L679" t="s">
        <v>143</v>
      </c>
      <c r="M679" t="s">
        <v>12</v>
      </c>
      <c r="N679" t="s">
        <v>85</v>
      </c>
      <c r="O679" t="s">
        <v>141</v>
      </c>
      <c r="P679" t="s">
        <v>74</v>
      </c>
      <c r="Q679">
        <v>4</v>
      </c>
      <c r="R679" t="s">
        <v>213</v>
      </c>
      <c r="S679" t="s">
        <v>9</v>
      </c>
      <c r="T679">
        <v>7</v>
      </c>
      <c r="U679" t="s">
        <v>28</v>
      </c>
      <c r="V679" t="s">
        <v>28</v>
      </c>
      <c r="W679">
        <v>18</v>
      </c>
      <c r="X679">
        <v>0</v>
      </c>
      <c r="Y679">
        <f t="shared" si="13"/>
        <v>0</v>
      </c>
      <c r="Z679">
        <v>0</v>
      </c>
    </row>
    <row r="680" spans="1:26" x14ac:dyDescent="0.2">
      <c r="A680" t="s">
        <v>151</v>
      </c>
      <c r="B680">
        <v>2019</v>
      </c>
      <c r="C680" t="s">
        <v>805</v>
      </c>
      <c r="D680" t="s">
        <v>809</v>
      </c>
      <c r="E680" t="s">
        <v>154</v>
      </c>
      <c r="F680" t="s">
        <v>159</v>
      </c>
      <c r="G680">
        <v>36.452595000000002</v>
      </c>
      <c r="H680">
        <v>-121.930361</v>
      </c>
      <c r="I680" t="s">
        <v>768</v>
      </c>
      <c r="J680" t="s">
        <v>7</v>
      </c>
      <c r="K680" t="s">
        <v>143</v>
      </c>
      <c r="L680" t="s">
        <v>143</v>
      </c>
      <c r="M680" t="s">
        <v>12</v>
      </c>
      <c r="N680" t="s">
        <v>85</v>
      </c>
      <c r="O680" t="s">
        <v>141</v>
      </c>
      <c r="P680" t="s">
        <v>74</v>
      </c>
      <c r="Q680">
        <v>4</v>
      </c>
      <c r="R680" t="s">
        <v>213</v>
      </c>
      <c r="S680" t="s">
        <v>7</v>
      </c>
      <c r="T680">
        <v>7</v>
      </c>
      <c r="U680" t="s">
        <v>28</v>
      </c>
      <c r="V680" t="s">
        <v>28</v>
      </c>
      <c r="W680">
        <v>12</v>
      </c>
      <c r="X680">
        <v>3.3620000000000001</v>
      </c>
      <c r="Y680">
        <f t="shared" si="13"/>
        <v>0.99215674164922152</v>
      </c>
      <c r="Z680">
        <f>3.737-X680</f>
        <v>0.375</v>
      </c>
    </row>
    <row r="681" spans="1:26" x14ac:dyDescent="0.2">
      <c r="A681" t="s">
        <v>151</v>
      </c>
      <c r="B681">
        <v>2019</v>
      </c>
      <c r="C681" t="s">
        <v>805</v>
      </c>
      <c r="D681" t="s">
        <v>809</v>
      </c>
      <c r="E681" t="s">
        <v>154</v>
      </c>
      <c r="F681" t="s">
        <v>159</v>
      </c>
      <c r="G681">
        <v>36.452595000000002</v>
      </c>
      <c r="H681">
        <v>-121.930361</v>
      </c>
      <c r="I681" t="s">
        <v>768</v>
      </c>
      <c r="J681" t="s">
        <v>14</v>
      </c>
      <c r="K681" t="s">
        <v>143</v>
      </c>
      <c r="L681" t="s">
        <v>143</v>
      </c>
      <c r="M681" t="s">
        <v>12</v>
      </c>
      <c r="N681" t="s">
        <v>85</v>
      </c>
      <c r="O681" t="s">
        <v>141</v>
      </c>
      <c r="P681" t="s">
        <v>74</v>
      </c>
      <c r="Q681">
        <v>4</v>
      </c>
      <c r="R681" t="s">
        <v>213</v>
      </c>
      <c r="S681" t="s">
        <v>9</v>
      </c>
      <c r="T681">
        <v>7</v>
      </c>
      <c r="U681" t="s">
        <v>28</v>
      </c>
      <c r="V681" t="s">
        <v>28</v>
      </c>
      <c r="W681">
        <v>18</v>
      </c>
      <c r="X681">
        <v>1.7450000000000001</v>
      </c>
      <c r="Y681">
        <f t="shared" si="13"/>
        <v>1.4339972105970076</v>
      </c>
      <c r="Z681">
        <f>2.287-X681</f>
        <v>0.54199999999999982</v>
      </c>
    </row>
    <row r="682" spans="1:26" x14ac:dyDescent="0.2">
      <c r="A682" t="s">
        <v>151</v>
      </c>
      <c r="B682">
        <v>2019</v>
      </c>
      <c r="C682" t="s">
        <v>805</v>
      </c>
      <c r="D682" t="s">
        <v>810</v>
      </c>
      <c r="E682" t="s">
        <v>339</v>
      </c>
      <c r="F682" t="s">
        <v>160</v>
      </c>
      <c r="G682">
        <v>38.538834999999999</v>
      </c>
      <c r="H682">
        <v>-123.289472</v>
      </c>
      <c r="I682" t="s">
        <v>764</v>
      </c>
      <c r="J682" t="s">
        <v>7</v>
      </c>
      <c r="K682" t="s">
        <v>143</v>
      </c>
      <c r="L682" t="s">
        <v>143</v>
      </c>
      <c r="M682" t="s">
        <v>12</v>
      </c>
      <c r="N682" t="s">
        <v>85</v>
      </c>
      <c r="O682" t="s">
        <v>141</v>
      </c>
      <c r="P682" t="s">
        <v>74</v>
      </c>
      <c r="Q682">
        <v>4</v>
      </c>
      <c r="R682" t="s">
        <v>213</v>
      </c>
      <c r="S682" t="s">
        <v>7</v>
      </c>
      <c r="T682">
        <v>7</v>
      </c>
      <c r="U682" t="s">
        <v>28</v>
      </c>
      <c r="V682" t="s">
        <v>28</v>
      </c>
      <c r="W682">
        <v>12</v>
      </c>
      <c r="X682">
        <v>2.7629999999999998E-2</v>
      </c>
      <c r="Y682">
        <f t="shared" si="13"/>
        <v>3.4130191912733213E-2</v>
      </c>
      <c r="Z682">
        <f>0.04053-X682</f>
        <v>1.2899999999999998E-2</v>
      </c>
    </row>
    <row r="683" spans="1:26" x14ac:dyDescent="0.2">
      <c r="A683" t="s">
        <v>151</v>
      </c>
      <c r="B683">
        <v>2019</v>
      </c>
      <c r="C683" t="s">
        <v>805</v>
      </c>
      <c r="D683" t="s">
        <v>810</v>
      </c>
      <c r="E683" t="s">
        <v>339</v>
      </c>
      <c r="F683" t="s">
        <v>160</v>
      </c>
      <c r="G683">
        <v>38.538834999999999</v>
      </c>
      <c r="H683">
        <v>-123.289472</v>
      </c>
      <c r="I683" t="s">
        <v>764</v>
      </c>
      <c r="J683" t="s">
        <v>14</v>
      </c>
      <c r="K683" t="s">
        <v>143</v>
      </c>
      <c r="L683" t="s">
        <v>143</v>
      </c>
      <c r="M683" t="s">
        <v>12</v>
      </c>
      <c r="N683" t="s">
        <v>85</v>
      </c>
      <c r="O683" t="s">
        <v>141</v>
      </c>
      <c r="P683" t="s">
        <v>74</v>
      </c>
      <c r="Q683">
        <v>4</v>
      </c>
      <c r="R683" t="s">
        <v>213</v>
      </c>
      <c r="S683" t="s">
        <v>9</v>
      </c>
      <c r="T683">
        <v>7</v>
      </c>
      <c r="U683" t="s">
        <v>28</v>
      </c>
      <c r="V683" t="s">
        <v>28</v>
      </c>
      <c r="W683">
        <v>18</v>
      </c>
      <c r="X683">
        <v>0</v>
      </c>
      <c r="Y683">
        <f t="shared" si="13"/>
        <v>0</v>
      </c>
      <c r="Z683">
        <v>0</v>
      </c>
    </row>
    <row r="684" spans="1:26" x14ac:dyDescent="0.2">
      <c r="A684" t="s">
        <v>151</v>
      </c>
      <c r="B684">
        <v>2019</v>
      </c>
      <c r="C684" t="s">
        <v>816</v>
      </c>
      <c r="D684" t="s">
        <v>817</v>
      </c>
      <c r="E684" t="s">
        <v>161</v>
      </c>
      <c r="F684" t="s">
        <v>160</v>
      </c>
      <c r="G684">
        <v>38.538834999999999</v>
      </c>
      <c r="H684">
        <v>-123.289472</v>
      </c>
      <c r="I684" t="s">
        <v>771</v>
      </c>
      <c r="J684" t="s">
        <v>7</v>
      </c>
      <c r="K684" t="s">
        <v>143</v>
      </c>
      <c r="L684" t="s">
        <v>143</v>
      </c>
      <c r="M684" t="s">
        <v>12</v>
      </c>
      <c r="N684" t="s">
        <v>85</v>
      </c>
      <c r="O684" t="s">
        <v>141</v>
      </c>
      <c r="P684" t="s">
        <v>74</v>
      </c>
      <c r="Q684">
        <v>4</v>
      </c>
      <c r="R684" t="s">
        <v>213</v>
      </c>
      <c r="S684" t="s">
        <v>7</v>
      </c>
      <c r="T684">
        <v>7</v>
      </c>
      <c r="U684" t="s">
        <v>28</v>
      </c>
      <c r="V684" t="s">
        <v>28</v>
      </c>
      <c r="W684">
        <v>12</v>
      </c>
      <c r="X684">
        <v>7.7780000000000004E-4</v>
      </c>
      <c r="Y684">
        <f t="shared" si="13"/>
        <v>4.0241877441292412E-4</v>
      </c>
      <c r="Z684">
        <f>0.0009299-X684</f>
        <v>1.5209999999999996E-4</v>
      </c>
    </row>
    <row r="685" spans="1:26" x14ac:dyDescent="0.2">
      <c r="A685" t="s">
        <v>151</v>
      </c>
      <c r="B685">
        <v>2019</v>
      </c>
      <c r="C685" t="s">
        <v>816</v>
      </c>
      <c r="D685" t="s">
        <v>817</v>
      </c>
      <c r="E685" t="s">
        <v>161</v>
      </c>
      <c r="F685" t="s">
        <v>160</v>
      </c>
      <c r="G685">
        <v>38.538834999999999</v>
      </c>
      <c r="H685">
        <v>-123.289472</v>
      </c>
      <c r="I685" t="s">
        <v>771</v>
      </c>
      <c r="J685" t="s">
        <v>14</v>
      </c>
      <c r="K685" t="s">
        <v>143</v>
      </c>
      <c r="L685" t="s">
        <v>143</v>
      </c>
      <c r="M685" t="s">
        <v>12</v>
      </c>
      <c r="N685" t="s">
        <v>85</v>
      </c>
      <c r="O685" t="s">
        <v>141</v>
      </c>
      <c r="P685" t="s">
        <v>74</v>
      </c>
      <c r="Q685">
        <v>4</v>
      </c>
      <c r="R685" t="s">
        <v>213</v>
      </c>
      <c r="S685" t="s">
        <v>9</v>
      </c>
      <c r="T685">
        <v>7</v>
      </c>
      <c r="U685" t="s">
        <v>28</v>
      </c>
      <c r="V685" t="s">
        <v>28</v>
      </c>
      <c r="W685">
        <v>18</v>
      </c>
      <c r="X685">
        <v>0</v>
      </c>
      <c r="Y685">
        <f t="shared" si="13"/>
        <v>0</v>
      </c>
      <c r="Z685">
        <v>0</v>
      </c>
    </row>
    <row r="686" spans="1:26" x14ac:dyDescent="0.2">
      <c r="A686" t="s">
        <v>151</v>
      </c>
      <c r="B686">
        <v>2019</v>
      </c>
      <c r="C686" t="s">
        <v>816</v>
      </c>
      <c r="D686" t="s">
        <v>817</v>
      </c>
      <c r="E686" t="s">
        <v>156</v>
      </c>
      <c r="F686" t="s">
        <v>159</v>
      </c>
      <c r="G686">
        <v>36.452595000000002</v>
      </c>
      <c r="H686">
        <v>-121.930361</v>
      </c>
      <c r="I686" t="s">
        <v>762</v>
      </c>
      <c r="J686" t="s">
        <v>7</v>
      </c>
      <c r="K686" t="s">
        <v>143</v>
      </c>
      <c r="L686" t="s">
        <v>143</v>
      </c>
      <c r="M686" t="s">
        <v>12</v>
      </c>
      <c r="N686" t="s">
        <v>85</v>
      </c>
      <c r="O686" t="s">
        <v>141</v>
      </c>
      <c r="P686" t="s">
        <v>74</v>
      </c>
      <c r="Q686">
        <v>4</v>
      </c>
      <c r="R686" t="s">
        <v>213</v>
      </c>
      <c r="S686" t="s">
        <v>7</v>
      </c>
      <c r="T686">
        <v>7</v>
      </c>
      <c r="U686" t="s">
        <v>28</v>
      </c>
      <c r="V686" t="s">
        <v>28</v>
      </c>
      <c r="W686">
        <v>12</v>
      </c>
      <c r="X686">
        <v>2.298</v>
      </c>
      <c r="Y686">
        <f t="shared" si="13"/>
        <v>1.3255214068433596</v>
      </c>
      <c r="Z686">
        <f>2.799-X686</f>
        <v>0.50099999999999989</v>
      </c>
    </row>
    <row r="687" spans="1:26" x14ac:dyDescent="0.2">
      <c r="A687" t="s">
        <v>151</v>
      </c>
      <c r="B687">
        <v>2019</v>
      </c>
      <c r="C687" t="s">
        <v>816</v>
      </c>
      <c r="D687" t="s">
        <v>817</v>
      </c>
      <c r="E687" t="s">
        <v>156</v>
      </c>
      <c r="F687" t="s">
        <v>159</v>
      </c>
      <c r="G687">
        <v>36.452595000000002</v>
      </c>
      <c r="H687">
        <v>-121.930361</v>
      </c>
      <c r="I687" t="s">
        <v>762</v>
      </c>
      <c r="J687" t="s">
        <v>14</v>
      </c>
      <c r="K687" t="s">
        <v>143</v>
      </c>
      <c r="L687" t="s">
        <v>143</v>
      </c>
      <c r="M687" t="s">
        <v>12</v>
      </c>
      <c r="N687" t="s">
        <v>85</v>
      </c>
      <c r="O687" t="s">
        <v>141</v>
      </c>
      <c r="P687" t="s">
        <v>74</v>
      </c>
      <c r="Q687">
        <v>4</v>
      </c>
      <c r="R687" t="s">
        <v>213</v>
      </c>
      <c r="S687" t="s">
        <v>9</v>
      </c>
      <c r="T687">
        <v>7</v>
      </c>
      <c r="U687" t="s">
        <v>28</v>
      </c>
      <c r="V687" t="s">
        <v>28</v>
      </c>
      <c r="W687">
        <v>18</v>
      </c>
      <c r="X687">
        <v>0.187</v>
      </c>
      <c r="Y687">
        <f t="shared" si="13"/>
        <v>0.33601041650520302</v>
      </c>
      <c r="Z687">
        <f>0.314-X687</f>
        <v>0.127</v>
      </c>
    </row>
    <row r="688" spans="1:26" x14ac:dyDescent="0.2">
      <c r="A688" t="s">
        <v>151</v>
      </c>
      <c r="B688">
        <v>2019</v>
      </c>
      <c r="C688" t="s">
        <v>816</v>
      </c>
      <c r="D688" t="s">
        <v>820</v>
      </c>
      <c r="E688" t="s">
        <v>34</v>
      </c>
      <c r="F688" t="s">
        <v>160</v>
      </c>
      <c r="G688">
        <v>38.538834999999999</v>
      </c>
      <c r="H688">
        <v>-123.289472</v>
      </c>
      <c r="I688" t="s">
        <v>764</v>
      </c>
      <c r="J688" t="s">
        <v>7</v>
      </c>
      <c r="K688" t="s">
        <v>143</v>
      </c>
      <c r="L688" t="s">
        <v>143</v>
      </c>
      <c r="M688" t="s">
        <v>12</v>
      </c>
      <c r="N688" t="s">
        <v>85</v>
      </c>
      <c r="O688" t="s">
        <v>141</v>
      </c>
      <c r="P688" t="s">
        <v>74</v>
      </c>
      <c r="Q688">
        <v>4</v>
      </c>
      <c r="R688" t="s">
        <v>213</v>
      </c>
      <c r="S688" t="s">
        <v>7</v>
      </c>
      <c r="T688">
        <v>7</v>
      </c>
      <c r="U688" t="s">
        <v>28</v>
      </c>
      <c r="V688" t="s">
        <v>28</v>
      </c>
      <c r="W688">
        <v>12</v>
      </c>
      <c r="X688">
        <v>4.9530000000000003</v>
      </c>
      <c r="Y688">
        <f t="shared" si="13"/>
        <v>2.5637330204215867</v>
      </c>
      <c r="Z688">
        <f>5.922-X688</f>
        <v>0.96899999999999942</v>
      </c>
    </row>
    <row r="689" spans="1:26" x14ac:dyDescent="0.2">
      <c r="A689" t="s">
        <v>151</v>
      </c>
      <c r="B689">
        <v>2019</v>
      </c>
      <c r="C689" t="s">
        <v>816</v>
      </c>
      <c r="D689" t="s">
        <v>820</v>
      </c>
      <c r="E689" t="s">
        <v>34</v>
      </c>
      <c r="F689" t="s">
        <v>160</v>
      </c>
      <c r="G689">
        <v>38.538834999999999</v>
      </c>
      <c r="H689">
        <v>-123.289472</v>
      </c>
      <c r="I689" t="s">
        <v>764</v>
      </c>
      <c r="J689" t="s">
        <v>14</v>
      </c>
      <c r="K689" t="s">
        <v>143</v>
      </c>
      <c r="L689" t="s">
        <v>143</v>
      </c>
      <c r="M689" t="s">
        <v>12</v>
      </c>
      <c r="N689" t="s">
        <v>85</v>
      </c>
      <c r="O689" t="s">
        <v>141</v>
      </c>
      <c r="P689" t="s">
        <v>74</v>
      </c>
      <c r="Q689">
        <v>4</v>
      </c>
      <c r="R689" t="s">
        <v>213</v>
      </c>
      <c r="S689" t="s">
        <v>9</v>
      </c>
      <c r="T689">
        <v>7</v>
      </c>
      <c r="U689" t="s">
        <v>28</v>
      </c>
      <c r="V689" t="s">
        <v>28</v>
      </c>
      <c r="W689">
        <v>18</v>
      </c>
      <c r="X689">
        <v>0.5</v>
      </c>
      <c r="Y689">
        <f t="shared" si="13"/>
        <v>0.45506922550310969</v>
      </c>
      <c r="Z689">
        <f>0.672-X689</f>
        <v>0.17200000000000004</v>
      </c>
    </row>
    <row r="690" spans="1:26" x14ac:dyDescent="0.2">
      <c r="A690" t="s">
        <v>151</v>
      </c>
      <c r="B690">
        <v>2019</v>
      </c>
      <c r="C690" t="s">
        <v>826</v>
      </c>
      <c r="D690" t="s">
        <v>821</v>
      </c>
      <c r="E690" t="s">
        <v>134</v>
      </c>
      <c r="F690" t="s">
        <v>337</v>
      </c>
      <c r="G690">
        <v>36.067118999999998</v>
      </c>
      <c r="H690">
        <v>-121.599493</v>
      </c>
      <c r="I690" t="s">
        <v>766</v>
      </c>
      <c r="J690" t="s">
        <v>7</v>
      </c>
      <c r="K690" t="s">
        <v>143</v>
      </c>
      <c r="L690" t="s">
        <v>143</v>
      </c>
      <c r="M690" t="s">
        <v>12</v>
      </c>
      <c r="N690" t="s">
        <v>85</v>
      </c>
      <c r="O690" t="s">
        <v>141</v>
      </c>
      <c r="P690" t="s">
        <v>74</v>
      </c>
      <c r="Q690">
        <v>4</v>
      </c>
      <c r="R690" t="s">
        <v>213</v>
      </c>
      <c r="S690" t="s">
        <v>7</v>
      </c>
      <c r="T690">
        <v>7</v>
      </c>
      <c r="U690" t="s">
        <v>28</v>
      </c>
      <c r="V690" t="s">
        <v>28</v>
      </c>
      <c r="W690">
        <v>12</v>
      </c>
      <c r="X690">
        <v>7.0229999999999997</v>
      </c>
      <c r="Y690">
        <f t="shared" si="13"/>
        <v>5.6010555255237406</v>
      </c>
      <c r="Z690">
        <f>9.14-X690</f>
        <v>2.1170000000000009</v>
      </c>
    </row>
    <row r="691" spans="1:26" x14ac:dyDescent="0.2">
      <c r="A691" t="s">
        <v>151</v>
      </c>
      <c r="B691">
        <v>2019</v>
      </c>
      <c r="C691" t="s">
        <v>826</v>
      </c>
      <c r="D691" t="s">
        <v>821</v>
      </c>
      <c r="E691" t="s">
        <v>134</v>
      </c>
      <c r="F691" t="s">
        <v>337</v>
      </c>
      <c r="G691">
        <v>36.067118999999998</v>
      </c>
      <c r="H691">
        <v>-121.599493</v>
      </c>
      <c r="I691" t="s">
        <v>766</v>
      </c>
      <c r="J691" t="s">
        <v>14</v>
      </c>
      <c r="K691" t="s">
        <v>143</v>
      </c>
      <c r="L691" t="s">
        <v>143</v>
      </c>
      <c r="M691" t="s">
        <v>12</v>
      </c>
      <c r="N691" t="s">
        <v>85</v>
      </c>
      <c r="O691" t="s">
        <v>141</v>
      </c>
      <c r="P691" t="s">
        <v>74</v>
      </c>
      <c r="Q691">
        <v>4</v>
      </c>
      <c r="R691" t="s">
        <v>213</v>
      </c>
      <c r="S691" t="s">
        <v>9</v>
      </c>
      <c r="T691">
        <v>7</v>
      </c>
      <c r="U691" t="s">
        <v>28</v>
      </c>
      <c r="V691" t="s">
        <v>28</v>
      </c>
      <c r="W691">
        <v>18</v>
      </c>
      <c r="X691">
        <v>0</v>
      </c>
      <c r="Y691">
        <f t="shared" si="13"/>
        <v>0</v>
      </c>
      <c r="Z691">
        <v>0</v>
      </c>
    </row>
    <row r="692" spans="1:26" x14ac:dyDescent="0.2">
      <c r="A692" t="s">
        <v>151</v>
      </c>
      <c r="B692">
        <v>2019</v>
      </c>
      <c r="C692" t="s">
        <v>816</v>
      </c>
      <c r="D692" t="s">
        <v>822</v>
      </c>
      <c r="E692" t="s">
        <v>850</v>
      </c>
      <c r="F692" t="s">
        <v>159</v>
      </c>
      <c r="G692">
        <v>36.452595000000002</v>
      </c>
      <c r="H692">
        <v>-121.930361</v>
      </c>
      <c r="I692" t="s">
        <v>761</v>
      </c>
      <c r="J692" t="s">
        <v>7</v>
      </c>
      <c r="K692" t="s">
        <v>143</v>
      </c>
      <c r="L692" t="s">
        <v>143</v>
      </c>
      <c r="M692" t="s">
        <v>12</v>
      </c>
      <c r="N692" t="s">
        <v>85</v>
      </c>
      <c r="O692" t="s">
        <v>141</v>
      </c>
      <c r="P692" t="s">
        <v>74</v>
      </c>
      <c r="Q692">
        <v>4</v>
      </c>
      <c r="R692" t="s">
        <v>213</v>
      </c>
      <c r="S692" t="s">
        <v>7</v>
      </c>
      <c r="T692">
        <v>7</v>
      </c>
      <c r="U692" t="s">
        <v>28</v>
      </c>
      <c r="V692" t="s">
        <v>28</v>
      </c>
      <c r="W692">
        <v>12</v>
      </c>
      <c r="X692">
        <v>2.3679999999999999</v>
      </c>
      <c r="Y692">
        <f t="shared" si="13"/>
        <v>2.5081722428892319</v>
      </c>
      <c r="Z692">
        <f>3.316-X692</f>
        <v>0.94799999999999995</v>
      </c>
    </row>
    <row r="693" spans="1:26" x14ac:dyDescent="0.2">
      <c r="A693" t="s">
        <v>151</v>
      </c>
      <c r="B693">
        <v>2019</v>
      </c>
      <c r="C693" t="s">
        <v>816</v>
      </c>
      <c r="D693" t="s">
        <v>822</v>
      </c>
      <c r="E693" t="s">
        <v>850</v>
      </c>
      <c r="F693" t="s">
        <v>159</v>
      </c>
      <c r="G693">
        <v>36.452595000000002</v>
      </c>
      <c r="H693">
        <v>-121.930361</v>
      </c>
      <c r="I693" t="s">
        <v>761</v>
      </c>
      <c r="J693" t="s">
        <v>14</v>
      </c>
      <c r="K693" t="s">
        <v>143</v>
      </c>
      <c r="L693" t="s">
        <v>143</v>
      </c>
      <c r="M693" t="s">
        <v>12</v>
      </c>
      <c r="N693" t="s">
        <v>85</v>
      </c>
      <c r="O693" t="s">
        <v>141</v>
      </c>
      <c r="P693" t="s">
        <v>74</v>
      </c>
      <c r="Q693">
        <v>4</v>
      </c>
      <c r="R693" t="s">
        <v>213</v>
      </c>
      <c r="S693" t="s">
        <v>9</v>
      </c>
      <c r="T693">
        <v>7</v>
      </c>
      <c r="U693" t="s">
        <v>28</v>
      </c>
      <c r="V693" t="s">
        <v>28</v>
      </c>
      <c r="W693">
        <v>18</v>
      </c>
      <c r="X693">
        <v>0</v>
      </c>
      <c r="Y693">
        <f t="shared" si="13"/>
        <v>0</v>
      </c>
      <c r="Z693">
        <v>0</v>
      </c>
    </row>
    <row r="694" spans="1:26" x14ac:dyDescent="0.2">
      <c r="A694" t="s">
        <v>151</v>
      </c>
      <c r="B694">
        <v>2019</v>
      </c>
      <c r="C694" t="s">
        <v>811</v>
      </c>
      <c r="D694" t="s">
        <v>814</v>
      </c>
      <c r="E694" t="s">
        <v>849</v>
      </c>
      <c r="F694" t="s">
        <v>162</v>
      </c>
      <c r="G694">
        <v>36.540728000000001</v>
      </c>
      <c r="H694">
        <v>-121.944191</v>
      </c>
      <c r="I694" t="s">
        <v>764</v>
      </c>
      <c r="J694" t="s">
        <v>7</v>
      </c>
      <c r="K694" t="s">
        <v>143</v>
      </c>
      <c r="L694" t="s">
        <v>143</v>
      </c>
      <c r="M694" t="s">
        <v>12</v>
      </c>
      <c r="N694" t="s">
        <v>85</v>
      </c>
      <c r="O694" t="s">
        <v>141</v>
      </c>
      <c r="P694" t="s">
        <v>74</v>
      </c>
      <c r="Q694">
        <v>4</v>
      </c>
      <c r="R694" t="s">
        <v>213</v>
      </c>
      <c r="S694" t="s">
        <v>7</v>
      </c>
      <c r="T694">
        <v>7</v>
      </c>
      <c r="U694" t="s">
        <v>28</v>
      </c>
      <c r="V694" t="s">
        <v>28</v>
      </c>
      <c r="W694">
        <v>12</v>
      </c>
      <c r="X694">
        <v>1.7410000000000001</v>
      </c>
      <c r="Y694">
        <f t="shared" si="13"/>
        <v>1.9763762293652489</v>
      </c>
      <c r="Z694">
        <f>2.488-X694</f>
        <v>0.74699999999999989</v>
      </c>
    </row>
    <row r="695" spans="1:26" x14ac:dyDescent="0.2">
      <c r="A695" t="s">
        <v>151</v>
      </c>
      <c r="B695">
        <v>2019</v>
      </c>
      <c r="C695" t="s">
        <v>811</v>
      </c>
      <c r="D695" t="s">
        <v>814</v>
      </c>
      <c r="E695" t="s">
        <v>849</v>
      </c>
      <c r="F695" t="s">
        <v>162</v>
      </c>
      <c r="G695">
        <v>36.540728000000001</v>
      </c>
      <c r="H695">
        <v>-121.944191</v>
      </c>
      <c r="I695" t="s">
        <v>764</v>
      </c>
      <c r="J695" t="s">
        <v>14</v>
      </c>
      <c r="K695" t="s">
        <v>143</v>
      </c>
      <c r="L695" t="s">
        <v>143</v>
      </c>
      <c r="M695" t="s">
        <v>12</v>
      </c>
      <c r="N695" t="s">
        <v>85</v>
      </c>
      <c r="O695" t="s">
        <v>141</v>
      </c>
      <c r="P695" t="s">
        <v>74</v>
      </c>
      <c r="Q695">
        <v>4</v>
      </c>
      <c r="R695" t="s">
        <v>213</v>
      </c>
      <c r="S695" t="s">
        <v>9</v>
      </c>
      <c r="T695">
        <v>7</v>
      </c>
      <c r="U695" t="s">
        <v>28</v>
      </c>
      <c r="V695" t="s">
        <v>28</v>
      </c>
      <c r="W695">
        <v>18</v>
      </c>
      <c r="X695">
        <v>0</v>
      </c>
      <c r="Y695">
        <f t="shared" si="13"/>
        <v>0</v>
      </c>
      <c r="Z695">
        <v>0</v>
      </c>
    </row>
    <row r="696" spans="1:26" x14ac:dyDescent="0.2">
      <c r="A696" t="s">
        <v>151</v>
      </c>
      <c r="B696">
        <v>2019</v>
      </c>
      <c r="C696" t="s">
        <v>826</v>
      </c>
      <c r="D696" t="s">
        <v>813</v>
      </c>
      <c r="E696" t="s">
        <v>158</v>
      </c>
      <c r="F696" t="s">
        <v>159</v>
      </c>
      <c r="G696">
        <v>36.452595000000002</v>
      </c>
      <c r="H696">
        <v>-121.930361</v>
      </c>
      <c r="I696" t="s">
        <v>768</v>
      </c>
      <c r="J696" t="s">
        <v>7</v>
      </c>
      <c r="K696" t="s">
        <v>143</v>
      </c>
      <c r="L696" t="s">
        <v>143</v>
      </c>
      <c r="M696" t="s">
        <v>12</v>
      </c>
      <c r="N696" t="s">
        <v>85</v>
      </c>
      <c r="O696" t="s">
        <v>141</v>
      </c>
      <c r="P696" t="s">
        <v>74</v>
      </c>
      <c r="Q696">
        <v>4</v>
      </c>
      <c r="R696" t="s">
        <v>213</v>
      </c>
      <c r="S696" t="s">
        <v>7</v>
      </c>
      <c r="T696">
        <v>7</v>
      </c>
      <c r="U696" t="s">
        <v>28</v>
      </c>
      <c r="V696" t="s">
        <v>28</v>
      </c>
      <c r="W696">
        <v>12</v>
      </c>
      <c r="X696">
        <v>1.804</v>
      </c>
      <c r="Y696">
        <f t="shared" si="13"/>
        <v>0.88368093789557289</v>
      </c>
      <c r="Z696">
        <f>2.138-X696</f>
        <v>0.33399999999999985</v>
      </c>
    </row>
    <row r="697" spans="1:26" x14ac:dyDescent="0.2">
      <c r="A697" t="s">
        <v>151</v>
      </c>
      <c r="B697">
        <v>2019</v>
      </c>
      <c r="C697" t="s">
        <v>826</v>
      </c>
      <c r="D697" t="s">
        <v>813</v>
      </c>
      <c r="E697" t="s">
        <v>158</v>
      </c>
      <c r="F697" t="s">
        <v>159</v>
      </c>
      <c r="G697">
        <v>36.452595000000002</v>
      </c>
      <c r="H697">
        <v>-121.930361</v>
      </c>
      <c r="I697" t="s">
        <v>768</v>
      </c>
      <c r="J697" t="s">
        <v>14</v>
      </c>
      <c r="K697" t="s">
        <v>143</v>
      </c>
      <c r="L697" t="s">
        <v>143</v>
      </c>
      <c r="M697" t="s">
        <v>12</v>
      </c>
      <c r="N697" t="s">
        <v>85</v>
      </c>
      <c r="O697" t="s">
        <v>141</v>
      </c>
      <c r="P697" t="s">
        <v>74</v>
      </c>
      <c r="Q697">
        <v>4</v>
      </c>
      <c r="R697" t="s">
        <v>213</v>
      </c>
      <c r="S697" t="s">
        <v>9</v>
      </c>
      <c r="T697">
        <v>7</v>
      </c>
      <c r="U697" t="s">
        <v>28</v>
      </c>
      <c r="V697" t="s">
        <v>28</v>
      </c>
      <c r="W697">
        <v>18</v>
      </c>
      <c r="X697">
        <v>6.5000000000000002E-2</v>
      </c>
      <c r="Y697">
        <f t="shared" si="13"/>
        <v>0.16403658128600462</v>
      </c>
      <c r="Z697">
        <f>0.127-X697</f>
        <v>6.2E-2</v>
      </c>
    </row>
    <row r="698" spans="1:26" x14ac:dyDescent="0.2">
      <c r="A698" t="s">
        <v>151</v>
      </c>
      <c r="B698">
        <v>2019</v>
      </c>
      <c r="C698" t="s">
        <v>807</v>
      </c>
      <c r="D698" t="s">
        <v>823</v>
      </c>
      <c r="E698" t="s">
        <v>138</v>
      </c>
      <c r="F698" t="s">
        <v>325</v>
      </c>
      <c r="G698">
        <v>32.667459999999998</v>
      </c>
      <c r="H698">
        <v>-117.246488</v>
      </c>
      <c r="I698" t="s">
        <v>762</v>
      </c>
      <c r="J698" t="s">
        <v>7</v>
      </c>
      <c r="K698" t="s">
        <v>143</v>
      </c>
      <c r="L698" t="s">
        <v>143</v>
      </c>
      <c r="M698" t="s">
        <v>12</v>
      </c>
      <c r="N698" t="s">
        <v>85</v>
      </c>
      <c r="O698" t="s">
        <v>141</v>
      </c>
      <c r="P698" t="s">
        <v>74</v>
      </c>
      <c r="Q698">
        <v>4</v>
      </c>
      <c r="R698" t="s">
        <v>213</v>
      </c>
      <c r="S698" t="s">
        <v>7</v>
      </c>
      <c r="T698">
        <v>7</v>
      </c>
      <c r="U698" t="s">
        <v>28</v>
      </c>
      <c r="V698" t="s">
        <v>28</v>
      </c>
      <c r="W698">
        <v>12</v>
      </c>
      <c r="X698">
        <v>0.37240000000000001</v>
      </c>
      <c r="Y698">
        <f t="shared" si="13"/>
        <v>0.52385875959078898</v>
      </c>
      <c r="Z698">
        <f>0.5704-X698</f>
        <v>0.19800000000000001</v>
      </c>
    </row>
    <row r="699" spans="1:26" x14ac:dyDescent="0.2">
      <c r="A699" t="s">
        <v>151</v>
      </c>
      <c r="B699">
        <v>2019</v>
      </c>
      <c r="C699" t="s">
        <v>807</v>
      </c>
      <c r="D699" t="s">
        <v>823</v>
      </c>
      <c r="E699" t="s">
        <v>138</v>
      </c>
      <c r="F699" t="s">
        <v>325</v>
      </c>
      <c r="G699">
        <v>32.667459999999998</v>
      </c>
      <c r="H699">
        <v>-117.246488</v>
      </c>
      <c r="I699" t="s">
        <v>762</v>
      </c>
      <c r="J699" t="s">
        <v>14</v>
      </c>
      <c r="K699" t="s">
        <v>143</v>
      </c>
      <c r="L699" t="s">
        <v>143</v>
      </c>
      <c r="M699" t="s">
        <v>12</v>
      </c>
      <c r="N699" t="s">
        <v>85</v>
      </c>
      <c r="O699" t="s">
        <v>141</v>
      </c>
      <c r="P699" t="s">
        <v>74</v>
      </c>
      <c r="Q699">
        <v>4</v>
      </c>
      <c r="R699" t="s">
        <v>213</v>
      </c>
      <c r="S699" t="s">
        <v>9</v>
      </c>
      <c r="T699">
        <v>7</v>
      </c>
      <c r="U699" t="s">
        <v>28</v>
      </c>
      <c r="V699" t="s">
        <v>28</v>
      </c>
      <c r="W699">
        <v>18</v>
      </c>
      <c r="X699">
        <v>0</v>
      </c>
      <c r="Y699">
        <f t="shared" si="13"/>
        <v>0</v>
      </c>
      <c r="Z699">
        <v>0</v>
      </c>
    </row>
    <row r="700" spans="1:26" x14ac:dyDescent="0.2">
      <c r="A700" t="s">
        <v>151</v>
      </c>
      <c r="B700">
        <v>2019</v>
      </c>
      <c r="C700" t="s">
        <v>816</v>
      </c>
      <c r="D700" t="s">
        <v>820</v>
      </c>
      <c r="E700" t="s">
        <v>34</v>
      </c>
      <c r="F700" t="s">
        <v>325</v>
      </c>
      <c r="G700">
        <v>32.667459999999998</v>
      </c>
      <c r="H700">
        <v>-117.246488</v>
      </c>
      <c r="I700" t="s">
        <v>762</v>
      </c>
      <c r="J700" t="s">
        <v>7</v>
      </c>
      <c r="K700" t="s">
        <v>143</v>
      </c>
      <c r="L700" t="s">
        <v>143</v>
      </c>
      <c r="M700" t="s">
        <v>12</v>
      </c>
      <c r="N700" t="s">
        <v>85</v>
      </c>
      <c r="O700" t="s">
        <v>141</v>
      </c>
      <c r="P700" t="s">
        <v>74</v>
      </c>
      <c r="Q700">
        <v>4</v>
      </c>
      <c r="R700" t="s">
        <v>213</v>
      </c>
      <c r="S700" t="s">
        <v>7</v>
      </c>
      <c r="T700">
        <v>7</v>
      </c>
      <c r="U700" t="s">
        <v>28</v>
      </c>
      <c r="V700" t="s">
        <v>28</v>
      </c>
      <c r="W700">
        <v>12</v>
      </c>
      <c r="X700">
        <v>2.6669999999999998</v>
      </c>
      <c r="Y700">
        <f t="shared" si="13"/>
        <v>2.7198323477743993</v>
      </c>
      <c r="Z700">
        <f>3.695-X700</f>
        <v>1.028</v>
      </c>
    </row>
    <row r="701" spans="1:26" x14ac:dyDescent="0.2">
      <c r="A701" t="s">
        <v>151</v>
      </c>
      <c r="B701">
        <v>2019</v>
      </c>
      <c r="C701" t="s">
        <v>816</v>
      </c>
      <c r="D701" t="s">
        <v>820</v>
      </c>
      <c r="E701" t="s">
        <v>34</v>
      </c>
      <c r="F701" t="s">
        <v>325</v>
      </c>
      <c r="G701">
        <v>32.667459999999998</v>
      </c>
      <c r="H701">
        <v>-117.246488</v>
      </c>
      <c r="I701" t="s">
        <v>762</v>
      </c>
      <c r="J701" t="s">
        <v>14</v>
      </c>
      <c r="K701" t="s">
        <v>143</v>
      </c>
      <c r="L701" t="s">
        <v>143</v>
      </c>
      <c r="M701" t="s">
        <v>12</v>
      </c>
      <c r="N701" t="s">
        <v>85</v>
      </c>
      <c r="O701" t="s">
        <v>141</v>
      </c>
      <c r="P701" t="s">
        <v>74</v>
      </c>
      <c r="Q701">
        <v>4</v>
      </c>
      <c r="R701" t="s">
        <v>213</v>
      </c>
      <c r="S701" t="s">
        <v>9</v>
      </c>
      <c r="T701">
        <v>7</v>
      </c>
      <c r="U701" t="s">
        <v>28</v>
      </c>
      <c r="V701" t="s">
        <v>28</v>
      </c>
      <c r="W701">
        <v>18</v>
      </c>
      <c r="X701">
        <v>0.68500000000000005</v>
      </c>
      <c r="Y701">
        <f t="shared" si="13"/>
        <v>0.47358948468056156</v>
      </c>
      <c r="Z701">
        <f>0.864-X701</f>
        <v>0.17899999999999994</v>
      </c>
    </row>
    <row r="702" spans="1:26" x14ac:dyDescent="0.2">
      <c r="A702" t="s">
        <v>151</v>
      </c>
      <c r="B702">
        <v>2019</v>
      </c>
      <c r="C702" t="s">
        <v>811</v>
      </c>
      <c r="D702" t="s">
        <v>814</v>
      </c>
      <c r="E702" t="s">
        <v>849</v>
      </c>
      <c r="F702" t="s">
        <v>163</v>
      </c>
      <c r="G702">
        <v>33.479173000000003</v>
      </c>
      <c r="H702">
        <v>-118.478437</v>
      </c>
      <c r="I702" t="s">
        <v>766</v>
      </c>
      <c r="J702" t="s">
        <v>7</v>
      </c>
      <c r="K702" t="s">
        <v>143</v>
      </c>
      <c r="L702" t="s">
        <v>143</v>
      </c>
      <c r="M702" t="s">
        <v>12</v>
      </c>
      <c r="N702" t="s">
        <v>85</v>
      </c>
      <c r="O702" t="s">
        <v>141</v>
      </c>
      <c r="P702" t="s">
        <v>74</v>
      </c>
      <c r="Q702">
        <v>4</v>
      </c>
      <c r="R702" t="s">
        <v>213</v>
      </c>
      <c r="S702" t="s">
        <v>7</v>
      </c>
      <c r="T702">
        <v>7</v>
      </c>
      <c r="U702" t="s">
        <v>28</v>
      </c>
      <c r="V702" t="s">
        <v>28</v>
      </c>
      <c r="W702">
        <v>12</v>
      </c>
      <c r="X702">
        <v>1.6819999999999999</v>
      </c>
      <c r="Y702">
        <f t="shared" si="13"/>
        <v>0.72229010792063364</v>
      </c>
      <c r="Z702">
        <f>1.955-X702</f>
        <v>0.27300000000000013</v>
      </c>
    </row>
    <row r="703" spans="1:26" x14ac:dyDescent="0.2">
      <c r="A703" t="s">
        <v>151</v>
      </c>
      <c r="B703">
        <v>2019</v>
      </c>
      <c r="C703" t="s">
        <v>811</v>
      </c>
      <c r="D703" t="s">
        <v>814</v>
      </c>
      <c r="E703" t="s">
        <v>849</v>
      </c>
      <c r="F703" t="s">
        <v>163</v>
      </c>
      <c r="G703">
        <v>33.479173000000003</v>
      </c>
      <c r="H703">
        <v>-118.478437</v>
      </c>
      <c r="I703" t="s">
        <v>766</v>
      </c>
      <c r="J703" t="s">
        <v>14</v>
      </c>
      <c r="K703" t="s">
        <v>143</v>
      </c>
      <c r="L703" t="s">
        <v>143</v>
      </c>
      <c r="M703" t="s">
        <v>12</v>
      </c>
      <c r="N703" t="s">
        <v>85</v>
      </c>
      <c r="O703" t="s">
        <v>141</v>
      </c>
      <c r="P703" t="s">
        <v>74</v>
      </c>
      <c r="Q703">
        <v>4</v>
      </c>
      <c r="R703" t="s">
        <v>213</v>
      </c>
      <c r="S703" t="s">
        <v>9</v>
      </c>
      <c r="T703">
        <v>7</v>
      </c>
      <c r="U703" t="s">
        <v>28</v>
      </c>
      <c r="V703" t="s">
        <v>28</v>
      </c>
      <c r="W703">
        <v>18</v>
      </c>
      <c r="X703">
        <v>0.621</v>
      </c>
      <c r="Y703">
        <f t="shared" si="13"/>
        <v>0.65614632514401849</v>
      </c>
      <c r="Z703">
        <f>0.869-X703</f>
        <v>0.248</v>
      </c>
    </row>
    <row r="704" spans="1:26" x14ac:dyDescent="0.2">
      <c r="A704" t="s">
        <v>151</v>
      </c>
      <c r="B704">
        <v>2019</v>
      </c>
      <c r="C704" t="s">
        <v>826</v>
      </c>
      <c r="D704" t="s">
        <v>813</v>
      </c>
      <c r="E704" t="s">
        <v>158</v>
      </c>
      <c r="F704" t="s">
        <v>164</v>
      </c>
      <c r="G704">
        <v>33.795091999999997</v>
      </c>
      <c r="H704">
        <v>-118.411177</v>
      </c>
      <c r="I704" t="s">
        <v>768</v>
      </c>
      <c r="J704" t="s">
        <v>7</v>
      </c>
      <c r="K704" t="s">
        <v>143</v>
      </c>
      <c r="L704" t="s">
        <v>143</v>
      </c>
      <c r="M704" t="s">
        <v>12</v>
      </c>
      <c r="N704" t="s">
        <v>85</v>
      </c>
      <c r="O704" t="s">
        <v>141</v>
      </c>
      <c r="P704" t="s">
        <v>74</v>
      </c>
      <c r="Q704">
        <v>4</v>
      </c>
      <c r="R704" t="s">
        <v>213</v>
      </c>
      <c r="S704" t="s">
        <v>7</v>
      </c>
      <c r="T704">
        <v>7</v>
      </c>
      <c r="U704" t="s">
        <v>28</v>
      </c>
      <c r="V704" t="s">
        <v>28</v>
      </c>
      <c r="W704">
        <v>12</v>
      </c>
      <c r="X704">
        <v>13.63</v>
      </c>
      <c r="Y704">
        <f t="shared" si="13"/>
        <v>7.9372539331937677</v>
      </c>
      <c r="Z704">
        <f>16.63-X704</f>
        <v>2.9999999999999982</v>
      </c>
    </row>
    <row r="705" spans="1:37" x14ac:dyDescent="0.2">
      <c r="A705" t="s">
        <v>151</v>
      </c>
      <c r="B705">
        <v>2019</v>
      </c>
      <c r="C705" t="s">
        <v>826</v>
      </c>
      <c r="D705" t="s">
        <v>813</v>
      </c>
      <c r="E705" t="s">
        <v>158</v>
      </c>
      <c r="F705" t="s">
        <v>164</v>
      </c>
      <c r="G705">
        <v>33.795091999999997</v>
      </c>
      <c r="H705">
        <v>-118.411177</v>
      </c>
      <c r="I705" t="s">
        <v>768</v>
      </c>
      <c r="J705" t="s">
        <v>14</v>
      </c>
      <c r="K705" t="s">
        <v>143</v>
      </c>
      <c r="L705" t="s">
        <v>143</v>
      </c>
      <c r="M705" t="s">
        <v>12</v>
      </c>
      <c r="N705" t="s">
        <v>85</v>
      </c>
      <c r="O705" t="s">
        <v>141</v>
      </c>
      <c r="P705" t="s">
        <v>74</v>
      </c>
      <c r="Q705">
        <v>4</v>
      </c>
      <c r="R705" t="s">
        <v>213</v>
      </c>
      <c r="S705" t="s">
        <v>9</v>
      </c>
      <c r="T705">
        <v>7</v>
      </c>
      <c r="U705" t="s">
        <v>28</v>
      </c>
      <c r="V705" t="s">
        <v>28</v>
      </c>
      <c r="W705">
        <v>18</v>
      </c>
      <c r="X705">
        <v>2.91</v>
      </c>
      <c r="Y705">
        <f t="shared" si="13"/>
        <v>1.5345357604174628</v>
      </c>
      <c r="Z705">
        <f>3.49-X705</f>
        <v>0.58000000000000007</v>
      </c>
    </row>
    <row r="706" spans="1:37" x14ac:dyDescent="0.2">
      <c r="A706" t="s">
        <v>166</v>
      </c>
      <c r="B706">
        <v>2012</v>
      </c>
      <c r="C706" t="s">
        <v>811</v>
      </c>
      <c r="D706" t="s">
        <v>818</v>
      </c>
      <c r="E706" t="s">
        <v>167</v>
      </c>
      <c r="F706" t="s">
        <v>168</v>
      </c>
      <c r="G706">
        <v>-23.263780000000001</v>
      </c>
      <c r="H706">
        <v>-70.668626000000003</v>
      </c>
      <c r="I706" t="s">
        <v>767</v>
      </c>
      <c r="J706" t="s">
        <v>7</v>
      </c>
      <c r="K706" t="s">
        <v>92</v>
      </c>
      <c r="L706" t="s">
        <v>300</v>
      </c>
      <c r="M706" t="s">
        <v>727</v>
      </c>
      <c r="N706" t="s">
        <v>85</v>
      </c>
      <c r="O706" t="s">
        <v>71</v>
      </c>
      <c r="P706" t="s">
        <v>70</v>
      </c>
      <c r="Q706">
        <v>2</v>
      </c>
      <c r="R706" t="s">
        <v>213</v>
      </c>
      <c r="S706" t="s">
        <v>7</v>
      </c>
      <c r="T706">
        <v>12</v>
      </c>
      <c r="U706" t="s">
        <v>28</v>
      </c>
      <c r="V706" t="s">
        <v>28</v>
      </c>
      <c r="W706">
        <v>10</v>
      </c>
      <c r="X706">
        <v>60.11</v>
      </c>
      <c r="Y706">
        <f t="shared" si="13"/>
        <v>13.025022072917983</v>
      </c>
      <c r="Z706">
        <v>3.7600000000000078</v>
      </c>
    </row>
    <row r="707" spans="1:37" x14ac:dyDescent="0.2">
      <c r="A707" t="s">
        <v>166</v>
      </c>
      <c r="B707">
        <v>2012</v>
      </c>
      <c r="C707" t="s">
        <v>811</v>
      </c>
      <c r="D707" t="s">
        <v>818</v>
      </c>
      <c r="E707" t="s">
        <v>167</v>
      </c>
      <c r="F707" t="s">
        <v>169</v>
      </c>
      <c r="G707">
        <v>-29.215833</v>
      </c>
      <c r="H707">
        <v>-71.473056</v>
      </c>
      <c r="I707" t="s">
        <v>771</v>
      </c>
      <c r="J707" t="s">
        <v>7</v>
      </c>
      <c r="K707" t="s">
        <v>92</v>
      </c>
      <c r="L707" t="s">
        <v>300</v>
      </c>
      <c r="M707" t="s">
        <v>727</v>
      </c>
      <c r="N707" t="s">
        <v>85</v>
      </c>
      <c r="O707" t="s">
        <v>71</v>
      </c>
      <c r="P707" t="s">
        <v>70</v>
      </c>
      <c r="Q707">
        <v>2</v>
      </c>
      <c r="R707" t="s">
        <v>213</v>
      </c>
      <c r="S707" t="s">
        <v>7</v>
      </c>
      <c r="T707">
        <v>6</v>
      </c>
      <c r="U707" t="s">
        <v>28</v>
      </c>
      <c r="V707" t="s">
        <v>28</v>
      </c>
      <c r="W707">
        <v>10</v>
      </c>
      <c r="X707">
        <v>65.98</v>
      </c>
      <c r="Y707">
        <f t="shared" si="13"/>
        <v>17.734305737750187</v>
      </c>
      <c r="Z707">
        <v>7.2399999999999913</v>
      </c>
    </row>
    <row r="708" spans="1:37" x14ac:dyDescent="0.2">
      <c r="A708" t="s">
        <v>166</v>
      </c>
      <c r="B708">
        <v>2012</v>
      </c>
      <c r="C708" t="s">
        <v>811</v>
      </c>
      <c r="D708" t="s">
        <v>818</v>
      </c>
      <c r="E708" t="s">
        <v>167</v>
      </c>
      <c r="F708" t="s">
        <v>775</v>
      </c>
      <c r="G708">
        <v>-33.502499999999998</v>
      </c>
      <c r="H708">
        <v>-71.633611000000002</v>
      </c>
      <c r="I708" t="s">
        <v>767</v>
      </c>
      <c r="J708" t="s">
        <v>7</v>
      </c>
      <c r="K708" t="s">
        <v>92</v>
      </c>
      <c r="L708" t="s">
        <v>300</v>
      </c>
      <c r="M708" t="s">
        <v>727</v>
      </c>
      <c r="N708" t="s">
        <v>85</v>
      </c>
      <c r="O708" t="s">
        <v>71</v>
      </c>
      <c r="P708" t="s">
        <v>70</v>
      </c>
      <c r="Q708">
        <v>2</v>
      </c>
      <c r="R708" t="s">
        <v>213</v>
      </c>
      <c r="S708" t="s">
        <v>7</v>
      </c>
      <c r="T708">
        <v>18</v>
      </c>
      <c r="U708" t="s">
        <v>28</v>
      </c>
      <c r="V708" t="s">
        <v>28</v>
      </c>
      <c r="W708">
        <v>10</v>
      </c>
      <c r="X708">
        <v>55.05</v>
      </c>
      <c r="Y708">
        <f t="shared" ref="Y708:Y739" si="14">Z708*SQRT(T708)</f>
        <v>17.988796513385765</v>
      </c>
      <c r="Z708">
        <v>4.2399999999999993</v>
      </c>
    </row>
    <row r="709" spans="1:37" x14ac:dyDescent="0.2">
      <c r="A709" t="s">
        <v>166</v>
      </c>
      <c r="B709">
        <v>2012</v>
      </c>
      <c r="C709" t="s">
        <v>811</v>
      </c>
      <c r="D709" t="s">
        <v>818</v>
      </c>
      <c r="E709" t="s">
        <v>167</v>
      </c>
      <c r="F709" t="s">
        <v>170</v>
      </c>
      <c r="G709">
        <v>-29.523199000000002</v>
      </c>
      <c r="H709">
        <v>-71.357437000000004</v>
      </c>
      <c r="I709" t="s">
        <v>771</v>
      </c>
      <c r="J709" t="s">
        <v>7</v>
      </c>
      <c r="K709" t="s">
        <v>92</v>
      </c>
      <c r="L709" t="s">
        <v>300</v>
      </c>
      <c r="M709" t="s">
        <v>727</v>
      </c>
      <c r="N709" t="s">
        <v>85</v>
      </c>
      <c r="O709" t="s">
        <v>71</v>
      </c>
      <c r="P709" t="s">
        <v>70</v>
      </c>
      <c r="Q709">
        <v>2</v>
      </c>
      <c r="R709" t="s">
        <v>213</v>
      </c>
      <c r="S709" t="s">
        <v>7</v>
      </c>
      <c r="T709">
        <v>12</v>
      </c>
      <c r="U709" t="s">
        <v>28</v>
      </c>
      <c r="V709" t="s">
        <v>28</v>
      </c>
      <c r="W709">
        <v>10</v>
      </c>
      <c r="X709">
        <v>81.63</v>
      </c>
      <c r="Y709">
        <f t="shared" si="14"/>
        <v>32.874324327657284</v>
      </c>
      <c r="Z709">
        <v>9.4899999999999984</v>
      </c>
    </row>
    <row r="710" spans="1:37" x14ac:dyDescent="0.2">
      <c r="A710" t="s">
        <v>166</v>
      </c>
      <c r="B710">
        <v>2012</v>
      </c>
      <c r="C710" t="s">
        <v>811</v>
      </c>
      <c r="D710" t="s">
        <v>818</v>
      </c>
      <c r="E710" t="s">
        <v>167</v>
      </c>
      <c r="F710" t="s">
        <v>168</v>
      </c>
      <c r="G710">
        <v>-23.263780000000001</v>
      </c>
      <c r="H710">
        <v>-70.668626000000003</v>
      </c>
      <c r="I710" t="s">
        <v>767</v>
      </c>
      <c r="J710" t="s">
        <v>14</v>
      </c>
      <c r="K710" t="s">
        <v>92</v>
      </c>
      <c r="L710" t="s">
        <v>300</v>
      </c>
      <c r="M710" t="s">
        <v>727</v>
      </c>
      <c r="N710" t="s">
        <v>85</v>
      </c>
      <c r="O710" t="s">
        <v>71</v>
      </c>
      <c r="P710" t="s">
        <v>70</v>
      </c>
      <c r="Q710">
        <v>2</v>
      </c>
      <c r="R710" t="s">
        <v>213</v>
      </c>
      <c r="S710" t="s">
        <v>9</v>
      </c>
      <c r="T710">
        <v>12</v>
      </c>
      <c r="U710" t="s">
        <v>28</v>
      </c>
      <c r="V710" t="s">
        <v>28</v>
      </c>
      <c r="W710">
        <v>15</v>
      </c>
      <c r="X710">
        <v>80.600000000000009</v>
      </c>
      <c r="Y710">
        <f t="shared" si="14"/>
        <v>25.322582806656964</v>
      </c>
      <c r="Z710">
        <v>7.3099999999999943</v>
      </c>
    </row>
    <row r="711" spans="1:37" x14ac:dyDescent="0.2">
      <c r="A711" t="s">
        <v>166</v>
      </c>
      <c r="B711">
        <v>2012</v>
      </c>
      <c r="C711" t="s">
        <v>811</v>
      </c>
      <c r="D711" t="s">
        <v>818</v>
      </c>
      <c r="E711" t="s">
        <v>167</v>
      </c>
      <c r="F711" t="s">
        <v>169</v>
      </c>
      <c r="G711">
        <v>-29.215833</v>
      </c>
      <c r="H711">
        <v>-71.473056</v>
      </c>
      <c r="I711" t="s">
        <v>771</v>
      </c>
      <c r="J711" t="s">
        <v>14</v>
      </c>
      <c r="K711" t="s">
        <v>92</v>
      </c>
      <c r="L711" t="s">
        <v>300</v>
      </c>
      <c r="M711" t="s">
        <v>727</v>
      </c>
      <c r="N711" t="s">
        <v>85</v>
      </c>
      <c r="O711" t="s">
        <v>71</v>
      </c>
      <c r="P711" t="s">
        <v>70</v>
      </c>
      <c r="Q711">
        <v>2</v>
      </c>
      <c r="R711" t="s">
        <v>213</v>
      </c>
      <c r="S711" t="s">
        <v>9</v>
      </c>
      <c r="T711">
        <v>6</v>
      </c>
      <c r="U711" t="s">
        <v>28</v>
      </c>
      <c r="V711" t="s">
        <v>28</v>
      </c>
      <c r="W711">
        <v>15</v>
      </c>
      <c r="X711">
        <v>56.830000000000005</v>
      </c>
      <c r="Y711">
        <f t="shared" si="14"/>
        <v>17.244407789193577</v>
      </c>
      <c r="Z711">
        <v>7.0400000000000018</v>
      </c>
    </row>
    <row r="712" spans="1:37" x14ac:dyDescent="0.2">
      <c r="A712" t="s">
        <v>166</v>
      </c>
      <c r="B712">
        <v>2012</v>
      </c>
      <c r="C712" t="s">
        <v>811</v>
      </c>
      <c r="D712" t="s">
        <v>818</v>
      </c>
      <c r="E712" t="s">
        <v>167</v>
      </c>
      <c r="F712" t="s">
        <v>775</v>
      </c>
      <c r="G712">
        <v>-33.502499999999998</v>
      </c>
      <c r="H712">
        <v>-71.633611000000002</v>
      </c>
      <c r="I712" t="s">
        <v>767</v>
      </c>
      <c r="J712" t="s">
        <v>14</v>
      </c>
      <c r="K712" t="s">
        <v>92</v>
      </c>
      <c r="L712" t="s">
        <v>300</v>
      </c>
      <c r="M712" t="s">
        <v>727</v>
      </c>
      <c r="N712" t="s">
        <v>85</v>
      </c>
      <c r="O712" t="s">
        <v>71</v>
      </c>
      <c r="P712" t="s">
        <v>70</v>
      </c>
      <c r="Q712">
        <v>2</v>
      </c>
      <c r="R712" t="s">
        <v>213</v>
      </c>
      <c r="S712" t="s">
        <v>9</v>
      </c>
      <c r="T712">
        <v>18</v>
      </c>
      <c r="U712" t="s">
        <v>28</v>
      </c>
      <c r="V712" t="s">
        <v>28</v>
      </c>
      <c r="W712">
        <v>15</v>
      </c>
      <c r="X712">
        <v>65.44</v>
      </c>
      <c r="Y712">
        <f t="shared" si="14"/>
        <v>33.89869909008307</v>
      </c>
      <c r="Z712">
        <v>7.9899999999999967</v>
      </c>
    </row>
    <row r="713" spans="1:37" x14ac:dyDescent="0.2">
      <c r="A713" t="s">
        <v>166</v>
      </c>
      <c r="B713">
        <v>2012</v>
      </c>
      <c r="C713" t="s">
        <v>811</v>
      </c>
      <c r="D713" t="s">
        <v>818</v>
      </c>
      <c r="E713" t="s">
        <v>167</v>
      </c>
      <c r="F713" t="s">
        <v>170</v>
      </c>
      <c r="G713">
        <v>-29.523199000000002</v>
      </c>
      <c r="H713">
        <v>-71.357437000000004</v>
      </c>
      <c r="I713" t="s">
        <v>771</v>
      </c>
      <c r="J713" t="s">
        <v>14</v>
      </c>
      <c r="K713" t="s">
        <v>92</v>
      </c>
      <c r="L713" t="s">
        <v>300</v>
      </c>
      <c r="M713" t="s">
        <v>727</v>
      </c>
      <c r="N713" t="s">
        <v>85</v>
      </c>
      <c r="O713" t="s">
        <v>71</v>
      </c>
      <c r="P713" t="s">
        <v>70</v>
      </c>
      <c r="Q713">
        <v>2</v>
      </c>
      <c r="R713" t="s">
        <v>213</v>
      </c>
      <c r="S713" t="s">
        <v>9</v>
      </c>
      <c r="T713">
        <v>12</v>
      </c>
      <c r="U713" t="s">
        <v>28</v>
      </c>
      <c r="V713" t="s">
        <v>28</v>
      </c>
      <c r="W713">
        <v>15</v>
      </c>
      <c r="X713">
        <v>80.739999999999995</v>
      </c>
      <c r="Y713">
        <f t="shared" si="14"/>
        <v>40.460706864808976</v>
      </c>
      <c r="Z713">
        <v>11.680000000000001</v>
      </c>
    </row>
    <row r="714" spans="1:37" x14ac:dyDescent="0.2">
      <c r="A714" t="s">
        <v>166</v>
      </c>
      <c r="B714">
        <v>2012</v>
      </c>
      <c r="C714" t="s">
        <v>811</v>
      </c>
      <c r="D714" t="s">
        <v>818</v>
      </c>
      <c r="E714" t="s">
        <v>167</v>
      </c>
      <c r="F714" t="s">
        <v>168</v>
      </c>
      <c r="G714">
        <v>-23.263780000000001</v>
      </c>
      <c r="H714">
        <v>-70.668626000000003</v>
      </c>
      <c r="I714" t="s">
        <v>767</v>
      </c>
      <c r="J714" t="s">
        <v>14</v>
      </c>
      <c r="K714" t="s">
        <v>92</v>
      </c>
      <c r="L714" t="s">
        <v>300</v>
      </c>
      <c r="M714" t="s">
        <v>727</v>
      </c>
      <c r="N714" t="s">
        <v>85</v>
      </c>
      <c r="O714" t="s">
        <v>71</v>
      </c>
      <c r="P714" t="s">
        <v>70</v>
      </c>
      <c r="Q714">
        <v>2</v>
      </c>
      <c r="R714" t="s">
        <v>213</v>
      </c>
      <c r="S714" t="s">
        <v>27</v>
      </c>
      <c r="T714">
        <v>12</v>
      </c>
      <c r="U714" t="s">
        <v>28</v>
      </c>
      <c r="V714" t="s">
        <v>28</v>
      </c>
      <c r="W714">
        <v>20</v>
      </c>
      <c r="X714">
        <v>88.32</v>
      </c>
      <c r="Y714">
        <f t="shared" si="14"/>
        <v>9.6994845223857205</v>
      </c>
      <c r="Z714">
        <v>2.8000000000000025</v>
      </c>
    </row>
    <row r="715" spans="1:37" x14ac:dyDescent="0.2">
      <c r="A715" t="s">
        <v>166</v>
      </c>
      <c r="B715">
        <v>2012</v>
      </c>
      <c r="C715" t="s">
        <v>811</v>
      </c>
      <c r="D715" t="s">
        <v>818</v>
      </c>
      <c r="E715" t="s">
        <v>167</v>
      </c>
      <c r="F715" t="s">
        <v>169</v>
      </c>
      <c r="G715">
        <v>-29.215833</v>
      </c>
      <c r="H715">
        <v>-71.473056</v>
      </c>
      <c r="I715" t="s">
        <v>771</v>
      </c>
      <c r="J715" t="s">
        <v>14</v>
      </c>
      <c r="K715" t="s">
        <v>92</v>
      </c>
      <c r="L715" t="s">
        <v>300</v>
      </c>
      <c r="M715" t="s">
        <v>727</v>
      </c>
      <c r="N715" t="s">
        <v>85</v>
      </c>
      <c r="O715" t="s">
        <v>71</v>
      </c>
      <c r="P715" t="s">
        <v>70</v>
      </c>
      <c r="Q715">
        <v>2</v>
      </c>
      <c r="R715" t="s">
        <v>213</v>
      </c>
      <c r="S715" t="s">
        <v>27</v>
      </c>
      <c r="T715">
        <v>6</v>
      </c>
      <c r="U715" t="s">
        <v>28</v>
      </c>
      <c r="V715" t="s">
        <v>28</v>
      </c>
      <c r="W715">
        <v>20</v>
      </c>
      <c r="X715">
        <v>76.64</v>
      </c>
      <c r="Y715">
        <f t="shared" si="14"/>
        <v>12.712851765044707</v>
      </c>
      <c r="Z715">
        <v>5.1900000000000057</v>
      </c>
    </row>
    <row r="716" spans="1:37" x14ac:dyDescent="0.2">
      <c r="A716" t="s">
        <v>166</v>
      </c>
      <c r="B716">
        <v>2012</v>
      </c>
      <c r="C716" t="s">
        <v>811</v>
      </c>
      <c r="D716" t="s">
        <v>818</v>
      </c>
      <c r="E716" t="s">
        <v>167</v>
      </c>
      <c r="F716" t="s">
        <v>775</v>
      </c>
      <c r="G716">
        <v>-33.502499999999998</v>
      </c>
      <c r="H716">
        <v>-71.633611000000002</v>
      </c>
      <c r="I716" t="s">
        <v>767</v>
      </c>
      <c r="J716" t="s">
        <v>14</v>
      </c>
      <c r="K716" t="s">
        <v>92</v>
      </c>
      <c r="L716" t="s">
        <v>300</v>
      </c>
      <c r="M716" t="s">
        <v>727</v>
      </c>
      <c r="N716" t="s">
        <v>85</v>
      </c>
      <c r="O716" t="s">
        <v>71</v>
      </c>
      <c r="P716" t="s">
        <v>70</v>
      </c>
      <c r="Q716">
        <v>2</v>
      </c>
      <c r="R716" t="s">
        <v>213</v>
      </c>
      <c r="S716" t="s">
        <v>27</v>
      </c>
      <c r="T716">
        <v>18</v>
      </c>
      <c r="U716" t="s">
        <v>28</v>
      </c>
      <c r="V716" t="s">
        <v>28</v>
      </c>
      <c r="W716">
        <v>20</v>
      </c>
      <c r="X716">
        <v>81.83</v>
      </c>
      <c r="Y716">
        <f t="shared" si="14"/>
        <v>17.394826817189035</v>
      </c>
      <c r="Z716">
        <v>4.0999999999999925</v>
      </c>
    </row>
    <row r="717" spans="1:37" s="5" customFormat="1" x14ac:dyDescent="0.2">
      <c r="A717" t="s">
        <v>166</v>
      </c>
      <c r="B717">
        <v>2012</v>
      </c>
      <c r="C717" t="s">
        <v>811</v>
      </c>
      <c r="D717" t="s">
        <v>818</v>
      </c>
      <c r="E717" t="s">
        <v>167</v>
      </c>
      <c r="F717" t="s">
        <v>170</v>
      </c>
      <c r="G717">
        <v>-29.523199000000002</v>
      </c>
      <c r="H717">
        <v>-71.357437000000004</v>
      </c>
      <c r="I717" t="s">
        <v>771</v>
      </c>
      <c r="J717" t="s">
        <v>14</v>
      </c>
      <c r="K717" t="s">
        <v>92</v>
      </c>
      <c r="L717" t="s">
        <v>300</v>
      </c>
      <c r="M717" t="s">
        <v>727</v>
      </c>
      <c r="N717" t="s">
        <v>85</v>
      </c>
      <c r="O717" t="s">
        <v>71</v>
      </c>
      <c r="P717" t="s">
        <v>70</v>
      </c>
      <c r="Q717">
        <v>2</v>
      </c>
      <c r="R717" t="s">
        <v>213</v>
      </c>
      <c r="S717" t="s">
        <v>27</v>
      </c>
      <c r="T717">
        <v>12</v>
      </c>
      <c r="U717" t="s">
        <v>28</v>
      </c>
      <c r="V717" t="s">
        <v>28</v>
      </c>
      <c r="W717">
        <v>20</v>
      </c>
      <c r="X717">
        <v>76.78</v>
      </c>
      <c r="Y717">
        <f t="shared" si="14"/>
        <v>24.352634354418388</v>
      </c>
      <c r="Z717">
        <v>7.0299999999999923</v>
      </c>
      <c r="AA717"/>
      <c r="AB717"/>
      <c r="AC717"/>
      <c r="AD717"/>
      <c r="AE717"/>
      <c r="AF717"/>
      <c r="AG717"/>
      <c r="AH717"/>
      <c r="AI717"/>
      <c r="AJ717"/>
      <c r="AK717"/>
    </row>
    <row r="718" spans="1:37" x14ac:dyDescent="0.2">
      <c r="A718" t="s">
        <v>166</v>
      </c>
      <c r="B718">
        <v>2012</v>
      </c>
      <c r="C718" t="s">
        <v>811</v>
      </c>
      <c r="D718" t="s">
        <v>818</v>
      </c>
      <c r="E718" t="s">
        <v>167</v>
      </c>
      <c r="F718" t="s">
        <v>168</v>
      </c>
      <c r="G718">
        <v>-23.263780000000001</v>
      </c>
      <c r="H718">
        <v>-70.668626000000003</v>
      </c>
      <c r="I718" t="s">
        <v>767</v>
      </c>
      <c r="J718" t="s">
        <v>7</v>
      </c>
      <c r="K718" t="s">
        <v>3</v>
      </c>
      <c r="L718" t="s">
        <v>3</v>
      </c>
      <c r="M718" t="s">
        <v>12</v>
      </c>
      <c r="N718" t="s">
        <v>85</v>
      </c>
      <c r="O718" t="s">
        <v>12</v>
      </c>
      <c r="P718" t="s">
        <v>70</v>
      </c>
      <c r="Q718">
        <v>25</v>
      </c>
      <c r="R718" t="s">
        <v>213</v>
      </c>
      <c r="S718" t="s">
        <v>7</v>
      </c>
      <c r="T718">
        <v>12</v>
      </c>
      <c r="U718" t="s">
        <v>28</v>
      </c>
      <c r="V718" t="s">
        <v>28</v>
      </c>
      <c r="W718">
        <v>10</v>
      </c>
      <c r="X718">
        <v>54.500000000000007</v>
      </c>
      <c r="Y718">
        <f t="shared" si="14"/>
        <v>41.222809220139276</v>
      </c>
      <c r="Z718">
        <v>11.899999999999999</v>
      </c>
    </row>
    <row r="719" spans="1:37" x14ac:dyDescent="0.2">
      <c r="A719" t="s">
        <v>166</v>
      </c>
      <c r="B719">
        <v>2012</v>
      </c>
      <c r="C719" t="s">
        <v>811</v>
      </c>
      <c r="D719" t="s">
        <v>818</v>
      </c>
      <c r="E719" t="s">
        <v>167</v>
      </c>
      <c r="F719" t="s">
        <v>169</v>
      </c>
      <c r="G719">
        <v>-29.215833</v>
      </c>
      <c r="H719">
        <v>-71.473056</v>
      </c>
      <c r="I719" t="s">
        <v>771</v>
      </c>
      <c r="J719" t="s">
        <v>7</v>
      </c>
      <c r="K719" t="s">
        <v>3</v>
      </c>
      <c r="L719" t="s">
        <v>3</v>
      </c>
      <c r="M719" t="s">
        <v>12</v>
      </c>
      <c r="N719" t="s">
        <v>85</v>
      </c>
      <c r="O719" t="s">
        <v>12</v>
      </c>
      <c r="P719" t="s">
        <v>70</v>
      </c>
      <c r="Q719">
        <v>25</v>
      </c>
      <c r="R719" t="s">
        <v>213</v>
      </c>
      <c r="S719" t="s">
        <v>7</v>
      </c>
      <c r="T719">
        <v>6</v>
      </c>
      <c r="U719" t="s">
        <v>28</v>
      </c>
      <c r="V719" t="s">
        <v>28</v>
      </c>
      <c r="W719">
        <v>10</v>
      </c>
      <c r="X719">
        <v>69.599999999999994</v>
      </c>
      <c r="Y719">
        <f t="shared" si="14"/>
        <v>24.739846402110118</v>
      </c>
      <c r="Z719">
        <v>10.100000000000009</v>
      </c>
    </row>
    <row r="720" spans="1:37" x14ac:dyDescent="0.2">
      <c r="A720" t="s">
        <v>166</v>
      </c>
      <c r="B720">
        <v>2012</v>
      </c>
      <c r="C720" t="s">
        <v>811</v>
      </c>
      <c r="D720" t="s">
        <v>818</v>
      </c>
      <c r="E720" t="s">
        <v>167</v>
      </c>
      <c r="F720" t="s">
        <v>775</v>
      </c>
      <c r="G720">
        <v>-33.502499999999998</v>
      </c>
      <c r="H720">
        <v>-71.633611000000002</v>
      </c>
      <c r="I720" t="s">
        <v>767</v>
      </c>
      <c r="J720" t="s">
        <v>7</v>
      </c>
      <c r="K720" t="s">
        <v>3</v>
      </c>
      <c r="L720" t="s">
        <v>3</v>
      </c>
      <c r="M720" t="s">
        <v>12</v>
      </c>
      <c r="N720" t="s">
        <v>85</v>
      </c>
      <c r="O720" t="s">
        <v>12</v>
      </c>
      <c r="P720" t="s">
        <v>70</v>
      </c>
      <c r="Q720">
        <v>25</v>
      </c>
      <c r="R720" t="s">
        <v>213</v>
      </c>
      <c r="S720" t="s">
        <v>7</v>
      </c>
      <c r="T720">
        <v>18</v>
      </c>
      <c r="U720" t="s">
        <v>28</v>
      </c>
      <c r="V720" t="s">
        <v>28</v>
      </c>
      <c r="W720">
        <v>10</v>
      </c>
      <c r="X720">
        <v>72.2</v>
      </c>
      <c r="Y720">
        <f t="shared" si="14"/>
        <v>65.33666658163699</v>
      </c>
      <c r="Z720">
        <v>15.400000000000002</v>
      </c>
    </row>
    <row r="721" spans="1:26" x14ac:dyDescent="0.2">
      <c r="A721" t="s">
        <v>166</v>
      </c>
      <c r="B721">
        <v>2012</v>
      </c>
      <c r="C721" t="s">
        <v>811</v>
      </c>
      <c r="D721" t="s">
        <v>818</v>
      </c>
      <c r="E721" t="s">
        <v>167</v>
      </c>
      <c r="F721" t="s">
        <v>170</v>
      </c>
      <c r="G721">
        <v>-29.523199000000002</v>
      </c>
      <c r="H721">
        <v>-71.357437000000004</v>
      </c>
      <c r="I721" t="s">
        <v>771</v>
      </c>
      <c r="J721" t="s">
        <v>7</v>
      </c>
      <c r="K721" t="s">
        <v>3</v>
      </c>
      <c r="L721" t="s">
        <v>3</v>
      </c>
      <c r="M721" t="s">
        <v>12</v>
      </c>
      <c r="N721" t="s">
        <v>85</v>
      </c>
      <c r="O721" t="s">
        <v>12</v>
      </c>
      <c r="P721" t="s">
        <v>70</v>
      </c>
      <c r="Q721">
        <v>25</v>
      </c>
      <c r="R721" t="s">
        <v>213</v>
      </c>
      <c r="S721" t="s">
        <v>7</v>
      </c>
      <c r="T721">
        <v>12</v>
      </c>
      <c r="U721" t="s">
        <v>28</v>
      </c>
      <c r="V721" t="s">
        <v>28</v>
      </c>
      <c r="W721">
        <v>10</v>
      </c>
      <c r="X721">
        <v>84.2</v>
      </c>
      <c r="Y721">
        <f t="shared" si="14"/>
        <v>25.287941790505627</v>
      </c>
      <c r="Z721">
        <v>7.300000000000006</v>
      </c>
    </row>
    <row r="722" spans="1:26" x14ac:dyDescent="0.2">
      <c r="A722" t="s">
        <v>166</v>
      </c>
      <c r="B722">
        <v>2012</v>
      </c>
      <c r="C722" t="s">
        <v>811</v>
      </c>
      <c r="D722" t="s">
        <v>818</v>
      </c>
      <c r="E722" t="s">
        <v>167</v>
      </c>
      <c r="F722" t="s">
        <v>168</v>
      </c>
      <c r="G722">
        <v>-23.263780000000001</v>
      </c>
      <c r="H722">
        <v>-70.668626000000003</v>
      </c>
      <c r="I722" t="s">
        <v>767</v>
      </c>
      <c r="J722" t="s">
        <v>14</v>
      </c>
      <c r="K722" t="s">
        <v>3</v>
      </c>
      <c r="L722" t="s">
        <v>3</v>
      </c>
      <c r="M722" t="s">
        <v>12</v>
      </c>
      <c r="N722" t="s">
        <v>85</v>
      </c>
      <c r="O722" t="s">
        <v>12</v>
      </c>
      <c r="P722" t="s">
        <v>70</v>
      </c>
      <c r="Q722">
        <v>25</v>
      </c>
      <c r="R722" t="s">
        <v>213</v>
      </c>
      <c r="S722" t="s">
        <v>9</v>
      </c>
      <c r="T722">
        <v>12</v>
      </c>
      <c r="U722" t="s">
        <v>28</v>
      </c>
      <c r="V722" t="s">
        <v>28</v>
      </c>
      <c r="W722">
        <v>15</v>
      </c>
      <c r="X722">
        <v>84.1</v>
      </c>
      <c r="Y722">
        <f t="shared" si="14"/>
        <v>77.595876179085693</v>
      </c>
      <c r="Z722">
        <v>22.4</v>
      </c>
    </row>
    <row r="723" spans="1:26" x14ac:dyDescent="0.2">
      <c r="A723" t="s">
        <v>166</v>
      </c>
      <c r="B723">
        <v>2012</v>
      </c>
      <c r="C723" t="s">
        <v>811</v>
      </c>
      <c r="D723" t="s">
        <v>818</v>
      </c>
      <c r="E723" t="s">
        <v>167</v>
      </c>
      <c r="F723" t="s">
        <v>169</v>
      </c>
      <c r="G723">
        <v>-29.215833</v>
      </c>
      <c r="H723">
        <v>-71.473056</v>
      </c>
      <c r="I723" t="s">
        <v>771</v>
      </c>
      <c r="J723" t="s">
        <v>14</v>
      </c>
      <c r="K723" t="s">
        <v>3</v>
      </c>
      <c r="L723" t="s">
        <v>3</v>
      </c>
      <c r="M723" t="s">
        <v>12</v>
      </c>
      <c r="N723" t="s">
        <v>85</v>
      </c>
      <c r="O723" t="s">
        <v>12</v>
      </c>
      <c r="P723" t="s">
        <v>70</v>
      </c>
      <c r="Q723">
        <v>25</v>
      </c>
      <c r="R723" t="s">
        <v>213</v>
      </c>
      <c r="S723" t="s">
        <v>9</v>
      </c>
      <c r="T723">
        <v>6</v>
      </c>
      <c r="U723" t="s">
        <v>28</v>
      </c>
      <c r="V723" t="s">
        <v>28</v>
      </c>
      <c r="W723">
        <v>15</v>
      </c>
      <c r="X723">
        <v>94.3</v>
      </c>
      <c r="Y723">
        <f t="shared" si="14"/>
        <v>43.111019472983941</v>
      </c>
      <c r="Z723">
        <v>17.600000000000005</v>
      </c>
    </row>
    <row r="724" spans="1:26" x14ac:dyDescent="0.2">
      <c r="A724" t="s">
        <v>166</v>
      </c>
      <c r="B724">
        <v>2012</v>
      </c>
      <c r="C724" t="s">
        <v>811</v>
      </c>
      <c r="D724" t="s">
        <v>818</v>
      </c>
      <c r="E724" t="s">
        <v>167</v>
      </c>
      <c r="F724" t="s">
        <v>775</v>
      </c>
      <c r="G724">
        <v>-33.502499999999998</v>
      </c>
      <c r="H724">
        <v>-71.633611000000002</v>
      </c>
      <c r="I724" t="s">
        <v>767</v>
      </c>
      <c r="J724" t="s">
        <v>14</v>
      </c>
      <c r="K724" t="s">
        <v>3</v>
      </c>
      <c r="L724" t="s">
        <v>3</v>
      </c>
      <c r="M724" t="s">
        <v>12</v>
      </c>
      <c r="N724" t="s">
        <v>85</v>
      </c>
      <c r="O724" t="s">
        <v>12</v>
      </c>
      <c r="P724" t="s">
        <v>70</v>
      </c>
      <c r="Q724">
        <v>25</v>
      </c>
      <c r="R724" t="s">
        <v>213</v>
      </c>
      <c r="S724" t="s">
        <v>9</v>
      </c>
      <c r="T724">
        <v>18</v>
      </c>
      <c r="U724" t="s">
        <v>28</v>
      </c>
      <c r="V724" t="s">
        <v>28</v>
      </c>
      <c r="W724">
        <v>15</v>
      </c>
      <c r="X724">
        <v>84.1</v>
      </c>
      <c r="Y724">
        <f t="shared" si="14"/>
        <v>59.821233688381923</v>
      </c>
      <c r="Z724">
        <v>14.100000000000001</v>
      </c>
    </row>
    <row r="725" spans="1:26" x14ac:dyDescent="0.2">
      <c r="A725" t="s">
        <v>166</v>
      </c>
      <c r="B725">
        <v>2012</v>
      </c>
      <c r="C725" t="s">
        <v>811</v>
      </c>
      <c r="D725" t="s">
        <v>818</v>
      </c>
      <c r="E725" t="s">
        <v>167</v>
      </c>
      <c r="F725" t="s">
        <v>170</v>
      </c>
      <c r="G725">
        <v>-29.523199000000002</v>
      </c>
      <c r="H725">
        <v>-71.357437000000004</v>
      </c>
      <c r="I725" t="s">
        <v>771</v>
      </c>
      <c r="J725" t="s">
        <v>14</v>
      </c>
      <c r="K725" t="s">
        <v>3</v>
      </c>
      <c r="L725" t="s">
        <v>3</v>
      </c>
      <c r="M725" t="s">
        <v>12</v>
      </c>
      <c r="N725" t="s">
        <v>85</v>
      </c>
      <c r="O725" t="s">
        <v>12</v>
      </c>
      <c r="P725" t="s">
        <v>70</v>
      </c>
      <c r="Q725">
        <v>25</v>
      </c>
      <c r="R725" t="s">
        <v>213</v>
      </c>
      <c r="S725" t="s">
        <v>9</v>
      </c>
      <c r="T725">
        <v>12</v>
      </c>
      <c r="U725" t="s">
        <v>28</v>
      </c>
      <c r="V725" t="s">
        <v>28</v>
      </c>
      <c r="W725">
        <v>15</v>
      </c>
      <c r="X725">
        <v>85.5</v>
      </c>
      <c r="Y725">
        <f t="shared" si="14"/>
        <v>37.758707605001518</v>
      </c>
      <c r="Z725">
        <v>10.899999999999999</v>
      </c>
    </row>
    <row r="726" spans="1:26" x14ac:dyDescent="0.2">
      <c r="A726" t="s">
        <v>166</v>
      </c>
      <c r="B726">
        <v>2012</v>
      </c>
      <c r="C726" t="s">
        <v>811</v>
      </c>
      <c r="D726" t="s">
        <v>818</v>
      </c>
      <c r="E726" t="s">
        <v>167</v>
      </c>
      <c r="F726" t="s">
        <v>168</v>
      </c>
      <c r="G726">
        <v>-23.263780000000001</v>
      </c>
      <c r="H726">
        <v>-70.668626000000003</v>
      </c>
      <c r="I726" t="s">
        <v>767</v>
      </c>
      <c r="J726" t="s">
        <v>14</v>
      </c>
      <c r="K726" t="s">
        <v>3</v>
      </c>
      <c r="L726" t="s">
        <v>3</v>
      </c>
      <c r="M726" t="s">
        <v>12</v>
      </c>
      <c r="N726" t="s">
        <v>85</v>
      </c>
      <c r="O726" t="s">
        <v>12</v>
      </c>
      <c r="P726" t="s">
        <v>70</v>
      </c>
      <c r="Q726">
        <v>25</v>
      </c>
      <c r="R726" t="s">
        <v>213</v>
      </c>
      <c r="S726" t="s">
        <v>27</v>
      </c>
      <c r="T726">
        <v>12</v>
      </c>
      <c r="U726" t="s">
        <v>28</v>
      </c>
      <c r="V726" t="s">
        <v>28</v>
      </c>
      <c r="W726">
        <v>20</v>
      </c>
      <c r="X726">
        <v>86.4</v>
      </c>
      <c r="Y726">
        <f t="shared" si="14"/>
        <v>63.046649395507153</v>
      </c>
      <c r="Z726">
        <v>18.200000000000006</v>
      </c>
    </row>
    <row r="727" spans="1:26" x14ac:dyDescent="0.2">
      <c r="A727" t="s">
        <v>166</v>
      </c>
      <c r="B727">
        <v>2012</v>
      </c>
      <c r="C727" t="s">
        <v>811</v>
      </c>
      <c r="D727" t="s">
        <v>818</v>
      </c>
      <c r="E727" t="s">
        <v>167</v>
      </c>
      <c r="F727" t="s">
        <v>169</v>
      </c>
      <c r="G727">
        <v>-29.215833</v>
      </c>
      <c r="H727">
        <v>-71.473056</v>
      </c>
      <c r="I727" t="s">
        <v>771</v>
      </c>
      <c r="J727" t="s">
        <v>14</v>
      </c>
      <c r="K727" t="s">
        <v>3</v>
      </c>
      <c r="L727" t="s">
        <v>3</v>
      </c>
      <c r="M727" t="s">
        <v>12</v>
      </c>
      <c r="N727" t="s">
        <v>85</v>
      </c>
      <c r="O727" t="s">
        <v>12</v>
      </c>
      <c r="P727" t="s">
        <v>70</v>
      </c>
      <c r="Q727">
        <v>25</v>
      </c>
      <c r="R727" t="s">
        <v>213</v>
      </c>
      <c r="S727" t="s">
        <v>27</v>
      </c>
      <c r="T727">
        <v>6</v>
      </c>
      <c r="U727" t="s">
        <v>28</v>
      </c>
      <c r="V727" t="s">
        <v>28</v>
      </c>
      <c r="W727">
        <v>20</v>
      </c>
      <c r="X727">
        <v>79</v>
      </c>
      <c r="Y727">
        <f t="shared" si="14"/>
        <v>24.739846402110093</v>
      </c>
      <c r="Z727">
        <v>10.099999999999998</v>
      </c>
    </row>
    <row r="728" spans="1:26" x14ac:dyDescent="0.2">
      <c r="A728" t="s">
        <v>166</v>
      </c>
      <c r="B728">
        <v>2012</v>
      </c>
      <c r="C728" t="s">
        <v>811</v>
      </c>
      <c r="D728" t="s">
        <v>818</v>
      </c>
      <c r="E728" t="s">
        <v>167</v>
      </c>
      <c r="F728" t="s">
        <v>775</v>
      </c>
      <c r="G728">
        <v>-33.502499999999998</v>
      </c>
      <c r="H728">
        <v>-71.633611000000002</v>
      </c>
      <c r="I728" t="s">
        <v>767</v>
      </c>
      <c r="J728" t="s">
        <v>14</v>
      </c>
      <c r="K728" t="s">
        <v>3</v>
      </c>
      <c r="L728" t="s">
        <v>3</v>
      </c>
      <c r="M728" t="s">
        <v>12</v>
      </c>
      <c r="N728" t="s">
        <v>85</v>
      </c>
      <c r="O728" t="s">
        <v>12</v>
      </c>
      <c r="P728" t="s">
        <v>70</v>
      </c>
      <c r="Q728">
        <v>25</v>
      </c>
      <c r="R728" t="s">
        <v>213</v>
      </c>
      <c r="S728" t="s">
        <v>27</v>
      </c>
      <c r="T728">
        <v>18</v>
      </c>
      <c r="U728" t="s">
        <v>28</v>
      </c>
      <c r="V728" t="s">
        <v>28</v>
      </c>
      <c r="W728">
        <v>20</v>
      </c>
      <c r="X728">
        <v>29.599999999999998</v>
      </c>
      <c r="Y728">
        <f t="shared" si="14"/>
        <v>33.516861428242358</v>
      </c>
      <c r="Z728">
        <v>7.9000000000000012</v>
      </c>
    </row>
    <row r="729" spans="1:26" x14ac:dyDescent="0.2">
      <c r="A729" t="s">
        <v>166</v>
      </c>
      <c r="B729">
        <v>2012</v>
      </c>
      <c r="C729" t="s">
        <v>811</v>
      </c>
      <c r="D729" t="s">
        <v>818</v>
      </c>
      <c r="E729" t="s">
        <v>167</v>
      </c>
      <c r="F729" t="s">
        <v>170</v>
      </c>
      <c r="G729">
        <v>-29.523199000000002</v>
      </c>
      <c r="H729">
        <v>-71.357437000000004</v>
      </c>
      <c r="I729" t="s">
        <v>771</v>
      </c>
      <c r="J729" t="s">
        <v>14</v>
      </c>
      <c r="K729" t="s">
        <v>3</v>
      </c>
      <c r="L729" t="s">
        <v>3</v>
      </c>
      <c r="M729" t="s">
        <v>12</v>
      </c>
      <c r="N729" t="s">
        <v>85</v>
      </c>
      <c r="O729" t="s">
        <v>12</v>
      </c>
      <c r="P729" t="s">
        <v>70</v>
      </c>
      <c r="Q729">
        <v>25</v>
      </c>
      <c r="R729" t="s">
        <v>213</v>
      </c>
      <c r="S729" t="s">
        <v>27</v>
      </c>
      <c r="T729">
        <v>12</v>
      </c>
      <c r="U729" t="s">
        <v>28</v>
      </c>
      <c r="V729" t="s">
        <v>28</v>
      </c>
      <c r="W729">
        <v>20</v>
      </c>
      <c r="X729">
        <v>69</v>
      </c>
      <c r="Y729">
        <f t="shared" si="14"/>
        <v>44.340500673763259</v>
      </c>
      <c r="Z729">
        <v>12.8</v>
      </c>
    </row>
    <row r="730" spans="1:26" x14ac:dyDescent="0.2">
      <c r="A730" t="s">
        <v>166</v>
      </c>
      <c r="B730">
        <v>2012</v>
      </c>
      <c r="C730" t="s">
        <v>811</v>
      </c>
      <c r="D730" t="s">
        <v>818</v>
      </c>
      <c r="E730" t="s">
        <v>167</v>
      </c>
      <c r="F730" t="s">
        <v>168</v>
      </c>
      <c r="G730">
        <v>-23.263780000000001</v>
      </c>
      <c r="H730">
        <v>-70.668626000000003</v>
      </c>
      <c r="I730" t="s">
        <v>767</v>
      </c>
      <c r="J730" t="s">
        <v>7</v>
      </c>
      <c r="K730" t="s">
        <v>3</v>
      </c>
      <c r="L730" t="s">
        <v>3</v>
      </c>
      <c r="M730" t="s">
        <v>727</v>
      </c>
      <c r="N730" t="s">
        <v>85</v>
      </c>
      <c r="O730" t="s">
        <v>42</v>
      </c>
      <c r="P730" t="s">
        <v>743</v>
      </c>
      <c r="Q730">
        <v>15</v>
      </c>
      <c r="R730" t="s">
        <v>213</v>
      </c>
      <c r="S730" t="s">
        <v>7</v>
      </c>
      <c r="T730">
        <v>12</v>
      </c>
      <c r="U730" t="s">
        <v>28</v>
      </c>
      <c r="V730" t="s">
        <v>28</v>
      </c>
      <c r="W730">
        <v>10</v>
      </c>
      <c r="X730">
        <v>0.48620000000000002</v>
      </c>
      <c r="Y730">
        <f t="shared" si="14"/>
        <v>0.17562995188748423</v>
      </c>
      <c r="Z730">
        <f>0.5369-X730</f>
        <v>5.0700000000000023E-2</v>
      </c>
    </row>
    <row r="731" spans="1:26" x14ac:dyDescent="0.2">
      <c r="A731" t="s">
        <v>166</v>
      </c>
      <c r="B731">
        <v>2012</v>
      </c>
      <c r="C731" t="s">
        <v>811</v>
      </c>
      <c r="D731" t="s">
        <v>818</v>
      </c>
      <c r="E731" t="s">
        <v>167</v>
      </c>
      <c r="F731" t="s">
        <v>169</v>
      </c>
      <c r="G731">
        <v>-29.215833</v>
      </c>
      <c r="H731">
        <v>-71.473056</v>
      </c>
      <c r="I731" t="s">
        <v>771</v>
      </c>
      <c r="J731" t="s">
        <v>7</v>
      </c>
      <c r="K731" t="s">
        <v>3</v>
      </c>
      <c r="L731" t="s">
        <v>3</v>
      </c>
      <c r="M731" t="s">
        <v>727</v>
      </c>
      <c r="N731" t="s">
        <v>85</v>
      </c>
      <c r="O731" t="s">
        <v>42</v>
      </c>
      <c r="P731" t="s">
        <v>743</v>
      </c>
      <c r="Q731">
        <v>15</v>
      </c>
      <c r="R731" t="s">
        <v>213</v>
      </c>
      <c r="S731" t="s">
        <v>7</v>
      </c>
      <c r="T731">
        <v>6</v>
      </c>
      <c r="U731" t="s">
        <v>28</v>
      </c>
      <c r="V731" t="s">
        <v>28</v>
      </c>
      <c r="W731">
        <v>10</v>
      </c>
      <c r="X731">
        <v>0.44590000000000002</v>
      </c>
      <c r="Y731">
        <f t="shared" si="14"/>
        <v>6.0502396646744491E-2</v>
      </c>
      <c r="Z731">
        <f>0.4706-X731</f>
        <v>2.47E-2</v>
      </c>
    </row>
    <row r="732" spans="1:26" x14ac:dyDescent="0.2">
      <c r="A732" t="s">
        <v>166</v>
      </c>
      <c r="B732">
        <v>2012</v>
      </c>
      <c r="C732" t="s">
        <v>811</v>
      </c>
      <c r="D732" t="s">
        <v>818</v>
      </c>
      <c r="E732" t="s">
        <v>167</v>
      </c>
      <c r="F732" t="s">
        <v>775</v>
      </c>
      <c r="G732">
        <v>-33.502499999999998</v>
      </c>
      <c r="H732">
        <v>-71.633611000000002</v>
      </c>
      <c r="I732" t="s">
        <v>767</v>
      </c>
      <c r="J732" t="s">
        <v>7</v>
      </c>
      <c r="K732" t="s">
        <v>3</v>
      </c>
      <c r="L732" t="s">
        <v>3</v>
      </c>
      <c r="M732" t="s">
        <v>727</v>
      </c>
      <c r="N732" t="s">
        <v>85</v>
      </c>
      <c r="O732" t="s">
        <v>42</v>
      </c>
      <c r="P732" t="s">
        <v>743</v>
      </c>
      <c r="Q732">
        <v>15</v>
      </c>
      <c r="R732" t="s">
        <v>213</v>
      </c>
      <c r="S732" t="s">
        <v>7</v>
      </c>
      <c r="T732">
        <v>18</v>
      </c>
      <c r="U732" t="s">
        <v>28</v>
      </c>
      <c r="V732" t="s">
        <v>28</v>
      </c>
      <c r="W732">
        <v>10</v>
      </c>
      <c r="X732">
        <v>0.46870000000000001</v>
      </c>
      <c r="Y732">
        <f t="shared" si="14"/>
        <v>0.11030865786510127</v>
      </c>
      <c r="Z732">
        <f>0.4947-X732</f>
        <v>2.5999999999999968E-2</v>
      </c>
    </row>
    <row r="733" spans="1:26" x14ac:dyDescent="0.2">
      <c r="A733" t="s">
        <v>166</v>
      </c>
      <c r="B733">
        <v>2012</v>
      </c>
      <c r="C733" t="s">
        <v>811</v>
      </c>
      <c r="D733" t="s">
        <v>818</v>
      </c>
      <c r="E733" t="s">
        <v>167</v>
      </c>
      <c r="F733" t="s">
        <v>170</v>
      </c>
      <c r="G733">
        <v>-29.523199000000002</v>
      </c>
      <c r="H733">
        <v>-71.357437000000004</v>
      </c>
      <c r="I733" t="s">
        <v>771</v>
      </c>
      <c r="J733" t="s">
        <v>7</v>
      </c>
      <c r="K733" t="s">
        <v>3</v>
      </c>
      <c r="L733" t="s">
        <v>3</v>
      </c>
      <c r="M733" t="s">
        <v>727</v>
      </c>
      <c r="N733" t="s">
        <v>85</v>
      </c>
      <c r="O733" t="s">
        <v>42</v>
      </c>
      <c r="P733" t="s">
        <v>743</v>
      </c>
      <c r="Q733">
        <v>15</v>
      </c>
      <c r="R733" t="s">
        <v>213</v>
      </c>
      <c r="S733" t="s">
        <v>7</v>
      </c>
      <c r="T733">
        <v>12</v>
      </c>
      <c r="U733" t="s">
        <v>28</v>
      </c>
      <c r="V733" t="s">
        <v>28</v>
      </c>
      <c r="W733">
        <v>10</v>
      </c>
      <c r="X733">
        <v>0.48230000000000001</v>
      </c>
      <c r="Y733">
        <f t="shared" si="14"/>
        <v>0.12609329879101441</v>
      </c>
      <c r="Z733">
        <f>0.5187-X733</f>
        <v>3.6400000000000043E-2</v>
      </c>
    </row>
    <row r="734" spans="1:26" x14ac:dyDescent="0.2">
      <c r="A734" t="s">
        <v>166</v>
      </c>
      <c r="B734">
        <v>2012</v>
      </c>
      <c r="C734" t="s">
        <v>811</v>
      </c>
      <c r="D734" t="s">
        <v>818</v>
      </c>
      <c r="E734" t="s">
        <v>167</v>
      </c>
      <c r="F734" t="s">
        <v>168</v>
      </c>
      <c r="G734">
        <v>-23.263780000000001</v>
      </c>
      <c r="H734">
        <v>-70.668626000000003</v>
      </c>
      <c r="I734" t="s">
        <v>767</v>
      </c>
      <c r="J734" t="s">
        <v>14</v>
      </c>
      <c r="K734" t="s">
        <v>3</v>
      </c>
      <c r="L734" t="s">
        <v>3</v>
      </c>
      <c r="M734" t="s">
        <v>727</v>
      </c>
      <c r="N734" t="s">
        <v>85</v>
      </c>
      <c r="O734" t="s">
        <v>42</v>
      </c>
      <c r="P734" t="s">
        <v>743</v>
      </c>
      <c r="Q734">
        <v>15</v>
      </c>
      <c r="R734" t="s">
        <v>213</v>
      </c>
      <c r="S734" t="s">
        <v>9</v>
      </c>
      <c r="T734">
        <v>12</v>
      </c>
      <c r="U734" t="s">
        <v>28</v>
      </c>
      <c r="V734" t="s">
        <v>28</v>
      </c>
      <c r="W734">
        <v>15</v>
      </c>
      <c r="X734">
        <v>0.48820000000000002</v>
      </c>
      <c r="Y734">
        <f t="shared" si="14"/>
        <v>0.11916509556073851</v>
      </c>
      <c r="Z734">
        <f>0.5226-X734</f>
        <v>3.4399999999999931E-2</v>
      </c>
    </row>
    <row r="735" spans="1:26" x14ac:dyDescent="0.2">
      <c r="A735" t="s">
        <v>166</v>
      </c>
      <c r="B735">
        <v>2012</v>
      </c>
      <c r="C735" t="s">
        <v>811</v>
      </c>
      <c r="D735" t="s">
        <v>818</v>
      </c>
      <c r="E735" t="s">
        <v>167</v>
      </c>
      <c r="F735" t="s">
        <v>169</v>
      </c>
      <c r="G735">
        <v>-29.215833</v>
      </c>
      <c r="H735">
        <v>-71.473056</v>
      </c>
      <c r="I735" t="s">
        <v>771</v>
      </c>
      <c r="J735" t="s">
        <v>14</v>
      </c>
      <c r="K735" t="s">
        <v>3</v>
      </c>
      <c r="L735" t="s">
        <v>3</v>
      </c>
      <c r="M735" t="s">
        <v>727</v>
      </c>
      <c r="N735" t="s">
        <v>85</v>
      </c>
      <c r="O735" t="s">
        <v>42</v>
      </c>
      <c r="P735" t="s">
        <v>743</v>
      </c>
      <c r="Q735">
        <v>15</v>
      </c>
      <c r="R735" t="s">
        <v>213</v>
      </c>
      <c r="S735" t="s">
        <v>9</v>
      </c>
      <c r="T735">
        <v>6</v>
      </c>
      <c r="U735" t="s">
        <v>28</v>
      </c>
      <c r="V735" t="s">
        <v>28</v>
      </c>
      <c r="W735">
        <v>15</v>
      </c>
      <c r="X735">
        <v>0.42830000000000001</v>
      </c>
      <c r="Y735">
        <f t="shared" si="14"/>
        <v>0.10361341611972844</v>
      </c>
      <c r="Z735">
        <f>0.4706-X735</f>
        <v>4.2300000000000004E-2</v>
      </c>
    </row>
    <row r="736" spans="1:26" x14ac:dyDescent="0.2">
      <c r="A736" t="s">
        <v>166</v>
      </c>
      <c r="B736">
        <v>2012</v>
      </c>
      <c r="C736" t="s">
        <v>811</v>
      </c>
      <c r="D736" t="s">
        <v>818</v>
      </c>
      <c r="E736" t="s">
        <v>167</v>
      </c>
      <c r="F736" t="s">
        <v>775</v>
      </c>
      <c r="G736">
        <v>-33.502499999999998</v>
      </c>
      <c r="H736">
        <v>-71.633611000000002</v>
      </c>
      <c r="I736" t="s">
        <v>767</v>
      </c>
      <c r="J736" t="s">
        <v>14</v>
      </c>
      <c r="K736" t="s">
        <v>3</v>
      </c>
      <c r="L736" t="s">
        <v>3</v>
      </c>
      <c r="M736" t="s">
        <v>727</v>
      </c>
      <c r="N736" t="s">
        <v>85</v>
      </c>
      <c r="O736" t="s">
        <v>42</v>
      </c>
      <c r="P736" t="s">
        <v>743</v>
      </c>
      <c r="Q736">
        <v>15</v>
      </c>
      <c r="R736" t="s">
        <v>213</v>
      </c>
      <c r="S736" t="s">
        <v>9</v>
      </c>
      <c r="T736">
        <v>18</v>
      </c>
      <c r="U736" t="s">
        <v>28</v>
      </c>
      <c r="V736" t="s">
        <v>28</v>
      </c>
      <c r="W736">
        <v>15</v>
      </c>
      <c r="X736">
        <v>0.4622</v>
      </c>
      <c r="Y736">
        <f t="shared" si="14"/>
        <v>0.12940054095713829</v>
      </c>
      <c r="Z736">
        <f>0.4927-X736</f>
        <v>3.0500000000000027E-2</v>
      </c>
    </row>
    <row r="737" spans="1:26" x14ac:dyDescent="0.2">
      <c r="A737" t="s">
        <v>166</v>
      </c>
      <c r="B737">
        <v>2012</v>
      </c>
      <c r="C737" t="s">
        <v>811</v>
      </c>
      <c r="D737" t="s">
        <v>818</v>
      </c>
      <c r="E737" t="s">
        <v>167</v>
      </c>
      <c r="F737" t="s">
        <v>170</v>
      </c>
      <c r="G737">
        <v>-29.523199000000002</v>
      </c>
      <c r="H737">
        <v>-71.357437000000004</v>
      </c>
      <c r="I737" t="s">
        <v>771</v>
      </c>
      <c r="J737" t="s">
        <v>14</v>
      </c>
      <c r="K737" t="s">
        <v>3</v>
      </c>
      <c r="L737" t="s">
        <v>3</v>
      </c>
      <c r="M737" t="s">
        <v>727</v>
      </c>
      <c r="N737" t="s">
        <v>85</v>
      </c>
      <c r="O737" t="s">
        <v>42</v>
      </c>
      <c r="P737" t="s">
        <v>743</v>
      </c>
      <c r="Q737">
        <v>15</v>
      </c>
      <c r="R737" t="s">
        <v>213</v>
      </c>
      <c r="S737" t="s">
        <v>9</v>
      </c>
      <c r="T737">
        <v>12</v>
      </c>
      <c r="U737" t="s">
        <v>28</v>
      </c>
      <c r="V737" t="s">
        <v>28</v>
      </c>
      <c r="W737">
        <v>15</v>
      </c>
      <c r="X737">
        <v>0.47</v>
      </c>
      <c r="Y737">
        <f t="shared" si="14"/>
        <v>6.5125110364589914E-2</v>
      </c>
      <c r="Z737">
        <f>0.4888-X737</f>
        <v>1.8800000000000039E-2</v>
      </c>
    </row>
    <row r="738" spans="1:26" x14ac:dyDescent="0.2">
      <c r="A738" t="s">
        <v>166</v>
      </c>
      <c r="B738">
        <v>2012</v>
      </c>
      <c r="C738" t="s">
        <v>811</v>
      </c>
      <c r="D738" t="s">
        <v>818</v>
      </c>
      <c r="E738" t="s">
        <v>167</v>
      </c>
      <c r="F738" t="s">
        <v>168</v>
      </c>
      <c r="G738">
        <v>-23.263780000000001</v>
      </c>
      <c r="H738">
        <v>-70.668626000000003</v>
      </c>
      <c r="I738" t="s">
        <v>767</v>
      </c>
      <c r="J738" t="s">
        <v>14</v>
      </c>
      <c r="K738" t="s">
        <v>3</v>
      </c>
      <c r="L738" t="s">
        <v>3</v>
      </c>
      <c r="M738" t="s">
        <v>727</v>
      </c>
      <c r="N738" t="s">
        <v>85</v>
      </c>
      <c r="O738" t="s">
        <v>42</v>
      </c>
      <c r="P738" t="s">
        <v>743</v>
      </c>
      <c r="Q738">
        <v>15</v>
      </c>
      <c r="R738" t="s">
        <v>213</v>
      </c>
      <c r="S738" t="s">
        <v>27</v>
      </c>
      <c r="T738">
        <v>12</v>
      </c>
      <c r="U738" t="s">
        <v>28</v>
      </c>
      <c r="V738" t="s">
        <v>28</v>
      </c>
      <c r="W738">
        <v>20</v>
      </c>
      <c r="X738">
        <v>0.39450000000000002</v>
      </c>
      <c r="Y738">
        <f t="shared" si="14"/>
        <v>0.18948635834803507</v>
      </c>
      <c r="Z738">
        <f>0.4492-X738</f>
        <v>5.4699999999999971E-2</v>
      </c>
    </row>
    <row r="739" spans="1:26" x14ac:dyDescent="0.2">
      <c r="A739" t="s">
        <v>166</v>
      </c>
      <c r="B739">
        <v>2012</v>
      </c>
      <c r="C739" t="s">
        <v>811</v>
      </c>
      <c r="D739" t="s">
        <v>818</v>
      </c>
      <c r="E739" t="s">
        <v>167</v>
      </c>
      <c r="F739" t="s">
        <v>169</v>
      </c>
      <c r="G739">
        <v>-29.215833</v>
      </c>
      <c r="H739">
        <v>-71.473056</v>
      </c>
      <c r="I739" t="s">
        <v>771</v>
      </c>
      <c r="J739" t="s">
        <v>14</v>
      </c>
      <c r="K739" t="s">
        <v>3</v>
      </c>
      <c r="L739" t="s">
        <v>3</v>
      </c>
      <c r="M739" t="s">
        <v>727</v>
      </c>
      <c r="N739" t="s">
        <v>85</v>
      </c>
      <c r="O739" t="s">
        <v>42</v>
      </c>
      <c r="P739" t="s">
        <v>743</v>
      </c>
      <c r="Q739">
        <v>15</v>
      </c>
      <c r="R739" t="s">
        <v>213</v>
      </c>
      <c r="S739" t="s">
        <v>27</v>
      </c>
      <c r="T739">
        <v>6</v>
      </c>
      <c r="U739" t="s">
        <v>28</v>
      </c>
      <c r="V739" t="s">
        <v>28</v>
      </c>
      <c r="W739">
        <v>20</v>
      </c>
      <c r="X739">
        <v>0.48430000000000001</v>
      </c>
      <c r="Y739">
        <f t="shared" si="14"/>
        <v>6.5156427158032562E-2</v>
      </c>
      <c r="Z739">
        <f>0.5109-X739</f>
        <v>2.6600000000000013E-2</v>
      </c>
    </row>
    <row r="740" spans="1:26" x14ac:dyDescent="0.2">
      <c r="A740" t="s">
        <v>166</v>
      </c>
      <c r="B740">
        <v>2012</v>
      </c>
      <c r="C740" t="s">
        <v>811</v>
      </c>
      <c r="D740" t="s">
        <v>818</v>
      </c>
      <c r="E740" t="s">
        <v>167</v>
      </c>
      <c r="F740" t="s">
        <v>775</v>
      </c>
      <c r="G740">
        <v>-33.502499999999998</v>
      </c>
      <c r="H740">
        <v>-71.633611000000002</v>
      </c>
      <c r="I740" t="s">
        <v>767</v>
      </c>
      <c r="J740" t="s">
        <v>14</v>
      </c>
      <c r="K740" t="s">
        <v>3</v>
      </c>
      <c r="L740" t="s">
        <v>3</v>
      </c>
      <c r="M740" t="s">
        <v>727</v>
      </c>
      <c r="N740" t="s">
        <v>85</v>
      </c>
      <c r="O740" t="s">
        <v>42</v>
      </c>
      <c r="P740" t="s">
        <v>743</v>
      </c>
      <c r="Q740">
        <v>15</v>
      </c>
      <c r="R740" t="s">
        <v>213</v>
      </c>
      <c r="S740" t="s">
        <v>27</v>
      </c>
      <c r="T740">
        <v>18</v>
      </c>
      <c r="U740" t="s">
        <v>28</v>
      </c>
      <c r="V740" t="s">
        <v>28</v>
      </c>
      <c r="W740">
        <v>20</v>
      </c>
      <c r="X740">
        <v>0.21510000000000001</v>
      </c>
      <c r="Y740">
        <f t="shared" ref="Y740:Y771" si="15">Z740*SQRT(T740)</f>
        <v>0.16249313831666862</v>
      </c>
      <c r="Z740">
        <f>0.2534-X740</f>
        <v>3.8300000000000001E-2</v>
      </c>
    </row>
    <row r="741" spans="1:26" x14ac:dyDescent="0.2">
      <c r="A741" t="s">
        <v>166</v>
      </c>
      <c r="B741">
        <v>2012</v>
      </c>
      <c r="C741" t="s">
        <v>811</v>
      </c>
      <c r="D741" t="s">
        <v>818</v>
      </c>
      <c r="E741" t="s">
        <v>167</v>
      </c>
      <c r="F741" t="s">
        <v>170</v>
      </c>
      <c r="G741">
        <v>-29.523199000000002</v>
      </c>
      <c r="H741">
        <v>-71.357437000000004</v>
      </c>
      <c r="I741" t="s">
        <v>771</v>
      </c>
      <c r="J741" t="s">
        <v>14</v>
      </c>
      <c r="K741" t="s">
        <v>3</v>
      </c>
      <c r="L741" t="s">
        <v>3</v>
      </c>
      <c r="M741" t="s">
        <v>727</v>
      </c>
      <c r="N741" t="s">
        <v>85</v>
      </c>
      <c r="O741" t="s">
        <v>42</v>
      </c>
      <c r="P741" t="s">
        <v>743</v>
      </c>
      <c r="Q741">
        <v>15</v>
      </c>
      <c r="R741" t="s">
        <v>213</v>
      </c>
      <c r="S741" t="s">
        <v>27</v>
      </c>
      <c r="T741">
        <v>12</v>
      </c>
      <c r="U741" t="s">
        <v>28</v>
      </c>
      <c r="V741" t="s">
        <v>28</v>
      </c>
      <c r="W741">
        <v>20</v>
      </c>
      <c r="X741">
        <v>0.47520000000000001</v>
      </c>
      <c r="Y741">
        <f t="shared" si="15"/>
        <v>7.4131774563947858E-2</v>
      </c>
      <c r="Z741">
        <f>0.4966-X741</f>
        <v>2.1399999999999975E-2</v>
      </c>
    </row>
    <row r="742" spans="1:26" x14ac:dyDescent="0.2">
      <c r="A742" t="s">
        <v>166</v>
      </c>
      <c r="B742">
        <v>2012</v>
      </c>
      <c r="C742" t="s">
        <v>811</v>
      </c>
      <c r="D742" t="s">
        <v>818</v>
      </c>
      <c r="E742" t="s">
        <v>167</v>
      </c>
      <c r="F742" t="s">
        <v>168</v>
      </c>
      <c r="G742">
        <v>-23.263780000000001</v>
      </c>
      <c r="H742">
        <v>-70.668626000000003</v>
      </c>
      <c r="I742" t="s">
        <v>767</v>
      </c>
      <c r="J742" t="s">
        <v>7</v>
      </c>
      <c r="K742" t="s">
        <v>41</v>
      </c>
      <c r="L742" t="s">
        <v>3</v>
      </c>
      <c r="M742" t="s">
        <v>727</v>
      </c>
      <c r="N742" t="s">
        <v>86</v>
      </c>
      <c r="O742" t="s">
        <v>171</v>
      </c>
      <c r="P742" t="s">
        <v>463</v>
      </c>
      <c r="Q742">
        <v>24</v>
      </c>
      <c r="R742" t="s">
        <v>213</v>
      </c>
      <c r="S742" t="s">
        <v>7</v>
      </c>
      <c r="T742">
        <v>12</v>
      </c>
      <c r="U742" t="s">
        <v>28</v>
      </c>
      <c r="V742" t="s">
        <v>28</v>
      </c>
      <c r="W742">
        <v>10</v>
      </c>
      <c r="X742">
        <v>2.3800000000000002E-2</v>
      </c>
      <c r="Y742">
        <f t="shared" si="15"/>
        <v>3.2562555182294887E-2</v>
      </c>
      <c r="Z742">
        <f>0.0332-X742</f>
        <v>9.3999999999999986E-3</v>
      </c>
    </row>
    <row r="743" spans="1:26" x14ac:dyDescent="0.2">
      <c r="A743" t="s">
        <v>166</v>
      </c>
      <c r="B743">
        <v>2012</v>
      </c>
      <c r="C743" t="s">
        <v>811</v>
      </c>
      <c r="D743" t="s">
        <v>818</v>
      </c>
      <c r="E743" t="s">
        <v>167</v>
      </c>
      <c r="F743" t="s">
        <v>169</v>
      </c>
      <c r="G743">
        <v>-29.215833</v>
      </c>
      <c r="H743">
        <v>-71.473056</v>
      </c>
      <c r="I743" t="s">
        <v>771</v>
      </c>
      <c r="J743" t="s">
        <v>7</v>
      </c>
      <c r="K743" t="s">
        <v>41</v>
      </c>
      <c r="L743" t="s">
        <v>3</v>
      </c>
      <c r="M743" t="s">
        <v>727</v>
      </c>
      <c r="N743" t="s">
        <v>86</v>
      </c>
      <c r="O743" t="s">
        <v>171</v>
      </c>
      <c r="P743" t="s">
        <v>463</v>
      </c>
      <c r="Q743">
        <v>24</v>
      </c>
      <c r="R743" t="s">
        <v>213</v>
      </c>
      <c r="S743" t="s">
        <v>7</v>
      </c>
      <c r="T743">
        <v>6</v>
      </c>
      <c r="U743" t="s">
        <v>28</v>
      </c>
      <c r="V743" t="s">
        <v>28</v>
      </c>
      <c r="W743">
        <v>10</v>
      </c>
      <c r="X743">
        <v>0.27779999999999999</v>
      </c>
      <c r="Y743">
        <f t="shared" si="15"/>
        <v>2.914892793911987E-2</v>
      </c>
      <c r="Z743">
        <f>0.2897-X743</f>
        <v>1.1900000000000022E-2</v>
      </c>
    </row>
    <row r="744" spans="1:26" x14ac:dyDescent="0.2">
      <c r="A744" t="s">
        <v>166</v>
      </c>
      <c r="B744">
        <v>2012</v>
      </c>
      <c r="C744" t="s">
        <v>811</v>
      </c>
      <c r="D744" t="s">
        <v>818</v>
      </c>
      <c r="E744" t="s">
        <v>167</v>
      </c>
      <c r="F744" t="s">
        <v>775</v>
      </c>
      <c r="G744">
        <v>-33.502499999999998</v>
      </c>
      <c r="H744">
        <v>-71.633611000000002</v>
      </c>
      <c r="I744" t="s">
        <v>767</v>
      </c>
      <c r="J744" t="s">
        <v>7</v>
      </c>
      <c r="K744" t="s">
        <v>41</v>
      </c>
      <c r="L744" t="s">
        <v>3</v>
      </c>
      <c r="M744" t="s">
        <v>727</v>
      </c>
      <c r="N744" t="s">
        <v>86</v>
      </c>
      <c r="O744" t="s">
        <v>171</v>
      </c>
      <c r="P744" t="s">
        <v>463</v>
      </c>
      <c r="Q744">
        <v>24</v>
      </c>
      <c r="R744" t="s">
        <v>213</v>
      </c>
      <c r="S744" t="s">
        <v>7</v>
      </c>
      <c r="T744">
        <v>18</v>
      </c>
      <c r="U744" t="s">
        <v>28</v>
      </c>
      <c r="V744" t="s">
        <v>28</v>
      </c>
      <c r="W744">
        <v>10</v>
      </c>
      <c r="X744">
        <v>0.11509999999999999</v>
      </c>
      <c r="Y744">
        <f t="shared" si="15"/>
        <v>0.11455129855222074</v>
      </c>
      <c r="Z744">
        <f>0.1421-X744</f>
        <v>2.700000000000001E-2</v>
      </c>
    </row>
    <row r="745" spans="1:26" x14ac:dyDescent="0.2">
      <c r="A745" t="s">
        <v>166</v>
      </c>
      <c r="B745">
        <v>2012</v>
      </c>
      <c r="C745" t="s">
        <v>811</v>
      </c>
      <c r="D745" t="s">
        <v>818</v>
      </c>
      <c r="E745" t="s">
        <v>167</v>
      </c>
      <c r="F745" t="s">
        <v>170</v>
      </c>
      <c r="G745">
        <v>-29.523199000000002</v>
      </c>
      <c r="H745">
        <v>-71.357437000000004</v>
      </c>
      <c r="I745" t="s">
        <v>771</v>
      </c>
      <c r="J745" t="s">
        <v>7</v>
      </c>
      <c r="K745" t="s">
        <v>41</v>
      </c>
      <c r="L745" t="s">
        <v>3</v>
      </c>
      <c r="M745" t="s">
        <v>727</v>
      </c>
      <c r="N745" t="s">
        <v>86</v>
      </c>
      <c r="O745" t="s">
        <v>171</v>
      </c>
      <c r="P745" t="s">
        <v>463</v>
      </c>
      <c r="Q745">
        <v>24</v>
      </c>
      <c r="R745" t="s">
        <v>213</v>
      </c>
      <c r="S745" t="s">
        <v>7</v>
      </c>
      <c r="T745">
        <v>12</v>
      </c>
      <c r="U745" t="s">
        <v>28</v>
      </c>
      <c r="V745" t="s">
        <v>28</v>
      </c>
      <c r="W745">
        <v>10</v>
      </c>
      <c r="X745">
        <v>0.39300000000000002</v>
      </c>
      <c r="Y745">
        <f t="shared" si="15"/>
        <v>0.11258330249197693</v>
      </c>
      <c r="Z745">
        <f>0.4255-X745</f>
        <v>3.2499999999999973E-2</v>
      </c>
    </row>
    <row r="746" spans="1:26" x14ac:dyDescent="0.2">
      <c r="A746" t="s">
        <v>166</v>
      </c>
      <c r="B746">
        <v>2012</v>
      </c>
      <c r="C746" t="s">
        <v>811</v>
      </c>
      <c r="D746" t="s">
        <v>818</v>
      </c>
      <c r="E746" t="s">
        <v>167</v>
      </c>
      <c r="F746" t="s">
        <v>168</v>
      </c>
      <c r="G746">
        <v>-23.263780000000001</v>
      </c>
      <c r="H746">
        <v>-70.668626000000003</v>
      </c>
      <c r="I746" t="s">
        <v>767</v>
      </c>
      <c r="J746" t="s">
        <v>14</v>
      </c>
      <c r="K746" t="s">
        <v>41</v>
      </c>
      <c r="L746" t="s">
        <v>3</v>
      </c>
      <c r="M746" t="s">
        <v>727</v>
      </c>
      <c r="N746" t="s">
        <v>86</v>
      </c>
      <c r="O746" t="s">
        <v>171</v>
      </c>
      <c r="P746" t="s">
        <v>463</v>
      </c>
      <c r="Q746">
        <v>24</v>
      </c>
      <c r="R746" t="s">
        <v>213</v>
      </c>
      <c r="S746" t="s">
        <v>9</v>
      </c>
      <c r="T746">
        <v>12</v>
      </c>
      <c r="U746" t="s">
        <v>28</v>
      </c>
      <c r="V746" t="s">
        <v>28</v>
      </c>
      <c r="W746">
        <v>15</v>
      </c>
      <c r="X746">
        <v>3.6900000000000002E-2</v>
      </c>
      <c r="Y746">
        <f t="shared" si="15"/>
        <v>2.1823840175367853E-2</v>
      </c>
      <c r="Z746">
        <f>0.0432-X746</f>
        <v>6.3E-3</v>
      </c>
    </row>
    <row r="747" spans="1:26" x14ac:dyDescent="0.2">
      <c r="A747" t="s">
        <v>166</v>
      </c>
      <c r="B747">
        <v>2012</v>
      </c>
      <c r="C747" t="s">
        <v>811</v>
      </c>
      <c r="D747" t="s">
        <v>818</v>
      </c>
      <c r="E747" t="s">
        <v>167</v>
      </c>
      <c r="F747" t="s">
        <v>169</v>
      </c>
      <c r="G747">
        <v>-29.215833</v>
      </c>
      <c r="H747">
        <v>-71.473056</v>
      </c>
      <c r="I747" t="s">
        <v>771</v>
      </c>
      <c r="J747" t="s">
        <v>14</v>
      </c>
      <c r="K747" t="s">
        <v>41</v>
      </c>
      <c r="L747" t="s">
        <v>3</v>
      </c>
      <c r="M747" t="s">
        <v>727</v>
      </c>
      <c r="N747" t="s">
        <v>86</v>
      </c>
      <c r="O747" t="s">
        <v>171</v>
      </c>
      <c r="P747" t="s">
        <v>463</v>
      </c>
      <c r="Q747">
        <v>24</v>
      </c>
      <c r="R747" t="s">
        <v>213</v>
      </c>
      <c r="S747" t="s">
        <v>9</v>
      </c>
      <c r="T747">
        <v>6</v>
      </c>
      <c r="U747" t="s">
        <v>28</v>
      </c>
      <c r="V747" t="s">
        <v>28</v>
      </c>
      <c r="W747">
        <v>15</v>
      </c>
      <c r="X747">
        <v>4.5100000000000001E-2</v>
      </c>
      <c r="Y747">
        <f t="shared" si="15"/>
        <v>2.8903978964841495E-2</v>
      </c>
      <c r="Z747">
        <f>0.0569-X747</f>
        <v>1.1799999999999998E-2</v>
      </c>
    </row>
    <row r="748" spans="1:26" x14ac:dyDescent="0.2">
      <c r="A748" t="s">
        <v>166</v>
      </c>
      <c r="B748">
        <v>2012</v>
      </c>
      <c r="C748" t="s">
        <v>811</v>
      </c>
      <c r="D748" t="s">
        <v>818</v>
      </c>
      <c r="E748" t="s">
        <v>167</v>
      </c>
      <c r="F748" t="s">
        <v>775</v>
      </c>
      <c r="G748">
        <v>-33.502499999999998</v>
      </c>
      <c r="H748">
        <v>-71.633611000000002</v>
      </c>
      <c r="I748" t="s">
        <v>767</v>
      </c>
      <c r="J748" t="s">
        <v>14</v>
      </c>
      <c r="K748" t="s">
        <v>41</v>
      </c>
      <c r="L748" t="s">
        <v>3</v>
      </c>
      <c r="M748" t="s">
        <v>727</v>
      </c>
      <c r="N748" t="s">
        <v>86</v>
      </c>
      <c r="O748" t="s">
        <v>171</v>
      </c>
      <c r="P748" t="s">
        <v>463</v>
      </c>
      <c r="Q748">
        <v>24</v>
      </c>
      <c r="R748" t="s">
        <v>213</v>
      </c>
      <c r="S748" t="s">
        <v>9</v>
      </c>
      <c r="T748">
        <v>18</v>
      </c>
      <c r="U748" t="s">
        <v>28</v>
      </c>
      <c r="V748" t="s">
        <v>28</v>
      </c>
      <c r="W748">
        <v>15</v>
      </c>
      <c r="X748">
        <v>0.1615</v>
      </c>
      <c r="Y748">
        <f t="shared" si="15"/>
        <v>8.9943982566928829E-2</v>
      </c>
      <c r="Z748">
        <f>0.1827-X748</f>
        <v>2.1199999999999997E-2</v>
      </c>
    </row>
    <row r="749" spans="1:26" x14ac:dyDescent="0.2">
      <c r="A749" t="s">
        <v>166</v>
      </c>
      <c r="B749">
        <v>2012</v>
      </c>
      <c r="C749" t="s">
        <v>811</v>
      </c>
      <c r="D749" t="s">
        <v>818</v>
      </c>
      <c r="E749" t="s">
        <v>167</v>
      </c>
      <c r="F749" t="s">
        <v>170</v>
      </c>
      <c r="G749">
        <v>-29.523199000000002</v>
      </c>
      <c r="H749">
        <v>-71.357437000000004</v>
      </c>
      <c r="I749" t="s">
        <v>771</v>
      </c>
      <c r="J749" t="s">
        <v>14</v>
      </c>
      <c r="K749" t="s">
        <v>41</v>
      </c>
      <c r="L749" t="s">
        <v>3</v>
      </c>
      <c r="M749" t="s">
        <v>727</v>
      </c>
      <c r="N749" t="s">
        <v>86</v>
      </c>
      <c r="O749" t="s">
        <v>171</v>
      </c>
      <c r="P749" t="s">
        <v>463</v>
      </c>
      <c r="Q749">
        <v>24</v>
      </c>
      <c r="R749" t="s">
        <v>213</v>
      </c>
      <c r="S749" t="s">
        <v>9</v>
      </c>
      <c r="T749">
        <v>12</v>
      </c>
      <c r="U749" t="s">
        <v>28</v>
      </c>
      <c r="V749" t="s">
        <v>28</v>
      </c>
      <c r="W749">
        <v>15</v>
      </c>
      <c r="X749">
        <v>0.33169999999999999</v>
      </c>
      <c r="Y749">
        <f t="shared" si="15"/>
        <v>6.9282032302755148E-2</v>
      </c>
      <c r="Z749">
        <f>0.3517-X749</f>
        <v>2.0000000000000018E-2</v>
      </c>
    </row>
    <row r="750" spans="1:26" x14ac:dyDescent="0.2">
      <c r="A750" t="s">
        <v>166</v>
      </c>
      <c r="B750">
        <v>2012</v>
      </c>
      <c r="C750" t="s">
        <v>811</v>
      </c>
      <c r="D750" t="s">
        <v>818</v>
      </c>
      <c r="E750" t="s">
        <v>167</v>
      </c>
      <c r="F750" t="s">
        <v>168</v>
      </c>
      <c r="G750">
        <v>-23.263780000000001</v>
      </c>
      <c r="H750">
        <v>-70.668626000000003</v>
      </c>
      <c r="I750" t="s">
        <v>767</v>
      </c>
      <c r="J750" t="s">
        <v>14</v>
      </c>
      <c r="K750" t="s">
        <v>41</v>
      </c>
      <c r="L750" t="s">
        <v>3</v>
      </c>
      <c r="M750" t="s">
        <v>727</v>
      </c>
      <c r="N750" t="s">
        <v>86</v>
      </c>
      <c r="O750" t="s">
        <v>171</v>
      </c>
      <c r="P750" t="s">
        <v>463</v>
      </c>
      <c r="Q750">
        <v>24</v>
      </c>
      <c r="R750" t="s">
        <v>213</v>
      </c>
      <c r="S750" t="s">
        <v>27</v>
      </c>
      <c r="T750">
        <v>12</v>
      </c>
      <c r="U750" t="s">
        <v>28</v>
      </c>
      <c r="V750" t="s">
        <v>28</v>
      </c>
      <c r="W750">
        <v>20</v>
      </c>
      <c r="X750">
        <v>0.33479999999999999</v>
      </c>
      <c r="Y750">
        <f t="shared" si="15"/>
        <v>8.0020747309682158E-2</v>
      </c>
      <c r="Z750">
        <f>0.3579-X750</f>
        <v>2.3100000000000009E-2</v>
      </c>
    </row>
    <row r="751" spans="1:26" x14ac:dyDescent="0.2">
      <c r="A751" t="s">
        <v>166</v>
      </c>
      <c r="B751">
        <v>2012</v>
      </c>
      <c r="C751" t="s">
        <v>811</v>
      </c>
      <c r="D751" t="s">
        <v>818</v>
      </c>
      <c r="E751" t="s">
        <v>167</v>
      </c>
      <c r="F751" t="s">
        <v>169</v>
      </c>
      <c r="G751">
        <v>-29.215833</v>
      </c>
      <c r="H751">
        <v>-71.473056</v>
      </c>
      <c r="I751" t="s">
        <v>771</v>
      </c>
      <c r="J751" t="s">
        <v>14</v>
      </c>
      <c r="K751" t="s">
        <v>41</v>
      </c>
      <c r="L751" t="s">
        <v>3</v>
      </c>
      <c r="M751" t="s">
        <v>727</v>
      </c>
      <c r="N751" t="s">
        <v>86</v>
      </c>
      <c r="O751" t="s">
        <v>171</v>
      </c>
      <c r="P751" t="s">
        <v>463</v>
      </c>
      <c r="Q751">
        <v>24</v>
      </c>
      <c r="R751" t="s">
        <v>213</v>
      </c>
      <c r="S751" t="s">
        <v>27</v>
      </c>
      <c r="T751">
        <v>6</v>
      </c>
      <c r="U751" t="s">
        <v>28</v>
      </c>
      <c r="V751" t="s">
        <v>28</v>
      </c>
      <c r="W751">
        <v>20</v>
      </c>
      <c r="X751">
        <v>0.28410000000000002</v>
      </c>
      <c r="Y751">
        <f t="shared" si="15"/>
        <v>0.17170923096910076</v>
      </c>
      <c r="Z751">
        <f>0.3542-X751</f>
        <v>7.0099999999999996E-2</v>
      </c>
    </row>
    <row r="752" spans="1:26" x14ac:dyDescent="0.2">
      <c r="A752" t="s">
        <v>166</v>
      </c>
      <c r="B752">
        <v>2012</v>
      </c>
      <c r="C752" t="s">
        <v>811</v>
      </c>
      <c r="D752" t="s">
        <v>818</v>
      </c>
      <c r="E752" t="s">
        <v>167</v>
      </c>
      <c r="F752" t="s">
        <v>775</v>
      </c>
      <c r="G752">
        <v>-33.502499999999998</v>
      </c>
      <c r="H752">
        <v>-71.633611000000002</v>
      </c>
      <c r="I752" t="s">
        <v>767</v>
      </c>
      <c r="J752" t="s">
        <v>14</v>
      </c>
      <c r="K752" t="s">
        <v>41</v>
      </c>
      <c r="L752" t="s">
        <v>3</v>
      </c>
      <c r="M752" t="s">
        <v>727</v>
      </c>
      <c r="N752" t="s">
        <v>86</v>
      </c>
      <c r="O752" t="s">
        <v>171</v>
      </c>
      <c r="P752" t="s">
        <v>463</v>
      </c>
      <c r="Q752">
        <v>24</v>
      </c>
      <c r="R752" t="s">
        <v>213</v>
      </c>
      <c r="S752" t="s">
        <v>27</v>
      </c>
      <c r="T752">
        <v>18</v>
      </c>
      <c r="U752" t="s">
        <v>28</v>
      </c>
      <c r="V752" t="s">
        <v>28</v>
      </c>
      <c r="W752">
        <v>20</v>
      </c>
      <c r="X752">
        <v>0.38300000000000001</v>
      </c>
      <c r="Y752">
        <f t="shared" si="15"/>
        <v>7.6791796436859072E-2</v>
      </c>
      <c r="Z752">
        <f>0.4011-X752</f>
        <v>1.8100000000000005E-2</v>
      </c>
    </row>
    <row r="753" spans="1:26" x14ac:dyDescent="0.2">
      <c r="A753" t="s">
        <v>166</v>
      </c>
      <c r="B753">
        <v>2012</v>
      </c>
      <c r="C753" t="s">
        <v>811</v>
      </c>
      <c r="D753" t="s">
        <v>818</v>
      </c>
      <c r="E753" t="s">
        <v>167</v>
      </c>
      <c r="F753" t="s">
        <v>170</v>
      </c>
      <c r="G753">
        <v>-29.523199000000002</v>
      </c>
      <c r="H753">
        <v>-71.357437000000004</v>
      </c>
      <c r="I753" t="s">
        <v>771</v>
      </c>
      <c r="J753" t="s">
        <v>14</v>
      </c>
      <c r="K753" t="s">
        <v>41</v>
      </c>
      <c r="L753" t="s">
        <v>3</v>
      </c>
      <c r="M753" t="s">
        <v>727</v>
      </c>
      <c r="N753" t="s">
        <v>86</v>
      </c>
      <c r="O753" t="s">
        <v>171</v>
      </c>
      <c r="P753" t="s">
        <v>463</v>
      </c>
      <c r="Q753">
        <v>24</v>
      </c>
      <c r="R753" t="s">
        <v>213</v>
      </c>
      <c r="S753" t="s">
        <v>27</v>
      </c>
      <c r="T753">
        <v>12</v>
      </c>
      <c r="U753" t="s">
        <v>28</v>
      </c>
      <c r="V753" t="s">
        <v>28</v>
      </c>
      <c r="W753">
        <v>20</v>
      </c>
      <c r="X753">
        <v>0.43990000000000001</v>
      </c>
      <c r="Y753">
        <f t="shared" si="15"/>
        <v>0.15830944381179524</v>
      </c>
      <c r="Z753">
        <f>0.4856-X753</f>
        <v>4.5699999999999963E-2</v>
      </c>
    </row>
    <row r="754" spans="1:26" x14ac:dyDescent="0.2">
      <c r="A754" t="s">
        <v>166</v>
      </c>
      <c r="B754">
        <v>2012</v>
      </c>
      <c r="C754" t="s">
        <v>811</v>
      </c>
      <c r="D754" t="s">
        <v>818</v>
      </c>
      <c r="E754" t="s">
        <v>167</v>
      </c>
      <c r="F754" t="s">
        <v>168</v>
      </c>
      <c r="G754">
        <v>-23.263780000000001</v>
      </c>
      <c r="H754">
        <v>-70.668626000000003</v>
      </c>
      <c r="I754" t="s">
        <v>767</v>
      </c>
      <c r="J754" t="s">
        <v>7</v>
      </c>
      <c r="K754" t="s">
        <v>41</v>
      </c>
      <c r="L754" t="s">
        <v>3</v>
      </c>
      <c r="M754" t="s">
        <v>727</v>
      </c>
      <c r="N754" t="s">
        <v>85</v>
      </c>
      <c r="O754" t="s">
        <v>142</v>
      </c>
      <c r="P754" t="s">
        <v>463</v>
      </c>
      <c r="Q754">
        <v>25</v>
      </c>
      <c r="R754" t="s">
        <v>213</v>
      </c>
      <c r="S754" t="s">
        <v>7</v>
      </c>
      <c r="T754">
        <v>12</v>
      </c>
      <c r="U754" t="s">
        <v>28</v>
      </c>
      <c r="V754" t="s">
        <v>28</v>
      </c>
      <c r="W754">
        <v>10</v>
      </c>
      <c r="X754">
        <v>0.83030000000000004</v>
      </c>
      <c r="Y754">
        <f t="shared" si="15"/>
        <v>6.8242801818213558E-2</v>
      </c>
      <c r="Z754">
        <f>0.85-X754</f>
        <v>1.969999999999994E-2</v>
      </c>
    </row>
    <row r="755" spans="1:26" x14ac:dyDescent="0.2">
      <c r="A755" t="s">
        <v>166</v>
      </c>
      <c r="B755">
        <v>2012</v>
      </c>
      <c r="C755" t="s">
        <v>811</v>
      </c>
      <c r="D755" t="s">
        <v>818</v>
      </c>
      <c r="E755" t="s">
        <v>167</v>
      </c>
      <c r="F755" t="s">
        <v>169</v>
      </c>
      <c r="G755">
        <v>-29.215833</v>
      </c>
      <c r="H755">
        <v>-71.473056</v>
      </c>
      <c r="I755" t="s">
        <v>771</v>
      </c>
      <c r="J755" t="s">
        <v>7</v>
      </c>
      <c r="K755" t="s">
        <v>41</v>
      </c>
      <c r="L755" t="s">
        <v>3</v>
      </c>
      <c r="M755" t="s">
        <v>727</v>
      </c>
      <c r="N755" t="s">
        <v>85</v>
      </c>
      <c r="O755" t="s">
        <v>142</v>
      </c>
      <c r="P755" t="s">
        <v>463</v>
      </c>
      <c r="Q755">
        <v>25</v>
      </c>
      <c r="R755" t="s">
        <v>213</v>
      </c>
      <c r="S755" t="s">
        <v>7</v>
      </c>
      <c r="T755">
        <v>6</v>
      </c>
      <c r="U755" t="s">
        <v>28</v>
      </c>
      <c r="V755" t="s">
        <v>28</v>
      </c>
      <c r="W755">
        <v>10</v>
      </c>
      <c r="X755">
        <v>0.42759999999999998</v>
      </c>
      <c r="Y755">
        <f t="shared" si="15"/>
        <v>0.141825456107146</v>
      </c>
      <c r="Z755">
        <f>0.4855-X755</f>
        <v>5.7900000000000007E-2</v>
      </c>
    </row>
    <row r="756" spans="1:26" x14ac:dyDescent="0.2">
      <c r="A756" t="s">
        <v>166</v>
      </c>
      <c r="B756">
        <v>2012</v>
      </c>
      <c r="C756" t="s">
        <v>811</v>
      </c>
      <c r="D756" t="s">
        <v>818</v>
      </c>
      <c r="E756" t="s">
        <v>167</v>
      </c>
      <c r="F756" t="s">
        <v>775</v>
      </c>
      <c r="G756">
        <v>-33.502499999999998</v>
      </c>
      <c r="H756">
        <v>-71.633611000000002</v>
      </c>
      <c r="I756" t="s">
        <v>767</v>
      </c>
      <c r="J756" t="s">
        <v>7</v>
      </c>
      <c r="K756" t="s">
        <v>41</v>
      </c>
      <c r="L756" t="s">
        <v>3</v>
      </c>
      <c r="M756" t="s">
        <v>727</v>
      </c>
      <c r="N756" t="s">
        <v>85</v>
      </c>
      <c r="O756" t="s">
        <v>142</v>
      </c>
      <c r="P756" t="s">
        <v>463</v>
      </c>
      <c r="Q756">
        <v>25</v>
      </c>
      <c r="R756" t="s">
        <v>213</v>
      </c>
      <c r="S756" t="s">
        <v>7</v>
      </c>
      <c r="T756">
        <v>18</v>
      </c>
      <c r="U756" t="s">
        <v>28</v>
      </c>
      <c r="V756" t="s">
        <v>28</v>
      </c>
      <c r="W756">
        <v>10</v>
      </c>
      <c r="X756">
        <v>0.61180000000000001</v>
      </c>
      <c r="Y756">
        <f t="shared" si="15"/>
        <v>0.31268261864069125</v>
      </c>
      <c r="Z756">
        <f>0.6855-X756</f>
        <v>7.3699999999999988E-2</v>
      </c>
    </row>
    <row r="757" spans="1:26" x14ac:dyDescent="0.2">
      <c r="A757" t="s">
        <v>166</v>
      </c>
      <c r="B757">
        <v>2012</v>
      </c>
      <c r="C757" t="s">
        <v>811</v>
      </c>
      <c r="D757" t="s">
        <v>818</v>
      </c>
      <c r="E757" t="s">
        <v>167</v>
      </c>
      <c r="F757" t="s">
        <v>170</v>
      </c>
      <c r="G757">
        <v>-29.523199000000002</v>
      </c>
      <c r="H757">
        <v>-71.357437000000004</v>
      </c>
      <c r="I757" t="s">
        <v>771</v>
      </c>
      <c r="J757" t="s">
        <v>7</v>
      </c>
      <c r="K757" t="s">
        <v>41</v>
      </c>
      <c r="L757" t="s">
        <v>3</v>
      </c>
      <c r="M757" t="s">
        <v>727</v>
      </c>
      <c r="N757" t="s">
        <v>85</v>
      </c>
      <c r="O757" t="s">
        <v>142</v>
      </c>
      <c r="P757" t="s">
        <v>463</v>
      </c>
      <c r="Q757">
        <v>25</v>
      </c>
      <c r="R757" t="s">
        <v>213</v>
      </c>
      <c r="S757" t="s">
        <v>7</v>
      </c>
      <c r="T757">
        <v>12</v>
      </c>
      <c r="U757" t="s">
        <v>28</v>
      </c>
      <c r="V757" t="s">
        <v>28</v>
      </c>
      <c r="W757">
        <v>10</v>
      </c>
      <c r="X757">
        <v>0.28289999999999998</v>
      </c>
      <c r="Y757">
        <f t="shared" si="15"/>
        <v>8.6602540378443935E-2</v>
      </c>
      <c r="Z757">
        <f>0.3079-X757</f>
        <v>2.5000000000000022E-2</v>
      </c>
    </row>
    <row r="758" spans="1:26" x14ac:dyDescent="0.2">
      <c r="A758" t="s">
        <v>166</v>
      </c>
      <c r="B758">
        <v>2012</v>
      </c>
      <c r="C758" t="s">
        <v>811</v>
      </c>
      <c r="D758" t="s">
        <v>818</v>
      </c>
      <c r="E758" t="s">
        <v>167</v>
      </c>
      <c r="F758" t="s">
        <v>168</v>
      </c>
      <c r="G758">
        <v>-23.263780000000001</v>
      </c>
      <c r="H758">
        <v>-70.668626000000003</v>
      </c>
      <c r="I758" t="s">
        <v>767</v>
      </c>
      <c r="J758" t="s">
        <v>14</v>
      </c>
      <c r="K758" t="s">
        <v>41</v>
      </c>
      <c r="L758" t="s">
        <v>3</v>
      </c>
      <c r="M758" t="s">
        <v>727</v>
      </c>
      <c r="N758" t="s">
        <v>85</v>
      </c>
      <c r="O758" t="s">
        <v>142</v>
      </c>
      <c r="P758" t="s">
        <v>463</v>
      </c>
      <c r="Q758">
        <v>25</v>
      </c>
      <c r="R758" t="s">
        <v>213</v>
      </c>
      <c r="S758" t="s">
        <v>9</v>
      </c>
      <c r="T758">
        <v>12</v>
      </c>
      <c r="U758" t="s">
        <v>28</v>
      </c>
      <c r="V758" t="s">
        <v>28</v>
      </c>
      <c r="W758">
        <v>15</v>
      </c>
      <c r="X758">
        <v>0.83420000000000005</v>
      </c>
      <c r="Y758">
        <f t="shared" si="15"/>
        <v>0.18706148721743851</v>
      </c>
      <c r="Z758">
        <f>0.8882-X758</f>
        <v>5.3999999999999937E-2</v>
      </c>
    </row>
    <row r="759" spans="1:26" x14ac:dyDescent="0.2">
      <c r="A759" t="s">
        <v>166</v>
      </c>
      <c r="B759">
        <v>2012</v>
      </c>
      <c r="C759" t="s">
        <v>811</v>
      </c>
      <c r="D759" t="s">
        <v>818</v>
      </c>
      <c r="E759" t="s">
        <v>167</v>
      </c>
      <c r="F759" t="s">
        <v>169</v>
      </c>
      <c r="G759">
        <v>-29.215833</v>
      </c>
      <c r="H759">
        <v>-71.473056</v>
      </c>
      <c r="I759" t="s">
        <v>771</v>
      </c>
      <c r="J759" t="s">
        <v>14</v>
      </c>
      <c r="K759" t="s">
        <v>41</v>
      </c>
      <c r="L759" t="s">
        <v>3</v>
      </c>
      <c r="M759" t="s">
        <v>727</v>
      </c>
      <c r="N759" t="s">
        <v>85</v>
      </c>
      <c r="O759" t="s">
        <v>142</v>
      </c>
      <c r="P759" t="s">
        <v>463</v>
      </c>
      <c r="Q759">
        <v>25</v>
      </c>
      <c r="R759" t="s">
        <v>213</v>
      </c>
      <c r="S759" t="s">
        <v>9</v>
      </c>
      <c r="T759">
        <v>6</v>
      </c>
      <c r="U759" t="s">
        <v>28</v>
      </c>
      <c r="V759" t="s">
        <v>28</v>
      </c>
      <c r="W759">
        <v>15</v>
      </c>
      <c r="X759">
        <v>0.48420000000000002</v>
      </c>
      <c r="Y759">
        <f t="shared" si="15"/>
        <v>0.27409790221743746</v>
      </c>
      <c r="Z759">
        <f>0.5961-X759</f>
        <v>0.11189999999999994</v>
      </c>
    </row>
    <row r="760" spans="1:26" x14ac:dyDescent="0.2">
      <c r="A760" t="s">
        <v>166</v>
      </c>
      <c r="B760">
        <v>2012</v>
      </c>
      <c r="C760" t="s">
        <v>811</v>
      </c>
      <c r="D760" t="s">
        <v>818</v>
      </c>
      <c r="E760" t="s">
        <v>167</v>
      </c>
      <c r="F760" t="s">
        <v>775</v>
      </c>
      <c r="G760">
        <v>-33.502499999999998</v>
      </c>
      <c r="H760">
        <v>-71.633611000000002</v>
      </c>
      <c r="I760" t="s">
        <v>767</v>
      </c>
      <c r="J760" t="s">
        <v>14</v>
      </c>
      <c r="K760" t="s">
        <v>41</v>
      </c>
      <c r="L760" t="s">
        <v>3</v>
      </c>
      <c r="M760" t="s">
        <v>727</v>
      </c>
      <c r="N760" t="s">
        <v>85</v>
      </c>
      <c r="O760" t="s">
        <v>142</v>
      </c>
      <c r="P760" t="s">
        <v>463</v>
      </c>
      <c r="Q760">
        <v>25</v>
      </c>
      <c r="R760" t="s">
        <v>213</v>
      </c>
      <c r="S760" t="s">
        <v>9</v>
      </c>
      <c r="T760">
        <v>18</v>
      </c>
      <c r="U760" t="s">
        <v>28</v>
      </c>
      <c r="V760" t="s">
        <v>28</v>
      </c>
      <c r="W760">
        <v>15</v>
      </c>
      <c r="X760">
        <v>0.58289999999999997</v>
      </c>
      <c r="Y760">
        <f t="shared" si="15"/>
        <v>0.40729350596345121</v>
      </c>
      <c r="Z760">
        <f>0.6789-X760</f>
        <v>9.5999999999999974E-2</v>
      </c>
    </row>
    <row r="761" spans="1:26" x14ac:dyDescent="0.2">
      <c r="A761" t="s">
        <v>166</v>
      </c>
      <c r="B761">
        <v>2012</v>
      </c>
      <c r="C761" t="s">
        <v>811</v>
      </c>
      <c r="D761" t="s">
        <v>818</v>
      </c>
      <c r="E761" t="s">
        <v>167</v>
      </c>
      <c r="F761" t="s">
        <v>170</v>
      </c>
      <c r="G761">
        <v>-29.523199000000002</v>
      </c>
      <c r="H761">
        <v>-71.357437000000004</v>
      </c>
      <c r="I761" t="s">
        <v>771</v>
      </c>
      <c r="J761" t="s">
        <v>14</v>
      </c>
      <c r="K761" t="s">
        <v>41</v>
      </c>
      <c r="L761" t="s">
        <v>3</v>
      </c>
      <c r="M761" t="s">
        <v>727</v>
      </c>
      <c r="N761" t="s">
        <v>85</v>
      </c>
      <c r="O761" t="s">
        <v>142</v>
      </c>
      <c r="P761" t="s">
        <v>463</v>
      </c>
      <c r="Q761">
        <v>25</v>
      </c>
      <c r="R761" t="s">
        <v>213</v>
      </c>
      <c r="S761" t="s">
        <v>9</v>
      </c>
      <c r="T761">
        <v>12</v>
      </c>
      <c r="U761" t="s">
        <v>28</v>
      </c>
      <c r="V761" t="s">
        <v>28</v>
      </c>
      <c r="W761">
        <v>15</v>
      </c>
      <c r="X761">
        <v>0.27760000000000001</v>
      </c>
      <c r="Y761">
        <f t="shared" si="15"/>
        <v>0.26431095323501058</v>
      </c>
      <c r="Z761">
        <f>0.3539-X761</f>
        <v>7.6299999999999979E-2</v>
      </c>
    </row>
    <row r="762" spans="1:26" x14ac:dyDescent="0.2">
      <c r="A762" t="s">
        <v>166</v>
      </c>
      <c r="B762">
        <v>2012</v>
      </c>
      <c r="C762" t="s">
        <v>811</v>
      </c>
      <c r="D762" t="s">
        <v>818</v>
      </c>
      <c r="E762" t="s">
        <v>167</v>
      </c>
      <c r="F762" t="s">
        <v>168</v>
      </c>
      <c r="G762">
        <v>-23.263780000000001</v>
      </c>
      <c r="H762">
        <v>-70.668626000000003</v>
      </c>
      <c r="I762" t="s">
        <v>767</v>
      </c>
      <c r="J762" t="s">
        <v>14</v>
      </c>
      <c r="K762" t="s">
        <v>41</v>
      </c>
      <c r="L762" t="s">
        <v>3</v>
      </c>
      <c r="M762" t="s">
        <v>727</v>
      </c>
      <c r="N762" t="s">
        <v>85</v>
      </c>
      <c r="O762" t="s">
        <v>142</v>
      </c>
      <c r="P762" t="s">
        <v>463</v>
      </c>
      <c r="Q762">
        <v>25</v>
      </c>
      <c r="R762" t="s">
        <v>213</v>
      </c>
      <c r="S762" t="s">
        <v>27</v>
      </c>
      <c r="T762">
        <v>12</v>
      </c>
      <c r="U762" t="s">
        <v>28</v>
      </c>
      <c r="V762" t="s">
        <v>28</v>
      </c>
      <c r="W762">
        <v>20</v>
      </c>
      <c r="X762">
        <v>8.5500000000000007E-2</v>
      </c>
      <c r="Y762">
        <f t="shared" si="15"/>
        <v>0.11847227523771119</v>
      </c>
      <c r="Z762">
        <f>0.1197-X762</f>
        <v>3.4199999999999994E-2</v>
      </c>
    </row>
    <row r="763" spans="1:26" x14ac:dyDescent="0.2">
      <c r="A763" t="s">
        <v>166</v>
      </c>
      <c r="B763">
        <v>2012</v>
      </c>
      <c r="C763" t="s">
        <v>811</v>
      </c>
      <c r="D763" t="s">
        <v>818</v>
      </c>
      <c r="E763" t="s">
        <v>167</v>
      </c>
      <c r="F763" t="s">
        <v>169</v>
      </c>
      <c r="G763">
        <v>-29.215833</v>
      </c>
      <c r="H763">
        <v>-71.473056</v>
      </c>
      <c r="I763" t="s">
        <v>771</v>
      </c>
      <c r="J763" t="s">
        <v>14</v>
      </c>
      <c r="K763" t="s">
        <v>41</v>
      </c>
      <c r="L763" t="s">
        <v>3</v>
      </c>
      <c r="M763" t="s">
        <v>727</v>
      </c>
      <c r="N763" t="s">
        <v>85</v>
      </c>
      <c r="O763" t="s">
        <v>142</v>
      </c>
      <c r="P763" t="s">
        <v>463</v>
      </c>
      <c r="Q763">
        <v>25</v>
      </c>
      <c r="R763" t="s">
        <v>213</v>
      </c>
      <c r="S763" t="s">
        <v>27</v>
      </c>
      <c r="T763">
        <v>6</v>
      </c>
      <c r="U763" t="s">
        <v>28</v>
      </c>
      <c r="V763" t="s">
        <v>28</v>
      </c>
      <c r="W763">
        <v>20</v>
      </c>
      <c r="X763">
        <v>0</v>
      </c>
      <c r="Y763">
        <f t="shared" si="15"/>
        <v>0</v>
      </c>
      <c r="Z763">
        <v>0</v>
      </c>
    </row>
    <row r="764" spans="1:26" x14ac:dyDescent="0.2">
      <c r="A764" t="s">
        <v>166</v>
      </c>
      <c r="B764">
        <v>2012</v>
      </c>
      <c r="C764" t="s">
        <v>811</v>
      </c>
      <c r="D764" t="s">
        <v>818</v>
      </c>
      <c r="E764" t="s">
        <v>167</v>
      </c>
      <c r="F764" t="s">
        <v>775</v>
      </c>
      <c r="G764">
        <v>-33.502499999999998</v>
      </c>
      <c r="H764">
        <v>-71.633611000000002</v>
      </c>
      <c r="I764" t="s">
        <v>767</v>
      </c>
      <c r="J764" t="s">
        <v>14</v>
      </c>
      <c r="K764" t="s">
        <v>41</v>
      </c>
      <c r="L764" t="s">
        <v>3</v>
      </c>
      <c r="M764" t="s">
        <v>727</v>
      </c>
      <c r="N764" t="s">
        <v>85</v>
      </c>
      <c r="O764" t="s">
        <v>142</v>
      </c>
      <c r="P764" t="s">
        <v>463</v>
      </c>
      <c r="Q764">
        <v>25</v>
      </c>
      <c r="R764" t="s">
        <v>213</v>
      </c>
      <c r="S764" t="s">
        <v>27</v>
      </c>
      <c r="T764">
        <v>18</v>
      </c>
      <c r="U764" t="s">
        <v>28</v>
      </c>
      <c r="V764" t="s">
        <v>28</v>
      </c>
      <c r="W764">
        <v>20</v>
      </c>
      <c r="X764">
        <v>0</v>
      </c>
      <c r="Y764">
        <f t="shared" si="15"/>
        <v>0</v>
      </c>
      <c r="Z764">
        <v>0</v>
      </c>
    </row>
    <row r="765" spans="1:26" x14ac:dyDescent="0.2">
      <c r="A765" t="s">
        <v>166</v>
      </c>
      <c r="B765">
        <v>2012</v>
      </c>
      <c r="C765" t="s">
        <v>811</v>
      </c>
      <c r="D765" t="s">
        <v>818</v>
      </c>
      <c r="E765" t="s">
        <v>167</v>
      </c>
      <c r="F765" t="s">
        <v>170</v>
      </c>
      <c r="G765">
        <v>-29.523199000000002</v>
      </c>
      <c r="H765">
        <v>-71.357437000000004</v>
      </c>
      <c r="I765" t="s">
        <v>771</v>
      </c>
      <c r="J765" t="s">
        <v>14</v>
      </c>
      <c r="K765" t="s">
        <v>41</v>
      </c>
      <c r="L765" t="s">
        <v>3</v>
      </c>
      <c r="M765" t="s">
        <v>727</v>
      </c>
      <c r="N765" t="s">
        <v>85</v>
      </c>
      <c r="O765" t="s">
        <v>142</v>
      </c>
      <c r="P765" t="s">
        <v>463</v>
      </c>
      <c r="Q765">
        <v>25</v>
      </c>
      <c r="R765" t="s">
        <v>213</v>
      </c>
      <c r="S765" t="s">
        <v>27</v>
      </c>
      <c r="T765">
        <v>12</v>
      </c>
      <c r="U765" t="s">
        <v>28</v>
      </c>
      <c r="V765" t="s">
        <v>28</v>
      </c>
      <c r="W765">
        <v>20</v>
      </c>
      <c r="X765">
        <v>0</v>
      </c>
      <c r="Y765">
        <f t="shared" si="15"/>
        <v>0</v>
      </c>
      <c r="Z765">
        <v>0</v>
      </c>
    </row>
    <row r="766" spans="1:26" x14ac:dyDescent="0.2">
      <c r="A766" t="s">
        <v>166</v>
      </c>
      <c r="B766">
        <v>2012</v>
      </c>
      <c r="C766" t="s">
        <v>811</v>
      </c>
      <c r="D766" t="s">
        <v>818</v>
      </c>
      <c r="E766" t="s">
        <v>167</v>
      </c>
      <c r="F766" t="s">
        <v>168</v>
      </c>
      <c r="G766">
        <v>-23.263780000000001</v>
      </c>
      <c r="H766">
        <v>-70.668626000000003</v>
      </c>
      <c r="I766" t="s">
        <v>767</v>
      </c>
      <c r="J766" t="s">
        <v>7</v>
      </c>
      <c r="K766" t="s">
        <v>41</v>
      </c>
      <c r="L766" t="s">
        <v>3</v>
      </c>
      <c r="M766" t="s">
        <v>727</v>
      </c>
      <c r="N766" t="s">
        <v>85</v>
      </c>
      <c r="O766" t="s">
        <v>374</v>
      </c>
      <c r="P766" t="s">
        <v>463</v>
      </c>
      <c r="Q766">
        <v>25</v>
      </c>
      <c r="R766" t="s">
        <v>213</v>
      </c>
      <c r="S766" t="s">
        <v>7</v>
      </c>
      <c r="T766">
        <v>12</v>
      </c>
      <c r="U766" t="s">
        <v>28</v>
      </c>
      <c r="V766" t="s">
        <v>28</v>
      </c>
      <c r="W766">
        <v>10</v>
      </c>
      <c r="X766">
        <v>0.3211</v>
      </c>
      <c r="Y766">
        <f t="shared" si="15"/>
        <v>0.17216585027234646</v>
      </c>
      <c r="Z766">
        <f>0.3708-X766</f>
        <v>4.9700000000000022E-2</v>
      </c>
    </row>
    <row r="767" spans="1:26" x14ac:dyDescent="0.2">
      <c r="A767" t="s">
        <v>166</v>
      </c>
      <c r="B767">
        <v>2012</v>
      </c>
      <c r="C767" t="s">
        <v>811</v>
      </c>
      <c r="D767" t="s">
        <v>818</v>
      </c>
      <c r="E767" t="s">
        <v>167</v>
      </c>
      <c r="F767" t="s">
        <v>169</v>
      </c>
      <c r="G767">
        <v>-29.215833</v>
      </c>
      <c r="H767">
        <v>-71.473056</v>
      </c>
      <c r="I767" t="s">
        <v>771</v>
      </c>
      <c r="J767" t="s">
        <v>7</v>
      </c>
      <c r="K767" t="s">
        <v>41</v>
      </c>
      <c r="L767" t="s">
        <v>3</v>
      </c>
      <c r="M767" t="s">
        <v>727</v>
      </c>
      <c r="N767" t="s">
        <v>85</v>
      </c>
      <c r="O767" t="s">
        <v>374</v>
      </c>
      <c r="P767" t="s">
        <v>463</v>
      </c>
      <c r="Q767">
        <v>25</v>
      </c>
      <c r="R767" t="s">
        <v>213</v>
      </c>
      <c r="S767" t="s">
        <v>7</v>
      </c>
      <c r="T767">
        <v>6</v>
      </c>
      <c r="U767" t="s">
        <v>28</v>
      </c>
      <c r="V767" t="s">
        <v>28</v>
      </c>
      <c r="W767">
        <v>10</v>
      </c>
      <c r="X767">
        <v>0.19839999999999999</v>
      </c>
      <c r="Y767">
        <f t="shared" si="15"/>
        <v>0.14721433354126903</v>
      </c>
      <c r="Z767">
        <f>0.2585-X767</f>
        <v>6.0100000000000015E-2</v>
      </c>
    </row>
    <row r="768" spans="1:26" x14ac:dyDescent="0.2">
      <c r="A768" t="s">
        <v>166</v>
      </c>
      <c r="B768">
        <v>2012</v>
      </c>
      <c r="C768" t="s">
        <v>811</v>
      </c>
      <c r="D768" t="s">
        <v>818</v>
      </c>
      <c r="E768" t="s">
        <v>167</v>
      </c>
      <c r="F768" t="s">
        <v>775</v>
      </c>
      <c r="G768">
        <v>-33.502499999999998</v>
      </c>
      <c r="H768">
        <v>-71.633611000000002</v>
      </c>
      <c r="I768" t="s">
        <v>767</v>
      </c>
      <c r="J768" t="s">
        <v>7</v>
      </c>
      <c r="K768" t="s">
        <v>41</v>
      </c>
      <c r="L768" t="s">
        <v>3</v>
      </c>
      <c r="M768" t="s">
        <v>727</v>
      </c>
      <c r="N768" t="s">
        <v>85</v>
      </c>
      <c r="O768" t="s">
        <v>374</v>
      </c>
      <c r="P768" t="s">
        <v>463</v>
      </c>
      <c r="Q768">
        <v>25</v>
      </c>
      <c r="R768" t="s">
        <v>213</v>
      </c>
      <c r="S768" t="s">
        <v>7</v>
      </c>
      <c r="T768">
        <v>18</v>
      </c>
      <c r="U768" t="s">
        <v>28</v>
      </c>
      <c r="V768" t="s">
        <v>28</v>
      </c>
      <c r="W768">
        <v>10</v>
      </c>
      <c r="X768">
        <v>0.2611</v>
      </c>
      <c r="Y768">
        <f t="shared" si="15"/>
        <v>0.29359073554865445</v>
      </c>
      <c r="Z768">
        <f>0.3303-X768</f>
        <v>6.9199999999999984E-2</v>
      </c>
    </row>
    <row r="769" spans="1:26" x14ac:dyDescent="0.2">
      <c r="A769" t="s">
        <v>166</v>
      </c>
      <c r="B769">
        <v>2012</v>
      </c>
      <c r="C769" t="s">
        <v>811</v>
      </c>
      <c r="D769" t="s">
        <v>818</v>
      </c>
      <c r="E769" t="s">
        <v>167</v>
      </c>
      <c r="F769" t="s">
        <v>170</v>
      </c>
      <c r="G769">
        <v>-29.523199000000002</v>
      </c>
      <c r="H769">
        <v>-71.357437000000004</v>
      </c>
      <c r="I769" t="s">
        <v>771</v>
      </c>
      <c r="J769" t="s">
        <v>7</v>
      </c>
      <c r="K769" t="s">
        <v>41</v>
      </c>
      <c r="L769" t="s">
        <v>3</v>
      </c>
      <c r="M769" t="s">
        <v>727</v>
      </c>
      <c r="N769" t="s">
        <v>85</v>
      </c>
      <c r="O769" t="s">
        <v>374</v>
      </c>
      <c r="P769" t="s">
        <v>463</v>
      </c>
      <c r="Q769">
        <v>25</v>
      </c>
      <c r="R769" t="s">
        <v>213</v>
      </c>
      <c r="S769" t="s">
        <v>7</v>
      </c>
      <c r="T769">
        <v>12</v>
      </c>
      <c r="U769" t="s">
        <v>28</v>
      </c>
      <c r="V769" t="s">
        <v>28</v>
      </c>
      <c r="W769">
        <v>10</v>
      </c>
      <c r="X769">
        <v>0.16320000000000001</v>
      </c>
      <c r="Y769">
        <f t="shared" si="15"/>
        <v>0.11292971265349076</v>
      </c>
      <c r="Z769">
        <f>0.1958-X769</f>
        <v>3.259999999999999E-2</v>
      </c>
    </row>
    <row r="770" spans="1:26" x14ac:dyDescent="0.2">
      <c r="A770" t="s">
        <v>166</v>
      </c>
      <c r="B770">
        <v>2012</v>
      </c>
      <c r="C770" t="s">
        <v>811</v>
      </c>
      <c r="D770" t="s">
        <v>818</v>
      </c>
      <c r="E770" t="s">
        <v>167</v>
      </c>
      <c r="F770" t="s">
        <v>168</v>
      </c>
      <c r="G770">
        <v>-23.263780000000001</v>
      </c>
      <c r="H770">
        <v>-70.668626000000003</v>
      </c>
      <c r="I770" t="s">
        <v>767</v>
      </c>
      <c r="J770" t="s">
        <v>14</v>
      </c>
      <c r="K770" t="s">
        <v>41</v>
      </c>
      <c r="L770" t="s">
        <v>3</v>
      </c>
      <c r="M770" t="s">
        <v>727</v>
      </c>
      <c r="N770" t="s">
        <v>85</v>
      </c>
      <c r="O770" t="s">
        <v>374</v>
      </c>
      <c r="P770" t="s">
        <v>463</v>
      </c>
      <c r="Q770">
        <v>25</v>
      </c>
      <c r="R770" t="s">
        <v>213</v>
      </c>
      <c r="S770" t="s">
        <v>9</v>
      </c>
      <c r="T770">
        <v>12</v>
      </c>
      <c r="U770" t="s">
        <v>28</v>
      </c>
      <c r="V770" t="s">
        <v>28</v>
      </c>
      <c r="W770">
        <v>15</v>
      </c>
      <c r="X770">
        <v>0.57440000000000002</v>
      </c>
      <c r="Y770">
        <f t="shared" si="15"/>
        <v>0.34363888022166506</v>
      </c>
      <c r="Z770">
        <f>0.6736-X770</f>
        <v>9.9199999999999955E-2</v>
      </c>
    </row>
    <row r="771" spans="1:26" x14ac:dyDescent="0.2">
      <c r="A771" t="s">
        <v>166</v>
      </c>
      <c r="B771">
        <v>2012</v>
      </c>
      <c r="C771" t="s">
        <v>811</v>
      </c>
      <c r="D771" t="s">
        <v>818</v>
      </c>
      <c r="E771" t="s">
        <v>167</v>
      </c>
      <c r="F771" t="s">
        <v>169</v>
      </c>
      <c r="G771">
        <v>-29.215833</v>
      </c>
      <c r="H771">
        <v>-71.473056</v>
      </c>
      <c r="I771" t="s">
        <v>771</v>
      </c>
      <c r="J771" t="s">
        <v>14</v>
      </c>
      <c r="K771" t="s">
        <v>41</v>
      </c>
      <c r="L771" t="s">
        <v>3</v>
      </c>
      <c r="M771" t="s">
        <v>727</v>
      </c>
      <c r="N771" t="s">
        <v>85</v>
      </c>
      <c r="O771" t="s">
        <v>374</v>
      </c>
      <c r="P771" t="s">
        <v>463</v>
      </c>
      <c r="Q771">
        <v>25</v>
      </c>
      <c r="R771" t="s">
        <v>213</v>
      </c>
      <c r="S771" t="s">
        <v>9</v>
      </c>
      <c r="T771">
        <v>6</v>
      </c>
      <c r="U771" t="s">
        <v>28</v>
      </c>
      <c r="V771" t="s">
        <v>28</v>
      </c>
      <c r="W771">
        <v>15</v>
      </c>
      <c r="X771">
        <v>0.36809999999999998</v>
      </c>
      <c r="Y771">
        <f t="shared" si="15"/>
        <v>0.23343637248723684</v>
      </c>
      <c r="Z771">
        <f>0.4634-X771</f>
        <v>9.5299999999999996E-2</v>
      </c>
    </row>
    <row r="772" spans="1:26" x14ac:dyDescent="0.2">
      <c r="A772" t="s">
        <v>166</v>
      </c>
      <c r="B772">
        <v>2012</v>
      </c>
      <c r="C772" t="s">
        <v>811</v>
      </c>
      <c r="D772" t="s">
        <v>818</v>
      </c>
      <c r="E772" t="s">
        <v>167</v>
      </c>
      <c r="F772" t="s">
        <v>775</v>
      </c>
      <c r="G772">
        <v>-33.502499999999998</v>
      </c>
      <c r="H772">
        <v>-71.633611000000002</v>
      </c>
      <c r="I772" t="s">
        <v>767</v>
      </c>
      <c r="J772" t="s">
        <v>14</v>
      </c>
      <c r="K772" t="s">
        <v>41</v>
      </c>
      <c r="L772" t="s">
        <v>3</v>
      </c>
      <c r="M772" t="s">
        <v>727</v>
      </c>
      <c r="N772" t="s">
        <v>85</v>
      </c>
      <c r="O772" t="s">
        <v>374</v>
      </c>
      <c r="P772" t="s">
        <v>463</v>
      </c>
      <c r="Q772">
        <v>25</v>
      </c>
      <c r="R772" t="s">
        <v>213</v>
      </c>
      <c r="S772" t="s">
        <v>9</v>
      </c>
      <c r="T772">
        <v>18</v>
      </c>
      <c r="U772" t="s">
        <v>28</v>
      </c>
      <c r="V772" t="s">
        <v>28</v>
      </c>
      <c r="W772">
        <v>15</v>
      </c>
      <c r="X772">
        <v>0.37340000000000001</v>
      </c>
      <c r="Y772">
        <f t="shared" ref="Y772:Y801" si="16">Z772*SQRT(T772)</f>
        <v>0.38183766184073548</v>
      </c>
      <c r="Z772">
        <f>0.4634-X772</f>
        <v>8.9999999999999969E-2</v>
      </c>
    </row>
    <row r="773" spans="1:26" x14ac:dyDescent="0.2">
      <c r="A773" t="s">
        <v>166</v>
      </c>
      <c r="B773">
        <v>2012</v>
      </c>
      <c r="C773" t="s">
        <v>811</v>
      </c>
      <c r="D773" t="s">
        <v>818</v>
      </c>
      <c r="E773" t="s">
        <v>167</v>
      </c>
      <c r="F773" t="s">
        <v>170</v>
      </c>
      <c r="G773">
        <v>-29.523199000000002</v>
      </c>
      <c r="H773">
        <v>-71.357437000000004</v>
      </c>
      <c r="I773" t="s">
        <v>771</v>
      </c>
      <c r="J773" t="s">
        <v>14</v>
      </c>
      <c r="K773" t="s">
        <v>41</v>
      </c>
      <c r="L773" t="s">
        <v>3</v>
      </c>
      <c r="M773" t="s">
        <v>727</v>
      </c>
      <c r="N773" t="s">
        <v>85</v>
      </c>
      <c r="O773" t="s">
        <v>374</v>
      </c>
      <c r="P773" t="s">
        <v>463</v>
      </c>
      <c r="Q773">
        <v>25</v>
      </c>
      <c r="R773" t="s">
        <v>213</v>
      </c>
      <c r="S773" t="s">
        <v>9</v>
      </c>
      <c r="T773">
        <v>12</v>
      </c>
      <c r="U773" t="s">
        <v>28</v>
      </c>
      <c r="V773" t="s">
        <v>28</v>
      </c>
      <c r="W773">
        <v>15</v>
      </c>
      <c r="X773">
        <v>0.19320000000000001</v>
      </c>
      <c r="Y773">
        <f t="shared" si="16"/>
        <v>0.14479944751275806</v>
      </c>
      <c r="Z773">
        <f>0.235-X773</f>
        <v>4.1799999999999976E-2</v>
      </c>
    </row>
    <row r="774" spans="1:26" x14ac:dyDescent="0.2">
      <c r="A774" t="s">
        <v>166</v>
      </c>
      <c r="B774">
        <v>2012</v>
      </c>
      <c r="C774" t="s">
        <v>811</v>
      </c>
      <c r="D774" t="s">
        <v>818</v>
      </c>
      <c r="E774" t="s">
        <v>167</v>
      </c>
      <c r="F774" t="s">
        <v>168</v>
      </c>
      <c r="G774">
        <v>-23.263780000000001</v>
      </c>
      <c r="H774">
        <v>-70.668626000000003</v>
      </c>
      <c r="I774" t="s">
        <v>767</v>
      </c>
      <c r="J774" t="s">
        <v>14</v>
      </c>
      <c r="K774" t="s">
        <v>41</v>
      </c>
      <c r="L774" t="s">
        <v>3</v>
      </c>
      <c r="M774" t="s">
        <v>727</v>
      </c>
      <c r="N774" t="s">
        <v>85</v>
      </c>
      <c r="O774" t="s">
        <v>374</v>
      </c>
      <c r="P774" t="s">
        <v>463</v>
      </c>
      <c r="Q774">
        <v>25</v>
      </c>
      <c r="R774" t="s">
        <v>213</v>
      </c>
      <c r="S774" t="s">
        <v>27</v>
      </c>
      <c r="T774">
        <v>12</v>
      </c>
      <c r="U774" t="s">
        <v>28</v>
      </c>
      <c r="V774" t="s">
        <v>28</v>
      </c>
      <c r="W774">
        <v>20</v>
      </c>
      <c r="X774">
        <v>2.87E-2</v>
      </c>
      <c r="Y774">
        <f t="shared" si="16"/>
        <v>1.8013328398716322E-2</v>
      </c>
      <c r="Z774">
        <f>0.0339-X774</f>
        <v>5.1999999999999998E-3</v>
      </c>
    </row>
    <row r="775" spans="1:26" x14ac:dyDescent="0.2">
      <c r="A775" t="s">
        <v>166</v>
      </c>
      <c r="B775">
        <v>2012</v>
      </c>
      <c r="C775" t="s">
        <v>811</v>
      </c>
      <c r="D775" t="s">
        <v>818</v>
      </c>
      <c r="E775" t="s">
        <v>167</v>
      </c>
      <c r="F775" t="s">
        <v>169</v>
      </c>
      <c r="G775">
        <v>-29.215833</v>
      </c>
      <c r="H775">
        <v>-71.473056</v>
      </c>
      <c r="I775" t="s">
        <v>771</v>
      </c>
      <c r="J775" t="s">
        <v>14</v>
      </c>
      <c r="K775" t="s">
        <v>41</v>
      </c>
      <c r="L775" t="s">
        <v>3</v>
      </c>
      <c r="M775" t="s">
        <v>727</v>
      </c>
      <c r="N775" t="s">
        <v>85</v>
      </c>
      <c r="O775" t="s">
        <v>374</v>
      </c>
      <c r="P775" t="s">
        <v>463</v>
      </c>
      <c r="Q775">
        <v>25</v>
      </c>
      <c r="R775" t="s">
        <v>213</v>
      </c>
      <c r="S775" t="s">
        <v>27</v>
      </c>
      <c r="T775">
        <v>6</v>
      </c>
      <c r="U775" t="s">
        <v>28</v>
      </c>
      <c r="V775" t="s">
        <v>28</v>
      </c>
      <c r="W775">
        <v>20</v>
      </c>
      <c r="X775">
        <v>0</v>
      </c>
      <c r="Y775">
        <f t="shared" si="16"/>
        <v>0</v>
      </c>
      <c r="Z775">
        <v>0</v>
      </c>
    </row>
    <row r="776" spans="1:26" x14ac:dyDescent="0.2">
      <c r="A776" t="s">
        <v>166</v>
      </c>
      <c r="B776">
        <v>2012</v>
      </c>
      <c r="C776" t="s">
        <v>811</v>
      </c>
      <c r="D776" t="s">
        <v>818</v>
      </c>
      <c r="E776" t="s">
        <v>167</v>
      </c>
      <c r="F776" t="s">
        <v>775</v>
      </c>
      <c r="G776">
        <v>-33.502499999999998</v>
      </c>
      <c r="H776">
        <v>-71.633611000000002</v>
      </c>
      <c r="I776" t="s">
        <v>767</v>
      </c>
      <c r="J776" t="s">
        <v>14</v>
      </c>
      <c r="K776" t="s">
        <v>41</v>
      </c>
      <c r="L776" t="s">
        <v>3</v>
      </c>
      <c r="M776" t="s">
        <v>727</v>
      </c>
      <c r="N776" t="s">
        <v>85</v>
      </c>
      <c r="O776" t="s">
        <v>374</v>
      </c>
      <c r="P776" t="s">
        <v>463</v>
      </c>
      <c r="Q776">
        <v>25</v>
      </c>
      <c r="R776" t="s">
        <v>213</v>
      </c>
      <c r="S776" t="s">
        <v>27</v>
      </c>
      <c r="T776">
        <v>18</v>
      </c>
      <c r="U776" t="s">
        <v>28</v>
      </c>
      <c r="V776" t="s">
        <v>28</v>
      </c>
      <c r="W776">
        <v>20</v>
      </c>
      <c r="X776">
        <v>0</v>
      </c>
      <c r="Y776">
        <f t="shared" si="16"/>
        <v>0</v>
      </c>
      <c r="Z776">
        <v>0</v>
      </c>
    </row>
    <row r="777" spans="1:26" x14ac:dyDescent="0.2">
      <c r="A777" t="s">
        <v>166</v>
      </c>
      <c r="B777">
        <v>2012</v>
      </c>
      <c r="C777" t="s">
        <v>811</v>
      </c>
      <c r="D777" t="s">
        <v>818</v>
      </c>
      <c r="E777" t="s">
        <v>167</v>
      </c>
      <c r="F777" t="s">
        <v>170</v>
      </c>
      <c r="G777">
        <v>-29.523199000000002</v>
      </c>
      <c r="H777">
        <v>-71.357437000000004</v>
      </c>
      <c r="I777" t="s">
        <v>771</v>
      </c>
      <c r="J777" t="s">
        <v>14</v>
      </c>
      <c r="K777" t="s">
        <v>41</v>
      </c>
      <c r="L777" t="s">
        <v>3</v>
      </c>
      <c r="M777" t="s">
        <v>727</v>
      </c>
      <c r="N777" t="s">
        <v>85</v>
      </c>
      <c r="O777" t="s">
        <v>374</v>
      </c>
      <c r="P777" t="s">
        <v>463</v>
      </c>
      <c r="Q777">
        <v>25</v>
      </c>
      <c r="R777" t="s">
        <v>213</v>
      </c>
      <c r="S777" t="s">
        <v>27</v>
      </c>
      <c r="T777">
        <v>12</v>
      </c>
      <c r="U777" t="s">
        <v>28</v>
      </c>
      <c r="V777" t="s">
        <v>28</v>
      </c>
      <c r="W777">
        <v>20</v>
      </c>
      <c r="X777">
        <v>0</v>
      </c>
      <c r="Y777">
        <f t="shared" si="16"/>
        <v>0</v>
      </c>
      <c r="Z777">
        <v>0</v>
      </c>
    </row>
    <row r="778" spans="1:26" x14ac:dyDescent="0.2">
      <c r="A778" t="s">
        <v>173</v>
      </c>
      <c r="B778">
        <v>2017</v>
      </c>
      <c r="C778" t="s">
        <v>816</v>
      </c>
      <c r="D778" t="s">
        <v>820</v>
      </c>
      <c r="E778" t="s">
        <v>34</v>
      </c>
      <c r="F778" t="s">
        <v>325</v>
      </c>
      <c r="G778">
        <v>32.669739</v>
      </c>
      <c r="H778">
        <v>-117.246342</v>
      </c>
      <c r="I778" t="s">
        <v>772</v>
      </c>
      <c r="J778" t="s">
        <v>7</v>
      </c>
      <c r="K778" t="s">
        <v>39</v>
      </c>
      <c r="L778" t="s">
        <v>300</v>
      </c>
      <c r="M778" t="s">
        <v>12</v>
      </c>
      <c r="N778" t="s">
        <v>85</v>
      </c>
      <c r="O778" t="s">
        <v>141</v>
      </c>
      <c r="P778" t="s">
        <v>74</v>
      </c>
      <c r="Q778">
        <v>3</v>
      </c>
      <c r="R778" t="s">
        <v>213</v>
      </c>
      <c r="S778" t="s">
        <v>7</v>
      </c>
      <c r="T778">
        <v>10</v>
      </c>
      <c r="U778">
        <v>7.9</v>
      </c>
      <c r="V778">
        <v>455</v>
      </c>
      <c r="W778">
        <v>12</v>
      </c>
      <c r="X778">
        <v>133.30000000000001</v>
      </c>
      <c r="Y778">
        <f t="shared" si="16"/>
        <v>36.967025847368348</v>
      </c>
      <c r="Z778">
        <f>144.99-X778</f>
        <v>11.689999999999998</v>
      </c>
    </row>
    <row r="779" spans="1:26" x14ac:dyDescent="0.2">
      <c r="A779" t="s">
        <v>173</v>
      </c>
      <c r="B779">
        <v>2017</v>
      </c>
      <c r="C779" t="s">
        <v>816</v>
      </c>
      <c r="D779" t="s">
        <v>820</v>
      </c>
      <c r="E779" t="s">
        <v>34</v>
      </c>
      <c r="F779" t="s">
        <v>325</v>
      </c>
      <c r="G779">
        <v>32.669739</v>
      </c>
      <c r="H779">
        <v>-117.246342</v>
      </c>
      <c r="I779" t="s">
        <v>772</v>
      </c>
      <c r="J779" t="s">
        <v>5</v>
      </c>
      <c r="K779" t="s">
        <v>39</v>
      </c>
      <c r="L779" t="s">
        <v>300</v>
      </c>
      <c r="M779" t="s">
        <v>12</v>
      </c>
      <c r="N779" t="s">
        <v>85</v>
      </c>
      <c r="O779" t="s">
        <v>141</v>
      </c>
      <c r="P779" t="s">
        <v>74</v>
      </c>
      <c r="Q779">
        <v>3</v>
      </c>
      <c r="R779" t="s">
        <v>213</v>
      </c>
      <c r="S779" t="s">
        <v>9</v>
      </c>
      <c r="T779">
        <v>10</v>
      </c>
      <c r="U779">
        <v>7.3</v>
      </c>
      <c r="V779">
        <v>1509</v>
      </c>
      <c r="W779" t="s">
        <v>28</v>
      </c>
      <c r="X779">
        <v>117.08</v>
      </c>
      <c r="Y779">
        <f t="shared" si="16"/>
        <v>50.754556445702484</v>
      </c>
      <c r="Z779">
        <f>133.13-X779</f>
        <v>16.049999999999997</v>
      </c>
    </row>
    <row r="780" spans="1:26" x14ac:dyDescent="0.2">
      <c r="A780" t="s">
        <v>173</v>
      </c>
      <c r="B780">
        <v>2017</v>
      </c>
      <c r="C780" t="s">
        <v>816</v>
      </c>
      <c r="D780" t="s">
        <v>820</v>
      </c>
      <c r="E780" t="s">
        <v>34</v>
      </c>
      <c r="F780" t="s">
        <v>325</v>
      </c>
      <c r="G780">
        <v>32.669739</v>
      </c>
      <c r="H780">
        <v>-117.246342</v>
      </c>
      <c r="I780" t="s">
        <v>772</v>
      </c>
      <c r="J780" t="s">
        <v>14</v>
      </c>
      <c r="K780" t="s">
        <v>39</v>
      </c>
      <c r="L780" t="s">
        <v>300</v>
      </c>
      <c r="M780" t="s">
        <v>12</v>
      </c>
      <c r="N780" t="s">
        <v>85</v>
      </c>
      <c r="O780" t="s">
        <v>141</v>
      </c>
      <c r="P780" t="s">
        <v>74</v>
      </c>
      <c r="Q780">
        <v>3</v>
      </c>
      <c r="R780" t="s">
        <v>213</v>
      </c>
      <c r="S780" t="s">
        <v>27</v>
      </c>
      <c r="T780">
        <v>10</v>
      </c>
      <c r="U780" t="s">
        <v>28</v>
      </c>
      <c r="V780" t="s">
        <v>28</v>
      </c>
      <c r="W780">
        <v>15</v>
      </c>
      <c r="X780">
        <v>37.69</v>
      </c>
      <c r="Y780">
        <f t="shared" si="16"/>
        <v>11.036349033987651</v>
      </c>
      <c r="Z780">
        <f>41.18-X780</f>
        <v>3.490000000000002</v>
      </c>
    </row>
    <row r="781" spans="1:26" x14ac:dyDescent="0.2">
      <c r="A781" t="s">
        <v>173</v>
      </c>
      <c r="B781">
        <v>2017</v>
      </c>
      <c r="C781" t="s">
        <v>816</v>
      </c>
      <c r="D781" t="s">
        <v>820</v>
      </c>
      <c r="E781" t="s">
        <v>34</v>
      </c>
      <c r="F781" t="s">
        <v>325</v>
      </c>
      <c r="G781">
        <v>32.669739</v>
      </c>
      <c r="H781">
        <v>-117.246342</v>
      </c>
      <c r="I781" t="s">
        <v>772</v>
      </c>
      <c r="J781" t="s">
        <v>16</v>
      </c>
      <c r="K781" t="s">
        <v>39</v>
      </c>
      <c r="L781" t="s">
        <v>300</v>
      </c>
      <c r="M781" t="s">
        <v>12</v>
      </c>
      <c r="N781" t="s">
        <v>85</v>
      </c>
      <c r="O781" t="s">
        <v>141</v>
      </c>
      <c r="P781" t="s">
        <v>74</v>
      </c>
      <c r="Q781">
        <v>3</v>
      </c>
      <c r="R781" t="s">
        <v>213</v>
      </c>
      <c r="S781" t="s">
        <v>13</v>
      </c>
      <c r="T781">
        <v>10</v>
      </c>
      <c r="U781">
        <v>7.3</v>
      </c>
      <c r="V781">
        <v>1509</v>
      </c>
      <c r="W781">
        <v>15</v>
      </c>
      <c r="X781">
        <v>23.9</v>
      </c>
      <c r="Y781">
        <f t="shared" si="16"/>
        <v>12.712356193876895</v>
      </c>
      <c r="Z781">
        <f>27.92-X781</f>
        <v>4.0200000000000031</v>
      </c>
    </row>
    <row r="782" spans="1:26" x14ac:dyDescent="0.2">
      <c r="A782" t="s">
        <v>173</v>
      </c>
      <c r="B782">
        <v>2017</v>
      </c>
      <c r="C782" t="s">
        <v>816</v>
      </c>
      <c r="D782" t="s">
        <v>820</v>
      </c>
      <c r="E782" t="s">
        <v>34</v>
      </c>
      <c r="F782" t="s">
        <v>325</v>
      </c>
      <c r="G782">
        <v>32.669739</v>
      </c>
      <c r="H782">
        <v>-117.246342</v>
      </c>
      <c r="I782" t="s">
        <v>772</v>
      </c>
      <c r="J782" t="s">
        <v>7</v>
      </c>
      <c r="K782" t="s">
        <v>3</v>
      </c>
      <c r="L782" t="s">
        <v>3</v>
      </c>
      <c r="M782" t="s">
        <v>12</v>
      </c>
      <c r="N782" t="s">
        <v>85</v>
      </c>
      <c r="O782" t="s">
        <v>12</v>
      </c>
      <c r="P782" t="s">
        <v>70</v>
      </c>
      <c r="Q782">
        <f>11*7</f>
        <v>77</v>
      </c>
      <c r="R782" t="s">
        <v>213</v>
      </c>
      <c r="S782" t="s">
        <v>7</v>
      </c>
      <c r="T782">
        <v>5</v>
      </c>
      <c r="U782">
        <v>7.9</v>
      </c>
      <c r="V782">
        <v>455</v>
      </c>
      <c r="W782">
        <v>12</v>
      </c>
      <c r="X782">
        <v>57.56</v>
      </c>
      <c r="Y782">
        <f t="shared" si="16"/>
        <v>12.678505432423796</v>
      </c>
      <c r="Z782">
        <f>63.23-X782</f>
        <v>5.6699999999999946</v>
      </c>
    </row>
    <row r="783" spans="1:26" x14ac:dyDescent="0.2">
      <c r="A783" t="s">
        <v>173</v>
      </c>
      <c r="B783">
        <v>2017</v>
      </c>
      <c r="C783" t="s">
        <v>816</v>
      </c>
      <c r="D783" t="s">
        <v>820</v>
      </c>
      <c r="E783" t="s">
        <v>34</v>
      </c>
      <c r="F783" t="s">
        <v>325</v>
      </c>
      <c r="G783">
        <v>32.669739</v>
      </c>
      <c r="H783">
        <v>-117.246342</v>
      </c>
      <c r="I783" t="s">
        <v>772</v>
      </c>
      <c r="J783" t="s">
        <v>14</v>
      </c>
      <c r="K783" t="s">
        <v>3</v>
      </c>
      <c r="L783" t="s">
        <v>3</v>
      </c>
      <c r="M783" t="s">
        <v>12</v>
      </c>
      <c r="N783" t="s">
        <v>85</v>
      </c>
      <c r="O783" t="s">
        <v>12</v>
      </c>
      <c r="P783" t="s">
        <v>70</v>
      </c>
      <c r="Q783">
        <v>77</v>
      </c>
      <c r="R783" t="s">
        <v>213</v>
      </c>
      <c r="S783" t="s">
        <v>27</v>
      </c>
      <c r="T783">
        <v>5</v>
      </c>
      <c r="U783" t="s">
        <v>28</v>
      </c>
      <c r="V783" t="s">
        <v>28</v>
      </c>
      <c r="W783">
        <v>15</v>
      </c>
      <c r="X783">
        <v>28.18</v>
      </c>
      <c r="Y783">
        <f t="shared" si="16"/>
        <v>20.750710831198052</v>
      </c>
      <c r="Z783">
        <f>37.46-X783</f>
        <v>9.2800000000000011</v>
      </c>
    </row>
    <row r="784" spans="1:26" x14ac:dyDescent="0.2">
      <c r="A784" t="s">
        <v>173</v>
      </c>
      <c r="B784">
        <v>2017</v>
      </c>
      <c r="C784" t="s">
        <v>816</v>
      </c>
      <c r="D784" t="s">
        <v>820</v>
      </c>
      <c r="E784" t="s">
        <v>34</v>
      </c>
      <c r="F784" t="s">
        <v>325</v>
      </c>
      <c r="G784">
        <v>32.669739</v>
      </c>
      <c r="H784">
        <v>-117.246342</v>
      </c>
      <c r="I784" t="s">
        <v>772</v>
      </c>
      <c r="J784" t="s">
        <v>5</v>
      </c>
      <c r="K784" t="s">
        <v>3</v>
      </c>
      <c r="L784" t="s">
        <v>3</v>
      </c>
      <c r="M784" t="s">
        <v>12</v>
      </c>
      <c r="N784" t="s">
        <v>85</v>
      </c>
      <c r="O784" t="s">
        <v>12</v>
      </c>
      <c r="P784" t="s">
        <v>70</v>
      </c>
      <c r="Q784">
        <v>77</v>
      </c>
      <c r="R784" t="s">
        <v>213</v>
      </c>
      <c r="S784" t="s">
        <v>9</v>
      </c>
      <c r="T784">
        <v>5</v>
      </c>
      <c r="U784">
        <v>7.3</v>
      </c>
      <c r="V784">
        <v>1509</v>
      </c>
      <c r="W784" t="s">
        <v>28</v>
      </c>
      <c r="X784">
        <v>55.24</v>
      </c>
      <c r="Y784">
        <f t="shared" si="16"/>
        <v>15.94316467957349</v>
      </c>
      <c r="Z784">
        <f>62.37-X784</f>
        <v>7.1299999999999955</v>
      </c>
    </row>
    <row r="785" spans="1:30" x14ac:dyDescent="0.2">
      <c r="A785" t="s">
        <v>173</v>
      </c>
      <c r="B785">
        <v>2017</v>
      </c>
      <c r="C785" t="s">
        <v>816</v>
      </c>
      <c r="D785" t="s">
        <v>820</v>
      </c>
      <c r="E785" t="s">
        <v>34</v>
      </c>
      <c r="F785" t="s">
        <v>325</v>
      </c>
      <c r="G785">
        <v>32.669739</v>
      </c>
      <c r="H785">
        <v>-117.246342</v>
      </c>
      <c r="I785" t="s">
        <v>772</v>
      </c>
      <c r="J785" t="s">
        <v>16</v>
      </c>
      <c r="K785" t="s">
        <v>3</v>
      </c>
      <c r="L785" t="s">
        <v>3</v>
      </c>
      <c r="M785" t="s">
        <v>12</v>
      </c>
      <c r="N785" t="s">
        <v>85</v>
      </c>
      <c r="O785" t="s">
        <v>12</v>
      </c>
      <c r="P785" t="s">
        <v>70</v>
      </c>
      <c r="Q785">
        <v>77</v>
      </c>
      <c r="R785" t="s">
        <v>213</v>
      </c>
      <c r="S785" t="s">
        <v>13</v>
      </c>
      <c r="T785">
        <v>5</v>
      </c>
      <c r="U785">
        <v>7.3</v>
      </c>
      <c r="V785">
        <v>1509</v>
      </c>
      <c r="W785">
        <v>15</v>
      </c>
      <c r="X785">
        <v>59.36</v>
      </c>
      <c r="Y785">
        <f t="shared" si="16"/>
        <v>27.48127544347243</v>
      </c>
      <c r="Z785">
        <f>71.65-X785</f>
        <v>12.290000000000006</v>
      </c>
    </row>
    <row r="786" spans="1:30" x14ac:dyDescent="0.2">
      <c r="A786" t="s">
        <v>173</v>
      </c>
      <c r="B786">
        <v>2017</v>
      </c>
      <c r="C786" t="s">
        <v>816</v>
      </c>
      <c r="D786" t="s">
        <v>820</v>
      </c>
      <c r="E786" t="s">
        <v>34</v>
      </c>
      <c r="F786" t="s">
        <v>325</v>
      </c>
      <c r="G786">
        <v>32.669739</v>
      </c>
      <c r="H786">
        <v>-117.246342</v>
      </c>
      <c r="I786" t="s">
        <v>772</v>
      </c>
      <c r="J786" t="s">
        <v>7</v>
      </c>
      <c r="K786" t="s">
        <v>40</v>
      </c>
      <c r="L786" t="s">
        <v>3</v>
      </c>
      <c r="M786" t="s">
        <v>26</v>
      </c>
      <c r="N786" t="s">
        <v>85</v>
      </c>
      <c r="O786" s="6" t="s">
        <v>356</v>
      </c>
      <c r="P786" s="6" t="s">
        <v>65</v>
      </c>
      <c r="Q786" s="6">
        <v>77</v>
      </c>
      <c r="R786" t="s">
        <v>213</v>
      </c>
      <c r="S786" s="6" t="s">
        <v>7</v>
      </c>
      <c r="T786" s="6">
        <v>15</v>
      </c>
      <c r="U786" s="6">
        <v>7.9</v>
      </c>
      <c r="V786" s="6">
        <v>455</v>
      </c>
      <c r="W786" s="6">
        <v>12</v>
      </c>
      <c r="X786">
        <v>349</v>
      </c>
      <c r="Y786" s="6">
        <f t="shared" si="16"/>
        <v>24.01249674648594</v>
      </c>
      <c r="Z786" s="6">
        <v>6.1999999999999886</v>
      </c>
      <c r="AA786" s="6"/>
      <c r="AB786" s="6"/>
      <c r="AD786" s="6"/>
    </row>
    <row r="787" spans="1:30" x14ac:dyDescent="0.2">
      <c r="A787" t="s">
        <v>173</v>
      </c>
      <c r="B787">
        <v>2017</v>
      </c>
      <c r="C787" t="s">
        <v>816</v>
      </c>
      <c r="D787" t="s">
        <v>820</v>
      </c>
      <c r="E787" t="s">
        <v>34</v>
      </c>
      <c r="F787" t="s">
        <v>325</v>
      </c>
      <c r="G787">
        <v>32.669739</v>
      </c>
      <c r="H787">
        <v>-117.246342</v>
      </c>
      <c r="I787" t="s">
        <v>772</v>
      </c>
      <c r="J787" t="s">
        <v>5</v>
      </c>
      <c r="K787" t="s">
        <v>40</v>
      </c>
      <c r="L787" t="s">
        <v>3</v>
      </c>
      <c r="M787" t="s">
        <v>26</v>
      </c>
      <c r="N787" t="s">
        <v>85</v>
      </c>
      <c r="O787" s="6" t="s">
        <v>356</v>
      </c>
      <c r="P787" s="6" t="s">
        <v>65</v>
      </c>
      <c r="Q787" s="6">
        <v>77</v>
      </c>
      <c r="R787" t="s">
        <v>213</v>
      </c>
      <c r="S787" s="6" t="s">
        <v>9</v>
      </c>
      <c r="T787" s="6">
        <v>15</v>
      </c>
      <c r="U787" s="6">
        <v>7.3</v>
      </c>
      <c r="V787" s="6">
        <v>1509</v>
      </c>
      <c r="W787" t="s">
        <v>28</v>
      </c>
      <c r="X787">
        <v>326.3</v>
      </c>
      <c r="Y787" s="6">
        <f t="shared" si="16"/>
        <v>29.821971765797066</v>
      </c>
      <c r="Z787" s="6">
        <v>7.6999999999999886</v>
      </c>
      <c r="AA787" s="6"/>
      <c r="AB787" s="6"/>
      <c r="AD787" s="6"/>
    </row>
    <row r="788" spans="1:30" x14ac:dyDescent="0.2">
      <c r="A788" t="s">
        <v>173</v>
      </c>
      <c r="B788">
        <v>2017</v>
      </c>
      <c r="C788" t="s">
        <v>816</v>
      </c>
      <c r="D788" t="s">
        <v>820</v>
      </c>
      <c r="E788" t="s">
        <v>34</v>
      </c>
      <c r="F788" t="s">
        <v>325</v>
      </c>
      <c r="G788">
        <v>32.669739</v>
      </c>
      <c r="H788">
        <v>-117.246342</v>
      </c>
      <c r="I788" t="s">
        <v>772</v>
      </c>
      <c r="J788" t="s">
        <v>14</v>
      </c>
      <c r="K788" t="s">
        <v>40</v>
      </c>
      <c r="L788" t="s">
        <v>3</v>
      </c>
      <c r="M788" t="s">
        <v>26</v>
      </c>
      <c r="N788" t="s">
        <v>85</v>
      </c>
      <c r="O788" s="6" t="s">
        <v>356</v>
      </c>
      <c r="P788" s="6" t="s">
        <v>65</v>
      </c>
      <c r="Q788" s="6">
        <v>77</v>
      </c>
      <c r="R788" t="s">
        <v>213</v>
      </c>
      <c r="S788" s="6" t="s">
        <v>27</v>
      </c>
      <c r="T788" s="6">
        <v>15</v>
      </c>
      <c r="U788" t="s">
        <v>28</v>
      </c>
      <c r="V788" t="s">
        <v>28</v>
      </c>
      <c r="W788" s="6">
        <v>15</v>
      </c>
      <c r="X788">
        <v>311.89999999999998</v>
      </c>
      <c r="Y788" s="6">
        <f t="shared" si="16"/>
        <v>21.688706738761624</v>
      </c>
      <c r="Z788" s="6">
        <v>5.6000000000000227</v>
      </c>
      <c r="AA788" s="6"/>
      <c r="AB788" s="6"/>
      <c r="AD788" s="6"/>
    </row>
    <row r="789" spans="1:30" x14ac:dyDescent="0.2">
      <c r="A789" t="s">
        <v>173</v>
      </c>
      <c r="B789">
        <v>2017</v>
      </c>
      <c r="C789" t="s">
        <v>816</v>
      </c>
      <c r="D789" t="s">
        <v>820</v>
      </c>
      <c r="E789" t="s">
        <v>34</v>
      </c>
      <c r="F789" t="s">
        <v>325</v>
      </c>
      <c r="G789">
        <v>32.669739</v>
      </c>
      <c r="H789">
        <v>-117.246342</v>
      </c>
      <c r="I789" t="s">
        <v>772</v>
      </c>
      <c r="J789" t="s">
        <v>16</v>
      </c>
      <c r="K789" t="s">
        <v>40</v>
      </c>
      <c r="L789" t="s">
        <v>3</v>
      </c>
      <c r="M789" t="s">
        <v>26</v>
      </c>
      <c r="N789" t="s">
        <v>85</v>
      </c>
      <c r="O789" s="6" t="s">
        <v>356</v>
      </c>
      <c r="P789" s="6" t="s">
        <v>65</v>
      </c>
      <c r="Q789" s="6">
        <v>77</v>
      </c>
      <c r="R789" t="s">
        <v>213</v>
      </c>
      <c r="S789" s="6" t="s">
        <v>13</v>
      </c>
      <c r="T789" s="6">
        <v>15</v>
      </c>
      <c r="U789" s="6">
        <v>7.3</v>
      </c>
      <c r="V789" s="6">
        <v>1509</v>
      </c>
      <c r="W789" s="6">
        <v>15</v>
      </c>
      <c r="X789">
        <v>364.4</v>
      </c>
      <c r="Y789" s="6">
        <f t="shared" si="16"/>
        <v>24.012496746486161</v>
      </c>
      <c r="Z789" s="6">
        <v>6.2000000000000455</v>
      </c>
      <c r="AA789" s="6"/>
      <c r="AB789" s="6"/>
      <c r="AD789" s="6"/>
    </row>
    <row r="790" spans="1:30" x14ac:dyDescent="0.2">
      <c r="A790" t="s">
        <v>173</v>
      </c>
      <c r="B790">
        <v>2017</v>
      </c>
      <c r="C790" t="s">
        <v>816</v>
      </c>
      <c r="D790" t="s">
        <v>820</v>
      </c>
      <c r="E790" t="s">
        <v>34</v>
      </c>
      <c r="F790" t="s">
        <v>325</v>
      </c>
      <c r="G790">
        <v>32.669739</v>
      </c>
      <c r="H790">
        <v>-117.246342</v>
      </c>
      <c r="I790" t="s">
        <v>772</v>
      </c>
      <c r="J790" t="s">
        <v>7</v>
      </c>
      <c r="K790" t="s">
        <v>41</v>
      </c>
      <c r="L790" t="s">
        <v>3</v>
      </c>
      <c r="M790" t="s">
        <v>26</v>
      </c>
      <c r="N790" t="s">
        <v>85</v>
      </c>
      <c r="O790" s="6" t="s">
        <v>356</v>
      </c>
      <c r="P790" s="6" t="s">
        <v>65</v>
      </c>
      <c r="Q790" s="6">
        <v>77</v>
      </c>
      <c r="R790" t="s">
        <v>213</v>
      </c>
      <c r="S790" s="6" t="s">
        <v>7</v>
      </c>
      <c r="T790" s="6">
        <v>15</v>
      </c>
      <c r="U790" s="6">
        <v>7.9</v>
      </c>
      <c r="V790" s="6">
        <v>455</v>
      </c>
      <c r="W790" s="6">
        <v>12</v>
      </c>
      <c r="X790">
        <v>182.5</v>
      </c>
      <c r="Y790" s="6">
        <f t="shared" si="16"/>
        <v>15.879231719450388</v>
      </c>
      <c r="Z790" s="6">
        <v>4.0999999999999943</v>
      </c>
      <c r="AA790" s="6"/>
      <c r="AB790" s="6"/>
      <c r="AD790" s="6"/>
    </row>
    <row r="791" spans="1:30" x14ac:dyDescent="0.2">
      <c r="A791" t="s">
        <v>173</v>
      </c>
      <c r="B791">
        <v>2017</v>
      </c>
      <c r="C791" t="s">
        <v>816</v>
      </c>
      <c r="D791" t="s">
        <v>820</v>
      </c>
      <c r="E791" t="s">
        <v>34</v>
      </c>
      <c r="F791" t="s">
        <v>325</v>
      </c>
      <c r="G791">
        <v>32.669739</v>
      </c>
      <c r="H791">
        <v>-117.246342</v>
      </c>
      <c r="I791" t="s">
        <v>772</v>
      </c>
      <c r="J791" t="s">
        <v>5</v>
      </c>
      <c r="K791" t="s">
        <v>41</v>
      </c>
      <c r="L791" t="s">
        <v>3</v>
      </c>
      <c r="M791" t="s">
        <v>26</v>
      </c>
      <c r="N791" t="s">
        <v>85</v>
      </c>
      <c r="O791" s="6" t="s">
        <v>356</v>
      </c>
      <c r="P791" s="6" t="s">
        <v>65</v>
      </c>
      <c r="Q791" s="6">
        <v>77</v>
      </c>
      <c r="R791" t="s">
        <v>213</v>
      </c>
      <c r="S791" s="6" t="s">
        <v>9</v>
      </c>
      <c r="T791" s="6">
        <v>15</v>
      </c>
      <c r="U791" s="6">
        <v>7.3</v>
      </c>
      <c r="V791" s="6">
        <v>1509</v>
      </c>
      <c r="W791" t="s">
        <v>28</v>
      </c>
      <c r="X791">
        <v>188.1</v>
      </c>
      <c r="Y791" s="6">
        <f t="shared" si="16"/>
        <v>18.203021727174924</v>
      </c>
      <c r="Z791" s="6">
        <v>4.7000000000000171</v>
      </c>
      <c r="AA791" s="6"/>
      <c r="AB791" s="6"/>
      <c r="AD791" s="6"/>
    </row>
    <row r="792" spans="1:30" x14ac:dyDescent="0.2">
      <c r="A792" t="s">
        <v>173</v>
      </c>
      <c r="B792">
        <v>2017</v>
      </c>
      <c r="C792" t="s">
        <v>816</v>
      </c>
      <c r="D792" t="s">
        <v>820</v>
      </c>
      <c r="E792" t="s">
        <v>34</v>
      </c>
      <c r="F792" t="s">
        <v>325</v>
      </c>
      <c r="G792">
        <v>32.669739</v>
      </c>
      <c r="H792">
        <v>-117.246342</v>
      </c>
      <c r="I792" t="s">
        <v>772</v>
      </c>
      <c r="J792" t="s">
        <v>14</v>
      </c>
      <c r="K792" t="s">
        <v>41</v>
      </c>
      <c r="L792" t="s">
        <v>3</v>
      </c>
      <c r="M792" t="s">
        <v>26</v>
      </c>
      <c r="N792" t="s">
        <v>85</v>
      </c>
      <c r="O792" s="6" t="s">
        <v>356</v>
      </c>
      <c r="P792" s="6" t="s">
        <v>65</v>
      </c>
      <c r="Q792" s="6">
        <v>77</v>
      </c>
      <c r="R792" t="s">
        <v>213</v>
      </c>
      <c r="S792" s="6" t="s">
        <v>27</v>
      </c>
      <c r="T792" s="6">
        <v>15</v>
      </c>
      <c r="U792" t="s">
        <v>28</v>
      </c>
      <c r="V792" t="s">
        <v>28</v>
      </c>
      <c r="W792" s="6">
        <v>15</v>
      </c>
      <c r="X792">
        <v>183</v>
      </c>
      <c r="Y792" s="6">
        <f t="shared" si="16"/>
        <v>12.00624837324297</v>
      </c>
      <c r="Z792" s="6">
        <v>3.0999999999999943</v>
      </c>
      <c r="AA792" s="6"/>
      <c r="AB792" s="6"/>
      <c r="AD792" s="6"/>
    </row>
    <row r="793" spans="1:30" x14ac:dyDescent="0.2">
      <c r="A793" t="s">
        <v>173</v>
      </c>
      <c r="B793">
        <v>2017</v>
      </c>
      <c r="C793" t="s">
        <v>816</v>
      </c>
      <c r="D793" t="s">
        <v>820</v>
      </c>
      <c r="E793" t="s">
        <v>34</v>
      </c>
      <c r="F793" t="s">
        <v>325</v>
      </c>
      <c r="G793">
        <v>32.669739</v>
      </c>
      <c r="H793">
        <v>-117.246342</v>
      </c>
      <c r="I793" t="s">
        <v>772</v>
      </c>
      <c r="J793" t="s">
        <v>16</v>
      </c>
      <c r="K793" t="s">
        <v>41</v>
      </c>
      <c r="L793" t="s">
        <v>3</v>
      </c>
      <c r="M793" t="s">
        <v>26</v>
      </c>
      <c r="N793" t="s">
        <v>85</v>
      </c>
      <c r="O793" s="6" t="s">
        <v>356</v>
      </c>
      <c r="P793" s="6" t="s">
        <v>65</v>
      </c>
      <c r="Q793" s="6">
        <v>77</v>
      </c>
      <c r="R793" t="s">
        <v>213</v>
      </c>
      <c r="S793" s="6" t="s">
        <v>13</v>
      </c>
      <c r="T793" s="6">
        <v>15</v>
      </c>
      <c r="U793" s="6">
        <v>7.3</v>
      </c>
      <c r="V793" s="6">
        <v>1509</v>
      </c>
      <c r="W793" s="6">
        <v>15</v>
      </c>
      <c r="X793">
        <v>195.4</v>
      </c>
      <c r="Y793" s="6">
        <f t="shared" si="16"/>
        <v>17.815723392554098</v>
      </c>
      <c r="Z793" s="6">
        <v>4.5999999999999943</v>
      </c>
      <c r="AA793" s="6"/>
      <c r="AB793" s="6"/>
      <c r="AD793" s="6"/>
    </row>
    <row r="794" spans="1:30" x14ac:dyDescent="0.2">
      <c r="A794" t="s">
        <v>173</v>
      </c>
      <c r="B794">
        <v>2017</v>
      </c>
      <c r="C794" t="s">
        <v>816</v>
      </c>
      <c r="D794" t="s">
        <v>820</v>
      </c>
      <c r="E794" t="s">
        <v>34</v>
      </c>
      <c r="F794" t="s">
        <v>325</v>
      </c>
      <c r="G794">
        <v>32.669739</v>
      </c>
      <c r="H794">
        <v>-117.246342</v>
      </c>
      <c r="I794" t="s">
        <v>772</v>
      </c>
      <c r="J794" t="s">
        <v>7</v>
      </c>
      <c r="K794" t="s">
        <v>140</v>
      </c>
      <c r="L794" t="s">
        <v>143</v>
      </c>
      <c r="M794" t="s">
        <v>12</v>
      </c>
      <c r="N794" t="s">
        <v>85</v>
      </c>
      <c r="O794" t="s">
        <v>141</v>
      </c>
      <c r="P794" t="s">
        <v>74</v>
      </c>
      <c r="Q794">
        <f>7*15</f>
        <v>105</v>
      </c>
      <c r="R794" t="s">
        <v>213</v>
      </c>
      <c r="S794" t="s">
        <v>7</v>
      </c>
      <c r="T794">
        <v>5</v>
      </c>
      <c r="U794">
        <v>7.9</v>
      </c>
      <c r="V794">
        <v>455</v>
      </c>
      <c r="W794">
        <v>12</v>
      </c>
      <c r="X794">
        <v>8.1999999999999993</v>
      </c>
      <c r="Y794">
        <f t="shared" si="16"/>
        <v>2.571478174124759</v>
      </c>
      <c r="Z794">
        <f>9.35-X794</f>
        <v>1.1500000000000004</v>
      </c>
    </row>
    <row r="795" spans="1:30" x14ac:dyDescent="0.2">
      <c r="A795" t="s">
        <v>173</v>
      </c>
      <c r="B795">
        <v>2017</v>
      </c>
      <c r="C795" t="s">
        <v>816</v>
      </c>
      <c r="D795" t="s">
        <v>820</v>
      </c>
      <c r="E795" t="s">
        <v>34</v>
      </c>
      <c r="F795" t="s">
        <v>325</v>
      </c>
      <c r="G795">
        <v>32.669739</v>
      </c>
      <c r="H795">
        <v>-117.246342</v>
      </c>
      <c r="I795" t="s">
        <v>772</v>
      </c>
      <c r="J795" t="s">
        <v>5</v>
      </c>
      <c r="K795" t="s">
        <v>140</v>
      </c>
      <c r="L795" t="s">
        <v>143</v>
      </c>
      <c r="M795" t="s">
        <v>12</v>
      </c>
      <c r="N795" t="s">
        <v>85</v>
      </c>
      <c r="O795" t="s">
        <v>141</v>
      </c>
      <c r="P795" t="s">
        <v>74</v>
      </c>
      <c r="Q795">
        <f>7*15</f>
        <v>105</v>
      </c>
      <c r="R795" t="s">
        <v>213</v>
      </c>
      <c r="S795" t="s">
        <v>9</v>
      </c>
      <c r="T795">
        <v>5</v>
      </c>
      <c r="U795">
        <v>7.3</v>
      </c>
      <c r="V795">
        <v>1509</v>
      </c>
      <c r="W795" t="s">
        <v>28</v>
      </c>
      <c r="X795">
        <v>16.510000000000002</v>
      </c>
      <c r="Y795">
        <f t="shared" si="16"/>
        <v>3.0186917696247115</v>
      </c>
      <c r="Z795">
        <f>17.86-X795</f>
        <v>1.3499999999999979</v>
      </c>
    </row>
    <row r="796" spans="1:30" x14ac:dyDescent="0.2">
      <c r="A796" t="s">
        <v>173</v>
      </c>
      <c r="B796">
        <v>2017</v>
      </c>
      <c r="C796" t="s">
        <v>816</v>
      </c>
      <c r="D796" t="s">
        <v>820</v>
      </c>
      <c r="E796" t="s">
        <v>34</v>
      </c>
      <c r="F796" t="s">
        <v>325</v>
      </c>
      <c r="G796">
        <v>32.669739</v>
      </c>
      <c r="H796">
        <v>-117.246342</v>
      </c>
      <c r="I796" t="s">
        <v>772</v>
      </c>
      <c r="J796" t="s">
        <v>14</v>
      </c>
      <c r="K796" t="s">
        <v>140</v>
      </c>
      <c r="L796" t="s">
        <v>143</v>
      </c>
      <c r="M796" t="s">
        <v>12</v>
      </c>
      <c r="N796" t="s">
        <v>85</v>
      </c>
      <c r="O796" t="s">
        <v>141</v>
      </c>
      <c r="P796" t="s">
        <v>74</v>
      </c>
      <c r="Q796">
        <f>7*15</f>
        <v>105</v>
      </c>
      <c r="R796" t="s">
        <v>213</v>
      </c>
      <c r="S796" t="s">
        <v>27</v>
      </c>
      <c r="T796">
        <v>5</v>
      </c>
      <c r="U796" t="s">
        <v>28</v>
      </c>
      <c r="V796" t="s">
        <v>28</v>
      </c>
      <c r="W796">
        <v>15</v>
      </c>
      <c r="X796">
        <v>4.6500000000000004</v>
      </c>
      <c r="Y796">
        <f t="shared" si="16"/>
        <v>2.8398063314247319</v>
      </c>
      <c r="Z796">
        <f>5.92-X796</f>
        <v>1.2699999999999996</v>
      </c>
    </row>
    <row r="797" spans="1:30" x14ac:dyDescent="0.2">
      <c r="A797" t="s">
        <v>173</v>
      </c>
      <c r="B797">
        <v>2017</v>
      </c>
      <c r="C797" t="s">
        <v>816</v>
      </c>
      <c r="D797" t="s">
        <v>820</v>
      </c>
      <c r="E797" t="s">
        <v>34</v>
      </c>
      <c r="F797" t="s">
        <v>325</v>
      </c>
      <c r="G797">
        <v>32.669739</v>
      </c>
      <c r="H797">
        <v>-117.246342</v>
      </c>
      <c r="I797" t="s">
        <v>772</v>
      </c>
      <c r="J797" t="s">
        <v>16</v>
      </c>
      <c r="K797" t="s">
        <v>140</v>
      </c>
      <c r="L797" t="s">
        <v>143</v>
      </c>
      <c r="M797" t="s">
        <v>12</v>
      </c>
      <c r="N797" t="s">
        <v>85</v>
      </c>
      <c r="O797" t="s">
        <v>141</v>
      </c>
      <c r="P797" t="s">
        <v>74</v>
      </c>
      <c r="Q797">
        <f>7*15</f>
        <v>105</v>
      </c>
      <c r="R797" t="s">
        <v>213</v>
      </c>
      <c r="S797" t="s">
        <v>13</v>
      </c>
      <c r="T797">
        <v>5</v>
      </c>
      <c r="U797">
        <v>7.3</v>
      </c>
      <c r="V797">
        <v>1509</v>
      </c>
      <c r="W797">
        <v>15</v>
      </c>
      <c r="X797">
        <v>8.42</v>
      </c>
      <c r="Y797">
        <f t="shared" si="16"/>
        <v>1.498165544924859</v>
      </c>
      <c r="Z797">
        <f>9.09-X797</f>
        <v>0.66999999999999993</v>
      </c>
    </row>
    <row r="798" spans="1:30" x14ac:dyDescent="0.2">
      <c r="A798" t="s">
        <v>173</v>
      </c>
      <c r="B798">
        <v>2017</v>
      </c>
      <c r="C798" t="s">
        <v>816</v>
      </c>
      <c r="D798" t="s">
        <v>820</v>
      </c>
      <c r="E798" t="s">
        <v>34</v>
      </c>
      <c r="F798" t="s">
        <v>325</v>
      </c>
      <c r="G798">
        <v>32.669739</v>
      </c>
      <c r="H798">
        <v>-117.246342</v>
      </c>
      <c r="I798" t="s">
        <v>772</v>
      </c>
      <c r="J798" t="s">
        <v>7</v>
      </c>
      <c r="K798" t="s">
        <v>140</v>
      </c>
      <c r="L798" t="s">
        <v>143</v>
      </c>
      <c r="M798" t="s">
        <v>26</v>
      </c>
      <c r="N798" t="s">
        <v>85</v>
      </c>
      <c r="O798" s="6" t="s">
        <v>356</v>
      </c>
      <c r="P798" s="6" t="s">
        <v>65</v>
      </c>
      <c r="Q798">
        <f t="shared" ref="Q798:Q801" si="17">7*15</f>
        <v>105</v>
      </c>
      <c r="R798" t="s">
        <v>213</v>
      </c>
      <c r="S798" t="s">
        <v>7</v>
      </c>
      <c r="T798">
        <v>5</v>
      </c>
      <c r="U798">
        <v>7.9</v>
      </c>
      <c r="V798">
        <v>455</v>
      </c>
      <c r="W798">
        <v>12</v>
      </c>
      <c r="X798">
        <v>19.079999999999998</v>
      </c>
      <c r="Y798" s="6">
        <f t="shared" si="16"/>
        <v>6.7082039324993694</v>
      </c>
      <c r="Z798" s="6">
        <v>3</v>
      </c>
      <c r="AA798" s="6"/>
      <c r="AB798" s="6"/>
      <c r="AD798" s="6"/>
    </row>
    <row r="799" spans="1:30" x14ac:dyDescent="0.2">
      <c r="A799" t="s">
        <v>173</v>
      </c>
      <c r="B799">
        <v>2017</v>
      </c>
      <c r="C799" t="s">
        <v>816</v>
      </c>
      <c r="D799" t="s">
        <v>820</v>
      </c>
      <c r="E799" t="s">
        <v>34</v>
      </c>
      <c r="F799" t="s">
        <v>325</v>
      </c>
      <c r="G799">
        <v>32.669739</v>
      </c>
      <c r="H799">
        <v>-117.246342</v>
      </c>
      <c r="I799" t="s">
        <v>772</v>
      </c>
      <c r="J799" t="s">
        <v>5</v>
      </c>
      <c r="K799" t="s">
        <v>140</v>
      </c>
      <c r="L799" t="s">
        <v>143</v>
      </c>
      <c r="M799" t="s">
        <v>26</v>
      </c>
      <c r="N799" t="s">
        <v>85</v>
      </c>
      <c r="O799" s="6" t="s">
        <v>356</v>
      </c>
      <c r="P799" s="6" t="s">
        <v>65</v>
      </c>
      <c r="Q799">
        <f t="shared" si="17"/>
        <v>105</v>
      </c>
      <c r="R799" t="s">
        <v>213</v>
      </c>
      <c r="S799" t="s">
        <v>9</v>
      </c>
      <c r="T799">
        <v>5</v>
      </c>
      <c r="U799">
        <v>7.3</v>
      </c>
      <c r="V799">
        <v>1509</v>
      </c>
      <c r="W799" t="s">
        <v>28</v>
      </c>
      <c r="X799">
        <v>25.89</v>
      </c>
      <c r="Y799" s="6">
        <f t="shared" si="16"/>
        <v>7.893319960574261</v>
      </c>
      <c r="Z799" s="6">
        <v>3.5300000000000011</v>
      </c>
      <c r="AA799" s="6"/>
      <c r="AB799" s="6"/>
      <c r="AD799" s="6"/>
    </row>
    <row r="800" spans="1:30" x14ac:dyDescent="0.2">
      <c r="A800" t="s">
        <v>173</v>
      </c>
      <c r="B800">
        <v>2017</v>
      </c>
      <c r="C800" t="s">
        <v>816</v>
      </c>
      <c r="D800" t="s">
        <v>820</v>
      </c>
      <c r="E800" t="s">
        <v>34</v>
      </c>
      <c r="F800" t="s">
        <v>325</v>
      </c>
      <c r="G800">
        <v>32.669739</v>
      </c>
      <c r="H800">
        <v>-117.246342</v>
      </c>
      <c r="I800" t="s">
        <v>772</v>
      </c>
      <c r="J800" t="s">
        <v>14</v>
      </c>
      <c r="K800" t="s">
        <v>140</v>
      </c>
      <c r="L800" t="s">
        <v>143</v>
      </c>
      <c r="M800" t="s">
        <v>26</v>
      </c>
      <c r="N800" t="s">
        <v>85</v>
      </c>
      <c r="O800" s="6" t="s">
        <v>356</v>
      </c>
      <c r="P800" s="6" t="s">
        <v>65</v>
      </c>
      <c r="Q800">
        <f t="shared" si="17"/>
        <v>105</v>
      </c>
      <c r="R800" t="s">
        <v>213</v>
      </c>
      <c r="S800" t="s">
        <v>27</v>
      </c>
      <c r="T800">
        <v>5</v>
      </c>
      <c r="U800" t="s">
        <v>28</v>
      </c>
      <c r="V800" t="s">
        <v>28</v>
      </c>
      <c r="W800">
        <v>15</v>
      </c>
      <c r="X800">
        <v>18.36</v>
      </c>
      <c r="Y800" s="6">
        <f t="shared" si="16"/>
        <v>11.560471443673917</v>
      </c>
      <c r="Z800" s="6">
        <v>5.1700000000000017</v>
      </c>
      <c r="AA800" s="6"/>
      <c r="AB800" s="6"/>
      <c r="AD800" s="6"/>
    </row>
    <row r="801" spans="1:30" x14ac:dyDescent="0.2">
      <c r="A801" t="s">
        <v>173</v>
      </c>
      <c r="B801">
        <v>2017</v>
      </c>
      <c r="C801" t="s">
        <v>816</v>
      </c>
      <c r="D801" t="s">
        <v>820</v>
      </c>
      <c r="E801" t="s">
        <v>34</v>
      </c>
      <c r="F801" t="s">
        <v>325</v>
      </c>
      <c r="G801">
        <v>32.669739</v>
      </c>
      <c r="H801">
        <v>-117.246342</v>
      </c>
      <c r="I801" t="s">
        <v>772</v>
      </c>
      <c r="J801" t="s">
        <v>16</v>
      </c>
      <c r="K801" t="s">
        <v>140</v>
      </c>
      <c r="L801" t="s">
        <v>143</v>
      </c>
      <c r="M801" t="s">
        <v>26</v>
      </c>
      <c r="N801" t="s">
        <v>85</v>
      </c>
      <c r="O801" s="6" t="s">
        <v>356</v>
      </c>
      <c r="P801" s="6" t="s">
        <v>65</v>
      </c>
      <c r="Q801">
        <f t="shared" si="17"/>
        <v>105</v>
      </c>
      <c r="R801" t="s">
        <v>213</v>
      </c>
      <c r="S801" t="s">
        <v>13</v>
      </c>
      <c r="T801">
        <v>5</v>
      </c>
      <c r="U801">
        <v>7.3</v>
      </c>
      <c r="V801">
        <v>1509</v>
      </c>
      <c r="W801">
        <v>15</v>
      </c>
      <c r="X801">
        <v>33.43</v>
      </c>
      <c r="Y801" s="6">
        <f t="shared" si="16"/>
        <v>6.2609903369994049</v>
      </c>
      <c r="Z801" s="6">
        <v>2.7999999999999972</v>
      </c>
      <c r="AA801" s="6"/>
      <c r="AB801" s="6"/>
      <c r="AD801" s="6"/>
    </row>
    <row r="802" spans="1:30" x14ac:dyDescent="0.2">
      <c r="A802" t="s">
        <v>174</v>
      </c>
      <c r="B802">
        <v>2014</v>
      </c>
      <c r="C802" t="s">
        <v>826</v>
      </c>
      <c r="D802" t="s">
        <v>812</v>
      </c>
      <c r="E802" t="s">
        <v>175</v>
      </c>
      <c r="F802" t="s">
        <v>176</v>
      </c>
      <c r="G802">
        <v>-34.923164</v>
      </c>
      <c r="H802">
        <v>138.395128</v>
      </c>
      <c r="I802" t="s">
        <v>772</v>
      </c>
      <c r="J802" t="s">
        <v>7</v>
      </c>
      <c r="K802" t="s">
        <v>3</v>
      </c>
      <c r="L802" t="s">
        <v>3</v>
      </c>
      <c r="M802" t="s">
        <v>12</v>
      </c>
      <c r="N802" t="s">
        <v>85</v>
      </c>
      <c r="O802" s="6" t="s">
        <v>141</v>
      </c>
      <c r="P802" s="6" t="s">
        <v>74</v>
      </c>
      <c r="Q802">
        <v>6</v>
      </c>
      <c r="R802" t="s">
        <v>213</v>
      </c>
      <c r="S802" t="s">
        <v>7</v>
      </c>
      <c r="T802">
        <v>2</v>
      </c>
      <c r="U802" t="s">
        <v>28</v>
      </c>
      <c r="V802" t="s">
        <v>28</v>
      </c>
      <c r="W802">
        <v>11.879999999999999</v>
      </c>
      <c r="X802">
        <v>5.5173777673777673</v>
      </c>
      <c r="Y802">
        <v>7.8027504673614256</v>
      </c>
    </row>
    <row r="803" spans="1:30" x14ac:dyDescent="0.2">
      <c r="A803" t="s">
        <v>174</v>
      </c>
      <c r="B803">
        <v>2014</v>
      </c>
      <c r="C803" t="s">
        <v>826</v>
      </c>
      <c r="D803" t="s">
        <v>812</v>
      </c>
      <c r="E803" t="s">
        <v>175</v>
      </c>
      <c r="F803" t="s">
        <v>176</v>
      </c>
      <c r="G803">
        <v>-34.923164</v>
      </c>
      <c r="H803">
        <v>138.395128</v>
      </c>
      <c r="I803" t="s">
        <v>772</v>
      </c>
      <c r="J803" t="s">
        <v>14</v>
      </c>
      <c r="K803" t="s">
        <v>3</v>
      </c>
      <c r="L803" t="s">
        <v>3</v>
      </c>
      <c r="M803" t="s">
        <v>12</v>
      </c>
      <c r="N803" t="s">
        <v>85</v>
      </c>
      <c r="O803" s="6" t="s">
        <v>141</v>
      </c>
      <c r="P803" s="6" t="s">
        <v>74</v>
      </c>
      <c r="Q803">
        <v>6</v>
      </c>
      <c r="R803" t="s">
        <v>213</v>
      </c>
      <c r="S803" t="s">
        <v>9</v>
      </c>
      <c r="T803">
        <v>2</v>
      </c>
      <c r="U803" t="s">
        <v>28</v>
      </c>
      <c r="V803" t="s">
        <v>28</v>
      </c>
      <c r="W803">
        <v>13.879999999999999</v>
      </c>
      <c r="X803">
        <v>12.138231088231088</v>
      </c>
      <c r="Y803">
        <v>4.6816502804168616</v>
      </c>
    </row>
    <row r="804" spans="1:30" x14ac:dyDescent="0.2">
      <c r="A804" t="s">
        <v>174</v>
      </c>
      <c r="B804">
        <v>2014</v>
      </c>
      <c r="C804" t="s">
        <v>826</v>
      </c>
      <c r="D804" t="s">
        <v>812</v>
      </c>
      <c r="E804" t="s">
        <v>175</v>
      </c>
      <c r="F804" t="s">
        <v>176</v>
      </c>
      <c r="G804">
        <v>-34.923164</v>
      </c>
      <c r="H804">
        <v>138.395128</v>
      </c>
      <c r="I804" t="s">
        <v>772</v>
      </c>
      <c r="J804" t="s">
        <v>14</v>
      </c>
      <c r="K804" t="s">
        <v>3</v>
      </c>
      <c r="L804" t="s">
        <v>3</v>
      </c>
      <c r="M804" t="s">
        <v>12</v>
      </c>
      <c r="N804" t="s">
        <v>85</v>
      </c>
      <c r="O804" s="6" t="s">
        <v>141</v>
      </c>
      <c r="P804" s="6" t="s">
        <v>74</v>
      </c>
      <c r="Q804">
        <v>6</v>
      </c>
      <c r="R804" t="s">
        <v>213</v>
      </c>
      <c r="S804" t="s">
        <v>27</v>
      </c>
      <c r="T804">
        <v>2</v>
      </c>
      <c r="U804" t="s">
        <v>28</v>
      </c>
      <c r="V804" t="s">
        <v>28</v>
      </c>
      <c r="W804">
        <v>15.9</v>
      </c>
      <c r="X804">
        <v>7.7243288743288741</v>
      </c>
      <c r="Y804">
        <v>7.8027504673614239</v>
      </c>
    </row>
    <row r="805" spans="1:30" x14ac:dyDescent="0.2">
      <c r="A805" t="s">
        <v>174</v>
      </c>
      <c r="B805">
        <v>2014</v>
      </c>
      <c r="C805" t="s">
        <v>826</v>
      </c>
      <c r="D805" t="s">
        <v>812</v>
      </c>
      <c r="E805" t="s">
        <v>175</v>
      </c>
      <c r="F805" t="s">
        <v>176</v>
      </c>
      <c r="G805">
        <v>-34.923164</v>
      </c>
      <c r="H805">
        <v>138.395128</v>
      </c>
      <c r="I805" t="s">
        <v>772</v>
      </c>
      <c r="J805" t="s">
        <v>14</v>
      </c>
      <c r="K805" t="s">
        <v>3</v>
      </c>
      <c r="L805" t="s">
        <v>3</v>
      </c>
      <c r="M805" t="s">
        <v>12</v>
      </c>
      <c r="N805" t="s">
        <v>85</v>
      </c>
      <c r="O805" s="6" t="s">
        <v>141</v>
      </c>
      <c r="P805" s="6" t="s">
        <v>74</v>
      </c>
      <c r="Q805">
        <v>6</v>
      </c>
      <c r="R805" t="s">
        <v>213</v>
      </c>
      <c r="S805" t="s">
        <v>13</v>
      </c>
      <c r="T805">
        <v>2</v>
      </c>
      <c r="U805" t="s">
        <v>28</v>
      </c>
      <c r="V805" t="s">
        <v>28</v>
      </c>
      <c r="W805">
        <v>17.86</v>
      </c>
      <c r="X805">
        <v>9.9312799812799817</v>
      </c>
      <c r="Y805">
        <v>1.5605500934722749</v>
      </c>
    </row>
    <row r="806" spans="1:30" x14ac:dyDescent="0.2">
      <c r="A806" t="s">
        <v>174</v>
      </c>
      <c r="B806">
        <v>2014</v>
      </c>
      <c r="C806" t="s">
        <v>826</v>
      </c>
      <c r="D806" t="s">
        <v>812</v>
      </c>
      <c r="E806" t="s">
        <v>175</v>
      </c>
      <c r="F806" t="s">
        <v>176</v>
      </c>
      <c r="G806">
        <v>-34.923164</v>
      </c>
      <c r="H806">
        <v>138.395128</v>
      </c>
      <c r="I806" t="s">
        <v>772</v>
      </c>
      <c r="J806" t="s">
        <v>14</v>
      </c>
      <c r="K806" t="s">
        <v>3</v>
      </c>
      <c r="L806" t="s">
        <v>3</v>
      </c>
      <c r="M806" t="s">
        <v>12</v>
      </c>
      <c r="N806" t="s">
        <v>85</v>
      </c>
      <c r="O806" s="6" t="s">
        <v>141</v>
      </c>
      <c r="P806" s="6" t="s">
        <v>74</v>
      </c>
      <c r="Q806">
        <v>6</v>
      </c>
      <c r="R806" t="s">
        <v>213</v>
      </c>
      <c r="S806" t="s">
        <v>15</v>
      </c>
      <c r="T806">
        <v>2</v>
      </c>
      <c r="U806" t="s">
        <v>28</v>
      </c>
      <c r="V806" t="s">
        <v>28</v>
      </c>
      <c r="W806">
        <v>17.940000000000001</v>
      </c>
      <c r="X806">
        <v>5.5173777673777673</v>
      </c>
      <c r="Y806">
        <v>7.8027504673614256</v>
      </c>
    </row>
    <row r="807" spans="1:30" x14ac:dyDescent="0.2">
      <c r="A807" t="s">
        <v>174</v>
      </c>
      <c r="B807">
        <v>2014</v>
      </c>
      <c r="C807" t="s">
        <v>826</v>
      </c>
      <c r="D807" t="s">
        <v>812</v>
      </c>
      <c r="E807" t="s">
        <v>175</v>
      </c>
      <c r="F807" t="s">
        <v>176</v>
      </c>
      <c r="G807">
        <v>-34.923164</v>
      </c>
      <c r="H807">
        <v>138.395128</v>
      </c>
      <c r="I807" t="s">
        <v>772</v>
      </c>
      <c r="J807" t="s">
        <v>14</v>
      </c>
      <c r="K807" t="s">
        <v>3</v>
      </c>
      <c r="L807" t="s">
        <v>3</v>
      </c>
      <c r="M807" t="s">
        <v>12</v>
      </c>
      <c r="N807" t="s">
        <v>85</v>
      </c>
      <c r="O807" s="6" t="s">
        <v>141</v>
      </c>
      <c r="P807" s="6" t="s">
        <v>74</v>
      </c>
      <c r="Q807">
        <v>6</v>
      </c>
      <c r="R807" t="s">
        <v>213</v>
      </c>
      <c r="S807" t="s">
        <v>37</v>
      </c>
      <c r="T807">
        <v>2</v>
      </c>
      <c r="U807" t="s">
        <v>28</v>
      </c>
      <c r="V807" t="s">
        <v>28</v>
      </c>
      <c r="W807">
        <v>18.040000000000003</v>
      </c>
      <c r="X807">
        <v>9.9312799812799817</v>
      </c>
      <c r="Y807">
        <v>1.5605500934722749</v>
      </c>
    </row>
    <row r="808" spans="1:30" x14ac:dyDescent="0.2">
      <c r="A808" t="s">
        <v>174</v>
      </c>
      <c r="B808">
        <v>2014</v>
      </c>
      <c r="C808" t="s">
        <v>826</v>
      </c>
      <c r="D808" t="s">
        <v>812</v>
      </c>
      <c r="E808" t="s">
        <v>175</v>
      </c>
      <c r="F808" t="s">
        <v>176</v>
      </c>
      <c r="G808">
        <v>-34.923164</v>
      </c>
      <c r="H808">
        <v>138.395128</v>
      </c>
      <c r="I808" t="s">
        <v>772</v>
      </c>
      <c r="J808" t="s">
        <v>14</v>
      </c>
      <c r="K808" t="s">
        <v>3</v>
      </c>
      <c r="L808" t="s">
        <v>3</v>
      </c>
      <c r="M808" t="s">
        <v>12</v>
      </c>
      <c r="N808" t="s">
        <v>85</v>
      </c>
      <c r="O808" s="6" t="s">
        <v>141</v>
      </c>
      <c r="P808" s="6" t="s">
        <v>74</v>
      </c>
      <c r="Q808">
        <v>6</v>
      </c>
      <c r="R808" t="s">
        <v>213</v>
      </c>
      <c r="S808" t="s">
        <v>116</v>
      </c>
      <c r="T808">
        <v>2</v>
      </c>
      <c r="U808" t="s">
        <v>28</v>
      </c>
      <c r="V808" t="s">
        <v>28</v>
      </c>
      <c r="W808">
        <v>18.240000000000002</v>
      </c>
      <c r="X808">
        <v>2.2069511069511067</v>
      </c>
      <c r="Y808">
        <v>3.1211001869445703</v>
      </c>
    </row>
    <row r="809" spans="1:30" x14ac:dyDescent="0.2">
      <c r="A809" t="s">
        <v>174</v>
      </c>
      <c r="B809">
        <v>2014</v>
      </c>
      <c r="C809" t="s">
        <v>826</v>
      </c>
      <c r="D809" t="s">
        <v>812</v>
      </c>
      <c r="E809" t="s">
        <v>175</v>
      </c>
      <c r="F809" t="s">
        <v>176</v>
      </c>
      <c r="G809">
        <v>-34.923164</v>
      </c>
      <c r="H809">
        <v>138.395128</v>
      </c>
      <c r="I809" t="s">
        <v>772</v>
      </c>
      <c r="J809" t="s">
        <v>14</v>
      </c>
      <c r="K809" t="s">
        <v>3</v>
      </c>
      <c r="L809" t="s">
        <v>3</v>
      </c>
      <c r="M809" t="s">
        <v>12</v>
      </c>
      <c r="N809" t="s">
        <v>85</v>
      </c>
      <c r="O809" s="6" t="s">
        <v>141</v>
      </c>
      <c r="P809" s="6" t="s">
        <v>74</v>
      </c>
      <c r="Q809">
        <v>6</v>
      </c>
      <c r="R809" t="s">
        <v>213</v>
      </c>
      <c r="S809" t="s">
        <v>117</v>
      </c>
      <c r="T809">
        <v>2</v>
      </c>
      <c r="U809" t="s">
        <v>28</v>
      </c>
      <c r="V809" t="s">
        <v>28</v>
      </c>
      <c r="W809">
        <v>18.560000000000002</v>
      </c>
      <c r="X809">
        <v>4.4139022139022135</v>
      </c>
      <c r="Y809">
        <v>3.1211001869445703</v>
      </c>
    </row>
    <row r="810" spans="1:30" x14ac:dyDescent="0.2">
      <c r="A810" t="s">
        <v>174</v>
      </c>
      <c r="B810">
        <v>2014</v>
      </c>
      <c r="C810" t="s">
        <v>826</v>
      </c>
      <c r="D810" t="s">
        <v>812</v>
      </c>
      <c r="E810" t="s">
        <v>175</v>
      </c>
      <c r="F810" t="s">
        <v>176</v>
      </c>
      <c r="G810">
        <v>-34.923164</v>
      </c>
      <c r="H810">
        <v>138.395128</v>
      </c>
      <c r="I810" t="s">
        <v>772</v>
      </c>
      <c r="J810" t="s">
        <v>14</v>
      </c>
      <c r="K810" t="s">
        <v>3</v>
      </c>
      <c r="L810" t="s">
        <v>3</v>
      </c>
      <c r="M810" t="s">
        <v>12</v>
      </c>
      <c r="N810" t="s">
        <v>85</v>
      </c>
      <c r="O810" s="6" t="s">
        <v>141</v>
      </c>
      <c r="P810" s="6" t="s">
        <v>74</v>
      </c>
      <c r="Q810">
        <v>6</v>
      </c>
      <c r="R810" t="s">
        <v>213</v>
      </c>
      <c r="S810" t="s">
        <v>118</v>
      </c>
      <c r="T810">
        <v>2</v>
      </c>
      <c r="U810" t="s">
        <v>28</v>
      </c>
      <c r="V810" t="s">
        <v>28</v>
      </c>
      <c r="W810">
        <v>19.419999999999998</v>
      </c>
      <c r="X810">
        <v>1.1034755534755534</v>
      </c>
      <c r="Y810">
        <v>1.5605500934722851</v>
      </c>
    </row>
    <row r="811" spans="1:30" x14ac:dyDescent="0.2">
      <c r="A811" t="s">
        <v>174</v>
      </c>
      <c r="B811">
        <v>2014</v>
      </c>
      <c r="C811" t="s">
        <v>826</v>
      </c>
      <c r="D811" t="s">
        <v>812</v>
      </c>
      <c r="E811" t="s">
        <v>175</v>
      </c>
      <c r="F811" t="s">
        <v>176</v>
      </c>
      <c r="G811">
        <v>-34.923164</v>
      </c>
      <c r="H811">
        <v>138.395128</v>
      </c>
      <c r="I811" t="s">
        <v>772</v>
      </c>
      <c r="J811" t="s">
        <v>14</v>
      </c>
      <c r="K811" t="s">
        <v>3</v>
      </c>
      <c r="L811" t="s">
        <v>3</v>
      </c>
      <c r="M811" t="s">
        <v>12</v>
      </c>
      <c r="N811" t="s">
        <v>85</v>
      </c>
      <c r="O811" s="6" t="s">
        <v>141</v>
      </c>
      <c r="P811" s="6" t="s">
        <v>74</v>
      </c>
      <c r="Q811">
        <v>6</v>
      </c>
      <c r="R811" t="s">
        <v>213</v>
      </c>
      <c r="S811" t="s">
        <v>177</v>
      </c>
      <c r="T811">
        <v>2</v>
      </c>
      <c r="U811" t="s">
        <v>28</v>
      </c>
      <c r="V811" t="s">
        <v>28</v>
      </c>
      <c r="W811">
        <v>20.2</v>
      </c>
      <c r="X811">
        <v>5.5173777673777664</v>
      </c>
      <c r="Y811">
        <v>4.6816502804168554</v>
      </c>
    </row>
    <row r="812" spans="1:30" x14ac:dyDescent="0.2">
      <c r="A812" t="s">
        <v>174</v>
      </c>
      <c r="B812">
        <v>2014</v>
      </c>
      <c r="C812" t="s">
        <v>826</v>
      </c>
      <c r="D812" t="s">
        <v>812</v>
      </c>
      <c r="E812" t="s">
        <v>175</v>
      </c>
      <c r="F812" t="s">
        <v>176</v>
      </c>
      <c r="G812">
        <v>-34.923164</v>
      </c>
      <c r="H812">
        <v>138.395128</v>
      </c>
      <c r="I812" t="s">
        <v>772</v>
      </c>
      <c r="J812" t="s">
        <v>14</v>
      </c>
      <c r="K812" t="s">
        <v>3</v>
      </c>
      <c r="L812" t="s">
        <v>3</v>
      </c>
      <c r="M812" t="s">
        <v>12</v>
      </c>
      <c r="N812" t="s">
        <v>85</v>
      </c>
      <c r="O812" s="6" t="s">
        <v>141</v>
      </c>
      <c r="P812" s="6" t="s">
        <v>74</v>
      </c>
      <c r="Q812">
        <v>6</v>
      </c>
      <c r="R812" t="s">
        <v>213</v>
      </c>
      <c r="S812" t="s">
        <v>178</v>
      </c>
      <c r="T812">
        <v>2</v>
      </c>
      <c r="U812" t="s">
        <v>28</v>
      </c>
      <c r="V812" t="s">
        <v>28</v>
      </c>
      <c r="W812">
        <v>20.7</v>
      </c>
      <c r="X812">
        <v>12.138231088231088</v>
      </c>
      <c r="Y812">
        <v>10.923850654305992</v>
      </c>
    </row>
    <row r="813" spans="1:30" x14ac:dyDescent="0.2">
      <c r="A813" t="s">
        <v>174</v>
      </c>
      <c r="B813">
        <v>2014</v>
      </c>
      <c r="C813" t="s">
        <v>826</v>
      </c>
      <c r="D813" t="s">
        <v>812</v>
      </c>
      <c r="E813" t="s">
        <v>175</v>
      </c>
      <c r="F813" t="s">
        <v>176</v>
      </c>
      <c r="G813">
        <v>-34.923164</v>
      </c>
      <c r="H813">
        <v>138.395128</v>
      </c>
      <c r="I813" t="s">
        <v>772</v>
      </c>
      <c r="J813" t="s">
        <v>14</v>
      </c>
      <c r="K813" t="s">
        <v>3</v>
      </c>
      <c r="L813" t="s">
        <v>3</v>
      </c>
      <c r="M813" t="s">
        <v>12</v>
      </c>
      <c r="N813" t="s">
        <v>85</v>
      </c>
      <c r="O813" s="6" t="s">
        <v>141</v>
      </c>
      <c r="P813" s="6" t="s">
        <v>74</v>
      </c>
      <c r="Q813">
        <v>6</v>
      </c>
      <c r="R813" t="s">
        <v>213</v>
      </c>
      <c r="S813" t="s">
        <v>179</v>
      </c>
      <c r="T813">
        <v>2</v>
      </c>
      <c r="U813" t="s">
        <v>28</v>
      </c>
      <c r="V813" t="s">
        <v>28</v>
      </c>
      <c r="W813">
        <v>22.15</v>
      </c>
      <c r="X813">
        <v>11.034755534755535</v>
      </c>
      <c r="Y813">
        <v>6.2422003738891405</v>
      </c>
    </row>
    <row r="814" spans="1:30" x14ac:dyDescent="0.2">
      <c r="A814" t="s">
        <v>174</v>
      </c>
      <c r="B814">
        <v>2014</v>
      </c>
      <c r="C814" t="s">
        <v>826</v>
      </c>
      <c r="D814" t="s">
        <v>812</v>
      </c>
      <c r="E814" t="s">
        <v>175</v>
      </c>
      <c r="F814" t="s">
        <v>176</v>
      </c>
      <c r="G814">
        <v>-34.923164</v>
      </c>
      <c r="H814">
        <v>138.395128</v>
      </c>
      <c r="I814" t="s">
        <v>772</v>
      </c>
      <c r="J814" t="s">
        <v>14</v>
      </c>
      <c r="K814" t="s">
        <v>3</v>
      </c>
      <c r="L814" t="s">
        <v>3</v>
      </c>
      <c r="M814" t="s">
        <v>12</v>
      </c>
      <c r="N814" t="s">
        <v>85</v>
      </c>
      <c r="O814" s="6" t="s">
        <v>141</v>
      </c>
      <c r="P814" s="6" t="s">
        <v>74</v>
      </c>
      <c r="Q814">
        <v>6</v>
      </c>
      <c r="R814" t="s">
        <v>213</v>
      </c>
      <c r="S814" t="s">
        <v>180</v>
      </c>
      <c r="T814">
        <v>2</v>
      </c>
      <c r="U814" t="s">
        <v>28</v>
      </c>
      <c r="V814" t="s">
        <v>28</v>
      </c>
      <c r="W814">
        <v>22.22</v>
      </c>
      <c r="X814">
        <v>1.1034755534755534</v>
      </c>
      <c r="Y814">
        <v>1.5605500934722851</v>
      </c>
    </row>
    <row r="815" spans="1:30" x14ac:dyDescent="0.2">
      <c r="A815" t="s">
        <v>174</v>
      </c>
      <c r="B815">
        <v>2014</v>
      </c>
      <c r="C815" t="s">
        <v>826</v>
      </c>
      <c r="D815" t="s">
        <v>812</v>
      </c>
      <c r="E815" t="s">
        <v>175</v>
      </c>
      <c r="F815" t="s">
        <v>176</v>
      </c>
      <c r="G815">
        <v>-34.923164</v>
      </c>
      <c r="H815">
        <v>138.395128</v>
      </c>
      <c r="I815" t="s">
        <v>772</v>
      </c>
      <c r="J815" t="s">
        <v>14</v>
      </c>
      <c r="K815" t="s">
        <v>3</v>
      </c>
      <c r="L815" t="s">
        <v>3</v>
      </c>
      <c r="M815" t="s">
        <v>12</v>
      </c>
      <c r="N815" t="s">
        <v>85</v>
      </c>
      <c r="O815" s="6" t="s">
        <v>141</v>
      </c>
      <c r="P815" s="6" t="s">
        <v>74</v>
      </c>
      <c r="Q815">
        <v>6</v>
      </c>
      <c r="R815" t="s">
        <v>213</v>
      </c>
      <c r="S815" t="s">
        <v>181</v>
      </c>
      <c r="T815">
        <v>2</v>
      </c>
      <c r="U815" t="s">
        <v>28</v>
      </c>
      <c r="V815" t="s">
        <v>28</v>
      </c>
      <c r="W815">
        <v>22.5</v>
      </c>
      <c r="X815">
        <v>2.2069511069511067</v>
      </c>
      <c r="Y815">
        <v>3.1211001869445703</v>
      </c>
    </row>
    <row r="816" spans="1:30" x14ac:dyDescent="0.2">
      <c r="A816" t="s">
        <v>174</v>
      </c>
      <c r="B816">
        <v>2014</v>
      </c>
      <c r="C816" t="s">
        <v>826</v>
      </c>
      <c r="D816" t="s">
        <v>812</v>
      </c>
      <c r="E816" t="s">
        <v>175</v>
      </c>
      <c r="F816" t="s">
        <v>176</v>
      </c>
      <c r="G816">
        <v>-34.923164</v>
      </c>
      <c r="H816">
        <v>138.395128</v>
      </c>
      <c r="I816" t="s">
        <v>772</v>
      </c>
      <c r="J816" t="s">
        <v>14</v>
      </c>
      <c r="K816" t="s">
        <v>3</v>
      </c>
      <c r="L816" t="s">
        <v>3</v>
      </c>
      <c r="M816" t="s">
        <v>12</v>
      </c>
      <c r="N816" t="s">
        <v>85</v>
      </c>
      <c r="O816" s="6" t="s">
        <v>141</v>
      </c>
      <c r="P816" s="6" t="s">
        <v>74</v>
      </c>
      <c r="Q816">
        <v>6</v>
      </c>
      <c r="R816" t="s">
        <v>213</v>
      </c>
      <c r="S816" t="s">
        <v>182</v>
      </c>
      <c r="T816">
        <v>2</v>
      </c>
      <c r="U816" t="s">
        <v>28</v>
      </c>
      <c r="V816" t="s">
        <v>28</v>
      </c>
      <c r="W816">
        <v>22.839999999999996</v>
      </c>
      <c r="X816">
        <v>7.7243288743288741</v>
      </c>
      <c r="Y816">
        <v>4.6816502804168554</v>
      </c>
    </row>
    <row r="817" spans="1:25" x14ac:dyDescent="0.2">
      <c r="A817" t="s">
        <v>174</v>
      </c>
      <c r="B817">
        <v>2014</v>
      </c>
      <c r="C817" t="s">
        <v>826</v>
      </c>
      <c r="D817" t="s">
        <v>812</v>
      </c>
      <c r="E817" t="s">
        <v>175</v>
      </c>
      <c r="F817" t="s">
        <v>176</v>
      </c>
      <c r="G817">
        <v>-34.923164</v>
      </c>
      <c r="H817">
        <v>138.395128</v>
      </c>
      <c r="I817" t="s">
        <v>772</v>
      </c>
      <c r="J817" t="s">
        <v>14</v>
      </c>
      <c r="K817" t="s">
        <v>3</v>
      </c>
      <c r="L817" t="s">
        <v>3</v>
      </c>
      <c r="M817" t="s">
        <v>12</v>
      </c>
      <c r="N817" t="s">
        <v>85</v>
      </c>
      <c r="O817" s="6" t="s">
        <v>141</v>
      </c>
      <c r="P817" s="6" t="s">
        <v>74</v>
      </c>
      <c r="Q817">
        <v>6</v>
      </c>
      <c r="R817" t="s">
        <v>213</v>
      </c>
      <c r="S817" t="s">
        <v>183</v>
      </c>
      <c r="T817">
        <v>2</v>
      </c>
      <c r="U817" t="s">
        <v>28</v>
      </c>
      <c r="V817" t="s">
        <v>28</v>
      </c>
      <c r="W817">
        <v>24.5</v>
      </c>
      <c r="X817">
        <v>1.1034755534755534</v>
      </c>
      <c r="Y817">
        <v>1.5605500934722851</v>
      </c>
    </row>
    <row r="818" spans="1:25" x14ac:dyDescent="0.2">
      <c r="A818" t="s">
        <v>174</v>
      </c>
      <c r="B818">
        <v>2014</v>
      </c>
      <c r="C818" t="s">
        <v>826</v>
      </c>
      <c r="D818" t="s">
        <v>812</v>
      </c>
      <c r="E818" t="s">
        <v>175</v>
      </c>
      <c r="F818" t="s">
        <v>176</v>
      </c>
      <c r="G818">
        <v>-34.923164</v>
      </c>
      <c r="H818">
        <v>138.395128</v>
      </c>
      <c r="I818" t="s">
        <v>772</v>
      </c>
      <c r="J818" t="s">
        <v>14</v>
      </c>
      <c r="K818" t="s">
        <v>3</v>
      </c>
      <c r="L818" t="s">
        <v>3</v>
      </c>
      <c r="M818" t="s">
        <v>12</v>
      </c>
      <c r="N818" t="s">
        <v>85</v>
      </c>
      <c r="O818" s="6" t="s">
        <v>141</v>
      </c>
      <c r="P818" s="6" t="s">
        <v>74</v>
      </c>
      <c r="Q818">
        <v>6</v>
      </c>
      <c r="R818" t="s">
        <v>213</v>
      </c>
      <c r="S818" t="s">
        <v>184</v>
      </c>
      <c r="T818">
        <v>2</v>
      </c>
      <c r="U818" t="s">
        <v>28</v>
      </c>
      <c r="V818" t="s">
        <v>28</v>
      </c>
      <c r="W818">
        <v>24.88</v>
      </c>
      <c r="X818">
        <v>1.1034755534755534</v>
      </c>
      <c r="Y818">
        <v>1.5605500934722851</v>
      </c>
    </row>
    <row r="819" spans="1:25" x14ac:dyDescent="0.2">
      <c r="A819" t="s">
        <v>174</v>
      </c>
      <c r="B819">
        <v>2014</v>
      </c>
      <c r="C819" t="s">
        <v>826</v>
      </c>
      <c r="D819" t="s">
        <v>812</v>
      </c>
      <c r="E819" t="s">
        <v>175</v>
      </c>
      <c r="F819" t="s">
        <v>176</v>
      </c>
      <c r="G819">
        <v>-34.923164</v>
      </c>
      <c r="H819">
        <v>138.395128</v>
      </c>
      <c r="I819" t="s">
        <v>772</v>
      </c>
      <c r="J819" t="s">
        <v>14</v>
      </c>
      <c r="K819" t="s">
        <v>3</v>
      </c>
      <c r="L819" t="s">
        <v>3</v>
      </c>
      <c r="M819" t="s">
        <v>12</v>
      </c>
      <c r="N819" t="s">
        <v>85</v>
      </c>
      <c r="O819" s="6" t="s">
        <v>141</v>
      </c>
      <c r="P819" s="6" t="s">
        <v>74</v>
      </c>
      <c r="Q819">
        <v>6</v>
      </c>
      <c r="R819" t="s">
        <v>213</v>
      </c>
      <c r="S819" t="s">
        <v>185</v>
      </c>
      <c r="T819">
        <v>2</v>
      </c>
      <c r="U819" t="s">
        <v>28</v>
      </c>
      <c r="V819" t="s">
        <v>28</v>
      </c>
      <c r="W819">
        <v>27.380000000000003</v>
      </c>
      <c r="X819">
        <v>0</v>
      </c>
      <c r="Y819">
        <v>0</v>
      </c>
    </row>
    <row r="820" spans="1:25" x14ac:dyDescent="0.2">
      <c r="A820" t="s">
        <v>174</v>
      </c>
      <c r="B820">
        <v>2014</v>
      </c>
      <c r="C820" t="s">
        <v>826</v>
      </c>
      <c r="D820" t="s">
        <v>812</v>
      </c>
      <c r="E820" t="s">
        <v>175</v>
      </c>
      <c r="F820" t="s">
        <v>186</v>
      </c>
      <c r="G820">
        <v>-35.036262999999998</v>
      </c>
      <c r="H820">
        <v>117.881372</v>
      </c>
      <c r="I820" t="s">
        <v>767</v>
      </c>
      <c r="J820" t="s">
        <v>7</v>
      </c>
      <c r="K820" t="s">
        <v>3</v>
      </c>
      <c r="L820" t="s">
        <v>3</v>
      </c>
      <c r="M820" t="s">
        <v>12</v>
      </c>
      <c r="N820" t="s">
        <v>85</v>
      </c>
      <c r="O820" s="6" t="s">
        <v>141</v>
      </c>
      <c r="P820" s="6" t="s">
        <v>74</v>
      </c>
      <c r="Q820">
        <v>6</v>
      </c>
      <c r="R820" t="s">
        <v>213</v>
      </c>
      <c r="S820" t="s">
        <v>7</v>
      </c>
      <c r="T820">
        <v>2</v>
      </c>
      <c r="U820" t="s">
        <v>28</v>
      </c>
      <c r="V820" t="s">
        <v>28</v>
      </c>
      <c r="W820">
        <v>13.433333333333332</v>
      </c>
      <c r="X820">
        <v>43.346573982125115</v>
      </c>
      <c r="Y820">
        <v>60.177806502171919</v>
      </c>
    </row>
    <row r="821" spans="1:25" x14ac:dyDescent="0.2">
      <c r="A821" t="s">
        <v>174</v>
      </c>
      <c r="B821">
        <v>2014</v>
      </c>
      <c r="C821" t="s">
        <v>826</v>
      </c>
      <c r="D821" t="s">
        <v>812</v>
      </c>
      <c r="E821" t="s">
        <v>175</v>
      </c>
      <c r="F821" t="s">
        <v>186</v>
      </c>
      <c r="G821">
        <v>-35.036262999999998</v>
      </c>
      <c r="H821">
        <v>117.881372</v>
      </c>
      <c r="I821" t="s">
        <v>767</v>
      </c>
      <c r="J821" t="s">
        <v>14</v>
      </c>
      <c r="K821" t="s">
        <v>3</v>
      </c>
      <c r="L821" t="s">
        <v>3</v>
      </c>
      <c r="M821" t="s">
        <v>12</v>
      </c>
      <c r="N821" t="s">
        <v>85</v>
      </c>
      <c r="O821" s="6" t="s">
        <v>141</v>
      </c>
      <c r="P821" s="6" t="s">
        <v>74</v>
      </c>
      <c r="Q821">
        <v>6</v>
      </c>
      <c r="R821" t="s">
        <v>213</v>
      </c>
      <c r="S821" t="s">
        <v>9</v>
      </c>
      <c r="T821">
        <v>2</v>
      </c>
      <c r="U821" t="s">
        <v>28</v>
      </c>
      <c r="V821" t="s">
        <v>28</v>
      </c>
      <c r="W821">
        <v>16.133333333333336</v>
      </c>
      <c r="X821">
        <v>36.891757696127101</v>
      </c>
      <c r="Y821">
        <v>18.888949765559225</v>
      </c>
    </row>
    <row r="822" spans="1:25" x14ac:dyDescent="0.2">
      <c r="A822" t="s">
        <v>174</v>
      </c>
      <c r="B822">
        <v>2014</v>
      </c>
      <c r="C822" t="s">
        <v>826</v>
      </c>
      <c r="D822" t="s">
        <v>812</v>
      </c>
      <c r="E822" t="s">
        <v>175</v>
      </c>
      <c r="F822" t="s">
        <v>186</v>
      </c>
      <c r="G822">
        <v>-35.036262999999998</v>
      </c>
      <c r="H822">
        <v>117.881372</v>
      </c>
      <c r="I822" t="s">
        <v>767</v>
      </c>
      <c r="J822" t="s">
        <v>14</v>
      </c>
      <c r="K822" t="s">
        <v>3</v>
      </c>
      <c r="L822" t="s">
        <v>3</v>
      </c>
      <c r="M822" t="s">
        <v>12</v>
      </c>
      <c r="N822" t="s">
        <v>85</v>
      </c>
      <c r="O822" s="6" t="s">
        <v>141</v>
      </c>
      <c r="P822" s="6" t="s">
        <v>74</v>
      </c>
      <c r="Q822">
        <v>6</v>
      </c>
      <c r="R822" t="s">
        <v>213</v>
      </c>
      <c r="S822" t="s">
        <v>27</v>
      </c>
      <c r="T822">
        <v>2</v>
      </c>
      <c r="U822" t="s">
        <v>28</v>
      </c>
      <c r="V822" t="s">
        <v>28</v>
      </c>
      <c r="W822">
        <v>18.766666666666666</v>
      </c>
      <c r="X822">
        <v>57.199602780536239</v>
      </c>
      <c r="Y822">
        <v>6.1792846816699196</v>
      </c>
    </row>
    <row r="823" spans="1:25" x14ac:dyDescent="0.2">
      <c r="A823" t="s">
        <v>174</v>
      </c>
      <c r="B823">
        <v>2014</v>
      </c>
      <c r="C823" t="s">
        <v>826</v>
      </c>
      <c r="D823" t="s">
        <v>812</v>
      </c>
      <c r="E823" t="s">
        <v>175</v>
      </c>
      <c r="F823" t="s">
        <v>186</v>
      </c>
      <c r="G823">
        <v>-35.036262999999998</v>
      </c>
      <c r="H823">
        <v>117.881372</v>
      </c>
      <c r="I823" t="s">
        <v>767</v>
      </c>
      <c r="J823" t="s">
        <v>14</v>
      </c>
      <c r="K823" t="s">
        <v>3</v>
      </c>
      <c r="L823" t="s">
        <v>3</v>
      </c>
      <c r="M823" t="s">
        <v>12</v>
      </c>
      <c r="N823" t="s">
        <v>85</v>
      </c>
      <c r="O823" s="6" t="s">
        <v>141</v>
      </c>
      <c r="P823" s="6" t="s">
        <v>74</v>
      </c>
      <c r="Q823">
        <v>6</v>
      </c>
      <c r="R823" t="s">
        <v>213</v>
      </c>
      <c r="S823" t="s">
        <v>13</v>
      </c>
      <c r="T823">
        <v>2</v>
      </c>
      <c r="U823" t="s">
        <v>28</v>
      </c>
      <c r="V823" t="s">
        <v>28</v>
      </c>
      <c r="W823">
        <v>18.900000000000002</v>
      </c>
      <c r="X823">
        <v>14.846077457795431</v>
      </c>
      <c r="Y823">
        <v>6.5303804022193548</v>
      </c>
    </row>
    <row r="824" spans="1:25" x14ac:dyDescent="0.2">
      <c r="A824" t="s">
        <v>174</v>
      </c>
      <c r="B824">
        <v>2014</v>
      </c>
      <c r="C824" t="s">
        <v>826</v>
      </c>
      <c r="D824" t="s">
        <v>812</v>
      </c>
      <c r="E824" t="s">
        <v>175</v>
      </c>
      <c r="F824" t="s">
        <v>186</v>
      </c>
      <c r="G824">
        <v>-35.036262999999998</v>
      </c>
      <c r="H824">
        <v>117.881372</v>
      </c>
      <c r="I824" t="s">
        <v>767</v>
      </c>
      <c r="J824" t="s">
        <v>14</v>
      </c>
      <c r="K824" t="s">
        <v>3</v>
      </c>
      <c r="L824" t="s">
        <v>3</v>
      </c>
      <c r="M824" t="s">
        <v>12</v>
      </c>
      <c r="N824" t="s">
        <v>85</v>
      </c>
      <c r="O824" s="6" t="s">
        <v>141</v>
      </c>
      <c r="P824" s="6" t="s">
        <v>74</v>
      </c>
      <c r="Q824">
        <v>6</v>
      </c>
      <c r="R824" t="s">
        <v>213</v>
      </c>
      <c r="S824" t="s">
        <v>15</v>
      </c>
      <c r="T824">
        <v>2</v>
      </c>
      <c r="U824" t="s">
        <v>28</v>
      </c>
      <c r="V824" t="s">
        <v>28</v>
      </c>
      <c r="W824">
        <v>19.233333333333334</v>
      </c>
      <c r="X824">
        <v>24.28003972194637</v>
      </c>
      <c r="Y824">
        <v>15.939745712944017</v>
      </c>
    </row>
    <row r="825" spans="1:25" x14ac:dyDescent="0.2">
      <c r="A825" t="s">
        <v>174</v>
      </c>
      <c r="B825">
        <v>2014</v>
      </c>
      <c r="C825" t="s">
        <v>826</v>
      </c>
      <c r="D825" t="s">
        <v>812</v>
      </c>
      <c r="E825" t="s">
        <v>175</v>
      </c>
      <c r="F825" t="s">
        <v>186</v>
      </c>
      <c r="G825">
        <v>-35.036262999999998</v>
      </c>
      <c r="H825">
        <v>117.881372</v>
      </c>
      <c r="I825" t="s">
        <v>767</v>
      </c>
      <c r="J825" t="s">
        <v>14</v>
      </c>
      <c r="K825" t="s">
        <v>3</v>
      </c>
      <c r="L825" t="s">
        <v>3</v>
      </c>
      <c r="M825" t="s">
        <v>12</v>
      </c>
      <c r="N825" t="s">
        <v>85</v>
      </c>
      <c r="O825" s="6" t="s">
        <v>141</v>
      </c>
      <c r="P825" s="6" t="s">
        <v>74</v>
      </c>
      <c r="Q825">
        <v>6</v>
      </c>
      <c r="R825" t="s">
        <v>213</v>
      </c>
      <c r="S825" t="s">
        <v>37</v>
      </c>
      <c r="T825">
        <v>2</v>
      </c>
      <c r="U825" t="s">
        <v>28</v>
      </c>
      <c r="V825" t="s">
        <v>28</v>
      </c>
      <c r="W825">
        <v>20.266666666666666</v>
      </c>
      <c r="X825">
        <v>22.889771598808338</v>
      </c>
      <c r="Y825">
        <v>2.3172317556262043</v>
      </c>
    </row>
    <row r="826" spans="1:25" x14ac:dyDescent="0.2">
      <c r="A826" t="s">
        <v>174</v>
      </c>
      <c r="B826">
        <v>2014</v>
      </c>
      <c r="C826" t="s">
        <v>826</v>
      </c>
      <c r="D826" t="s">
        <v>812</v>
      </c>
      <c r="E826" t="s">
        <v>175</v>
      </c>
      <c r="F826" t="s">
        <v>186</v>
      </c>
      <c r="G826">
        <v>-35.036262999999998</v>
      </c>
      <c r="H826">
        <v>117.881372</v>
      </c>
      <c r="I826" t="s">
        <v>767</v>
      </c>
      <c r="J826" t="s">
        <v>14</v>
      </c>
      <c r="K826" t="s">
        <v>3</v>
      </c>
      <c r="L826" t="s">
        <v>3</v>
      </c>
      <c r="M826" t="s">
        <v>12</v>
      </c>
      <c r="N826" t="s">
        <v>85</v>
      </c>
      <c r="O826" s="6" t="s">
        <v>141</v>
      </c>
      <c r="P826" s="6" t="s">
        <v>74</v>
      </c>
      <c r="Q826">
        <v>6</v>
      </c>
      <c r="R826" t="s">
        <v>213</v>
      </c>
      <c r="S826" t="s">
        <v>116</v>
      </c>
      <c r="T826">
        <v>2</v>
      </c>
      <c r="U826" t="s">
        <v>28</v>
      </c>
      <c r="V826" t="s">
        <v>28</v>
      </c>
      <c r="W826">
        <v>20.433333333333334</v>
      </c>
      <c r="X826">
        <v>18.172790466732867</v>
      </c>
      <c r="Y826">
        <v>0.84262972931860802</v>
      </c>
    </row>
    <row r="827" spans="1:25" x14ac:dyDescent="0.2">
      <c r="A827" t="s">
        <v>174</v>
      </c>
      <c r="B827">
        <v>2014</v>
      </c>
      <c r="C827" t="s">
        <v>826</v>
      </c>
      <c r="D827" t="s">
        <v>812</v>
      </c>
      <c r="E827" t="s">
        <v>175</v>
      </c>
      <c r="F827" t="s">
        <v>186</v>
      </c>
      <c r="G827">
        <v>-35.036262999999998</v>
      </c>
      <c r="H827">
        <v>117.881372</v>
      </c>
      <c r="I827" t="s">
        <v>767</v>
      </c>
      <c r="J827" t="s">
        <v>14</v>
      </c>
      <c r="K827" t="s">
        <v>3</v>
      </c>
      <c r="L827" t="s">
        <v>3</v>
      </c>
      <c r="M827" t="s">
        <v>12</v>
      </c>
      <c r="N827" t="s">
        <v>85</v>
      </c>
      <c r="O827" s="6" t="s">
        <v>141</v>
      </c>
      <c r="P827" s="6" t="s">
        <v>74</v>
      </c>
      <c r="Q827">
        <v>6</v>
      </c>
      <c r="R827" t="s">
        <v>213</v>
      </c>
      <c r="S827" t="s">
        <v>117</v>
      </c>
      <c r="T827">
        <v>2</v>
      </c>
      <c r="U827" t="s">
        <v>28</v>
      </c>
      <c r="V827" t="s">
        <v>28</v>
      </c>
      <c r="W827">
        <v>20.8</v>
      </c>
      <c r="X827">
        <v>5.7596822244289978</v>
      </c>
      <c r="Y827">
        <v>7.8645441403071832</v>
      </c>
    </row>
    <row r="828" spans="1:25" x14ac:dyDescent="0.2">
      <c r="A828" t="s">
        <v>174</v>
      </c>
      <c r="B828">
        <v>2014</v>
      </c>
      <c r="C828" t="s">
        <v>826</v>
      </c>
      <c r="D828" t="s">
        <v>812</v>
      </c>
      <c r="E828" t="s">
        <v>175</v>
      </c>
      <c r="F828" t="s">
        <v>186</v>
      </c>
      <c r="G828">
        <v>-35.036262999999998</v>
      </c>
      <c r="H828">
        <v>117.881372</v>
      </c>
      <c r="I828" t="s">
        <v>767</v>
      </c>
      <c r="J828" t="s">
        <v>14</v>
      </c>
      <c r="K828" t="s">
        <v>3</v>
      </c>
      <c r="L828" t="s">
        <v>3</v>
      </c>
      <c r="M828" t="s">
        <v>12</v>
      </c>
      <c r="N828" t="s">
        <v>85</v>
      </c>
      <c r="O828" s="6" t="s">
        <v>141</v>
      </c>
      <c r="P828" s="6" t="s">
        <v>74</v>
      </c>
      <c r="Q828">
        <v>6</v>
      </c>
      <c r="R828" t="s">
        <v>213</v>
      </c>
      <c r="S828" t="s">
        <v>118</v>
      </c>
      <c r="T828">
        <v>4</v>
      </c>
      <c r="U828" t="s">
        <v>28</v>
      </c>
      <c r="V828" t="s">
        <v>28</v>
      </c>
      <c r="W828">
        <v>20.966666666666665</v>
      </c>
      <c r="X828">
        <v>58.738828202581921</v>
      </c>
      <c r="Y828">
        <v>15.963392333957252</v>
      </c>
    </row>
    <row r="829" spans="1:25" x14ac:dyDescent="0.2">
      <c r="A829" t="s">
        <v>174</v>
      </c>
      <c r="B829">
        <v>2014</v>
      </c>
      <c r="C829" t="s">
        <v>826</v>
      </c>
      <c r="D829" t="s">
        <v>812</v>
      </c>
      <c r="E829" t="s">
        <v>175</v>
      </c>
      <c r="F829" t="s">
        <v>186</v>
      </c>
      <c r="G829">
        <v>-35.036262999999998</v>
      </c>
      <c r="H829">
        <v>117.881372</v>
      </c>
      <c r="I829" t="s">
        <v>767</v>
      </c>
      <c r="J829" t="s">
        <v>14</v>
      </c>
      <c r="K829" t="s">
        <v>3</v>
      </c>
      <c r="L829" t="s">
        <v>3</v>
      </c>
      <c r="M829" t="s">
        <v>12</v>
      </c>
      <c r="N829" t="s">
        <v>85</v>
      </c>
      <c r="O829" s="6" t="s">
        <v>141</v>
      </c>
      <c r="P829" s="6" t="s">
        <v>74</v>
      </c>
      <c r="Q829">
        <v>6</v>
      </c>
      <c r="R829" t="s">
        <v>213</v>
      </c>
      <c r="S829" t="s">
        <v>177</v>
      </c>
      <c r="T829">
        <v>2</v>
      </c>
      <c r="U829" t="s">
        <v>28</v>
      </c>
      <c r="V829" t="s">
        <v>28</v>
      </c>
      <c r="W829">
        <v>21.233333333333331</v>
      </c>
      <c r="X829">
        <v>50.446871896722939</v>
      </c>
      <c r="Y829">
        <v>8.4262972931862148</v>
      </c>
    </row>
    <row r="830" spans="1:25" x14ac:dyDescent="0.2">
      <c r="A830" t="s">
        <v>174</v>
      </c>
      <c r="B830">
        <v>2014</v>
      </c>
      <c r="C830" t="s">
        <v>826</v>
      </c>
      <c r="D830" t="s">
        <v>812</v>
      </c>
      <c r="E830" t="s">
        <v>175</v>
      </c>
      <c r="F830" t="s">
        <v>186</v>
      </c>
      <c r="G830">
        <v>-35.036262999999998</v>
      </c>
      <c r="H830">
        <v>117.881372</v>
      </c>
      <c r="I830" t="s">
        <v>767</v>
      </c>
      <c r="J830" t="s">
        <v>14</v>
      </c>
      <c r="K830" t="s">
        <v>3</v>
      </c>
      <c r="L830" t="s">
        <v>3</v>
      </c>
      <c r="M830" t="s">
        <v>12</v>
      </c>
      <c r="N830" t="s">
        <v>85</v>
      </c>
      <c r="O830" s="6" t="s">
        <v>141</v>
      </c>
      <c r="P830" s="6" t="s">
        <v>74</v>
      </c>
      <c r="Q830">
        <v>6</v>
      </c>
      <c r="R830" t="s">
        <v>213</v>
      </c>
      <c r="S830" t="s">
        <v>178</v>
      </c>
      <c r="T830">
        <v>2</v>
      </c>
      <c r="U830" t="s">
        <v>28</v>
      </c>
      <c r="V830" t="s">
        <v>28</v>
      </c>
      <c r="W830">
        <v>21.833333333333332</v>
      </c>
      <c r="X830">
        <v>38.629592850049654</v>
      </c>
      <c r="Y830">
        <v>12.0776927869003</v>
      </c>
    </row>
    <row r="831" spans="1:25" x14ac:dyDescent="0.2">
      <c r="A831" t="s">
        <v>174</v>
      </c>
      <c r="B831">
        <v>2014</v>
      </c>
      <c r="C831" t="s">
        <v>826</v>
      </c>
      <c r="D831" t="s">
        <v>812</v>
      </c>
      <c r="E831" t="s">
        <v>175</v>
      </c>
      <c r="F831" t="s">
        <v>186</v>
      </c>
      <c r="G831">
        <v>-35.036262999999998</v>
      </c>
      <c r="H831">
        <v>117.881372</v>
      </c>
      <c r="I831" t="s">
        <v>767</v>
      </c>
      <c r="J831" t="s">
        <v>14</v>
      </c>
      <c r="K831" t="s">
        <v>3</v>
      </c>
      <c r="L831" t="s">
        <v>3</v>
      </c>
      <c r="M831" t="s">
        <v>12</v>
      </c>
      <c r="N831" t="s">
        <v>85</v>
      </c>
      <c r="O831" s="6" t="s">
        <v>141</v>
      </c>
      <c r="P831" s="6" t="s">
        <v>74</v>
      </c>
      <c r="Q831">
        <v>6</v>
      </c>
      <c r="R831" t="s">
        <v>213</v>
      </c>
      <c r="S831" t="s">
        <v>179</v>
      </c>
      <c r="T831">
        <v>2</v>
      </c>
      <c r="U831" t="s">
        <v>28</v>
      </c>
      <c r="V831" t="s">
        <v>28</v>
      </c>
      <c r="W831">
        <v>22.900000000000002</v>
      </c>
      <c r="X831">
        <v>58.788480635551139</v>
      </c>
      <c r="Y831">
        <v>44.097622501008132</v>
      </c>
    </row>
    <row r="832" spans="1:25" x14ac:dyDescent="0.2">
      <c r="A832" t="s">
        <v>174</v>
      </c>
      <c r="B832">
        <v>2014</v>
      </c>
      <c r="C832" t="s">
        <v>826</v>
      </c>
      <c r="D832" t="s">
        <v>812</v>
      </c>
      <c r="E832" t="s">
        <v>175</v>
      </c>
      <c r="F832" t="s">
        <v>186</v>
      </c>
      <c r="G832">
        <v>-35.036262999999998</v>
      </c>
      <c r="H832">
        <v>117.881372</v>
      </c>
      <c r="I832" t="s">
        <v>767</v>
      </c>
      <c r="J832" t="s">
        <v>14</v>
      </c>
      <c r="K832" t="s">
        <v>3</v>
      </c>
      <c r="L832" t="s">
        <v>3</v>
      </c>
      <c r="M832" t="s">
        <v>12</v>
      </c>
      <c r="N832" t="s">
        <v>85</v>
      </c>
      <c r="O832" s="6" t="s">
        <v>141</v>
      </c>
      <c r="P832" s="6" t="s">
        <v>74</v>
      </c>
      <c r="Q832">
        <v>6</v>
      </c>
      <c r="R832" t="s">
        <v>213</v>
      </c>
      <c r="S832" t="s">
        <v>180</v>
      </c>
      <c r="T832">
        <v>2</v>
      </c>
      <c r="U832" t="s">
        <v>28</v>
      </c>
      <c r="V832" t="s">
        <v>28</v>
      </c>
      <c r="W832">
        <v>22.933333333333302</v>
      </c>
      <c r="X832">
        <v>55.163853028798407</v>
      </c>
      <c r="Y832">
        <v>21.416838953515089</v>
      </c>
    </row>
    <row r="833" spans="1:25" x14ac:dyDescent="0.2">
      <c r="A833" t="s">
        <v>174</v>
      </c>
      <c r="B833">
        <v>2014</v>
      </c>
      <c r="C833" t="s">
        <v>826</v>
      </c>
      <c r="D833" t="s">
        <v>812</v>
      </c>
      <c r="E833" t="s">
        <v>175</v>
      </c>
      <c r="F833" t="s">
        <v>186</v>
      </c>
      <c r="G833">
        <v>-35.036262999999998</v>
      </c>
      <c r="H833">
        <v>117.881372</v>
      </c>
      <c r="I833" t="s">
        <v>767</v>
      </c>
      <c r="J833" t="s">
        <v>14</v>
      </c>
      <c r="K833" t="s">
        <v>3</v>
      </c>
      <c r="L833" t="s">
        <v>3</v>
      </c>
      <c r="M833" t="s">
        <v>12</v>
      </c>
      <c r="N833" t="s">
        <v>85</v>
      </c>
      <c r="O833" s="6" t="s">
        <v>141</v>
      </c>
      <c r="P833" s="6" t="s">
        <v>74</v>
      </c>
      <c r="Q833">
        <v>6</v>
      </c>
      <c r="R833" t="s">
        <v>213</v>
      </c>
      <c r="S833" t="s">
        <v>181</v>
      </c>
      <c r="T833">
        <v>2</v>
      </c>
      <c r="U833" t="s">
        <v>28</v>
      </c>
      <c r="V833" t="s">
        <v>28</v>
      </c>
      <c r="W833">
        <v>25.5</v>
      </c>
      <c r="X833">
        <v>12.760675273088379</v>
      </c>
      <c r="Y833">
        <v>11.586158778131114</v>
      </c>
    </row>
    <row r="834" spans="1:25" x14ac:dyDescent="0.2">
      <c r="A834" t="s">
        <v>174</v>
      </c>
      <c r="B834">
        <v>2014</v>
      </c>
      <c r="C834" t="s">
        <v>826</v>
      </c>
      <c r="D834" t="s">
        <v>812</v>
      </c>
      <c r="E834" t="s">
        <v>175</v>
      </c>
      <c r="F834" t="s">
        <v>186</v>
      </c>
      <c r="G834">
        <v>-35.036262999999998</v>
      </c>
      <c r="H834">
        <v>117.881372</v>
      </c>
      <c r="I834" t="s">
        <v>767</v>
      </c>
      <c r="J834" t="s">
        <v>14</v>
      </c>
      <c r="K834" t="s">
        <v>3</v>
      </c>
      <c r="L834" t="s">
        <v>3</v>
      </c>
      <c r="M834" t="s">
        <v>12</v>
      </c>
      <c r="N834" t="s">
        <v>85</v>
      </c>
      <c r="O834" s="6" t="s">
        <v>141</v>
      </c>
      <c r="P834" s="6" t="s">
        <v>74</v>
      </c>
      <c r="Q834">
        <v>6</v>
      </c>
      <c r="R834" t="s">
        <v>213</v>
      </c>
      <c r="S834" t="s">
        <v>182</v>
      </c>
      <c r="T834">
        <v>2</v>
      </c>
      <c r="U834" t="s">
        <v>28</v>
      </c>
      <c r="V834" t="s">
        <v>28</v>
      </c>
      <c r="W834">
        <v>26.033333333333331</v>
      </c>
      <c r="X834">
        <v>3.7239324726911613</v>
      </c>
      <c r="Y834">
        <v>0.35109572054942789</v>
      </c>
    </row>
    <row r="835" spans="1:25" x14ac:dyDescent="0.2">
      <c r="A835" t="s">
        <v>174</v>
      </c>
      <c r="B835">
        <v>2014</v>
      </c>
      <c r="C835" t="s">
        <v>826</v>
      </c>
      <c r="D835" t="s">
        <v>812</v>
      </c>
      <c r="E835" t="s">
        <v>175</v>
      </c>
      <c r="F835" t="s">
        <v>186</v>
      </c>
      <c r="G835">
        <v>-35.036262999999998</v>
      </c>
      <c r="H835">
        <v>117.881372</v>
      </c>
      <c r="I835" t="s">
        <v>767</v>
      </c>
      <c r="J835" t="s">
        <v>14</v>
      </c>
      <c r="K835" t="s">
        <v>3</v>
      </c>
      <c r="L835" t="s">
        <v>3</v>
      </c>
      <c r="M835" t="s">
        <v>12</v>
      </c>
      <c r="N835" t="s">
        <v>85</v>
      </c>
      <c r="O835" s="6" t="s">
        <v>141</v>
      </c>
      <c r="P835" s="6" t="s">
        <v>74</v>
      </c>
      <c r="Q835">
        <v>6</v>
      </c>
      <c r="R835" t="s">
        <v>213</v>
      </c>
      <c r="S835" t="s">
        <v>183</v>
      </c>
      <c r="T835">
        <v>2</v>
      </c>
      <c r="U835" t="s">
        <v>28</v>
      </c>
      <c r="V835" t="s">
        <v>28</v>
      </c>
      <c r="W835">
        <v>26.166666666666668</v>
      </c>
      <c r="X835">
        <v>32.969215491559083</v>
      </c>
      <c r="Y835">
        <v>6.8814761227687784</v>
      </c>
    </row>
    <row r="836" spans="1:25" x14ac:dyDescent="0.2">
      <c r="A836" t="s">
        <v>174</v>
      </c>
      <c r="B836">
        <v>2014</v>
      </c>
      <c r="C836" t="s">
        <v>826</v>
      </c>
      <c r="D836" t="s">
        <v>812</v>
      </c>
      <c r="E836" t="s">
        <v>175</v>
      </c>
      <c r="F836" t="s">
        <v>186</v>
      </c>
      <c r="G836">
        <v>-35.036262999999998</v>
      </c>
      <c r="H836">
        <v>117.881372</v>
      </c>
      <c r="I836" t="s">
        <v>767</v>
      </c>
      <c r="J836" t="s">
        <v>14</v>
      </c>
      <c r="K836" t="s">
        <v>3</v>
      </c>
      <c r="L836" t="s">
        <v>3</v>
      </c>
      <c r="M836" t="s">
        <v>12</v>
      </c>
      <c r="N836" t="s">
        <v>85</v>
      </c>
      <c r="O836" s="6" t="s">
        <v>141</v>
      </c>
      <c r="P836" s="6" t="s">
        <v>74</v>
      </c>
      <c r="Q836">
        <v>6</v>
      </c>
      <c r="R836" t="s">
        <v>213</v>
      </c>
      <c r="S836" t="s">
        <v>184</v>
      </c>
      <c r="T836">
        <v>2</v>
      </c>
      <c r="U836" t="s">
        <v>28</v>
      </c>
      <c r="V836" t="s">
        <v>28</v>
      </c>
      <c r="W836">
        <v>26.666666666666668</v>
      </c>
      <c r="X836">
        <v>14.001986097318769</v>
      </c>
      <c r="Y836">
        <v>9.5498035989444379</v>
      </c>
    </row>
    <row r="837" spans="1:25" x14ac:dyDescent="0.2">
      <c r="A837" t="s">
        <v>174</v>
      </c>
      <c r="B837">
        <v>2014</v>
      </c>
      <c r="C837" t="s">
        <v>826</v>
      </c>
      <c r="D837" t="s">
        <v>812</v>
      </c>
      <c r="E837" t="s">
        <v>175</v>
      </c>
      <c r="F837" t="s">
        <v>187</v>
      </c>
      <c r="G837">
        <v>-41.845897000000001</v>
      </c>
      <c r="H837">
        <v>148.289063</v>
      </c>
      <c r="I837" t="s">
        <v>767</v>
      </c>
      <c r="J837" t="s">
        <v>7</v>
      </c>
      <c r="K837" t="s">
        <v>3</v>
      </c>
      <c r="L837" t="s">
        <v>3</v>
      </c>
      <c r="M837" t="s">
        <v>12</v>
      </c>
      <c r="N837" t="s">
        <v>85</v>
      </c>
      <c r="O837" s="6" t="s">
        <v>141</v>
      </c>
      <c r="P837" s="6" t="s">
        <v>74</v>
      </c>
      <c r="Q837">
        <v>6</v>
      </c>
      <c r="R837" t="s">
        <v>213</v>
      </c>
      <c r="S837" t="s">
        <v>7</v>
      </c>
      <c r="T837">
        <v>2</v>
      </c>
      <c r="U837" t="s">
        <v>28</v>
      </c>
      <c r="V837" t="s">
        <v>28</v>
      </c>
      <c r="W837">
        <v>13.1</v>
      </c>
      <c r="X837">
        <v>41.398344066237357</v>
      </c>
      <c r="Y837">
        <v>10.841870303381546</v>
      </c>
    </row>
    <row r="838" spans="1:25" x14ac:dyDescent="0.2">
      <c r="A838" t="s">
        <v>174</v>
      </c>
      <c r="B838">
        <v>2014</v>
      </c>
      <c r="C838" t="s">
        <v>826</v>
      </c>
      <c r="D838" t="s">
        <v>812</v>
      </c>
      <c r="E838" t="s">
        <v>175</v>
      </c>
      <c r="F838" t="s">
        <v>187</v>
      </c>
      <c r="G838">
        <v>-41.845897000000001</v>
      </c>
      <c r="H838">
        <v>148.289063</v>
      </c>
      <c r="I838" t="s">
        <v>767</v>
      </c>
      <c r="J838" t="s">
        <v>14</v>
      </c>
      <c r="K838" t="s">
        <v>3</v>
      </c>
      <c r="L838" t="s">
        <v>3</v>
      </c>
      <c r="M838" t="s">
        <v>12</v>
      </c>
      <c r="N838" t="s">
        <v>85</v>
      </c>
      <c r="O838" s="6" t="s">
        <v>141</v>
      </c>
      <c r="P838" s="6" t="s">
        <v>74</v>
      </c>
      <c r="Q838">
        <v>6</v>
      </c>
      <c r="R838" t="s">
        <v>213</v>
      </c>
      <c r="S838" t="s">
        <v>9</v>
      </c>
      <c r="T838">
        <v>2</v>
      </c>
      <c r="U838" t="s">
        <v>28</v>
      </c>
      <c r="V838" t="s">
        <v>28</v>
      </c>
      <c r="W838">
        <v>13.48</v>
      </c>
      <c r="X838">
        <v>15.026065624041705</v>
      </c>
      <c r="Y838">
        <v>21.250065794627922</v>
      </c>
    </row>
    <row r="839" spans="1:25" x14ac:dyDescent="0.2">
      <c r="A839" t="s">
        <v>174</v>
      </c>
      <c r="B839">
        <v>2014</v>
      </c>
      <c r="C839" t="s">
        <v>826</v>
      </c>
      <c r="D839" t="s">
        <v>812</v>
      </c>
      <c r="E839" t="s">
        <v>175</v>
      </c>
      <c r="F839" t="s">
        <v>187</v>
      </c>
      <c r="G839">
        <v>-41.845897000000001</v>
      </c>
      <c r="H839">
        <v>148.289063</v>
      </c>
      <c r="I839" t="s">
        <v>767</v>
      </c>
      <c r="J839" t="s">
        <v>14</v>
      </c>
      <c r="K839" t="s">
        <v>3</v>
      </c>
      <c r="L839" t="s">
        <v>3</v>
      </c>
      <c r="M839" t="s">
        <v>12</v>
      </c>
      <c r="N839" t="s">
        <v>85</v>
      </c>
      <c r="O839" s="6" t="s">
        <v>141</v>
      </c>
      <c r="P839" s="6" t="s">
        <v>74</v>
      </c>
      <c r="Q839">
        <v>6</v>
      </c>
      <c r="R839" t="s">
        <v>213</v>
      </c>
      <c r="S839" t="s">
        <v>27</v>
      </c>
      <c r="T839">
        <v>2</v>
      </c>
      <c r="U839" t="s">
        <v>28</v>
      </c>
      <c r="V839" t="s">
        <v>28</v>
      </c>
      <c r="W839">
        <v>16.72</v>
      </c>
      <c r="X839">
        <v>84.023305734437287</v>
      </c>
      <c r="Y839">
        <v>30.357236849468517</v>
      </c>
    </row>
    <row r="840" spans="1:25" x14ac:dyDescent="0.2">
      <c r="A840" t="s">
        <v>174</v>
      </c>
      <c r="B840">
        <v>2014</v>
      </c>
      <c r="C840" t="s">
        <v>826</v>
      </c>
      <c r="D840" t="s">
        <v>812</v>
      </c>
      <c r="E840" t="s">
        <v>175</v>
      </c>
      <c r="F840" t="s">
        <v>187</v>
      </c>
      <c r="G840">
        <v>-41.845897000000001</v>
      </c>
      <c r="H840">
        <v>148.289063</v>
      </c>
      <c r="I840" t="s">
        <v>767</v>
      </c>
      <c r="J840" t="s">
        <v>14</v>
      </c>
      <c r="K840" t="s">
        <v>3</v>
      </c>
      <c r="L840" t="s">
        <v>3</v>
      </c>
      <c r="M840" t="s">
        <v>12</v>
      </c>
      <c r="N840" t="s">
        <v>85</v>
      </c>
      <c r="O840" s="6" t="s">
        <v>141</v>
      </c>
      <c r="P840" s="6" t="s">
        <v>74</v>
      </c>
      <c r="Q840">
        <v>6</v>
      </c>
      <c r="R840" t="s">
        <v>213</v>
      </c>
      <c r="S840" t="s">
        <v>13</v>
      </c>
      <c r="T840">
        <v>2</v>
      </c>
      <c r="U840" t="s">
        <v>28</v>
      </c>
      <c r="V840" t="s">
        <v>28</v>
      </c>
      <c r="W840">
        <v>17.580000000000002</v>
      </c>
      <c r="X840">
        <v>98.74271695798835</v>
      </c>
      <c r="Y840">
        <v>117.95954890079173</v>
      </c>
    </row>
    <row r="841" spans="1:25" x14ac:dyDescent="0.2">
      <c r="A841" t="s">
        <v>174</v>
      </c>
      <c r="B841">
        <v>2014</v>
      </c>
      <c r="C841" t="s">
        <v>826</v>
      </c>
      <c r="D841" t="s">
        <v>812</v>
      </c>
      <c r="E841" t="s">
        <v>175</v>
      </c>
      <c r="F841" t="s">
        <v>187</v>
      </c>
      <c r="G841">
        <v>-41.845897000000001</v>
      </c>
      <c r="H841">
        <v>148.289063</v>
      </c>
      <c r="I841" t="s">
        <v>767</v>
      </c>
      <c r="J841" t="s">
        <v>14</v>
      </c>
      <c r="K841" t="s">
        <v>3</v>
      </c>
      <c r="L841" t="s">
        <v>3</v>
      </c>
      <c r="M841" t="s">
        <v>12</v>
      </c>
      <c r="N841" t="s">
        <v>85</v>
      </c>
      <c r="O841" s="6" t="s">
        <v>141</v>
      </c>
      <c r="P841" s="6" t="s">
        <v>74</v>
      </c>
      <c r="Q841">
        <v>6</v>
      </c>
      <c r="R841" t="s">
        <v>213</v>
      </c>
      <c r="S841" t="s">
        <v>15</v>
      </c>
      <c r="T841">
        <v>2</v>
      </c>
      <c r="U841" t="s">
        <v>28</v>
      </c>
      <c r="V841" t="s">
        <v>28</v>
      </c>
      <c r="W841">
        <v>19.419999999999998</v>
      </c>
      <c r="X841">
        <v>35.878564857405706</v>
      </c>
      <c r="Y841">
        <v>10.841870303381631</v>
      </c>
    </row>
    <row r="842" spans="1:25" x14ac:dyDescent="0.2">
      <c r="A842" t="s">
        <v>174</v>
      </c>
      <c r="B842">
        <v>2014</v>
      </c>
      <c r="C842" t="s">
        <v>826</v>
      </c>
      <c r="D842" t="s">
        <v>812</v>
      </c>
      <c r="E842" t="s">
        <v>175</v>
      </c>
      <c r="F842" t="s">
        <v>187</v>
      </c>
      <c r="G842">
        <v>-41.845897000000001</v>
      </c>
      <c r="H842">
        <v>148.289063</v>
      </c>
      <c r="I842" t="s">
        <v>767</v>
      </c>
      <c r="J842" t="s">
        <v>14</v>
      </c>
      <c r="K842" t="s">
        <v>3</v>
      </c>
      <c r="L842" t="s">
        <v>3</v>
      </c>
      <c r="M842" t="s">
        <v>12</v>
      </c>
      <c r="N842" t="s">
        <v>85</v>
      </c>
      <c r="O842" s="6" t="s">
        <v>141</v>
      </c>
      <c r="P842" s="6" t="s">
        <v>74</v>
      </c>
      <c r="Q842">
        <v>6</v>
      </c>
      <c r="R842" t="s">
        <v>213</v>
      </c>
      <c r="S842" t="s">
        <v>37</v>
      </c>
      <c r="T842">
        <v>2</v>
      </c>
      <c r="U842" t="s">
        <v>28</v>
      </c>
      <c r="V842" t="s">
        <v>28</v>
      </c>
      <c r="W842">
        <v>19.52</v>
      </c>
      <c r="X842">
        <v>57.03771849126035</v>
      </c>
      <c r="Y842">
        <v>12.142894739787344</v>
      </c>
    </row>
    <row r="843" spans="1:25" x14ac:dyDescent="0.2">
      <c r="A843" t="s">
        <v>174</v>
      </c>
      <c r="B843">
        <v>2014</v>
      </c>
      <c r="C843" t="s">
        <v>826</v>
      </c>
      <c r="D843" t="s">
        <v>812</v>
      </c>
      <c r="E843" t="s">
        <v>175</v>
      </c>
      <c r="F843" t="s">
        <v>187</v>
      </c>
      <c r="G843">
        <v>-41.845897000000001</v>
      </c>
      <c r="H843">
        <v>148.289063</v>
      </c>
      <c r="I843" t="s">
        <v>767</v>
      </c>
      <c r="J843" t="s">
        <v>14</v>
      </c>
      <c r="K843" t="s">
        <v>3</v>
      </c>
      <c r="L843" t="s">
        <v>3</v>
      </c>
      <c r="M843" t="s">
        <v>12</v>
      </c>
      <c r="N843" t="s">
        <v>85</v>
      </c>
      <c r="O843" s="6" t="s">
        <v>141</v>
      </c>
      <c r="P843" s="6" t="s">
        <v>74</v>
      </c>
      <c r="Q843">
        <v>6</v>
      </c>
      <c r="R843" t="s">
        <v>213</v>
      </c>
      <c r="S843" t="s">
        <v>116</v>
      </c>
      <c r="T843">
        <v>2</v>
      </c>
      <c r="U843" t="s">
        <v>28</v>
      </c>
      <c r="V843" t="s">
        <v>28</v>
      </c>
      <c r="W843">
        <v>19.759999999999998</v>
      </c>
      <c r="X843">
        <v>29.132168046611469</v>
      </c>
      <c r="Y843">
        <v>9.1071710548405367</v>
      </c>
    </row>
    <row r="844" spans="1:25" x14ac:dyDescent="0.2">
      <c r="A844" t="s">
        <v>174</v>
      </c>
      <c r="B844">
        <v>2014</v>
      </c>
      <c r="C844" t="s">
        <v>826</v>
      </c>
      <c r="D844" t="s">
        <v>812</v>
      </c>
      <c r="E844" t="s">
        <v>175</v>
      </c>
      <c r="F844" t="s">
        <v>187</v>
      </c>
      <c r="G844">
        <v>-41.845897000000001</v>
      </c>
      <c r="H844">
        <v>148.289063</v>
      </c>
      <c r="I844" t="s">
        <v>767</v>
      </c>
      <c r="J844" t="s">
        <v>14</v>
      </c>
      <c r="K844" t="s">
        <v>3</v>
      </c>
      <c r="L844" t="s">
        <v>3</v>
      </c>
      <c r="M844" t="s">
        <v>12</v>
      </c>
      <c r="N844" t="s">
        <v>85</v>
      </c>
      <c r="O844" s="6" t="s">
        <v>141</v>
      </c>
      <c r="P844" s="6" t="s">
        <v>74</v>
      </c>
      <c r="Q844">
        <v>6</v>
      </c>
      <c r="R844" t="s">
        <v>213</v>
      </c>
      <c r="S844" t="s">
        <v>117</v>
      </c>
      <c r="T844">
        <v>2</v>
      </c>
      <c r="U844" t="s">
        <v>28</v>
      </c>
      <c r="V844" t="s">
        <v>28</v>
      </c>
      <c r="W844">
        <v>19.839999999999996</v>
      </c>
      <c r="X844">
        <v>40.785035265256056</v>
      </c>
      <c r="Y844">
        <v>1.3010244364059407</v>
      </c>
    </row>
    <row r="845" spans="1:25" x14ac:dyDescent="0.2">
      <c r="A845" t="s">
        <v>174</v>
      </c>
      <c r="B845">
        <v>2014</v>
      </c>
      <c r="C845" t="s">
        <v>826</v>
      </c>
      <c r="D845" t="s">
        <v>812</v>
      </c>
      <c r="E845" t="s">
        <v>175</v>
      </c>
      <c r="F845" t="s">
        <v>187</v>
      </c>
      <c r="G845">
        <v>-41.845897000000001</v>
      </c>
      <c r="H845">
        <v>148.289063</v>
      </c>
      <c r="I845" t="s">
        <v>767</v>
      </c>
      <c r="J845" t="s">
        <v>14</v>
      </c>
      <c r="K845" t="s">
        <v>3</v>
      </c>
      <c r="L845" t="s">
        <v>3</v>
      </c>
      <c r="M845" t="s">
        <v>12</v>
      </c>
      <c r="N845" t="s">
        <v>85</v>
      </c>
      <c r="O845" s="6" t="s">
        <v>141</v>
      </c>
      <c r="P845" s="6" t="s">
        <v>74</v>
      </c>
      <c r="Q845">
        <v>6</v>
      </c>
      <c r="R845" t="s">
        <v>213</v>
      </c>
      <c r="S845" t="s">
        <v>118</v>
      </c>
      <c r="T845">
        <v>2</v>
      </c>
      <c r="U845" t="s">
        <v>28</v>
      </c>
      <c r="V845" t="s">
        <v>28</v>
      </c>
      <c r="W845">
        <v>19.88</v>
      </c>
      <c r="X845">
        <v>44.158233670653175</v>
      </c>
      <c r="Y845">
        <v>15.612293236869498</v>
      </c>
    </row>
    <row r="846" spans="1:25" x14ac:dyDescent="0.2">
      <c r="A846" t="s">
        <v>174</v>
      </c>
      <c r="B846">
        <v>2014</v>
      </c>
      <c r="C846" t="s">
        <v>826</v>
      </c>
      <c r="D846" t="s">
        <v>812</v>
      </c>
      <c r="E846" t="s">
        <v>175</v>
      </c>
      <c r="F846" t="s">
        <v>187</v>
      </c>
      <c r="G846">
        <v>-41.845897000000001</v>
      </c>
      <c r="H846">
        <v>148.289063</v>
      </c>
      <c r="I846" t="s">
        <v>767</v>
      </c>
      <c r="J846" t="s">
        <v>14</v>
      </c>
      <c r="K846" t="s">
        <v>3</v>
      </c>
      <c r="L846" t="s">
        <v>3</v>
      </c>
      <c r="M846" t="s">
        <v>12</v>
      </c>
      <c r="N846" t="s">
        <v>85</v>
      </c>
      <c r="O846" s="6" t="s">
        <v>141</v>
      </c>
      <c r="P846" s="6" t="s">
        <v>74</v>
      </c>
      <c r="Q846">
        <v>6</v>
      </c>
      <c r="R846" t="s">
        <v>213</v>
      </c>
      <c r="S846" t="s">
        <v>177</v>
      </c>
      <c r="T846">
        <v>2</v>
      </c>
      <c r="U846" t="s">
        <v>28</v>
      </c>
      <c r="V846" t="s">
        <v>28</v>
      </c>
      <c r="W846">
        <v>19.98</v>
      </c>
      <c r="X846">
        <v>81.263416130021454</v>
      </c>
      <c r="Y846">
        <v>62.882847759613256</v>
      </c>
    </row>
    <row r="847" spans="1:25" x14ac:dyDescent="0.2">
      <c r="A847" t="s">
        <v>174</v>
      </c>
      <c r="B847">
        <v>2014</v>
      </c>
      <c r="C847" t="s">
        <v>826</v>
      </c>
      <c r="D847" t="s">
        <v>812</v>
      </c>
      <c r="E847" t="s">
        <v>175</v>
      </c>
      <c r="F847" t="s">
        <v>187</v>
      </c>
      <c r="G847">
        <v>-41.845897000000001</v>
      </c>
      <c r="H847">
        <v>148.289063</v>
      </c>
      <c r="I847" t="s">
        <v>767</v>
      </c>
      <c r="J847" t="s">
        <v>14</v>
      </c>
      <c r="K847" t="s">
        <v>3</v>
      </c>
      <c r="L847" t="s">
        <v>3</v>
      </c>
      <c r="M847" t="s">
        <v>12</v>
      </c>
      <c r="N847" t="s">
        <v>85</v>
      </c>
      <c r="O847" s="6" t="s">
        <v>141</v>
      </c>
      <c r="P847" s="6" t="s">
        <v>74</v>
      </c>
      <c r="Q847">
        <v>6</v>
      </c>
      <c r="R847" t="s">
        <v>213</v>
      </c>
      <c r="S847" t="s">
        <v>178</v>
      </c>
      <c r="T847">
        <v>2</v>
      </c>
      <c r="U847" t="s">
        <v>28</v>
      </c>
      <c r="V847" t="s">
        <v>28</v>
      </c>
      <c r="W847">
        <v>20.36</v>
      </c>
      <c r="X847">
        <v>66.544004906470406</v>
      </c>
      <c r="Y847">
        <v>12.576569551922725</v>
      </c>
    </row>
    <row r="848" spans="1:25" x14ac:dyDescent="0.2">
      <c r="A848" t="s">
        <v>174</v>
      </c>
      <c r="B848">
        <v>2014</v>
      </c>
      <c r="C848" t="s">
        <v>826</v>
      </c>
      <c r="D848" t="s">
        <v>812</v>
      </c>
      <c r="E848" t="s">
        <v>175</v>
      </c>
      <c r="F848" t="s">
        <v>187</v>
      </c>
      <c r="G848">
        <v>-41.845897000000001</v>
      </c>
      <c r="H848">
        <v>148.289063</v>
      </c>
      <c r="I848" t="s">
        <v>767</v>
      </c>
      <c r="J848" t="s">
        <v>14</v>
      </c>
      <c r="K848" t="s">
        <v>3</v>
      </c>
      <c r="L848" t="s">
        <v>3</v>
      </c>
      <c r="M848" t="s">
        <v>12</v>
      </c>
      <c r="N848" t="s">
        <v>85</v>
      </c>
      <c r="O848" s="6" t="s">
        <v>141</v>
      </c>
      <c r="P848" s="6" t="s">
        <v>74</v>
      </c>
      <c r="Q848">
        <v>6</v>
      </c>
      <c r="R848" t="s">
        <v>213</v>
      </c>
      <c r="S848" t="s">
        <v>179</v>
      </c>
      <c r="T848">
        <v>2</v>
      </c>
      <c r="U848" t="s">
        <v>28</v>
      </c>
      <c r="V848" t="s">
        <v>28</v>
      </c>
      <c r="W848">
        <v>20.68</v>
      </c>
      <c r="X848">
        <v>53.051211284881937</v>
      </c>
      <c r="Y848">
        <v>30.790911661603722</v>
      </c>
    </row>
    <row r="849" spans="1:25" x14ac:dyDescent="0.2">
      <c r="A849" t="s">
        <v>174</v>
      </c>
      <c r="B849">
        <v>2014</v>
      </c>
      <c r="C849" t="s">
        <v>826</v>
      </c>
      <c r="D849" t="s">
        <v>812</v>
      </c>
      <c r="E849" t="s">
        <v>175</v>
      </c>
      <c r="F849" t="s">
        <v>187</v>
      </c>
      <c r="G849">
        <v>-41.845897000000001</v>
      </c>
      <c r="H849">
        <v>148.289063</v>
      </c>
      <c r="I849" t="s">
        <v>767</v>
      </c>
      <c r="J849" t="s">
        <v>14</v>
      </c>
      <c r="K849" t="s">
        <v>3</v>
      </c>
      <c r="L849" t="s">
        <v>3</v>
      </c>
      <c r="M849" t="s">
        <v>12</v>
      </c>
      <c r="N849" t="s">
        <v>85</v>
      </c>
      <c r="O849" s="6" t="s">
        <v>141</v>
      </c>
      <c r="P849" s="6" t="s">
        <v>74</v>
      </c>
      <c r="Q849">
        <v>6</v>
      </c>
      <c r="R849" t="s">
        <v>213</v>
      </c>
      <c r="S849" t="s">
        <v>180</v>
      </c>
      <c r="T849">
        <v>2</v>
      </c>
      <c r="U849" t="s">
        <v>28</v>
      </c>
      <c r="V849" t="s">
        <v>28</v>
      </c>
      <c r="W849">
        <v>21.5</v>
      </c>
      <c r="X849">
        <v>62.864152100582643</v>
      </c>
      <c r="Y849">
        <v>11.709219927652127</v>
      </c>
    </row>
    <row r="850" spans="1:25" x14ac:dyDescent="0.2">
      <c r="A850" t="s">
        <v>174</v>
      </c>
      <c r="B850">
        <v>2014</v>
      </c>
      <c r="C850" t="s">
        <v>826</v>
      </c>
      <c r="D850" t="s">
        <v>812</v>
      </c>
      <c r="E850" t="s">
        <v>175</v>
      </c>
      <c r="F850" t="s">
        <v>187</v>
      </c>
      <c r="G850">
        <v>-41.845897000000001</v>
      </c>
      <c r="H850">
        <v>148.289063</v>
      </c>
      <c r="I850" t="s">
        <v>767</v>
      </c>
      <c r="J850" t="s">
        <v>14</v>
      </c>
      <c r="K850" t="s">
        <v>3</v>
      </c>
      <c r="L850" t="s">
        <v>3</v>
      </c>
      <c r="M850" t="s">
        <v>12</v>
      </c>
      <c r="N850" t="s">
        <v>85</v>
      </c>
      <c r="O850" s="6" t="s">
        <v>141</v>
      </c>
      <c r="P850" s="6" t="s">
        <v>74</v>
      </c>
      <c r="Q850">
        <v>6</v>
      </c>
      <c r="R850" t="s">
        <v>213</v>
      </c>
      <c r="S850" t="s">
        <v>181</v>
      </c>
      <c r="T850">
        <v>2</v>
      </c>
      <c r="U850" t="s">
        <v>28</v>
      </c>
      <c r="V850" t="s">
        <v>28</v>
      </c>
      <c r="W850">
        <v>21.6</v>
      </c>
      <c r="X850">
        <v>66.544004906470406</v>
      </c>
      <c r="Y850">
        <v>69.821644753777448</v>
      </c>
    </row>
    <row r="851" spans="1:25" x14ac:dyDescent="0.2">
      <c r="A851" t="s">
        <v>174</v>
      </c>
      <c r="B851">
        <v>2014</v>
      </c>
      <c r="C851" t="s">
        <v>826</v>
      </c>
      <c r="D851" t="s">
        <v>812</v>
      </c>
      <c r="E851" t="s">
        <v>175</v>
      </c>
      <c r="F851" t="s">
        <v>187</v>
      </c>
      <c r="G851">
        <v>-41.845897000000001</v>
      </c>
      <c r="H851">
        <v>148.289063</v>
      </c>
      <c r="I851" t="s">
        <v>767</v>
      </c>
      <c r="J851" t="s">
        <v>14</v>
      </c>
      <c r="K851" t="s">
        <v>3</v>
      </c>
      <c r="L851" t="s">
        <v>3</v>
      </c>
      <c r="M851" t="s">
        <v>12</v>
      </c>
      <c r="N851" t="s">
        <v>85</v>
      </c>
      <c r="O851" s="6" t="s">
        <v>141</v>
      </c>
      <c r="P851" s="6" t="s">
        <v>74</v>
      </c>
      <c r="Q851">
        <v>6</v>
      </c>
      <c r="R851" t="s">
        <v>213</v>
      </c>
      <c r="S851" t="s">
        <v>182</v>
      </c>
      <c r="T851">
        <v>2</v>
      </c>
      <c r="U851" t="s">
        <v>28</v>
      </c>
      <c r="V851" t="s">
        <v>28</v>
      </c>
      <c r="W851">
        <v>25.6</v>
      </c>
      <c r="X851">
        <v>53.664520085863238</v>
      </c>
      <c r="Y851">
        <v>1.3010244364061154</v>
      </c>
    </row>
    <row r="852" spans="1:25" x14ac:dyDescent="0.2">
      <c r="A852" t="s">
        <v>174</v>
      </c>
      <c r="B852">
        <v>2014</v>
      </c>
      <c r="C852" t="s">
        <v>826</v>
      </c>
      <c r="D852" t="s">
        <v>812</v>
      </c>
      <c r="E852" t="s">
        <v>175</v>
      </c>
      <c r="F852" t="s">
        <v>187</v>
      </c>
      <c r="G852">
        <v>-41.845897000000001</v>
      </c>
      <c r="H852">
        <v>148.289063</v>
      </c>
      <c r="I852" t="s">
        <v>767</v>
      </c>
      <c r="J852" t="s">
        <v>14</v>
      </c>
      <c r="K852" t="s">
        <v>3</v>
      </c>
      <c r="L852" t="s">
        <v>3</v>
      </c>
      <c r="M852" t="s">
        <v>12</v>
      </c>
      <c r="N852" t="s">
        <v>85</v>
      </c>
      <c r="O852" s="6" t="s">
        <v>141</v>
      </c>
      <c r="P852" s="6" t="s">
        <v>74</v>
      </c>
      <c r="Q852">
        <v>6</v>
      </c>
      <c r="R852" t="s">
        <v>213</v>
      </c>
      <c r="S852" t="s">
        <v>183</v>
      </c>
      <c r="T852">
        <v>2</v>
      </c>
      <c r="U852" t="s">
        <v>28</v>
      </c>
      <c r="V852" t="s">
        <v>28</v>
      </c>
      <c r="W852">
        <v>25.98</v>
      </c>
      <c r="X852">
        <v>7.9730144127568234</v>
      </c>
      <c r="Y852">
        <v>10.40819549124633</v>
      </c>
    </row>
    <row r="853" spans="1:25" x14ac:dyDescent="0.2">
      <c r="A853" t="s">
        <v>174</v>
      </c>
      <c r="B853">
        <v>2014</v>
      </c>
      <c r="C853" t="s">
        <v>826</v>
      </c>
      <c r="D853" t="s">
        <v>812</v>
      </c>
      <c r="E853" t="s">
        <v>175</v>
      </c>
      <c r="F853" t="s">
        <v>187</v>
      </c>
      <c r="G853">
        <v>-41.845897000000001</v>
      </c>
      <c r="H853">
        <v>148.289063</v>
      </c>
      <c r="I853" t="s">
        <v>767</v>
      </c>
      <c r="J853" t="s">
        <v>14</v>
      </c>
      <c r="K853" t="s">
        <v>3</v>
      </c>
      <c r="L853" t="s">
        <v>3</v>
      </c>
      <c r="M853" t="s">
        <v>12</v>
      </c>
      <c r="N853" t="s">
        <v>85</v>
      </c>
      <c r="O853" s="6" t="s">
        <v>141</v>
      </c>
      <c r="P853" s="6" t="s">
        <v>74</v>
      </c>
      <c r="Q853">
        <v>6</v>
      </c>
      <c r="R853" t="s">
        <v>213</v>
      </c>
      <c r="S853" t="s">
        <v>184</v>
      </c>
      <c r="T853">
        <v>2</v>
      </c>
      <c r="U853" t="s">
        <v>28</v>
      </c>
      <c r="V853" t="s">
        <v>28</v>
      </c>
      <c r="W853">
        <v>26.079999999999995</v>
      </c>
      <c r="X853">
        <v>50.904630481447413</v>
      </c>
      <c r="Y853">
        <v>23.418439855304214</v>
      </c>
    </row>
    <row r="854" spans="1:25" x14ac:dyDescent="0.2">
      <c r="A854" t="s">
        <v>174</v>
      </c>
      <c r="B854">
        <v>2014</v>
      </c>
      <c r="C854" t="s">
        <v>826</v>
      </c>
      <c r="D854" t="s">
        <v>812</v>
      </c>
      <c r="E854" t="s">
        <v>175</v>
      </c>
      <c r="F854" t="s">
        <v>187</v>
      </c>
      <c r="G854">
        <v>-41.845897000000001</v>
      </c>
      <c r="H854">
        <v>148.289063</v>
      </c>
      <c r="I854" t="s">
        <v>767</v>
      </c>
      <c r="J854" t="s">
        <v>14</v>
      </c>
      <c r="K854" t="s">
        <v>3</v>
      </c>
      <c r="L854" t="s">
        <v>3</v>
      </c>
      <c r="M854" t="s">
        <v>12</v>
      </c>
      <c r="N854" t="s">
        <v>85</v>
      </c>
      <c r="O854" s="6" t="s">
        <v>141</v>
      </c>
      <c r="P854" s="6" t="s">
        <v>74</v>
      </c>
      <c r="Q854">
        <v>6</v>
      </c>
      <c r="R854" t="s">
        <v>213</v>
      </c>
      <c r="S854" t="s">
        <v>185</v>
      </c>
      <c r="T854">
        <v>2</v>
      </c>
      <c r="U854" t="s">
        <v>28</v>
      </c>
      <c r="V854" t="s">
        <v>28</v>
      </c>
      <c r="W854">
        <v>26.26</v>
      </c>
      <c r="X854">
        <v>34.651947255443119</v>
      </c>
      <c r="Y854">
        <v>31.658261285874254</v>
      </c>
    </row>
    <row r="855" spans="1:25" x14ac:dyDescent="0.2">
      <c r="A855" t="s">
        <v>174</v>
      </c>
      <c r="B855">
        <v>2014</v>
      </c>
      <c r="C855" t="s">
        <v>826</v>
      </c>
      <c r="D855" t="s">
        <v>812</v>
      </c>
      <c r="E855" t="s">
        <v>175</v>
      </c>
      <c r="F855" t="s">
        <v>192</v>
      </c>
      <c r="G855">
        <v>-43.100771000000002</v>
      </c>
      <c r="H855">
        <v>147.986166</v>
      </c>
      <c r="I855" t="s">
        <v>767</v>
      </c>
      <c r="J855" t="s">
        <v>7</v>
      </c>
      <c r="K855" t="s">
        <v>3</v>
      </c>
      <c r="L855" t="s">
        <v>3</v>
      </c>
      <c r="M855" t="s">
        <v>12</v>
      </c>
      <c r="N855" t="s">
        <v>85</v>
      </c>
      <c r="O855" s="6" t="s">
        <v>141</v>
      </c>
      <c r="P855" s="6" t="s">
        <v>74</v>
      </c>
      <c r="Q855">
        <v>6</v>
      </c>
      <c r="R855" t="s">
        <v>213</v>
      </c>
      <c r="S855" t="s">
        <v>7</v>
      </c>
      <c r="T855">
        <v>2</v>
      </c>
      <c r="U855" t="s">
        <v>28</v>
      </c>
      <c r="V855" t="s">
        <v>28</v>
      </c>
      <c r="W855">
        <v>13.1</v>
      </c>
      <c r="X855">
        <v>36.342769701606734</v>
      </c>
      <c r="Y855">
        <v>4.869136213220326</v>
      </c>
    </row>
    <row r="856" spans="1:25" x14ac:dyDescent="0.2">
      <c r="A856" t="s">
        <v>174</v>
      </c>
      <c r="B856">
        <v>2014</v>
      </c>
      <c r="C856" t="s">
        <v>826</v>
      </c>
      <c r="D856" t="s">
        <v>812</v>
      </c>
      <c r="E856" t="s">
        <v>175</v>
      </c>
      <c r="F856" t="s">
        <v>192</v>
      </c>
      <c r="G856">
        <v>-43.100771000000002</v>
      </c>
      <c r="H856">
        <v>147.986166</v>
      </c>
      <c r="I856" t="s">
        <v>767</v>
      </c>
      <c r="J856" t="s">
        <v>14</v>
      </c>
      <c r="K856" t="s">
        <v>3</v>
      </c>
      <c r="L856" t="s">
        <v>3</v>
      </c>
      <c r="M856" t="s">
        <v>12</v>
      </c>
      <c r="N856" t="s">
        <v>85</v>
      </c>
      <c r="O856" s="6" t="s">
        <v>141</v>
      </c>
      <c r="P856" s="6" t="s">
        <v>74</v>
      </c>
      <c r="Q856">
        <v>6</v>
      </c>
      <c r="R856" t="s">
        <v>213</v>
      </c>
      <c r="S856" t="s">
        <v>9</v>
      </c>
      <c r="T856">
        <v>2</v>
      </c>
      <c r="U856" t="s">
        <v>28</v>
      </c>
      <c r="V856" t="s">
        <v>28</v>
      </c>
      <c r="W856">
        <v>13.48</v>
      </c>
      <c r="X856">
        <v>42.081101759755171</v>
      </c>
      <c r="Y856">
        <v>7.5742118872315363</v>
      </c>
    </row>
    <row r="857" spans="1:25" x14ac:dyDescent="0.2">
      <c r="A857" t="s">
        <v>174</v>
      </c>
      <c r="B857">
        <v>2014</v>
      </c>
      <c r="C857" t="s">
        <v>826</v>
      </c>
      <c r="D857" t="s">
        <v>812</v>
      </c>
      <c r="E857" t="s">
        <v>175</v>
      </c>
      <c r="F857" t="s">
        <v>192</v>
      </c>
      <c r="G857">
        <v>-43.100771000000002</v>
      </c>
      <c r="H857">
        <v>147.986166</v>
      </c>
      <c r="I857" t="s">
        <v>767</v>
      </c>
      <c r="J857" t="s">
        <v>14</v>
      </c>
      <c r="K857" t="s">
        <v>3</v>
      </c>
      <c r="L857" t="s">
        <v>3</v>
      </c>
      <c r="M857" t="s">
        <v>12</v>
      </c>
      <c r="N857" t="s">
        <v>85</v>
      </c>
      <c r="O857" s="6" t="s">
        <v>141</v>
      </c>
      <c r="P857" s="6" t="s">
        <v>74</v>
      </c>
      <c r="Q857">
        <v>6</v>
      </c>
      <c r="R857" t="s">
        <v>213</v>
      </c>
      <c r="S857" t="s">
        <v>27</v>
      </c>
      <c r="T857">
        <v>2</v>
      </c>
      <c r="U857" t="s">
        <v>28</v>
      </c>
      <c r="V857" t="s">
        <v>28</v>
      </c>
      <c r="W857">
        <v>16.72</v>
      </c>
      <c r="X857">
        <v>100.99464422341239</v>
      </c>
      <c r="Y857">
        <v>62.757755637061621</v>
      </c>
    </row>
    <row r="858" spans="1:25" x14ac:dyDescent="0.2">
      <c r="A858" t="s">
        <v>174</v>
      </c>
      <c r="B858">
        <v>2014</v>
      </c>
      <c r="C858" t="s">
        <v>826</v>
      </c>
      <c r="D858" t="s">
        <v>812</v>
      </c>
      <c r="E858" t="s">
        <v>175</v>
      </c>
      <c r="F858" t="s">
        <v>192</v>
      </c>
      <c r="G858">
        <v>-43.100771000000002</v>
      </c>
      <c r="H858">
        <v>147.986166</v>
      </c>
      <c r="I858" t="s">
        <v>767</v>
      </c>
      <c r="J858" t="s">
        <v>14</v>
      </c>
      <c r="K858" t="s">
        <v>3</v>
      </c>
      <c r="L858" t="s">
        <v>3</v>
      </c>
      <c r="M858" t="s">
        <v>12</v>
      </c>
      <c r="N858" t="s">
        <v>85</v>
      </c>
      <c r="O858" s="6" t="s">
        <v>141</v>
      </c>
      <c r="P858" s="6" t="s">
        <v>74</v>
      </c>
      <c r="Q858">
        <v>6</v>
      </c>
      <c r="R858" t="s">
        <v>213</v>
      </c>
      <c r="S858" t="s">
        <v>13</v>
      </c>
      <c r="T858">
        <v>2</v>
      </c>
      <c r="U858" t="s">
        <v>28</v>
      </c>
      <c r="V858" t="s">
        <v>28</v>
      </c>
      <c r="W858">
        <v>17.580000000000002</v>
      </c>
      <c r="X858">
        <v>73.45065034429993</v>
      </c>
      <c r="Y858">
        <v>5.4101513480222581</v>
      </c>
    </row>
    <row r="859" spans="1:25" x14ac:dyDescent="0.2">
      <c r="A859" t="s">
        <v>174</v>
      </c>
      <c r="B859">
        <v>2014</v>
      </c>
      <c r="C859" t="s">
        <v>826</v>
      </c>
      <c r="D859" t="s">
        <v>812</v>
      </c>
      <c r="E859" t="s">
        <v>175</v>
      </c>
      <c r="F859" t="s">
        <v>192</v>
      </c>
      <c r="G859">
        <v>-43.100771000000002</v>
      </c>
      <c r="H859">
        <v>147.986166</v>
      </c>
      <c r="I859" t="s">
        <v>767</v>
      </c>
      <c r="J859" t="s">
        <v>14</v>
      </c>
      <c r="K859" t="s">
        <v>3</v>
      </c>
      <c r="L859" t="s">
        <v>3</v>
      </c>
      <c r="M859" t="s">
        <v>12</v>
      </c>
      <c r="N859" t="s">
        <v>85</v>
      </c>
      <c r="O859" s="6" t="s">
        <v>141</v>
      </c>
      <c r="P859" s="6" t="s">
        <v>74</v>
      </c>
      <c r="Q859">
        <v>6</v>
      </c>
      <c r="R859" t="s">
        <v>213</v>
      </c>
      <c r="S859" t="s">
        <v>15</v>
      </c>
      <c r="T859">
        <v>2</v>
      </c>
      <c r="U859" t="s">
        <v>28</v>
      </c>
      <c r="V859" t="s">
        <v>28</v>
      </c>
      <c r="W859">
        <v>19.419999999999998</v>
      </c>
      <c r="X859">
        <v>58.530986993114006</v>
      </c>
      <c r="Y859">
        <v>49.232377267005226</v>
      </c>
    </row>
    <row r="860" spans="1:25" x14ac:dyDescent="0.2">
      <c r="A860" t="s">
        <v>174</v>
      </c>
      <c r="B860">
        <v>2014</v>
      </c>
      <c r="C860" t="s">
        <v>826</v>
      </c>
      <c r="D860" t="s">
        <v>812</v>
      </c>
      <c r="E860" t="s">
        <v>175</v>
      </c>
      <c r="F860" t="s">
        <v>192</v>
      </c>
      <c r="G860">
        <v>-43.100771000000002</v>
      </c>
      <c r="H860">
        <v>147.986166</v>
      </c>
      <c r="I860" t="s">
        <v>767</v>
      </c>
      <c r="J860" t="s">
        <v>14</v>
      </c>
      <c r="K860" t="s">
        <v>3</v>
      </c>
      <c r="L860" t="s">
        <v>3</v>
      </c>
      <c r="M860" t="s">
        <v>12</v>
      </c>
      <c r="N860" t="s">
        <v>85</v>
      </c>
      <c r="O860" s="6" t="s">
        <v>141</v>
      </c>
      <c r="P860" s="6" t="s">
        <v>74</v>
      </c>
      <c r="Q860">
        <v>6</v>
      </c>
      <c r="R860" t="s">
        <v>213</v>
      </c>
      <c r="S860" t="s">
        <v>37</v>
      </c>
      <c r="T860">
        <v>2</v>
      </c>
      <c r="U860" t="s">
        <v>28</v>
      </c>
      <c r="V860" t="s">
        <v>28</v>
      </c>
      <c r="W860">
        <v>19.52</v>
      </c>
      <c r="X860">
        <v>92.195868400918158</v>
      </c>
      <c r="Y860">
        <v>26.509741605310488</v>
      </c>
    </row>
    <row r="861" spans="1:25" x14ac:dyDescent="0.2">
      <c r="A861" t="s">
        <v>174</v>
      </c>
      <c r="B861">
        <v>2014</v>
      </c>
      <c r="C861" t="s">
        <v>826</v>
      </c>
      <c r="D861" t="s">
        <v>812</v>
      </c>
      <c r="E861" t="s">
        <v>175</v>
      </c>
      <c r="F861" t="s">
        <v>192</v>
      </c>
      <c r="G861">
        <v>-43.100771000000002</v>
      </c>
      <c r="H861">
        <v>147.986166</v>
      </c>
      <c r="I861" t="s">
        <v>767</v>
      </c>
      <c r="J861" t="s">
        <v>14</v>
      </c>
      <c r="K861" t="s">
        <v>3</v>
      </c>
      <c r="L861" t="s">
        <v>3</v>
      </c>
      <c r="M861" t="s">
        <v>12</v>
      </c>
      <c r="N861" t="s">
        <v>85</v>
      </c>
      <c r="O861" s="6" t="s">
        <v>141</v>
      </c>
      <c r="P861" s="6" t="s">
        <v>74</v>
      </c>
      <c r="Q861">
        <v>6</v>
      </c>
      <c r="R861" t="s">
        <v>213</v>
      </c>
      <c r="S861" t="s">
        <v>116</v>
      </c>
      <c r="T861">
        <v>2</v>
      </c>
      <c r="U861" t="s">
        <v>28</v>
      </c>
      <c r="V861" t="s">
        <v>28</v>
      </c>
      <c r="W861">
        <v>19.759999999999998</v>
      </c>
      <c r="X861">
        <v>43.993879112471312</v>
      </c>
      <c r="Y861">
        <v>13.525378370056401</v>
      </c>
    </row>
    <row r="862" spans="1:25" x14ac:dyDescent="0.2">
      <c r="A862" t="s">
        <v>174</v>
      </c>
      <c r="B862">
        <v>2014</v>
      </c>
      <c r="C862" t="s">
        <v>826</v>
      </c>
      <c r="D862" t="s">
        <v>812</v>
      </c>
      <c r="E862" t="s">
        <v>175</v>
      </c>
      <c r="F862" t="s">
        <v>192</v>
      </c>
      <c r="G862">
        <v>-43.100771000000002</v>
      </c>
      <c r="H862">
        <v>147.986166</v>
      </c>
      <c r="I862" t="s">
        <v>767</v>
      </c>
      <c r="J862" t="s">
        <v>14</v>
      </c>
      <c r="K862" t="s">
        <v>3</v>
      </c>
      <c r="L862" t="s">
        <v>3</v>
      </c>
      <c r="M862" t="s">
        <v>12</v>
      </c>
      <c r="N862" t="s">
        <v>85</v>
      </c>
      <c r="O862" s="6" t="s">
        <v>141</v>
      </c>
      <c r="P862" s="6" t="s">
        <v>74</v>
      </c>
      <c r="Q862">
        <v>6</v>
      </c>
      <c r="R862" t="s">
        <v>213</v>
      </c>
      <c r="S862" t="s">
        <v>117</v>
      </c>
      <c r="T862">
        <v>2</v>
      </c>
      <c r="U862" t="s">
        <v>28</v>
      </c>
      <c r="V862" t="s">
        <v>28</v>
      </c>
      <c r="W862">
        <v>19.839999999999996</v>
      </c>
      <c r="X862">
        <v>78.806426931905122</v>
      </c>
      <c r="Y862">
        <v>23.804665931299233</v>
      </c>
    </row>
    <row r="863" spans="1:25" x14ac:dyDescent="0.2">
      <c r="A863" t="s">
        <v>174</v>
      </c>
      <c r="B863">
        <v>2014</v>
      </c>
      <c r="C863" t="s">
        <v>826</v>
      </c>
      <c r="D863" t="s">
        <v>812</v>
      </c>
      <c r="E863" t="s">
        <v>175</v>
      </c>
      <c r="F863" t="s">
        <v>192</v>
      </c>
      <c r="G863">
        <v>-43.100771000000002</v>
      </c>
      <c r="H863">
        <v>147.986166</v>
      </c>
      <c r="I863" t="s">
        <v>767</v>
      </c>
      <c r="J863" t="s">
        <v>14</v>
      </c>
      <c r="K863" t="s">
        <v>3</v>
      </c>
      <c r="L863" t="s">
        <v>3</v>
      </c>
      <c r="M863" t="s">
        <v>12</v>
      </c>
      <c r="N863" t="s">
        <v>85</v>
      </c>
      <c r="O863" s="6" t="s">
        <v>141</v>
      </c>
      <c r="P863" s="6" t="s">
        <v>74</v>
      </c>
      <c r="Q863">
        <v>6</v>
      </c>
      <c r="R863" t="s">
        <v>213</v>
      </c>
      <c r="S863" t="s">
        <v>118</v>
      </c>
      <c r="T863">
        <v>2</v>
      </c>
      <c r="U863" t="s">
        <v>28</v>
      </c>
      <c r="V863" t="s">
        <v>28</v>
      </c>
      <c r="W863">
        <v>19.88</v>
      </c>
      <c r="X863">
        <v>60.061208875286923</v>
      </c>
      <c r="Y863">
        <v>49.232377267005205</v>
      </c>
    </row>
    <row r="864" spans="1:25" x14ac:dyDescent="0.2">
      <c r="A864" t="s">
        <v>174</v>
      </c>
      <c r="B864">
        <v>2014</v>
      </c>
      <c r="C864" t="s">
        <v>826</v>
      </c>
      <c r="D864" t="s">
        <v>812</v>
      </c>
      <c r="E864" t="s">
        <v>175</v>
      </c>
      <c r="F864" t="s">
        <v>192</v>
      </c>
      <c r="G864">
        <v>-43.100771000000002</v>
      </c>
      <c r="H864">
        <v>147.986166</v>
      </c>
      <c r="I864" t="s">
        <v>767</v>
      </c>
      <c r="J864" t="s">
        <v>14</v>
      </c>
      <c r="K864" t="s">
        <v>3</v>
      </c>
      <c r="L864" t="s">
        <v>3</v>
      </c>
      <c r="M864" t="s">
        <v>12</v>
      </c>
      <c r="N864" t="s">
        <v>85</v>
      </c>
      <c r="O864" s="6" t="s">
        <v>141</v>
      </c>
      <c r="P864" s="6" t="s">
        <v>74</v>
      </c>
      <c r="Q864">
        <v>6</v>
      </c>
      <c r="R864" t="s">
        <v>213</v>
      </c>
      <c r="S864" t="s">
        <v>177</v>
      </c>
      <c r="T864">
        <v>2</v>
      </c>
      <c r="U864" t="s">
        <v>28</v>
      </c>
      <c r="V864" t="s">
        <v>28</v>
      </c>
      <c r="W864">
        <v>19.98</v>
      </c>
      <c r="X864">
        <v>62.356541698546287</v>
      </c>
      <c r="Y864">
        <v>18.935529718078925</v>
      </c>
    </row>
    <row r="865" spans="1:25" x14ac:dyDescent="0.2">
      <c r="A865" t="s">
        <v>174</v>
      </c>
      <c r="B865">
        <v>2014</v>
      </c>
      <c r="C865" t="s">
        <v>826</v>
      </c>
      <c r="D865" t="s">
        <v>812</v>
      </c>
      <c r="E865" t="s">
        <v>175</v>
      </c>
      <c r="F865" t="s">
        <v>192</v>
      </c>
      <c r="G865">
        <v>-43.100771000000002</v>
      </c>
      <c r="H865">
        <v>147.986166</v>
      </c>
      <c r="I865" t="s">
        <v>767</v>
      </c>
      <c r="J865" t="s">
        <v>14</v>
      </c>
      <c r="K865" t="s">
        <v>3</v>
      </c>
      <c r="L865" t="s">
        <v>3</v>
      </c>
      <c r="M865" t="s">
        <v>12</v>
      </c>
      <c r="N865" t="s">
        <v>85</v>
      </c>
      <c r="O865" s="6" t="s">
        <v>141</v>
      </c>
      <c r="P865" s="6" t="s">
        <v>74</v>
      </c>
      <c r="Q865">
        <v>6</v>
      </c>
      <c r="R865" t="s">
        <v>213</v>
      </c>
      <c r="S865" t="s">
        <v>178</v>
      </c>
      <c r="T865">
        <v>2</v>
      </c>
      <c r="U865" t="s">
        <v>28</v>
      </c>
      <c r="V865" t="s">
        <v>28</v>
      </c>
      <c r="W865">
        <v>20.36</v>
      </c>
      <c r="X865">
        <v>57.765876052027551</v>
      </c>
      <c r="Y865">
        <v>64.380801041468374</v>
      </c>
    </row>
    <row r="866" spans="1:25" x14ac:dyDescent="0.2">
      <c r="A866" t="s">
        <v>174</v>
      </c>
      <c r="B866">
        <v>2014</v>
      </c>
      <c r="C866" t="s">
        <v>826</v>
      </c>
      <c r="D866" t="s">
        <v>812</v>
      </c>
      <c r="E866" t="s">
        <v>175</v>
      </c>
      <c r="F866" t="s">
        <v>192</v>
      </c>
      <c r="G866">
        <v>-43.100771000000002</v>
      </c>
      <c r="H866">
        <v>147.986166</v>
      </c>
      <c r="I866" t="s">
        <v>767</v>
      </c>
      <c r="J866" t="s">
        <v>14</v>
      </c>
      <c r="K866" t="s">
        <v>3</v>
      </c>
      <c r="L866" t="s">
        <v>3</v>
      </c>
      <c r="M866" t="s">
        <v>12</v>
      </c>
      <c r="N866" t="s">
        <v>85</v>
      </c>
      <c r="O866" s="6" t="s">
        <v>141</v>
      </c>
      <c r="P866" s="6" t="s">
        <v>74</v>
      </c>
      <c r="Q866">
        <v>6</v>
      </c>
      <c r="R866" t="s">
        <v>213</v>
      </c>
      <c r="S866" t="s">
        <v>179</v>
      </c>
      <c r="T866">
        <v>2</v>
      </c>
      <c r="U866" t="s">
        <v>28</v>
      </c>
      <c r="V866" t="s">
        <v>28</v>
      </c>
      <c r="W866">
        <v>20.68</v>
      </c>
      <c r="X866">
        <v>94.108645753634278</v>
      </c>
      <c r="Y866">
        <v>55.183543749830065</v>
      </c>
    </row>
    <row r="867" spans="1:25" x14ac:dyDescent="0.2">
      <c r="A867" t="s">
        <v>174</v>
      </c>
      <c r="B867">
        <v>2014</v>
      </c>
      <c r="C867" t="s">
        <v>826</v>
      </c>
      <c r="D867" t="s">
        <v>812</v>
      </c>
      <c r="E867" t="s">
        <v>175</v>
      </c>
      <c r="F867" t="s">
        <v>192</v>
      </c>
      <c r="G867">
        <v>-43.100771000000002</v>
      </c>
      <c r="H867">
        <v>147.986166</v>
      </c>
      <c r="I867" t="s">
        <v>767</v>
      </c>
      <c r="J867" t="s">
        <v>14</v>
      </c>
      <c r="K867" t="s">
        <v>3</v>
      </c>
      <c r="L867" t="s">
        <v>3</v>
      </c>
      <c r="M867" t="s">
        <v>12</v>
      </c>
      <c r="N867" t="s">
        <v>85</v>
      </c>
      <c r="O867" s="6" t="s">
        <v>141</v>
      </c>
      <c r="P867" s="6" t="s">
        <v>74</v>
      </c>
      <c r="Q867">
        <v>6</v>
      </c>
      <c r="R867" t="s">
        <v>213</v>
      </c>
      <c r="S867" t="s">
        <v>180</v>
      </c>
      <c r="T867">
        <v>2</v>
      </c>
      <c r="U867" t="s">
        <v>28</v>
      </c>
      <c r="V867" t="s">
        <v>28</v>
      </c>
      <c r="W867">
        <v>21.5</v>
      </c>
      <c r="X867">
        <v>16.449885233358838</v>
      </c>
      <c r="Y867">
        <v>8.1152270220338281</v>
      </c>
    </row>
    <row r="868" spans="1:25" x14ac:dyDescent="0.2">
      <c r="A868" t="s">
        <v>174</v>
      </c>
      <c r="B868">
        <v>2014</v>
      </c>
      <c r="C868" t="s">
        <v>826</v>
      </c>
      <c r="D868" t="s">
        <v>812</v>
      </c>
      <c r="E868" t="s">
        <v>175</v>
      </c>
      <c r="F868" t="s">
        <v>192</v>
      </c>
      <c r="G868">
        <v>-43.100771000000002</v>
      </c>
      <c r="H868">
        <v>147.986166</v>
      </c>
      <c r="I868" t="s">
        <v>767</v>
      </c>
      <c r="J868" t="s">
        <v>14</v>
      </c>
      <c r="K868" t="s">
        <v>3</v>
      </c>
      <c r="L868" t="s">
        <v>3</v>
      </c>
      <c r="M868" t="s">
        <v>12</v>
      </c>
      <c r="N868" t="s">
        <v>85</v>
      </c>
      <c r="O868" s="6" t="s">
        <v>141</v>
      </c>
      <c r="P868" s="6" t="s">
        <v>74</v>
      </c>
      <c r="Q868">
        <v>6</v>
      </c>
      <c r="R868" t="s">
        <v>213</v>
      </c>
      <c r="S868" t="s">
        <v>181</v>
      </c>
      <c r="T868">
        <v>2</v>
      </c>
      <c r="U868" t="s">
        <v>28</v>
      </c>
      <c r="V868" t="s">
        <v>28</v>
      </c>
      <c r="W868">
        <v>21.6</v>
      </c>
      <c r="X868">
        <v>71.155317521040558</v>
      </c>
      <c r="Y868">
        <v>20.558575122485717</v>
      </c>
    </row>
    <row r="869" spans="1:25" x14ac:dyDescent="0.2">
      <c r="A869" t="s">
        <v>174</v>
      </c>
      <c r="B869">
        <v>2014</v>
      </c>
      <c r="C869" t="s">
        <v>826</v>
      </c>
      <c r="D869" t="s">
        <v>812</v>
      </c>
      <c r="E869" t="s">
        <v>175</v>
      </c>
      <c r="F869" t="s">
        <v>192</v>
      </c>
      <c r="G869">
        <v>-43.100771000000002</v>
      </c>
      <c r="H869">
        <v>147.986166</v>
      </c>
      <c r="I869" t="s">
        <v>767</v>
      </c>
      <c r="J869" t="s">
        <v>14</v>
      </c>
      <c r="K869" t="s">
        <v>3</v>
      </c>
      <c r="L869" t="s">
        <v>3</v>
      </c>
      <c r="M869" t="s">
        <v>12</v>
      </c>
      <c r="N869" t="s">
        <v>85</v>
      </c>
      <c r="O869" s="6" t="s">
        <v>141</v>
      </c>
      <c r="P869" s="6" t="s">
        <v>74</v>
      </c>
      <c r="Q869">
        <v>6</v>
      </c>
      <c r="R869" t="s">
        <v>213</v>
      </c>
      <c r="S869" t="s">
        <v>182</v>
      </c>
      <c r="T869">
        <v>2</v>
      </c>
      <c r="U869" t="s">
        <v>28</v>
      </c>
      <c r="V869" t="s">
        <v>28</v>
      </c>
      <c r="W869">
        <v>25.6</v>
      </c>
      <c r="X869">
        <v>30.221882172915073</v>
      </c>
      <c r="Y869">
        <v>28.67380214451952</v>
      </c>
    </row>
    <row r="870" spans="1:25" x14ac:dyDescent="0.2">
      <c r="A870" t="s">
        <v>174</v>
      </c>
      <c r="B870">
        <v>2014</v>
      </c>
      <c r="C870" t="s">
        <v>826</v>
      </c>
      <c r="D870" t="s">
        <v>812</v>
      </c>
      <c r="E870" t="s">
        <v>175</v>
      </c>
      <c r="F870" t="s">
        <v>192</v>
      </c>
      <c r="G870">
        <v>-43.100771000000002</v>
      </c>
      <c r="H870">
        <v>147.986166</v>
      </c>
      <c r="I870" t="s">
        <v>767</v>
      </c>
      <c r="J870" t="s">
        <v>14</v>
      </c>
      <c r="K870" t="s">
        <v>3</v>
      </c>
      <c r="L870" t="s">
        <v>3</v>
      </c>
      <c r="M870" t="s">
        <v>12</v>
      </c>
      <c r="N870" t="s">
        <v>85</v>
      </c>
      <c r="O870" s="6" t="s">
        <v>141</v>
      </c>
      <c r="P870" s="6" t="s">
        <v>74</v>
      </c>
      <c r="Q870">
        <v>6</v>
      </c>
      <c r="R870" t="s">
        <v>213</v>
      </c>
      <c r="S870" t="s">
        <v>183</v>
      </c>
      <c r="T870">
        <v>2</v>
      </c>
      <c r="U870" t="s">
        <v>28</v>
      </c>
      <c r="V870" t="s">
        <v>28</v>
      </c>
      <c r="W870">
        <v>25.98</v>
      </c>
      <c r="X870">
        <v>27.926549349655701</v>
      </c>
      <c r="Y870">
        <v>20.017559987683455</v>
      </c>
    </row>
    <row r="871" spans="1:25" x14ac:dyDescent="0.2">
      <c r="A871" t="s">
        <v>174</v>
      </c>
      <c r="B871">
        <v>2014</v>
      </c>
      <c r="C871" t="s">
        <v>826</v>
      </c>
      <c r="D871" t="s">
        <v>812</v>
      </c>
      <c r="E871" t="s">
        <v>175</v>
      </c>
      <c r="F871" t="s">
        <v>192</v>
      </c>
      <c r="G871">
        <v>-43.100771000000002</v>
      </c>
      <c r="H871">
        <v>147.986166</v>
      </c>
      <c r="I871" t="s">
        <v>767</v>
      </c>
      <c r="J871" t="s">
        <v>14</v>
      </c>
      <c r="K871" t="s">
        <v>3</v>
      </c>
      <c r="L871" t="s">
        <v>3</v>
      </c>
      <c r="M871" t="s">
        <v>12</v>
      </c>
      <c r="N871" t="s">
        <v>85</v>
      </c>
      <c r="O871" s="6" t="s">
        <v>141</v>
      </c>
      <c r="P871" s="6" t="s">
        <v>74</v>
      </c>
      <c r="Q871">
        <v>6</v>
      </c>
      <c r="R871" t="s">
        <v>213</v>
      </c>
      <c r="S871" t="s">
        <v>184</v>
      </c>
      <c r="T871">
        <v>2</v>
      </c>
      <c r="U871" t="s">
        <v>28</v>
      </c>
      <c r="V871" t="s">
        <v>28</v>
      </c>
      <c r="W871">
        <v>26.079999999999995</v>
      </c>
      <c r="X871">
        <v>35.577658760520279</v>
      </c>
      <c r="Y871">
        <v>17.853499448474413</v>
      </c>
    </row>
    <row r="872" spans="1:25" x14ac:dyDescent="0.2">
      <c r="A872" t="s">
        <v>174</v>
      </c>
      <c r="B872">
        <v>2014</v>
      </c>
      <c r="C872" t="s">
        <v>826</v>
      </c>
      <c r="D872" t="s">
        <v>812</v>
      </c>
      <c r="E872" t="s">
        <v>175</v>
      </c>
      <c r="F872" t="s">
        <v>192</v>
      </c>
      <c r="G872">
        <v>-43.100771000000002</v>
      </c>
      <c r="H872">
        <v>147.986166</v>
      </c>
      <c r="I872" t="s">
        <v>767</v>
      </c>
      <c r="J872" t="s">
        <v>14</v>
      </c>
      <c r="K872" t="s">
        <v>3</v>
      </c>
      <c r="L872" t="s">
        <v>3</v>
      </c>
      <c r="M872" t="s">
        <v>12</v>
      </c>
      <c r="N872" t="s">
        <v>85</v>
      </c>
      <c r="O872" s="6" t="s">
        <v>141</v>
      </c>
      <c r="P872" s="6" t="s">
        <v>74</v>
      </c>
      <c r="Q872">
        <v>6</v>
      </c>
      <c r="R872" t="s">
        <v>213</v>
      </c>
      <c r="S872" t="s">
        <v>185</v>
      </c>
      <c r="T872">
        <v>2</v>
      </c>
      <c r="U872" t="s">
        <v>28</v>
      </c>
      <c r="V872" t="s">
        <v>28</v>
      </c>
      <c r="W872">
        <v>26.26</v>
      </c>
      <c r="X872">
        <v>29.456771231828618</v>
      </c>
      <c r="Y872">
        <v>4.869136213220302</v>
      </c>
    </row>
    <row r="873" spans="1:25" x14ac:dyDescent="0.2">
      <c r="A873" t="s">
        <v>174</v>
      </c>
      <c r="B873">
        <v>2014</v>
      </c>
      <c r="C873" t="s">
        <v>826</v>
      </c>
      <c r="D873" t="s">
        <v>812</v>
      </c>
      <c r="E873" t="s">
        <v>175</v>
      </c>
      <c r="F873" t="s">
        <v>322</v>
      </c>
      <c r="G873">
        <v>-34.229953999999999</v>
      </c>
      <c r="H873">
        <v>115.02813399999999</v>
      </c>
      <c r="I873" t="s">
        <v>767</v>
      </c>
      <c r="J873" t="s">
        <v>7</v>
      </c>
      <c r="K873" t="s">
        <v>3</v>
      </c>
      <c r="L873" t="s">
        <v>3</v>
      </c>
      <c r="M873" t="s">
        <v>12</v>
      </c>
      <c r="N873" t="s">
        <v>85</v>
      </c>
      <c r="O873" s="6" t="s">
        <v>141</v>
      </c>
      <c r="P873" s="6" t="s">
        <v>74</v>
      </c>
      <c r="Q873">
        <v>6</v>
      </c>
      <c r="R873" t="s">
        <v>213</v>
      </c>
      <c r="S873" t="s">
        <v>7</v>
      </c>
      <c r="T873">
        <v>2</v>
      </c>
      <c r="U873" t="s">
        <v>28</v>
      </c>
      <c r="V873" t="s">
        <v>28</v>
      </c>
      <c r="W873">
        <v>14.780000000000001</v>
      </c>
      <c r="X873">
        <v>76.292042657916312</v>
      </c>
      <c r="Y873">
        <v>12.761566190405372</v>
      </c>
    </row>
    <row r="874" spans="1:25" x14ac:dyDescent="0.2">
      <c r="A874" t="s">
        <v>174</v>
      </c>
      <c r="B874">
        <v>2014</v>
      </c>
      <c r="C874" t="s">
        <v>826</v>
      </c>
      <c r="D874" t="s">
        <v>812</v>
      </c>
      <c r="E874" t="s">
        <v>175</v>
      </c>
      <c r="F874" t="s">
        <v>322</v>
      </c>
      <c r="G874">
        <v>-34.229953999999999</v>
      </c>
      <c r="H874">
        <v>115.02813399999999</v>
      </c>
      <c r="I874" t="s">
        <v>767</v>
      </c>
      <c r="J874" t="s">
        <v>14</v>
      </c>
      <c r="K874" t="s">
        <v>3</v>
      </c>
      <c r="L874" t="s">
        <v>3</v>
      </c>
      <c r="M874" t="s">
        <v>12</v>
      </c>
      <c r="N874" t="s">
        <v>85</v>
      </c>
      <c r="O874" s="6" t="s">
        <v>141</v>
      </c>
      <c r="P874" s="6" t="s">
        <v>74</v>
      </c>
      <c r="Q874">
        <v>6</v>
      </c>
      <c r="R874" t="s">
        <v>213</v>
      </c>
      <c r="S874" t="s">
        <v>9</v>
      </c>
      <c r="T874">
        <v>2</v>
      </c>
      <c r="U874" t="s">
        <v>28</v>
      </c>
      <c r="V874" t="s">
        <v>28</v>
      </c>
      <c r="W874">
        <v>17.074999999999999</v>
      </c>
      <c r="X874">
        <v>72.19031993437244</v>
      </c>
      <c r="Y874">
        <v>4.6405695237837596</v>
      </c>
    </row>
    <row r="875" spans="1:25" x14ac:dyDescent="0.2">
      <c r="A875" t="s">
        <v>174</v>
      </c>
      <c r="B875">
        <v>2014</v>
      </c>
      <c r="C875" t="s">
        <v>826</v>
      </c>
      <c r="D875" t="s">
        <v>812</v>
      </c>
      <c r="E875" t="s">
        <v>175</v>
      </c>
      <c r="F875" t="s">
        <v>322</v>
      </c>
      <c r="G875">
        <v>-34.229953999999999</v>
      </c>
      <c r="H875">
        <v>115.02813399999999</v>
      </c>
      <c r="I875" t="s">
        <v>767</v>
      </c>
      <c r="J875" t="s">
        <v>14</v>
      </c>
      <c r="K875" t="s">
        <v>3</v>
      </c>
      <c r="L875" t="s">
        <v>3</v>
      </c>
      <c r="M875" t="s">
        <v>12</v>
      </c>
      <c r="N875" t="s">
        <v>85</v>
      </c>
      <c r="O875" s="6" t="s">
        <v>141</v>
      </c>
      <c r="P875" s="6" t="s">
        <v>74</v>
      </c>
      <c r="Q875">
        <v>6</v>
      </c>
      <c r="R875" t="s">
        <v>213</v>
      </c>
      <c r="S875" t="s">
        <v>27</v>
      </c>
      <c r="T875">
        <v>2</v>
      </c>
      <c r="U875" t="s">
        <v>28</v>
      </c>
      <c r="V875" t="s">
        <v>28</v>
      </c>
      <c r="W875">
        <v>19.04</v>
      </c>
      <c r="X875">
        <v>26.251025430680883</v>
      </c>
      <c r="Y875">
        <v>4.6405695237837596</v>
      </c>
    </row>
    <row r="876" spans="1:25" x14ac:dyDescent="0.2">
      <c r="A876" t="s">
        <v>174</v>
      </c>
      <c r="B876">
        <v>2014</v>
      </c>
      <c r="C876" t="s">
        <v>826</v>
      </c>
      <c r="D876" t="s">
        <v>812</v>
      </c>
      <c r="E876" t="s">
        <v>175</v>
      </c>
      <c r="F876" t="s">
        <v>322</v>
      </c>
      <c r="G876">
        <v>-34.229953999999999</v>
      </c>
      <c r="H876">
        <v>115.02813399999999</v>
      </c>
      <c r="I876" t="s">
        <v>767</v>
      </c>
      <c r="J876" t="s">
        <v>14</v>
      </c>
      <c r="K876" t="s">
        <v>3</v>
      </c>
      <c r="L876" t="s">
        <v>3</v>
      </c>
      <c r="M876" t="s">
        <v>12</v>
      </c>
      <c r="N876" t="s">
        <v>85</v>
      </c>
      <c r="O876" s="6" t="s">
        <v>141</v>
      </c>
      <c r="P876" s="6" t="s">
        <v>74</v>
      </c>
      <c r="Q876">
        <v>6</v>
      </c>
      <c r="R876" t="s">
        <v>213</v>
      </c>
      <c r="S876" t="s">
        <v>13</v>
      </c>
      <c r="T876">
        <v>2</v>
      </c>
      <c r="U876" t="s">
        <v>28</v>
      </c>
      <c r="V876" t="s">
        <v>28</v>
      </c>
      <c r="W876">
        <v>19.45</v>
      </c>
      <c r="X876">
        <v>69.729286300246116</v>
      </c>
      <c r="Y876">
        <v>29.003559523648342</v>
      </c>
    </row>
    <row r="877" spans="1:25" x14ac:dyDescent="0.2">
      <c r="A877" t="s">
        <v>174</v>
      </c>
      <c r="B877">
        <v>2014</v>
      </c>
      <c r="C877" t="s">
        <v>826</v>
      </c>
      <c r="D877" t="s">
        <v>812</v>
      </c>
      <c r="E877" t="s">
        <v>175</v>
      </c>
      <c r="F877" t="s">
        <v>322</v>
      </c>
      <c r="G877">
        <v>-34.229953999999999</v>
      </c>
      <c r="H877">
        <v>115.02813399999999</v>
      </c>
      <c r="I877" t="s">
        <v>767</v>
      </c>
      <c r="J877" t="s">
        <v>14</v>
      </c>
      <c r="K877" t="s">
        <v>3</v>
      </c>
      <c r="L877" t="s">
        <v>3</v>
      </c>
      <c r="M877" t="s">
        <v>12</v>
      </c>
      <c r="N877" t="s">
        <v>85</v>
      </c>
      <c r="O877" s="6" t="s">
        <v>141</v>
      </c>
      <c r="P877" s="6" t="s">
        <v>74</v>
      </c>
      <c r="Q877">
        <v>6</v>
      </c>
      <c r="R877" t="s">
        <v>213</v>
      </c>
      <c r="S877" t="s">
        <v>15</v>
      </c>
      <c r="T877">
        <v>2</v>
      </c>
      <c r="U877" t="s">
        <v>28</v>
      </c>
      <c r="V877" t="s">
        <v>28</v>
      </c>
      <c r="W877">
        <v>20.740000000000002</v>
      </c>
      <c r="X877">
        <v>43.478260869565219</v>
      </c>
      <c r="Y877">
        <v>8.1209966666216005</v>
      </c>
    </row>
    <row r="878" spans="1:25" x14ac:dyDescent="0.2">
      <c r="A878" t="s">
        <v>174</v>
      </c>
      <c r="B878">
        <v>2014</v>
      </c>
      <c r="C878" t="s">
        <v>826</v>
      </c>
      <c r="D878" t="s">
        <v>812</v>
      </c>
      <c r="E878" t="s">
        <v>175</v>
      </c>
      <c r="F878" t="s">
        <v>322</v>
      </c>
      <c r="G878">
        <v>-34.229953999999999</v>
      </c>
      <c r="H878">
        <v>115.02813399999999</v>
      </c>
      <c r="I878" t="s">
        <v>767</v>
      </c>
      <c r="J878" t="s">
        <v>14</v>
      </c>
      <c r="K878" t="s">
        <v>3</v>
      </c>
      <c r="L878" t="s">
        <v>3</v>
      </c>
      <c r="M878" t="s">
        <v>12</v>
      </c>
      <c r="N878" t="s">
        <v>85</v>
      </c>
      <c r="O878" s="6" t="s">
        <v>141</v>
      </c>
      <c r="P878" s="6" t="s">
        <v>74</v>
      </c>
      <c r="Q878">
        <v>6</v>
      </c>
      <c r="R878" t="s">
        <v>213</v>
      </c>
      <c r="S878" t="s">
        <v>37</v>
      </c>
      <c r="T878">
        <v>2</v>
      </c>
      <c r="U878" t="s">
        <v>28</v>
      </c>
      <c r="V878" t="s">
        <v>28</v>
      </c>
      <c r="W878">
        <v>21.42</v>
      </c>
      <c r="X878">
        <v>78.753076292042664</v>
      </c>
      <c r="Y878">
        <v>55.686834285404856</v>
      </c>
    </row>
    <row r="879" spans="1:25" x14ac:dyDescent="0.2">
      <c r="A879" t="s">
        <v>174</v>
      </c>
      <c r="B879">
        <v>2014</v>
      </c>
      <c r="C879" t="s">
        <v>826</v>
      </c>
      <c r="D879" t="s">
        <v>812</v>
      </c>
      <c r="E879" t="s">
        <v>175</v>
      </c>
      <c r="F879" t="s">
        <v>322</v>
      </c>
      <c r="G879">
        <v>-34.229953999999999</v>
      </c>
      <c r="H879">
        <v>115.02813399999999</v>
      </c>
      <c r="I879" t="s">
        <v>767</v>
      </c>
      <c r="J879" t="s">
        <v>14</v>
      </c>
      <c r="K879" t="s">
        <v>3</v>
      </c>
      <c r="L879" t="s">
        <v>3</v>
      </c>
      <c r="M879" t="s">
        <v>12</v>
      </c>
      <c r="N879" t="s">
        <v>85</v>
      </c>
      <c r="O879" s="6" t="s">
        <v>141</v>
      </c>
      <c r="P879" s="6" t="s">
        <v>74</v>
      </c>
      <c r="Q879">
        <v>6</v>
      </c>
      <c r="R879" t="s">
        <v>213</v>
      </c>
      <c r="S879" t="s">
        <v>116</v>
      </c>
      <c r="T879">
        <v>2</v>
      </c>
      <c r="U879" t="s">
        <v>28</v>
      </c>
      <c r="V879" t="s">
        <v>28</v>
      </c>
      <c r="W879">
        <v>21.7</v>
      </c>
      <c r="X879">
        <v>46.759639048400331</v>
      </c>
      <c r="Y879">
        <v>8.120996666621517</v>
      </c>
    </row>
    <row r="880" spans="1:25" x14ac:dyDescent="0.2">
      <c r="A880" t="s">
        <v>174</v>
      </c>
      <c r="B880">
        <v>2014</v>
      </c>
      <c r="C880" t="s">
        <v>826</v>
      </c>
      <c r="D880" t="s">
        <v>812</v>
      </c>
      <c r="E880" t="s">
        <v>175</v>
      </c>
      <c r="F880" t="s">
        <v>322</v>
      </c>
      <c r="G880">
        <v>-34.229953999999999</v>
      </c>
      <c r="H880">
        <v>115.02813399999999</v>
      </c>
      <c r="I880" t="s">
        <v>767</v>
      </c>
      <c r="J880" t="s">
        <v>14</v>
      </c>
      <c r="K880" t="s">
        <v>3</v>
      </c>
      <c r="L880" t="s">
        <v>3</v>
      </c>
      <c r="M880" t="s">
        <v>12</v>
      </c>
      <c r="N880" t="s">
        <v>85</v>
      </c>
      <c r="O880" s="6" t="s">
        <v>141</v>
      </c>
      <c r="P880" s="6" t="s">
        <v>74</v>
      </c>
      <c r="Q880">
        <v>6</v>
      </c>
      <c r="R880" t="s">
        <v>213</v>
      </c>
      <c r="S880" t="s">
        <v>117</v>
      </c>
      <c r="T880">
        <v>2</v>
      </c>
      <c r="U880" t="s">
        <v>28</v>
      </c>
      <c r="V880" t="s">
        <v>28</v>
      </c>
      <c r="W880">
        <v>21.774999999999999</v>
      </c>
      <c r="X880">
        <v>51.681706316652992</v>
      </c>
      <c r="Y880">
        <v>24.362989999864663</v>
      </c>
    </row>
    <row r="881" spans="1:25" x14ac:dyDescent="0.2">
      <c r="A881" t="s">
        <v>174</v>
      </c>
      <c r="B881">
        <v>2014</v>
      </c>
      <c r="C881" t="s">
        <v>826</v>
      </c>
      <c r="D881" t="s">
        <v>812</v>
      </c>
      <c r="E881" t="s">
        <v>175</v>
      </c>
      <c r="F881" t="s">
        <v>322</v>
      </c>
      <c r="G881">
        <v>-34.229953999999999</v>
      </c>
      <c r="H881">
        <v>115.02813399999999</v>
      </c>
      <c r="I881" t="s">
        <v>767</v>
      </c>
      <c r="J881" t="s">
        <v>14</v>
      </c>
      <c r="K881" t="s">
        <v>3</v>
      </c>
      <c r="L881" t="s">
        <v>3</v>
      </c>
      <c r="M881" t="s">
        <v>12</v>
      </c>
      <c r="N881" t="s">
        <v>85</v>
      </c>
      <c r="O881" s="6" t="s">
        <v>141</v>
      </c>
      <c r="P881" s="6" t="s">
        <v>74</v>
      </c>
      <c r="Q881">
        <v>6</v>
      </c>
      <c r="R881" t="s">
        <v>213</v>
      </c>
      <c r="S881" t="s">
        <v>118</v>
      </c>
      <c r="T881">
        <v>2</v>
      </c>
      <c r="U881" t="s">
        <v>28</v>
      </c>
      <c r="V881" t="s">
        <v>28</v>
      </c>
      <c r="W881">
        <v>21.875000000000004</v>
      </c>
      <c r="X881">
        <v>40.196882690730106</v>
      </c>
      <c r="Y881">
        <v>1.1601423809460869</v>
      </c>
    </row>
    <row r="882" spans="1:25" x14ac:dyDescent="0.2">
      <c r="A882" t="s">
        <v>174</v>
      </c>
      <c r="B882">
        <v>2014</v>
      </c>
      <c r="C882" t="s">
        <v>826</v>
      </c>
      <c r="D882" t="s">
        <v>812</v>
      </c>
      <c r="E882" t="s">
        <v>175</v>
      </c>
      <c r="F882" t="s">
        <v>322</v>
      </c>
      <c r="G882">
        <v>-34.229953999999999</v>
      </c>
      <c r="H882">
        <v>115.02813399999999</v>
      </c>
      <c r="I882" t="s">
        <v>767</v>
      </c>
      <c r="J882" t="s">
        <v>14</v>
      </c>
      <c r="K882" t="s">
        <v>3</v>
      </c>
      <c r="L882" t="s">
        <v>3</v>
      </c>
      <c r="M882" t="s">
        <v>12</v>
      </c>
      <c r="N882" t="s">
        <v>85</v>
      </c>
      <c r="O882" s="6" t="s">
        <v>141</v>
      </c>
      <c r="P882" s="6" t="s">
        <v>74</v>
      </c>
      <c r="Q882">
        <v>6</v>
      </c>
      <c r="R882" t="s">
        <v>213</v>
      </c>
      <c r="S882" t="s">
        <v>177</v>
      </c>
      <c r="T882">
        <v>2</v>
      </c>
      <c r="U882" t="s">
        <v>28</v>
      </c>
      <c r="V882" t="s">
        <v>28</v>
      </c>
      <c r="W882">
        <v>22.225000000000001</v>
      </c>
      <c r="X882">
        <v>85.315832649712888</v>
      </c>
      <c r="Y882">
        <v>64.967973332972363</v>
      </c>
    </row>
    <row r="883" spans="1:25" x14ac:dyDescent="0.2">
      <c r="A883" t="s">
        <v>174</v>
      </c>
      <c r="B883">
        <v>2014</v>
      </c>
      <c r="C883" t="s">
        <v>826</v>
      </c>
      <c r="D883" t="s">
        <v>812</v>
      </c>
      <c r="E883" t="s">
        <v>175</v>
      </c>
      <c r="F883" t="s">
        <v>322</v>
      </c>
      <c r="G883">
        <v>-34.229953999999999</v>
      </c>
      <c r="H883">
        <v>115.02813399999999</v>
      </c>
      <c r="I883" t="s">
        <v>767</v>
      </c>
      <c r="J883" t="s">
        <v>14</v>
      </c>
      <c r="K883" t="s">
        <v>3</v>
      </c>
      <c r="L883" t="s">
        <v>3</v>
      </c>
      <c r="M883" t="s">
        <v>12</v>
      </c>
      <c r="N883" t="s">
        <v>85</v>
      </c>
      <c r="O883" s="6" t="s">
        <v>141</v>
      </c>
      <c r="P883" s="6" t="s">
        <v>74</v>
      </c>
      <c r="Q883">
        <v>6</v>
      </c>
      <c r="R883" t="s">
        <v>213</v>
      </c>
      <c r="S883" t="s">
        <v>178</v>
      </c>
      <c r="T883">
        <v>2</v>
      </c>
      <c r="U883" t="s">
        <v>28</v>
      </c>
      <c r="V883" t="s">
        <v>28</v>
      </c>
      <c r="W883">
        <v>22.274999999999999</v>
      </c>
      <c r="X883">
        <v>50.861361771944225</v>
      </c>
      <c r="Y883">
        <v>0</v>
      </c>
    </row>
    <row r="884" spans="1:25" x14ac:dyDescent="0.2">
      <c r="A884" t="s">
        <v>174</v>
      </c>
      <c r="B884">
        <v>2014</v>
      </c>
      <c r="C884" t="s">
        <v>826</v>
      </c>
      <c r="D884" t="s">
        <v>812</v>
      </c>
      <c r="E884" t="s">
        <v>175</v>
      </c>
      <c r="F884" t="s">
        <v>322</v>
      </c>
      <c r="G884">
        <v>-34.229953999999999</v>
      </c>
      <c r="H884">
        <v>115.02813399999999</v>
      </c>
      <c r="I884" t="s">
        <v>767</v>
      </c>
      <c r="J884" t="s">
        <v>14</v>
      </c>
      <c r="K884" t="s">
        <v>3</v>
      </c>
      <c r="L884" t="s">
        <v>3</v>
      </c>
      <c r="M884" t="s">
        <v>12</v>
      </c>
      <c r="N884" t="s">
        <v>85</v>
      </c>
      <c r="O884" s="6" t="s">
        <v>141</v>
      </c>
      <c r="P884" s="6" t="s">
        <v>74</v>
      </c>
      <c r="Q884">
        <v>6</v>
      </c>
      <c r="R884" t="s">
        <v>213</v>
      </c>
      <c r="S884" t="s">
        <v>179</v>
      </c>
      <c r="T884">
        <v>2</v>
      </c>
      <c r="U884" t="s">
        <v>28</v>
      </c>
      <c r="V884" t="s">
        <v>28</v>
      </c>
      <c r="W884">
        <v>23.349999999999998</v>
      </c>
      <c r="X884">
        <v>36.09515996718622</v>
      </c>
      <c r="Y884">
        <v>27.843417142702446</v>
      </c>
    </row>
    <row r="885" spans="1:25" x14ac:dyDescent="0.2">
      <c r="A885" t="s">
        <v>174</v>
      </c>
      <c r="B885">
        <v>2014</v>
      </c>
      <c r="C885" t="s">
        <v>826</v>
      </c>
      <c r="D885" t="s">
        <v>812</v>
      </c>
      <c r="E885" t="s">
        <v>175</v>
      </c>
      <c r="F885" t="s">
        <v>322</v>
      </c>
      <c r="G885">
        <v>-34.229953999999999</v>
      </c>
      <c r="H885">
        <v>115.02813399999999</v>
      </c>
      <c r="I885" t="s">
        <v>767</v>
      </c>
      <c r="J885" t="s">
        <v>14</v>
      </c>
      <c r="K885" t="s">
        <v>3</v>
      </c>
      <c r="L885" t="s">
        <v>3</v>
      </c>
      <c r="M885" t="s">
        <v>12</v>
      </c>
      <c r="N885" t="s">
        <v>85</v>
      </c>
      <c r="O885" s="6" t="s">
        <v>141</v>
      </c>
      <c r="P885" s="6" t="s">
        <v>74</v>
      </c>
      <c r="Q885">
        <v>6</v>
      </c>
      <c r="R885" t="s">
        <v>213</v>
      </c>
      <c r="S885" t="s">
        <v>180</v>
      </c>
      <c r="T885">
        <v>2</v>
      </c>
      <c r="U885" t="s">
        <v>28</v>
      </c>
      <c r="V885" t="s">
        <v>28</v>
      </c>
      <c r="W885">
        <v>25.939999999999998</v>
      </c>
      <c r="X885">
        <v>27.891714520098443</v>
      </c>
      <c r="Y885">
        <v>11.601423809459352</v>
      </c>
    </row>
    <row r="886" spans="1:25" x14ac:dyDescent="0.2">
      <c r="A886" t="s">
        <v>174</v>
      </c>
      <c r="B886">
        <v>2014</v>
      </c>
      <c r="C886" t="s">
        <v>826</v>
      </c>
      <c r="D886" t="s">
        <v>812</v>
      </c>
      <c r="E886" t="s">
        <v>175</v>
      </c>
      <c r="F886" t="s">
        <v>322</v>
      </c>
      <c r="G886">
        <v>-34.229953999999999</v>
      </c>
      <c r="H886">
        <v>115.02813399999999</v>
      </c>
      <c r="I886" t="s">
        <v>767</v>
      </c>
      <c r="J886" t="s">
        <v>14</v>
      </c>
      <c r="K886" t="s">
        <v>3</v>
      </c>
      <c r="L886" t="s">
        <v>3</v>
      </c>
      <c r="M886" t="s">
        <v>12</v>
      </c>
      <c r="N886" t="s">
        <v>85</v>
      </c>
      <c r="O886" s="6" t="s">
        <v>141</v>
      </c>
      <c r="P886" s="6" t="s">
        <v>74</v>
      </c>
      <c r="Q886">
        <v>6</v>
      </c>
      <c r="R886" t="s">
        <v>213</v>
      </c>
      <c r="S886" t="s">
        <v>181</v>
      </c>
      <c r="T886">
        <v>2</v>
      </c>
      <c r="U886" t="s">
        <v>28</v>
      </c>
      <c r="V886" t="s">
        <v>28</v>
      </c>
      <c r="W886">
        <v>26.04</v>
      </c>
      <c r="X886">
        <v>103.363412633306</v>
      </c>
      <c r="Y886">
        <v>58.007119047296747</v>
      </c>
    </row>
    <row r="887" spans="1:25" x14ac:dyDescent="0.2">
      <c r="A887" t="s">
        <v>174</v>
      </c>
      <c r="B887">
        <v>2014</v>
      </c>
      <c r="C887" t="s">
        <v>826</v>
      </c>
      <c r="D887" t="s">
        <v>812</v>
      </c>
      <c r="E887" t="s">
        <v>175</v>
      </c>
      <c r="F887" t="s">
        <v>322</v>
      </c>
      <c r="G887">
        <v>-34.229953999999999</v>
      </c>
      <c r="H887">
        <v>115.02813399999999</v>
      </c>
      <c r="I887" t="s">
        <v>767</v>
      </c>
      <c r="J887" t="s">
        <v>14</v>
      </c>
      <c r="K887" t="s">
        <v>3</v>
      </c>
      <c r="L887" t="s">
        <v>3</v>
      </c>
      <c r="M887" t="s">
        <v>12</v>
      </c>
      <c r="N887" t="s">
        <v>85</v>
      </c>
      <c r="O887" s="6" t="s">
        <v>141</v>
      </c>
      <c r="P887" s="6" t="s">
        <v>74</v>
      </c>
      <c r="Q887">
        <v>6</v>
      </c>
      <c r="R887" t="s">
        <v>213</v>
      </c>
      <c r="S887" t="s">
        <v>182</v>
      </c>
      <c r="T887">
        <v>2</v>
      </c>
      <c r="U887" t="s">
        <v>28</v>
      </c>
      <c r="V887" t="s">
        <v>28</v>
      </c>
      <c r="W887">
        <v>26.424999999999997</v>
      </c>
      <c r="X887">
        <v>38.556193601312557</v>
      </c>
      <c r="Y887">
        <v>1.160142380945695</v>
      </c>
    </row>
    <row r="888" spans="1:25" x14ac:dyDescent="0.2">
      <c r="A888" t="s">
        <v>174</v>
      </c>
      <c r="B888">
        <v>2014</v>
      </c>
      <c r="C888" t="s">
        <v>826</v>
      </c>
      <c r="D888" t="s">
        <v>812</v>
      </c>
      <c r="E888" t="s">
        <v>175</v>
      </c>
      <c r="F888" t="s">
        <v>322</v>
      </c>
      <c r="G888">
        <v>-34.229953999999999</v>
      </c>
      <c r="H888">
        <v>115.02813399999999</v>
      </c>
      <c r="I888" t="s">
        <v>767</v>
      </c>
      <c r="J888" t="s">
        <v>14</v>
      </c>
      <c r="K888" t="s">
        <v>3</v>
      </c>
      <c r="L888" t="s">
        <v>3</v>
      </c>
      <c r="M888" t="s">
        <v>12</v>
      </c>
      <c r="N888" t="s">
        <v>85</v>
      </c>
      <c r="O888" s="6" t="s">
        <v>141</v>
      </c>
      <c r="P888" s="6" t="s">
        <v>74</v>
      </c>
      <c r="Q888">
        <v>6</v>
      </c>
      <c r="R888" t="s">
        <v>213</v>
      </c>
      <c r="S888" t="s">
        <v>183</v>
      </c>
      <c r="T888">
        <v>2</v>
      </c>
      <c r="U888" t="s">
        <v>28</v>
      </c>
      <c r="V888" t="s">
        <v>28</v>
      </c>
      <c r="W888">
        <v>26.6</v>
      </c>
      <c r="X888">
        <v>61.525840853158329</v>
      </c>
      <c r="Y888">
        <v>31.323844285540261</v>
      </c>
    </row>
    <row r="889" spans="1:25" x14ac:dyDescent="0.2">
      <c r="A889" t="s">
        <v>174</v>
      </c>
      <c r="B889">
        <v>2014</v>
      </c>
      <c r="C889" t="s">
        <v>826</v>
      </c>
      <c r="D889" t="s">
        <v>812</v>
      </c>
      <c r="E889" t="s">
        <v>175</v>
      </c>
      <c r="F889" t="s">
        <v>322</v>
      </c>
      <c r="G889">
        <v>-34.229953999999999</v>
      </c>
      <c r="H889">
        <v>115.02813399999999</v>
      </c>
      <c r="I889" t="s">
        <v>767</v>
      </c>
      <c r="J889" t="s">
        <v>14</v>
      </c>
      <c r="K889" t="s">
        <v>3</v>
      </c>
      <c r="L889" t="s">
        <v>3</v>
      </c>
      <c r="M889" t="s">
        <v>12</v>
      </c>
      <c r="N889" t="s">
        <v>85</v>
      </c>
      <c r="O889" s="6" t="s">
        <v>141</v>
      </c>
      <c r="P889" s="6" t="s">
        <v>74</v>
      </c>
      <c r="Q889">
        <v>6</v>
      </c>
      <c r="R889" t="s">
        <v>213</v>
      </c>
      <c r="S889" t="s">
        <v>184</v>
      </c>
      <c r="T889">
        <v>2</v>
      </c>
      <c r="U889" t="s">
        <v>28</v>
      </c>
      <c r="V889" t="s">
        <v>28</v>
      </c>
      <c r="W889">
        <v>26.700000000000003</v>
      </c>
      <c r="X889">
        <v>8.2034454470877769</v>
      </c>
      <c r="Y889">
        <v>9.2811390475674802</v>
      </c>
    </row>
    <row r="890" spans="1:25" x14ac:dyDescent="0.2">
      <c r="A890" t="s">
        <v>174</v>
      </c>
      <c r="B890">
        <v>2014</v>
      </c>
      <c r="C890" t="s">
        <v>826</v>
      </c>
      <c r="D890" t="s">
        <v>812</v>
      </c>
      <c r="E890" t="s">
        <v>175</v>
      </c>
      <c r="F890" t="s">
        <v>322</v>
      </c>
      <c r="G890">
        <v>-34.229953999999999</v>
      </c>
      <c r="H890">
        <v>115.02813399999999</v>
      </c>
      <c r="I890" t="s">
        <v>767</v>
      </c>
      <c r="J890" t="s">
        <v>14</v>
      </c>
      <c r="K890" t="s">
        <v>3</v>
      </c>
      <c r="L890" t="s">
        <v>3</v>
      </c>
      <c r="M890" t="s">
        <v>12</v>
      </c>
      <c r="N890" t="s">
        <v>85</v>
      </c>
      <c r="O890" s="6" t="s">
        <v>141</v>
      </c>
      <c r="P890" s="6" t="s">
        <v>74</v>
      </c>
      <c r="Q890">
        <v>6</v>
      </c>
      <c r="R890" t="s">
        <v>213</v>
      </c>
      <c r="S890" t="s">
        <v>185</v>
      </c>
      <c r="T890">
        <v>2</v>
      </c>
      <c r="U890" t="s">
        <v>28</v>
      </c>
      <c r="V890" t="s">
        <v>28</v>
      </c>
      <c r="W890">
        <v>26.974999999999998</v>
      </c>
      <c r="X890">
        <v>23.789991796554553</v>
      </c>
      <c r="Y890">
        <v>3.4804271428378035</v>
      </c>
    </row>
    <row r="891" spans="1:25" x14ac:dyDescent="0.2">
      <c r="A891" t="s">
        <v>174</v>
      </c>
      <c r="B891">
        <v>2014</v>
      </c>
      <c r="C891" t="s">
        <v>826</v>
      </c>
      <c r="D891" t="s">
        <v>812</v>
      </c>
      <c r="E891" t="s">
        <v>175</v>
      </c>
      <c r="F891" t="s">
        <v>190</v>
      </c>
      <c r="G891">
        <v>-35.382478999999996</v>
      </c>
      <c r="H891">
        <v>137.15918500000001</v>
      </c>
      <c r="I891" t="s">
        <v>772</v>
      </c>
      <c r="J891" t="s">
        <v>7</v>
      </c>
      <c r="K891" t="s">
        <v>3</v>
      </c>
      <c r="L891" t="s">
        <v>3</v>
      </c>
      <c r="M891" t="s">
        <v>12</v>
      </c>
      <c r="N891" t="s">
        <v>85</v>
      </c>
      <c r="O891" s="6" t="s">
        <v>141</v>
      </c>
      <c r="P891" s="6" t="s">
        <v>74</v>
      </c>
      <c r="Q891">
        <v>6</v>
      </c>
      <c r="R891" t="s">
        <v>213</v>
      </c>
      <c r="S891" t="s">
        <v>7</v>
      </c>
      <c r="T891">
        <v>2</v>
      </c>
      <c r="U891" t="s">
        <v>28</v>
      </c>
      <c r="V891" t="s">
        <v>28</v>
      </c>
      <c r="W891">
        <v>11.879999999999999</v>
      </c>
      <c r="X891">
        <v>4.5437228672522787</v>
      </c>
      <c r="Y891">
        <v>0</v>
      </c>
    </row>
    <row r="892" spans="1:25" x14ac:dyDescent="0.2">
      <c r="A892" t="s">
        <v>174</v>
      </c>
      <c r="B892">
        <v>2014</v>
      </c>
      <c r="C892" t="s">
        <v>826</v>
      </c>
      <c r="D892" t="s">
        <v>812</v>
      </c>
      <c r="E892" t="s">
        <v>175</v>
      </c>
      <c r="F892" t="s">
        <v>190</v>
      </c>
      <c r="G892">
        <v>-35.382478999999996</v>
      </c>
      <c r="H892">
        <v>137.15918500000001</v>
      </c>
      <c r="I892" t="s">
        <v>772</v>
      </c>
      <c r="J892" t="s">
        <v>14</v>
      </c>
      <c r="K892" t="s">
        <v>3</v>
      </c>
      <c r="L892" t="s">
        <v>3</v>
      </c>
      <c r="M892" t="s">
        <v>12</v>
      </c>
      <c r="N892" t="s">
        <v>85</v>
      </c>
      <c r="O892" s="6" t="s">
        <v>141</v>
      </c>
      <c r="P892" s="6" t="s">
        <v>74</v>
      </c>
      <c r="Q892">
        <v>6</v>
      </c>
      <c r="R892" t="s">
        <v>213</v>
      </c>
      <c r="S892" t="s">
        <v>9</v>
      </c>
      <c r="T892">
        <v>2</v>
      </c>
      <c r="U892" t="s">
        <v>28</v>
      </c>
      <c r="V892" t="s">
        <v>28</v>
      </c>
      <c r="W892">
        <v>13.879999999999999</v>
      </c>
      <c r="X892">
        <v>14.085540888482065</v>
      </c>
      <c r="Y892">
        <v>16.064486256332348</v>
      </c>
    </row>
    <row r="893" spans="1:25" x14ac:dyDescent="0.2">
      <c r="A893" t="s">
        <v>174</v>
      </c>
      <c r="B893">
        <v>2014</v>
      </c>
      <c r="C893" t="s">
        <v>826</v>
      </c>
      <c r="D893" t="s">
        <v>812</v>
      </c>
      <c r="E893" t="s">
        <v>175</v>
      </c>
      <c r="F893" t="s">
        <v>190</v>
      </c>
      <c r="G893">
        <v>-35.382478999999996</v>
      </c>
      <c r="H893">
        <v>137.15918500000001</v>
      </c>
      <c r="I893" t="s">
        <v>772</v>
      </c>
      <c r="J893" t="s">
        <v>14</v>
      </c>
      <c r="K893" t="s">
        <v>3</v>
      </c>
      <c r="L893" t="s">
        <v>3</v>
      </c>
      <c r="M893" t="s">
        <v>12</v>
      </c>
      <c r="N893" t="s">
        <v>85</v>
      </c>
      <c r="O893" s="6" t="s">
        <v>141</v>
      </c>
      <c r="P893" s="6" t="s">
        <v>74</v>
      </c>
      <c r="Q893">
        <v>6</v>
      </c>
      <c r="R893" t="s">
        <v>213</v>
      </c>
      <c r="S893" t="s">
        <v>27</v>
      </c>
      <c r="T893">
        <v>2</v>
      </c>
      <c r="U893" t="s">
        <v>28</v>
      </c>
      <c r="V893" t="s">
        <v>28</v>
      </c>
      <c r="W893">
        <v>15.9</v>
      </c>
      <c r="X893">
        <v>9.9961903079550112</v>
      </c>
      <c r="Y893">
        <v>12.851589005065875</v>
      </c>
    </row>
    <row r="894" spans="1:25" x14ac:dyDescent="0.2">
      <c r="A894" t="s">
        <v>174</v>
      </c>
      <c r="B894">
        <v>2014</v>
      </c>
      <c r="C894" t="s">
        <v>826</v>
      </c>
      <c r="D894" t="s">
        <v>812</v>
      </c>
      <c r="E894" t="s">
        <v>175</v>
      </c>
      <c r="F894" t="s">
        <v>190</v>
      </c>
      <c r="G894">
        <v>-35.382478999999996</v>
      </c>
      <c r="H894">
        <v>137.15918500000001</v>
      </c>
      <c r="I894" t="s">
        <v>772</v>
      </c>
      <c r="J894" t="s">
        <v>14</v>
      </c>
      <c r="K894" t="s">
        <v>3</v>
      </c>
      <c r="L894" t="s">
        <v>3</v>
      </c>
      <c r="M894" t="s">
        <v>12</v>
      </c>
      <c r="N894" t="s">
        <v>85</v>
      </c>
      <c r="O894" s="6" t="s">
        <v>141</v>
      </c>
      <c r="P894" s="6" t="s">
        <v>74</v>
      </c>
      <c r="Q894">
        <v>6</v>
      </c>
      <c r="R894" t="s">
        <v>213</v>
      </c>
      <c r="S894" t="s">
        <v>13</v>
      </c>
      <c r="T894">
        <v>2</v>
      </c>
      <c r="U894" t="s">
        <v>28</v>
      </c>
      <c r="V894" t="s">
        <v>28</v>
      </c>
      <c r="W894">
        <v>17.86</v>
      </c>
      <c r="X894">
        <v>4.08935058052705</v>
      </c>
      <c r="Y894">
        <v>1.9277383507598802</v>
      </c>
    </row>
    <row r="895" spans="1:25" x14ac:dyDescent="0.2">
      <c r="A895" t="s">
        <v>174</v>
      </c>
      <c r="B895">
        <v>2014</v>
      </c>
      <c r="C895" t="s">
        <v>826</v>
      </c>
      <c r="D895" t="s">
        <v>812</v>
      </c>
      <c r="E895" t="s">
        <v>175</v>
      </c>
      <c r="F895" t="s">
        <v>190</v>
      </c>
      <c r="G895">
        <v>-35.382478999999996</v>
      </c>
      <c r="H895">
        <v>137.15918500000001</v>
      </c>
      <c r="I895" t="s">
        <v>772</v>
      </c>
      <c r="J895" t="s">
        <v>14</v>
      </c>
      <c r="K895" t="s">
        <v>3</v>
      </c>
      <c r="L895" t="s">
        <v>3</v>
      </c>
      <c r="M895" t="s">
        <v>12</v>
      </c>
      <c r="N895" t="s">
        <v>85</v>
      </c>
      <c r="O895" s="6" t="s">
        <v>141</v>
      </c>
      <c r="P895" s="6" t="s">
        <v>74</v>
      </c>
      <c r="Q895">
        <v>6</v>
      </c>
      <c r="R895" t="s">
        <v>213</v>
      </c>
      <c r="S895" t="s">
        <v>15</v>
      </c>
      <c r="T895">
        <v>2</v>
      </c>
      <c r="U895" t="s">
        <v>28</v>
      </c>
      <c r="V895" t="s">
        <v>28</v>
      </c>
      <c r="W895">
        <v>17.940000000000001</v>
      </c>
      <c r="X895">
        <v>4.08935058052705</v>
      </c>
      <c r="Y895">
        <v>0.64257945025329655</v>
      </c>
    </row>
    <row r="896" spans="1:25" x14ac:dyDescent="0.2">
      <c r="A896" t="s">
        <v>174</v>
      </c>
      <c r="B896">
        <v>2014</v>
      </c>
      <c r="C896" t="s">
        <v>826</v>
      </c>
      <c r="D896" t="s">
        <v>812</v>
      </c>
      <c r="E896" t="s">
        <v>175</v>
      </c>
      <c r="F896" t="s">
        <v>190</v>
      </c>
      <c r="G896">
        <v>-35.382478999999996</v>
      </c>
      <c r="H896">
        <v>137.15918500000001</v>
      </c>
      <c r="I896" t="s">
        <v>772</v>
      </c>
      <c r="J896" t="s">
        <v>14</v>
      </c>
      <c r="K896" t="s">
        <v>3</v>
      </c>
      <c r="L896" t="s">
        <v>3</v>
      </c>
      <c r="M896" t="s">
        <v>12</v>
      </c>
      <c r="N896" t="s">
        <v>85</v>
      </c>
      <c r="O896" s="6" t="s">
        <v>141</v>
      </c>
      <c r="P896" s="6" t="s">
        <v>74</v>
      </c>
      <c r="Q896">
        <v>6</v>
      </c>
      <c r="R896" t="s">
        <v>213</v>
      </c>
      <c r="S896" t="s">
        <v>37</v>
      </c>
      <c r="T896">
        <v>2</v>
      </c>
      <c r="U896" t="s">
        <v>28</v>
      </c>
      <c r="V896" t="s">
        <v>28</v>
      </c>
      <c r="W896">
        <v>18.040000000000003</v>
      </c>
      <c r="X896">
        <v>4.9980951539775065</v>
      </c>
      <c r="Y896">
        <v>7.0683739527862324</v>
      </c>
    </row>
    <row r="897" spans="1:25" x14ac:dyDescent="0.2">
      <c r="A897" t="s">
        <v>174</v>
      </c>
      <c r="B897">
        <v>2014</v>
      </c>
      <c r="C897" t="s">
        <v>826</v>
      </c>
      <c r="D897" t="s">
        <v>812</v>
      </c>
      <c r="E897" t="s">
        <v>175</v>
      </c>
      <c r="F897" t="s">
        <v>190</v>
      </c>
      <c r="G897">
        <v>-35.382478999999996</v>
      </c>
      <c r="H897">
        <v>137.15918500000001</v>
      </c>
      <c r="I897" t="s">
        <v>772</v>
      </c>
      <c r="J897" t="s">
        <v>14</v>
      </c>
      <c r="K897" t="s">
        <v>3</v>
      </c>
      <c r="L897" t="s">
        <v>3</v>
      </c>
      <c r="M897" t="s">
        <v>12</v>
      </c>
      <c r="N897" t="s">
        <v>85</v>
      </c>
      <c r="O897" s="6" t="s">
        <v>141</v>
      </c>
      <c r="P897" s="6" t="s">
        <v>74</v>
      </c>
      <c r="Q897">
        <v>6</v>
      </c>
      <c r="R897" t="s">
        <v>213</v>
      </c>
      <c r="S897" t="s">
        <v>116</v>
      </c>
      <c r="T897">
        <v>2</v>
      </c>
      <c r="U897" t="s">
        <v>28</v>
      </c>
      <c r="V897" t="s">
        <v>28</v>
      </c>
      <c r="W897">
        <v>18.240000000000002</v>
      </c>
      <c r="X897">
        <v>17.720519182283887</v>
      </c>
      <c r="Y897">
        <v>10.923850654305999</v>
      </c>
    </row>
    <row r="898" spans="1:25" x14ac:dyDescent="0.2">
      <c r="A898" t="s">
        <v>174</v>
      </c>
      <c r="B898">
        <v>2014</v>
      </c>
      <c r="C898" t="s">
        <v>826</v>
      </c>
      <c r="D898" t="s">
        <v>812</v>
      </c>
      <c r="E898" t="s">
        <v>175</v>
      </c>
      <c r="F898" t="s">
        <v>190</v>
      </c>
      <c r="G898">
        <v>-35.382478999999996</v>
      </c>
      <c r="H898">
        <v>137.15918500000001</v>
      </c>
      <c r="I898" t="s">
        <v>772</v>
      </c>
      <c r="J898" t="s">
        <v>14</v>
      </c>
      <c r="K898" t="s">
        <v>3</v>
      </c>
      <c r="L898" t="s">
        <v>3</v>
      </c>
      <c r="M898" t="s">
        <v>12</v>
      </c>
      <c r="N898" t="s">
        <v>85</v>
      </c>
      <c r="O898" s="6" t="s">
        <v>141</v>
      </c>
      <c r="P898" s="6" t="s">
        <v>74</v>
      </c>
      <c r="Q898">
        <v>6</v>
      </c>
      <c r="R898" t="s">
        <v>213</v>
      </c>
      <c r="S898" t="s">
        <v>117</v>
      </c>
      <c r="T898">
        <v>2</v>
      </c>
      <c r="U898" t="s">
        <v>28</v>
      </c>
      <c r="V898" t="s">
        <v>28</v>
      </c>
      <c r="W898">
        <v>18.560000000000002</v>
      </c>
      <c r="X898">
        <v>3.6349782938018222</v>
      </c>
      <c r="Y898">
        <v>0</v>
      </c>
    </row>
    <row r="899" spans="1:25" x14ac:dyDescent="0.2">
      <c r="A899" t="s">
        <v>174</v>
      </c>
      <c r="B899">
        <v>2014</v>
      </c>
      <c r="C899" t="s">
        <v>826</v>
      </c>
      <c r="D899" t="s">
        <v>812</v>
      </c>
      <c r="E899" t="s">
        <v>175</v>
      </c>
      <c r="F899" t="s">
        <v>190</v>
      </c>
      <c r="G899">
        <v>-35.382478999999996</v>
      </c>
      <c r="H899">
        <v>137.15918500000001</v>
      </c>
      <c r="I899" t="s">
        <v>772</v>
      </c>
      <c r="J899" t="s">
        <v>14</v>
      </c>
      <c r="K899" t="s">
        <v>3</v>
      </c>
      <c r="L899" t="s">
        <v>3</v>
      </c>
      <c r="M899" t="s">
        <v>12</v>
      </c>
      <c r="N899" t="s">
        <v>85</v>
      </c>
      <c r="O899" s="6" t="s">
        <v>141</v>
      </c>
      <c r="P899" s="6" t="s">
        <v>74</v>
      </c>
      <c r="Q899">
        <v>6</v>
      </c>
      <c r="R899" t="s">
        <v>213</v>
      </c>
      <c r="S899" t="s">
        <v>118</v>
      </c>
      <c r="T899">
        <v>2</v>
      </c>
      <c r="U899" t="s">
        <v>28</v>
      </c>
      <c r="V899" t="s">
        <v>28</v>
      </c>
      <c r="W899">
        <v>19.419999999999998</v>
      </c>
      <c r="X899">
        <v>4.9980951539775056</v>
      </c>
      <c r="Y899">
        <v>0.64257945025329655</v>
      </c>
    </row>
    <row r="900" spans="1:25" x14ac:dyDescent="0.2">
      <c r="A900" t="s">
        <v>174</v>
      </c>
      <c r="B900">
        <v>2014</v>
      </c>
      <c r="C900" t="s">
        <v>826</v>
      </c>
      <c r="D900" t="s">
        <v>812</v>
      </c>
      <c r="E900" t="s">
        <v>175</v>
      </c>
      <c r="F900" t="s">
        <v>190</v>
      </c>
      <c r="G900">
        <v>-35.382478999999996</v>
      </c>
      <c r="H900">
        <v>137.15918500000001</v>
      </c>
      <c r="I900" t="s">
        <v>772</v>
      </c>
      <c r="J900" t="s">
        <v>14</v>
      </c>
      <c r="K900" t="s">
        <v>3</v>
      </c>
      <c r="L900" t="s">
        <v>3</v>
      </c>
      <c r="M900" t="s">
        <v>12</v>
      </c>
      <c r="N900" t="s">
        <v>85</v>
      </c>
      <c r="O900" s="6" t="s">
        <v>141</v>
      </c>
      <c r="P900" s="6" t="s">
        <v>74</v>
      </c>
      <c r="Q900">
        <v>6</v>
      </c>
      <c r="R900" t="s">
        <v>213</v>
      </c>
      <c r="S900" t="s">
        <v>177</v>
      </c>
      <c r="T900">
        <v>2</v>
      </c>
      <c r="U900" t="s">
        <v>28</v>
      </c>
      <c r="V900" t="s">
        <v>28</v>
      </c>
      <c r="W900">
        <v>20.2</v>
      </c>
      <c r="X900">
        <v>15.448657748657745</v>
      </c>
      <c r="Y900">
        <v>8.9961123035461128</v>
      </c>
    </row>
    <row r="901" spans="1:25" x14ac:dyDescent="0.2">
      <c r="A901" t="s">
        <v>174</v>
      </c>
      <c r="B901">
        <v>2014</v>
      </c>
      <c r="C901" t="s">
        <v>826</v>
      </c>
      <c r="D901" t="s">
        <v>812</v>
      </c>
      <c r="E901" t="s">
        <v>175</v>
      </c>
      <c r="F901" t="s">
        <v>190</v>
      </c>
      <c r="G901">
        <v>-35.382478999999996</v>
      </c>
      <c r="H901">
        <v>137.15918500000001</v>
      </c>
      <c r="I901" t="s">
        <v>772</v>
      </c>
      <c r="J901" t="s">
        <v>14</v>
      </c>
      <c r="K901" t="s">
        <v>3</v>
      </c>
      <c r="L901" t="s">
        <v>3</v>
      </c>
      <c r="M901" t="s">
        <v>12</v>
      </c>
      <c r="N901" t="s">
        <v>85</v>
      </c>
      <c r="O901" s="6" t="s">
        <v>141</v>
      </c>
      <c r="P901" s="6" t="s">
        <v>74</v>
      </c>
      <c r="Q901">
        <v>6</v>
      </c>
      <c r="R901" t="s">
        <v>213</v>
      </c>
      <c r="S901" t="s">
        <v>178</v>
      </c>
      <c r="T901">
        <v>2</v>
      </c>
      <c r="U901" t="s">
        <v>28</v>
      </c>
      <c r="V901" t="s">
        <v>28</v>
      </c>
      <c r="W901">
        <v>20.7</v>
      </c>
      <c r="X901">
        <v>9.5418180212297834</v>
      </c>
      <c r="Y901">
        <v>5.7832150522796466</v>
      </c>
    </row>
    <row r="902" spans="1:25" x14ac:dyDescent="0.2">
      <c r="A902" t="s">
        <v>174</v>
      </c>
      <c r="B902">
        <v>2014</v>
      </c>
      <c r="C902" t="s">
        <v>826</v>
      </c>
      <c r="D902" t="s">
        <v>812</v>
      </c>
      <c r="E902" t="s">
        <v>175</v>
      </c>
      <c r="F902" t="s">
        <v>190</v>
      </c>
      <c r="G902">
        <v>-35.382478999999996</v>
      </c>
      <c r="H902">
        <v>137.15918500000001</v>
      </c>
      <c r="I902" t="s">
        <v>772</v>
      </c>
      <c r="J902" t="s">
        <v>14</v>
      </c>
      <c r="K902" t="s">
        <v>3</v>
      </c>
      <c r="L902" t="s">
        <v>3</v>
      </c>
      <c r="M902" t="s">
        <v>12</v>
      </c>
      <c r="N902" t="s">
        <v>85</v>
      </c>
      <c r="O902" s="6" t="s">
        <v>141</v>
      </c>
      <c r="P902" s="6" t="s">
        <v>74</v>
      </c>
      <c r="Q902">
        <v>6</v>
      </c>
      <c r="R902" t="s">
        <v>213</v>
      </c>
      <c r="S902" t="s">
        <v>179</v>
      </c>
      <c r="T902">
        <v>2</v>
      </c>
      <c r="U902" t="s">
        <v>28</v>
      </c>
      <c r="V902" t="s">
        <v>28</v>
      </c>
      <c r="W902">
        <v>22.15</v>
      </c>
      <c r="X902">
        <v>5.9068397274279612</v>
      </c>
      <c r="Y902">
        <v>1.9277383507598822</v>
      </c>
    </row>
    <row r="903" spans="1:25" x14ac:dyDescent="0.2">
      <c r="A903" t="s">
        <v>174</v>
      </c>
      <c r="B903">
        <v>2014</v>
      </c>
      <c r="C903" t="s">
        <v>826</v>
      </c>
      <c r="D903" t="s">
        <v>812</v>
      </c>
      <c r="E903" t="s">
        <v>175</v>
      </c>
      <c r="F903" t="s">
        <v>190</v>
      </c>
      <c r="G903">
        <v>-35.382478999999996</v>
      </c>
      <c r="H903">
        <v>137.15918500000001</v>
      </c>
      <c r="I903" t="s">
        <v>772</v>
      </c>
      <c r="J903" t="s">
        <v>14</v>
      </c>
      <c r="K903" t="s">
        <v>3</v>
      </c>
      <c r="L903" t="s">
        <v>3</v>
      </c>
      <c r="M903" t="s">
        <v>12</v>
      </c>
      <c r="N903" t="s">
        <v>85</v>
      </c>
      <c r="O903" s="6" t="s">
        <v>141</v>
      </c>
      <c r="P903" s="6" t="s">
        <v>74</v>
      </c>
      <c r="Q903">
        <v>6</v>
      </c>
      <c r="R903" t="s">
        <v>213</v>
      </c>
      <c r="S903" t="s">
        <v>180</v>
      </c>
      <c r="T903">
        <v>2</v>
      </c>
      <c r="U903" t="s">
        <v>28</v>
      </c>
      <c r="V903" t="s">
        <v>28</v>
      </c>
      <c r="W903">
        <v>22.22</v>
      </c>
      <c r="X903">
        <v>6.3612120141531898</v>
      </c>
      <c r="Y903">
        <v>5.1406356020263511</v>
      </c>
    </row>
    <row r="904" spans="1:25" x14ac:dyDescent="0.2">
      <c r="A904" t="s">
        <v>174</v>
      </c>
      <c r="B904">
        <v>2014</v>
      </c>
      <c r="C904" t="s">
        <v>826</v>
      </c>
      <c r="D904" t="s">
        <v>812</v>
      </c>
      <c r="E904" t="s">
        <v>175</v>
      </c>
      <c r="F904" t="s">
        <v>190</v>
      </c>
      <c r="G904">
        <v>-35.382478999999996</v>
      </c>
      <c r="H904">
        <v>137.15918500000001</v>
      </c>
      <c r="I904" t="s">
        <v>772</v>
      </c>
      <c r="J904" t="s">
        <v>14</v>
      </c>
      <c r="K904" t="s">
        <v>3</v>
      </c>
      <c r="L904" t="s">
        <v>3</v>
      </c>
      <c r="M904" t="s">
        <v>12</v>
      </c>
      <c r="N904" t="s">
        <v>85</v>
      </c>
      <c r="O904" s="6" t="s">
        <v>141</v>
      </c>
      <c r="P904" s="6" t="s">
        <v>74</v>
      </c>
      <c r="Q904">
        <v>6</v>
      </c>
      <c r="R904" t="s">
        <v>213</v>
      </c>
      <c r="S904" t="s">
        <v>181</v>
      </c>
      <c r="T904">
        <v>2</v>
      </c>
      <c r="U904" t="s">
        <v>28</v>
      </c>
      <c r="V904" t="s">
        <v>28</v>
      </c>
      <c r="W904">
        <v>22.5</v>
      </c>
      <c r="X904">
        <v>3.6349782938018231</v>
      </c>
      <c r="Y904">
        <v>3.8554767015197635</v>
      </c>
    </row>
    <row r="905" spans="1:25" x14ac:dyDescent="0.2">
      <c r="A905" t="s">
        <v>174</v>
      </c>
      <c r="B905">
        <v>2014</v>
      </c>
      <c r="C905" t="s">
        <v>826</v>
      </c>
      <c r="D905" t="s">
        <v>812</v>
      </c>
      <c r="E905" t="s">
        <v>175</v>
      </c>
      <c r="F905" t="s">
        <v>190</v>
      </c>
      <c r="G905">
        <v>-35.382478999999996</v>
      </c>
      <c r="H905">
        <v>137.15918500000001</v>
      </c>
      <c r="I905" t="s">
        <v>772</v>
      </c>
      <c r="J905" t="s">
        <v>14</v>
      </c>
      <c r="K905" t="s">
        <v>3</v>
      </c>
      <c r="L905" t="s">
        <v>3</v>
      </c>
      <c r="M905" t="s">
        <v>12</v>
      </c>
      <c r="N905" t="s">
        <v>85</v>
      </c>
      <c r="O905" s="6" t="s">
        <v>141</v>
      </c>
      <c r="P905" s="6" t="s">
        <v>74</v>
      </c>
      <c r="Q905">
        <v>6</v>
      </c>
      <c r="R905" t="s">
        <v>213</v>
      </c>
      <c r="S905" t="s">
        <v>182</v>
      </c>
      <c r="T905">
        <v>2</v>
      </c>
      <c r="U905" t="s">
        <v>28</v>
      </c>
      <c r="V905" t="s">
        <v>28</v>
      </c>
      <c r="W905">
        <v>22.839999999999996</v>
      </c>
      <c r="X905">
        <v>19.992380615910026</v>
      </c>
      <c r="Y905">
        <v>26.988336910638342</v>
      </c>
    </row>
    <row r="906" spans="1:25" x14ac:dyDescent="0.2">
      <c r="A906" t="s">
        <v>174</v>
      </c>
      <c r="B906">
        <v>2014</v>
      </c>
      <c r="C906" t="s">
        <v>826</v>
      </c>
      <c r="D906" t="s">
        <v>812</v>
      </c>
      <c r="E906" t="s">
        <v>175</v>
      </c>
      <c r="F906" t="s">
        <v>190</v>
      </c>
      <c r="G906">
        <v>-35.382478999999996</v>
      </c>
      <c r="H906">
        <v>137.15918500000001</v>
      </c>
      <c r="I906" t="s">
        <v>772</v>
      </c>
      <c r="J906" t="s">
        <v>14</v>
      </c>
      <c r="K906" t="s">
        <v>3</v>
      </c>
      <c r="L906" t="s">
        <v>3</v>
      </c>
      <c r="M906" t="s">
        <v>12</v>
      </c>
      <c r="N906" t="s">
        <v>85</v>
      </c>
      <c r="O906" s="6" t="s">
        <v>141</v>
      </c>
      <c r="P906" s="6" t="s">
        <v>74</v>
      </c>
      <c r="Q906">
        <v>6</v>
      </c>
      <c r="R906" t="s">
        <v>213</v>
      </c>
      <c r="S906" t="s">
        <v>183</v>
      </c>
      <c r="T906">
        <v>2</v>
      </c>
      <c r="U906" t="s">
        <v>28</v>
      </c>
      <c r="V906" t="s">
        <v>28</v>
      </c>
      <c r="W906">
        <v>24.5</v>
      </c>
      <c r="X906">
        <v>4.08935058052705</v>
      </c>
      <c r="Y906">
        <v>0.64257945025329655</v>
      </c>
    </row>
    <row r="907" spans="1:25" x14ac:dyDescent="0.2">
      <c r="A907" t="s">
        <v>174</v>
      </c>
      <c r="B907">
        <v>2014</v>
      </c>
      <c r="C907" t="s">
        <v>826</v>
      </c>
      <c r="D907" t="s">
        <v>812</v>
      </c>
      <c r="E907" t="s">
        <v>175</v>
      </c>
      <c r="F907" t="s">
        <v>190</v>
      </c>
      <c r="G907">
        <v>-35.382478999999996</v>
      </c>
      <c r="H907">
        <v>137.15918500000001</v>
      </c>
      <c r="I907" t="s">
        <v>772</v>
      </c>
      <c r="J907" t="s">
        <v>14</v>
      </c>
      <c r="K907" t="s">
        <v>3</v>
      </c>
      <c r="L907" t="s">
        <v>3</v>
      </c>
      <c r="M907" t="s">
        <v>12</v>
      </c>
      <c r="N907" t="s">
        <v>85</v>
      </c>
      <c r="O907" s="6" t="s">
        <v>141</v>
      </c>
      <c r="P907" s="6" t="s">
        <v>74</v>
      </c>
      <c r="Q907">
        <v>6</v>
      </c>
      <c r="R907" t="s">
        <v>213</v>
      </c>
      <c r="S907" t="s">
        <v>184</v>
      </c>
      <c r="T907">
        <v>2</v>
      </c>
      <c r="U907" t="s">
        <v>28</v>
      </c>
      <c r="V907" t="s">
        <v>28</v>
      </c>
      <c r="W907">
        <v>24.88</v>
      </c>
      <c r="X907">
        <v>1.3631168601756833</v>
      </c>
      <c r="Y907">
        <v>0.64257945025329377</v>
      </c>
    </row>
    <row r="908" spans="1:25" x14ac:dyDescent="0.2">
      <c r="A908" t="s">
        <v>174</v>
      </c>
      <c r="B908">
        <v>2014</v>
      </c>
      <c r="C908" t="s">
        <v>826</v>
      </c>
      <c r="D908" t="s">
        <v>812</v>
      </c>
      <c r="E908" t="s">
        <v>175</v>
      </c>
      <c r="F908" t="s">
        <v>190</v>
      </c>
      <c r="G908">
        <v>-35.382478999999996</v>
      </c>
      <c r="H908">
        <v>137.15918500000001</v>
      </c>
      <c r="I908" t="s">
        <v>772</v>
      </c>
      <c r="J908" t="s">
        <v>14</v>
      </c>
      <c r="K908" t="s">
        <v>3</v>
      </c>
      <c r="L908" t="s">
        <v>3</v>
      </c>
      <c r="M908" t="s">
        <v>12</v>
      </c>
      <c r="N908" t="s">
        <v>85</v>
      </c>
      <c r="O908" s="6" t="s">
        <v>141</v>
      </c>
      <c r="P908" s="6" t="s">
        <v>74</v>
      </c>
      <c r="Q908">
        <v>6</v>
      </c>
      <c r="R908" t="s">
        <v>213</v>
      </c>
      <c r="S908" t="s">
        <v>185</v>
      </c>
      <c r="T908">
        <v>2</v>
      </c>
      <c r="U908" t="s">
        <v>28</v>
      </c>
      <c r="V908" t="s">
        <v>28</v>
      </c>
      <c r="W908">
        <v>27.380000000000003</v>
      </c>
      <c r="X908">
        <v>0</v>
      </c>
      <c r="Y908">
        <v>0</v>
      </c>
    </row>
    <row r="909" spans="1:25" x14ac:dyDescent="0.2">
      <c r="A909" t="s">
        <v>174</v>
      </c>
      <c r="B909">
        <v>2014</v>
      </c>
      <c r="C909" t="s">
        <v>826</v>
      </c>
      <c r="D909" t="s">
        <v>812</v>
      </c>
      <c r="E909" t="s">
        <v>175</v>
      </c>
      <c r="F909" t="s">
        <v>188</v>
      </c>
      <c r="G909">
        <v>-31.842694000000002</v>
      </c>
      <c r="H909">
        <v>115.747713</v>
      </c>
      <c r="I909" t="s">
        <v>767</v>
      </c>
      <c r="J909" t="s">
        <v>7</v>
      </c>
      <c r="K909" t="s">
        <v>3</v>
      </c>
      <c r="L909" t="s">
        <v>3</v>
      </c>
      <c r="M909" t="s">
        <v>12</v>
      </c>
      <c r="N909" t="s">
        <v>85</v>
      </c>
      <c r="O909" s="6" t="s">
        <v>141</v>
      </c>
      <c r="P909" s="6" t="s">
        <v>74</v>
      </c>
      <c r="Q909">
        <v>6</v>
      </c>
      <c r="R909" t="s">
        <v>213</v>
      </c>
      <c r="S909" t="s">
        <v>7</v>
      </c>
      <c r="T909">
        <v>2</v>
      </c>
      <c r="U909" t="s">
        <v>28</v>
      </c>
      <c r="V909" t="s">
        <v>28</v>
      </c>
      <c r="W909">
        <v>14.780000000000001</v>
      </c>
      <c r="X909">
        <v>14.780000000000001</v>
      </c>
      <c r="Y909">
        <v>2.8640688706921824</v>
      </c>
    </row>
    <row r="910" spans="1:25" x14ac:dyDescent="0.2">
      <c r="A910" t="s">
        <v>174</v>
      </c>
      <c r="B910">
        <v>2014</v>
      </c>
      <c r="C910" t="s">
        <v>826</v>
      </c>
      <c r="D910" t="s">
        <v>812</v>
      </c>
      <c r="E910" t="s">
        <v>175</v>
      </c>
      <c r="F910" t="s">
        <v>188</v>
      </c>
      <c r="G910">
        <v>-31.842694000000002</v>
      </c>
      <c r="H910">
        <v>115.747713</v>
      </c>
      <c r="I910" t="s">
        <v>767</v>
      </c>
      <c r="J910" t="s">
        <v>14</v>
      </c>
      <c r="K910" t="s">
        <v>3</v>
      </c>
      <c r="L910" t="s">
        <v>3</v>
      </c>
      <c r="M910" t="s">
        <v>12</v>
      </c>
      <c r="N910" t="s">
        <v>85</v>
      </c>
      <c r="O910" s="6" t="s">
        <v>141</v>
      </c>
      <c r="P910" s="6" t="s">
        <v>74</v>
      </c>
      <c r="Q910">
        <v>6</v>
      </c>
      <c r="R910" t="s">
        <v>213</v>
      </c>
      <c r="S910" t="s">
        <v>9</v>
      </c>
      <c r="T910">
        <v>2</v>
      </c>
      <c r="U910" t="s">
        <v>28</v>
      </c>
      <c r="V910" t="s">
        <v>28</v>
      </c>
      <c r="W910">
        <v>17.074999999999999</v>
      </c>
      <c r="X910">
        <v>17.074999999999999</v>
      </c>
      <c r="Y910">
        <v>12.729194980855976</v>
      </c>
    </row>
    <row r="911" spans="1:25" x14ac:dyDescent="0.2">
      <c r="A911" t="s">
        <v>174</v>
      </c>
      <c r="B911">
        <v>2014</v>
      </c>
      <c r="C911" t="s">
        <v>826</v>
      </c>
      <c r="D911" t="s">
        <v>812</v>
      </c>
      <c r="E911" t="s">
        <v>175</v>
      </c>
      <c r="F911" t="s">
        <v>188</v>
      </c>
      <c r="G911">
        <v>-31.842694000000002</v>
      </c>
      <c r="H911">
        <v>115.747713</v>
      </c>
      <c r="I911" t="s">
        <v>767</v>
      </c>
      <c r="J911" t="s">
        <v>14</v>
      </c>
      <c r="K911" t="s">
        <v>3</v>
      </c>
      <c r="L911" t="s">
        <v>3</v>
      </c>
      <c r="M911" t="s">
        <v>12</v>
      </c>
      <c r="N911" t="s">
        <v>85</v>
      </c>
      <c r="O911" s="6" t="s">
        <v>141</v>
      </c>
      <c r="P911" s="6" t="s">
        <v>74</v>
      </c>
      <c r="Q911">
        <v>6</v>
      </c>
      <c r="R911" t="s">
        <v>213</v>
      </c>
      <c r="S911" t="s">
        <v>27</v>
      </c>
      <c r="T911">
        <v>2</v>
      </c>
      <c r="U911" t="s">
        <v>28</v>
      </c>
      <c r="V911" t="s">
        <v>28</v>
      </c>
      <c r="W911">
        <v>19.04</v>
      </c>
      <c r="X911">
        <v>19.04</v>
      </c>
      <c r="Y911">
        <v>26.413079585276073</v>
      </c>
    </row>
    <row r="912" spans="1:25" x14ac:dyDescent="0.2">
      <c r="A912" t="s">
        <v>174</v>
      </c>
      <c r="B912">
        <v>2014</v>
      </c>
      <c r="C912" t="s">
        <v>826</v>
      </c>
      <c r="D912" t="s">
        <v>812</v>
      </c>
      <c r="E912" t="s">
        <v>175</v>
      </c>
      <c r="F912" t="s">
        <v>188</v>
      </c>
      <c r="G912">
        <v>-31.842694000000002</v>
      </c>
      <c r="H912">
        <v>115.747713</v>
      </c>
      <c r="I912" t="s">
        <v>767</v>
      </c>
      <c r="J912" t="s">
        <v>14</v>
      </c>
      <c r="K912" t="s">
        <v>3</v>
      </c>
      <c r="L912" t="s">
        <v>3</v>
      </c>
      <c r="M912" t="s">
        <v>12</v>
      </c>
      <c r="N912" t="s">
        <v>85</v>
      </c>
      <c r="O912" s="6" t="s">
        <v>141</v>
      </c>
      <c r="P912" s="6" t="s">
        <v>74</v>
      </c>
      <c r="Q912">
        <v>6</v>
      </c>
      <c r="R912" t="s">
        <v>213</v>
      </c>
      <c r="S912" t="s">
        <v>13</v>
      </c>
      <c r="T912">
        <v>2</v>
      </c>
      <c r="U912" t="s">
        <v>28</v>
      </c>
      <c r="V912" t="s">
        <v>28</v>
      </c>
      <c r="W912">
        <v>19.45</v>
      </c>
      <c r="X912">
        <v>19.45</v>
      </c>
      <c r="Y912">
        <v>21.639631467455079</v>
      </c>
    </row>
    <row r="913" spans="1:25" x14ac:dyDescent="0.2">
      <c r="A913" t="s">
        <v>174</v>
      </c>
      <c r="B913">
        <v>2014</v>
      </c>
      <c r="C913" t="s">
        <v>826</v>
      </c>
      <c r="D913" t="s">
        <v>812</v>
      </c>
      <c r="E913" t="s">
        <v>175</v>
      </c>
      <c r="F913" t="s">
        <v>188</v>
      </c>
      <c r="G913">
        <v>-31.842694000000002</v>
      </c>
      <c r="H913">
        <v>115.747713</v>
      </c>
      <c r="I913" t="s">
        <v>767</v>
      </c>
      <c r="J913" t="s">
        <v>14</v>
      </c>
      <c r="K913" t="s">
        <v>3</v>
      </c>
      <c r="L913" t="s">
        <v>3</v>
      </c>
      <c r="M913" t="s">
        <v>12</v>
      </c>
      <c r="N913" t="s">
        <v>85</v>
      </c>
      <c r="O913" s="6" t="s">
        <v>141</v>
      </c>
      <c r="P913" s="6" t="s">
        <v>74</v>
      </c>
      <c r="Q913">
        <v>6</v>
      </c>
      <c r="R913" t="s">
        <v>213</v>
      </c>
      <c r="S913" t="s">
        <v>15</v>
      </c>
      <c r="T913">
        <v>2</v>
      </c>
      <c r="U913" t="s">
        <v>28</v>
      </c>
      <c r="V913" t="s">
        <v>28</v>
      </c>
      <c r="W913">
        <v>20.740000000000002</v>
      </c>
      <c r="X913">
        <v>20.740000000000002</v>
      </c>
      <c r="Y913">
        <v>4.7734481178210029</v>
      </c>
    </row>
    <row r="914" spans="1:25" x14ac:dyDescent="0.2">
      <c r="A914" t="s">
        <v>174</v>
      </c>
      <c r="B914">
        <v>2014</v>
      </c>
      <c r="C914" t="s">
        <v>826</v>
      </c>
      <c r="D914" t="s">
        <v>812</v>
      </c>
      <c r="E914" t="s">
        <v>175</v>
      </c>
      <c r="F914" t="s">
        <v>188</v>
      </c>
      <c r="G914">
        <v>-31.842694000000002</v>
      </c>
      <c r="H914">
        <v>115.747713</v>
      </c>
      <c r="I914" t="s">
        <v>767</v>
      </c>
      <c r="J914" t="s">
        <v>14</v>
      </c>
      <c r="K914" t="s">
        <v>3</v>
      </c>
      <c r="L914" t="s">
        <v>3</v>
      </c>
      <c r="M914" t="s">
        <v>12</v>
      </c>
      <c r="N914" t="s">
        <v>85</v>
      </c>
      <c r="O914" s="6" t="s">
        <v>141</v>
      </c>
      <c r="P914" s="6" t="s">
        <v>74</v>
      </c>
      <c r="Q914">
        <v>6</v>
      </c>
      <c r="R914" t="s">
        <v>213</v>
      </c>
      <c r="S914" t="s">
        <v>37</v>
      </c>
      <c r="T914">
        <v>2</v>
      </c>
      <c r="U914" t="s">
        <v>28</v>
      </c>
      <c r="V914" t="s">
        <v>28</v>
      </c>
      <c r="W914">
        <v>21.42</v>
      </c>
      <c r="X914">
        <v>21.42</v>
      </c>
      <c r="Y914">
        <v>43.2792629349102</v>
      </c>
    </row>
    <row r="915" spans="1:25" x14ac:dyDescent="0.2">
      <c r="A915" t="s">
        <v>174</v>
      </c>
      <c r="B915">
        <v>2014</v>
      </c>
      <c r="C915" t="s">
        <v>826</v>
      </c>
      <c r="D915" t="s">
        <v>812</v>
      </c>
      <c r="E915" t="s">
        <v>175</v>
      </c>
      <c r="F915" t="s">
        <v>188</v>
      </c>
      <c r="G915">
        <v>-31.842694000000002</v>
      </c>
      <c r="H915">
        <v>115.747713</v>
      </c>
      <c r="I915" t="s">
        <v>767</v>
      </c>
      <c r="J915" t="s">
        <v>14</v>
      </c>
      <c r="K915" t="s">
        <v>3</v>
      </c>
      <c r="L915" t="s">
        <v>3</v>
      </c>
      <c r="M915" t="s">
        <v>12</v>
      </c>
      <c r="N915" t="s">
        <v>85</v>
      </c>
      <c r="O915" s="6" t="s">
        <v>141</v>
      </c>
      <c r="P915" s="6" t="s">
        <v>74</v>
      </c>
      <c r="Q915">
        <v>6</v>
      </c>
      <c r="R915" t="s">
        <v>213</v>
      </c>
      <c r="S915" t="s">
        <v>116</v>
      </c>
      <c r="T915">
        <v>2</v>
      </c>
      <c r="U915" t="s">
        <v>28</v>
      </c>
      <c r="V915" t="s">
        <v>28</v>
      </c>
      <c r="W915">
        <v>21.7</v>
      </c>
      <c r="X915">
        <v>21.7</v>
      </c>
      <c r="Y915">
        <v>17.184413224155531</v>
      </c>
    </row>
    <row r="916" spans="1:25" x14ac:dyDescent="0.2">
      <c r="A916" t="s">
        <v>174</v>
      </c>
      <c r="B916">
        <v>2014</v>
      </c>
      <c r="C916" t="s">
        <v>826</v>
      </c>
      <c r="D916" t="s">
        <v>812</v>
      </c>
      <c r="E916" t="s">
        <v>175</v>
      </c>
      <c r="F916" t="s">
        <v>188</v>
      </c>
      <c r="G916">
        <v>-31.842694000000002</v>
      </c>
      <c r="H916">
        <v>115.747713</v>
      </c>
      <c r="I916" t="s">
        <v>767</v>
      </c>
      <c r="J916" t="s">
        <v>14</v>
      </c>
      <c r="K916" t="s">
        <v>3</v>
      </c>
      <c r="L916" t="s">
        <v>3</v>
      </c>
      <c r="M916" t="s">
        <v>12</v>
      </c>
      <c r="N916" t="s">
        <v>85</v>
      </c>
      <c r="O916" s="6" t="s">
        <v>141</v>
      </c>
      <c r="P916" s="6" t="s">
        <v>74</v>
      </c>
      <c r="Q916">
        <v>6</v>
      </c>
      <c r="R916" t="s">
        <v>213</v>
      </c>
      <c r="S916" t="s">
        <v>117</v>
      </c>
      <c r="T916">
        <v>2</v>
      </c>
      <c r="U916" t="s">
        <v>28</v>
      </c>
      <c r="V916" t="s">
        <v>28</v>
      </c>
      <c r="W916">
        <v>21.774999999999999</v>
      </c>
      <c r="X916">
        <v>21.774999999999999</v>
      </c>
      <c r="Y916">
        <v>3.1822987452140654</v>
      </c>
    </row>
    <row r="917" spans="1:25" x14ac:dyDescent="0.2">
      <c r="A917" t="s">
        <v>174</v>
      </c>
      <c r="B917">
        <v>2014</v>
      </c>
      <c r="C917" t="s">
        <v>826</v>
      </c>
      <c r="D917" t="s">
        <v>812</v>
      </c>
      <c r="E917" t="s">
        <v>175</v>
      </c>
      <c r="F917" t="s">
        <v>188</v>
      </c>
      <c r="G917">
        <v>-31.842694000000002</v>
      </c>
      <c r="H917">
        <v>115.747713</v>
      </c>
      <c r="I917" t="s">
        <v>767</v>
      </c>
      <c r="J917" t="s">
        <v>14</v>
      </c>
      <c r="K917" t="s">
        <v>3</v>
      </c>
      <c r="L917" t="s">
        <v>3</v>
      </c>
      <c r="M917" t="s">
        <v>12</v>
      </c>
      <c r="N917" t="s">
        <v>85</v>
      </c>
      <c r="O917" s="6" t="s">
        <v>141</v>
      </c>
      <c r="P917" s="6" t="s">
        <v>74</v>
      </c>
      <c r="Q917">
        <v>6</v>
      </c>
      <c r="R917" t="s">
        <v>213</v>
      </c>
      <c r="S917" t="s">
        <v>118</v>
      </c>
      <c r="T917">
        <v>2</v>
      </c>
      <c r="U917" t="s">
        <v>28</v>
      </c>
      <c r="V917" t="s">
        <v>28</v>
      </c>
      <c r="W917">
        <v>21.875000000000004</v>
      </c>
      <c r="X917">
        <v>21.875000000000004</v>
      </c>
      <c r="Y917">
        <v>13.683884604420117</v>
      </c>
    </row>
    <row r="918" spans="1:25" x14ac:dyDescent="0.2">
      <c r="A918" t="s">
        <v>174</v>
      </c>
      <c r="B918">
        <v>2014</v>
      </c>
      <c r="C918" t="s">
        <v>826</v>
      </c>
      <c r="D918" t="s">
        <v>812</v>
      </c>
      <c r="E918" t="s">
        <v>175</v>
      </c>
      <c r="F918" t="s">
        <v>188</v>
      </c>
      <c r="G918">
        <v>-31.842694000000002</v>
      </c>
      <c r="H918">
        <v>115.747713</v>
      </c>
      <c r="I918" t="s">
        <v>767</v>
      </c>
      <c r="J918" t="s">
        <v>14</v>
      </c>
      <c r="K918" t="s">
        <v>3</v>
      </c>
      <c r="L918" t="s">
        <v>3</v>
      </c>
      <c r="M918" t="s">
        <v>12</v>
      </c>
      <c r="N918" t="s">
        <v>85</v>
      </c>
      <c r="O918" s="6" t="s">
        <v>141</v>
      </c>
      <c r="P918" s="6" t="s">
        <v>74</v>
      </c>
      <c r="Q918">
        <v>6</v>
      </c>
      <c r="R918" t="s">
        <v>213</v>
      </c>
      <c r="S918" t="s">
        <v>177</v>
      </c>
      <c r="T918">
        <v>2</v>
      </c>
      <c r="U918" t="s">
        <v>28</v>
      </c>
      <c r="V918" t="s">
        <v>28</v>
      </c>
      <c r="W918">
        <v>22.225000000000001</v>
      </c>
      <c r="X918">
        <v>22.225000000000001</v>
      </c>
      <c r="Y918">
        <v>5.4099078668636587</v>
      </c>
    </row>
    <row r="919" spans="1:25" x14ac:dyDescent="0.2">
      <c r="A919" t="s">
        <v>174</v>
      </c>
      <c r="B919">
        <v>2014</v>
      </c>
      <c r="C919" t="s">
        <v>826</v>
      </c>
      <c r="D919" t="s">
        <v>812</v>
      </c>
      <c r="E919" t="s">
        <v>175</v>
      </c>
      <c r="F919" t="s">
        <v>188</v>
      </c>
      <c r="G919">
        <v>-31.842694000000002</v>
      </c>
      <c r="H919">
        <v>115.747713</v>
      </c>
      <c r="I919" t="s">
        <v>767</v>
      </c>
      <c r="J919" t="s">
        <v>14</v>
      </c>
      <c r="K919" t="s">
        <v>3</v>
      </c>
      <c r="L919" t="s">
        <v>3</v>
      </c>
      <c r="M919" t="s">
        <v>12</v>
      </c>
      <c r="N919" t="s">
        <v>85</v>
      </c>
      <c r="O919" s="6" t="s">
        <v>141</v>
      </c>
      <c r="P919" s="6" t="s">
        <v>74</v>
      </c>
      <c r="Q919">
        <v>6</v>
      </c>
      <c r="R919" t="s">
        <v>213</v>
      </c>
      <c r="S919" t="s">
        <v>178</v>
      </c>
      <c r="T919">
        <v>2</v>
      </c>
      <c r="U919" t="s">
        <v>28</v>
      </c>
      <c r="V919" t="s">
        <v>28</v>
      </c>
      <c r="W919">
        <v>22.274999999999999</v>
      </c>
      <c r="X919">
        <v>22.274999999999999</v>
      </c>
      <c r="Y919">
        <v>41.051653813260394</v>
      </c>
    </row>
    <row r="920" spans="1:25" x14ac:dyDescent="0.2">
      <c r="A920" t="s">
        <v>174</v>
      </c>
      <c r="B920">
        <v>2014</v>
      </c>
      <c r="C920" t="s">
        <v>826</v>
      </c>
      <c r="D920" t="s">
        <v>812</v>
      </c>
      <c r="E920" t="s">
        <v>175</v>
      </c>
      <c r="F920" t="s">
        <v>188</v>
      </c>
      <c r="G920">
        <v>-31.842694000000002</v>
      </c>
      <c r="H920">
        <v>115.747713</v>
      </c>
      <c r="I920" t="s">
        <v>767</v>
      </c>
      <c r="J920" t="s">
        <v>14</v>
      </c>
      <c r="K920" t="s">
        <v>3</v>
      </c>
      <c r="L920" t="s">
        <v>3</v>
      </c>
      <c r="M920" t="s">
        <v>12</v>
      </c>
      <c r="N920" t="s">
        <v>85</v>
      </c>
      <c r="O920" s="6" t="s">
        <v>141</v>
      </c>
      <c r="P920" s="6" t="s">
        <v>74</v>
      </c>
      <c r="Q920">
        <v>6</v>
      </c>
      <c r="R920" t="s">
        <v>213</v>
      </c>
      <c r="S920" t="s">
        <v>179</v>
      </c>
      <c r="T920">
        <v>2</v>
      </c>
      <c r="U920" t="s">
        <v>28</v>
      </c>
      <c r="V920" t="s">
        <v>28</v>
      </c>
      <c r="W920">
        <v>23.349999999999998</v>
      </c>
      <c r="X920">
        <v>23.349999999999998</v>
      </c>
      <c r="Y920">
        <v>6.3645974904281308</v>
      </c>
    </row>
    <row r="921" spans="1:25" x14ac:dyDescent="0.2">
      <c r="A921" t="s">
        <v>174</v>
      </c>
      <c r="B921">
        <v>2014</v>
      </c>
      <c r="C921" t="s">
        <v>826</v>
      </c>
      <c r="D921" t="s">
        <v>812</v>
      </c>
      <c r="E921" t="s">
        <v>175</v>
      </c>
      <c r="F921" t="s">
        <v>188</v>
      </c>
      <c r="G921">
        <v>-31.842694000000002</v>
      </c>
      <c r="H921">
        <v>115.747713</v>
      </c>
      <c r="I921" t="s">
        <v>767</v>
      </c>
      <c r="J921" t="s">
        <v>14</v>
      </c>
      <c r="K921" t="s">
        <v>3</v>
      </c>
      <c r="L921" t="s">
        <v>3</v>
      </c>
      <c r="M921" t="s">
        <v>12</v>
      </c>
      <c r="N921" t="s">
        <v>85</v>
      </c>
      <c r="O921" s="6" t="s">
        <v>141</v>
      </c>
      <c r="P921" s="6" t="s">
        <v>74</v>
      </c>
      <c r="Q921">
        <v>6</v>
      </c>
      <c r="R921" t="s">
        <v>213</v>
      </c>
      <c r="S921" t="s">
        <v>180</v>
      </c>
      <c r="T921">
        <v>2</v>
      </c>
      <c r="U921" t="s">
        <v>28</v>
      </c>
      <c r="V921" t="s">
        <v>28</v>
      </c>
      <c r="W921">
        <v>25.939999999999998</v>
      </c>
      <c r="X921">
        <v>25.939999999999998</v>
      </c>
      <c r="Y921">
        <v>9.2286663611205437</v>
      </c>
    </row>
    <row r="922" spans="1:25" x14ac:dyDescent="0.2">
      <c r="A922" t="s">
        <v>174</v>
      </c>
      <c r="B922">
        <v>2014</v>
      </c>
      <c r="C922" t="s">
        <v>826</v>
      </c>
      <c r="D922" t="s">
        <v>812</v>
      </c>
      <c r="E922" t="s">
        <v>175</v>
      </c>
      <c r="F922" t="s">
        <v>188</v>
      </c>
      <c r="G922">
        <v>-31.842694000000002</v>
      </c>
      <c r="H922">
        <v>115.747713</v>
      </c>
      <c r="I922" t="s">
        <v>767</v>
      </c>
      <c r="J922" t="s">
        <v>14</v>
      </c>
      <c r="K922" t="s">
        <v>3</v>
      </c>
      <c r="L922" t="s">
        <v>3</v>
      </c>
      <c r="M922" t="s">
        <v>12</v>
      </c>
      <c r="N922" t="s">
        <v>85</v>
      </c>
      <c r="O922" s="6" t="s">
        <v>141</v>
      </c>
      <c r="P922" s="6" t="s">
        <v>74</v>
      </c>
      <c r="Q922">
        <v>6</v>
      </c>
      <c r="R922" t="s">
        <v>213</v>
      </c>
      <c r="S922" t="s">
        <v>181</v>
      </c>
      <c r="T922">
        <v>2</v>
      </c>
      <c r="U922" t="s">
        <v>28</v>
      </c>
      <c r="V922" t="s">
        <v>28</v>
      </c>
      <c r="W922">
        <v>26.04</v>
      </c>
      <c r="X922">
        <v>26.04</v>
      </c>
      <c r="Y922">
        <v>8.5922066120777654</v>
      </c>
    </row>
    <row r="923" spans="1:25" x14ac:dyDescent="0.2">
      <c r="A923" t="s">
        <v>174</v>
      </c>
      <c r="B923">
        <v>2014</v>
      </c>
      <c r="C923" t="s">
        <v>826</v>
      </c>
      <c r="D923" t="s">
        <v>812</v>
      </c>
      <c r="E923" t="s">
        <v>175</v>
      </c>
      <c r="F923" t="s">
        <v>188</v>
      </c>
      <c r="G923">
        <v>-31.842694000000002</v>
      </c>
      <c r="H923">
        <v>115.747713</v>
      </c>
      <c r="I923" t="s">
        <v>767</v>
      </c>
      <c r="J923" t="s">
        <v>14</v>
      </c>
      <c r="K923" t="s">
        <v>3</v>
      </c>
      <c r="L923" t="s">
        <v>3</v>
      </c>
      <c r="M923" t="s">
        <v>12</v>
      </c>
      <c r="N923" t="s">
        <v>85</v>
      </c>
      <c r="O923" s="6" t="s">
        <v>141</v>
      </c>
      <c r="P923" s="6" t="s">
        <v>74</v>
      </c>
      <c r="Q923">
        <v>6</v>
      </c>
      <c r="R923" t="s">
        <v>213</v>
      </c>
      <c r="S923" t="s">
        <v>182</v>
      </c>
      <c r="T923">
        <v>2</v>
      </c>
      <c r="U923" t="s">
        <v>28</v>
      </c>
      <c r="V923" t="s">
        <v>28</v>
      </c>
      <c r="W923">
        <v>26.424999999999997</v>
      </c>
      <c r="X923">
        <v>26.424999999999997</v>
      </c>
      <c r="Y923">
        <v>18.457332722241112</v>
      </c>
    </row>
    <row r="924" spans="1:25" x14ac:dyDescent="0.2">
      <c r="A924" t="s">
        <v>174</v>
      </c>
      <c r="B924">
        <v>2014</v>
      </c>
      <c r="C924" t="s">
        <v>826</v>
      </c>
      <c r="D924" t="s">
        <v>812</v>
      </c>
      <c r="E924" t="s">
        <v>175</v>
      </c>
      <c r="F924" t="s">
        <v>188</v>
      </c>
      <c r="G924">
        <v>-31.842694000000002</v>
      </c>
      <c r="H924">
        <v>115.747713</v>
      </c>
      <c r="I924" t="s">
        <v>767</v>
      </c>
      <c r="J924" t="s">
        <v>14</v>
      </c>
      <c r="K924" t="s">
        <v>3</v>
      </c>
      <c r="L924" t="s">
        <v>3</v>
      </c>
      <c r="M924" t="s">
        <v>12</v>
      </c>
      <c r="N924" t="s">
        <v>85</v>
      </c>
      <c r="O924" s="6" t="s">
        <v>141</v>
      </c>
      <c r="P924" s="6" t="s">
        <v>74</v>
      </c>
      <c r="Q924">
        <v>6</v>
      </c>
      <c r="R924" t="s">
        <v>213</v>
      </c>
      <c r="S924" t="s">
        <v>183</v>
      </c>
      <c r="T924">
        <v>2</v>
      </c>
      <c r="U924" t="s">
        <v>28</v>
      </c>
      <c r="V924" t="s">
        <v>28</v>
      </c>
      <c r="W924">
        <v>26.6</v>
      </c>
      <c r="X924">
        <v>26.6</v>
      </c>
      <c r="Y924">
        <v>7.6375169885135783</v>
      </c>
    </row>
    <row r="925" spans="1:25" x14ac:dyDescent="0.2">
      <c r="A925" t="s">
        <v>174</v>
      </c>
      <c r="B925">
        <v>2014</v>
      </c>
      <c r="C925" t="s">
        <v>826</v>
      </c>
      <c r="D925" t="s">
        <v>812</v>
      </c>
      <c r="E925" t="s">
        <v>175</v>
      </c>
      <c r="F925" t="s">
        <v>188</v>
      </c>
      <c r="G925">
        <v>-31.842694000000002</v>
      </c>
      <c r="H925">
        <v>115.747713</v>
      </c>
      <c r="I925" t="s">
        <v>767</v>
      </c>
      <c r="J925" t="s">
        <v>14</v>
      </c>
      <c r="K925" t="s">
        <v>3</v>
      </c>
      <c r="L925" t="s">
        <v>3</v>
      </c>
      <c r="M925" t="s">
        <v>12</v>
      </c>
      <c r="N925" t="s">
        <v>85</v>
      </c>
      <c r="O925" s="6" t="s">
        <v>141</v>
      </c>
      <c r="P925" s="6" t="s">
        <v>74</v>
      </c>
      <c r="Q925">
        <v>6</v>
      </c>
      <c r="R925" t="s">
        <v>213</v>
      </c>
      <c r="S925" t="s">
        <v>184</v>
      </c>
      <c r="T925">
        <v>2</v>
      </c>
      <c r="U925" t="s">
        <v>28</v>
      </c>
      <c r="V925" t="s">
        <v>28</v>
      </c>
      <c r="W925">
        <v>26.700000000000003</v>
      </c>
      <c r="X925">
        <v>26.700000000000003</v>
      </c>
      <c r="Y925">
        <v>25.45838996171187</v>
      </c>
    </row>
    <row r="926" spans="1:25" x14ac:dyDescent="0.2">
      <c r="A926" t="s">
        <v>174</v>
      </c>
      <c r="B926">
        <v>2014</v>
      </c>
      <c r="C926" t="s">
        <v>826</v>
      </c>
      <c r="D926" t="s">
        <v>812</v>
      </c>
      <c r="E926" t="s">
        <v>175</v>
      </c>
      <c r="F926" t="s">
        <v>188</v>
      </c>
      <c r="G926">
        <v>-31.842694000000002</v>
      </c>
      <c r="H926">
        <v>115.747713</v>
      </c>
      <c r="I926" t="s">
        <v>767</v>
      </c>
      <c r="J926" t="s">
        <v>14</v>
      </c>
      <c r="K926" t="s">
        <v>3</v>
      </c>
      <c r="L926" t="s">
        <v>3</v>
      </c>
      <c r="M926" t="s">
        <v>12</v>
      </c>
      <c r="N926" t="s">
        <v>85</v>
      </c>
      <c r="O926" s="6" t="s">
        <v>141</v>
      </c>
      <c r="P926" s="6" t="s">
        <v>74</v>
      </c>
      <c r="Q926">
        <v>6</v>
      </c>
      <c r="R926" t="s">
        <v>213</v>
      </c>
      <c r="S926" t="s">
        <v>185</v>
      </c>
      <c r="T926">
        <v>2</v>
      </c>
      <c r="U926" t="s">
        <v>28</v>
      </c>
      <c r="V926" t="s">
        <v>28</v>
      </c>
      <c r="W926">
        <v>26.974999999999998</v>
      </c>
      <c r="X926">
        <v>26.974999999999998</v>
      </c>
      <c r="Y926">
        <v>21.321401592933661</v>
      </c>
    </row>
    <row r="927" spans="1:25" x14ac:dyDescent="0.2">
      <c r="A927" t="s">
        <v>174</v>
      </c>
      <c r="B927">
        <v>2014</v>
      </c>
      <c r="C927" t="s">
        <v>826</v>
      </c>
      <c r="D927" t="s">
        <v>812</v>
      </c>
      <c r="E927" t="s">
        <v>175</v>
      </c>
      <c r="F927" t="s">
        <v>189</v>
      </c>
      <c r="G927">
        <v>-43.484158999999998</v>
      </c>
      <c r="H927">
        <v>146.95835</v>
      </c>
      <c r="I927" t="s">
        <v>767</v>
      </c>
      <c r="J927" t="s">
        <v>7</v>
      </c>
      <c r="K927" t="s">
        <v>3</v>
      </c>
      <c r="L927" t="s">
        <v>3</v>
      </c>
      <c r="M927" t="s">
        <v>12</v>
      </c>
      <c r="N927" t="s">
        <v>85</v>
      </c>
      <c r="O927" s="6" t="s">
        <v>141</v>
      </c>
      <c r="P927" s="6" t="s">
        <v>74</v>
      </c>
      <c r="Q927">
        <v>6</v>
      </c>
      <c r="R927" t="s">
        <v>213</v>
      </c>
      <c r="S927" t="s">
        <v>7</v>
      </c>
      <c r="T927">
        <v>2</v>
      </c>
      <c r="U927" t="s">
        <v>28</v>
      </c>
      <c r="V927" t="s">
        <v>28</v>
      </c>
      <c r="W927">
        <v>13.1</v>
      </c>
      <c r="X927">
        <v>55.469953775038519</v>
      </c>
      <c r="Y927">
        <v>52.297573955245426</v>
      </c>
    </row>
    <row r="928" spans="1:25" x14ac:dyDescent="0.2">
      <c r="A928" t="s">
        <v>174</v>
      </c>
      <c r="B928">
        <v>2014</v>
      </c>
      <c r="C928" t="s">
        <v>826</v>
      </c>
      <c r="D928" t="s">
        <v>812</v>
      </c>
      <c r="E928" t="s">
        <v>175</v>
      </c>
      <c r="F928" t="s">
        <v>189</v>
      </c>
      <c r="G928">
        <v>-43.484158999999998</v>
      </c>
      <c r="H928">
        <v>146.95835</v>
      </c>
      <c r="I928" t="s">
        <v>767</v>
      </c>
      <c r="J928" t="s">
        <v>14</v>
      </c>
      <c r="K928" t="s">
        <v>3</v>
      </c>
      <c r="L928" t="s">
        <v>3</v>
      </c>
      <c r="M928" t="s">
        <v>12</v>
      </c>
      <c r="N928" t="s">
        <v>85</v>
      </c>
      <c r="O928" s="6" t="s">
        <v>141</v>
      </c>
      <c r="P928" s="6" t="s">
        <v>74</v>
      </c>
      <c r="Q928">
        <v>6</v>
      </c>
      <c r="R928" t="s">
        <v>213</v>
      </c>
      <c r="S928" t="s">
        <v>9</v>
      </c>
      <c r="T928">
        <v>2</v>
      </c>
      <c r="U928" t="s">
        <v>28</v>
      </c>
      <c r="V928" t="s">
        <v>28</v>
      </c>
      <c r="W928">
        <v>13.48</v>
      </c>
      <c r="X928">
        <v>36.209553158705695</v>
      </c>
      <c r="Y928">
        <v>5.4476639536714124</v>
      </c>
    </row>
    <row r="929" spans="1:25" x14ac:dyDescent="0.2">
      <c r="A929" t="s">
        <v>174</v>
      </c>
      <c r="B929">
        <v>2014</v>
      </c>
      <c r="C929" t="s">
        <v>826</v>
      </c>
      <c r="D929" t="s">
        <v>812</v>
      </c>
      <c r="E929" t="s">
        <v>175</v>
      </c>
      <c r="F929" t="s">
        <v>189</v>
      </c>
      <c r="G929">
        <v>-43.484158999999998</v>
      </c>
      <c r="H929">
        <v>146.95835</v>
      </c>
      <c r="I929" t="s">
        <v>767</v>
      </c>
      <c r="J929" t="s">
        <v>14</v>
      </c>
      <c r="K929" t="s">
        <v>3</v>
      </c>
      <c r="L929" t="s">
        <v>3</v>
      </c>
      <c r="M929" t="s">
        <v>12</v>
      </c>
      <c r="N929" t="s">
        <v>85</v>
      </c>
      <c r="O929" s="6" t="s">
        <v>141</v>
      </c>
      <c r="P929" s="6" t="s">
        <v>74</v>
      </c>
      <c r="Q929">
        <v>6</v>
      </c>
      <c r="R929" t="s">
        <v>213</v>
      </c>
      <c r="S929" t="s">
        <v>27</v>
      </c>
      <c r="T929">
        <v>2</v>
      </c>
      <c r="U929" t="s">
        <v>28</v>
      </c>
      <c r="V929" t="s">
        <v>28</v>
      </c>
      <c r="W929">
        <v>16.72</v>
      </c>
      <c r="X929">
        <v>23.882896764252695</v>
      </c>
      <c r="Y929">
        <v>11.984860698077073</v>
      </c>
    </row>
    <row r="930" spans="1:25" x14ac:dyDescent="0.2">
      <c r="A930" t="s">
        <v>174</v>
      </c>
      <c r="B930">
        <v>2014</v>
      </c>
      <c r="C930" t="s">
        <v>826</v>
      </c>
      <c r="D930" t="s">
        <v>812</v>
      </c>
      <c r="E930" t="s">
        <v>175</v>
      </c>
      <c r="F930" t="s">
        <v>189</v>
      </c>
      <c r="G930">
        <v>-43.484158999999998</v>
      </c>
      <c r="H930">
        <v>146.95835</v>
      </c>
      <c r="I930" t="s">
        <v>767</v>
      </c>
      <c r="J930" t="s">
        <v>14</v>
      </c>
      <c r="K930" t="s">
        <v>3</v>
      </c>
      <c r="L930" t="s">
        <v>3</v>
      </c>
      <c r="M930" t="s">
        <v>12</v>
      </c>
      <c r="N930" t="s">
        <v>85</v>
      </c>
      <c r="O930" s="6" t="s">
        <v>141</v>
      </c>
      <c r="P930" s="6" t="s">
        <v>74</v>
      </c>
      <c r="Q930">
        <v>6</v>
      </c>
      <c r="R930" t="s">
        <v>213</v>
      </c>
      <c r="S930" t="s">
        <v>13</v>
      </c>
      <c r="T930">
        <v>2</v>
      </c>
      <c r="U930" t="s">
        <v>28</v>
      </c>
      <c r="V930" t="s">
        <v>28</v>
      </c>
      <c r="W930">
        <v>17.580000000000002</v>
      </c>
      <c r="X930">
        <v>20.030816640986128</v>
      </c>
      <c r="Y930">
        <v>28.327852559091266</v>
      </c>
    </row>
    <row r="931" spans="1:25" x14ac:dyDescent="0.2">
      <c r="A931" t="s">
        <v>174</v>
      </c>
      <c r="B931">
        <v>2014</v>
      </c>
      <c r="C931" t="s">
        <v>826</v>
      </c>
      <c r="D931" t="s">
        <v>812</v>
      </c>
      <c r="E931" t="s">
        <v>175</v>
      </c>
      <c r="F931" t="s">
        <v>189</v>
      </c>
      <c r="G931">
        <v>-43.484158999999998</v>
      </c>
      <c r="H931">
        <v>146.95835</v>
      </c>
      <c r="I931" t="s">
        <v>767</v>
      </c>
      <c r="J931" t="s">
        <v>14</v>
      </c>
      <c r="K931" t="s">
        <v>3</v>
      </c>
      <c r="L931" t="s">
        <v>3</v>
      </c>
      <c r="M931" t="s">
        <v>12</v>
      </c>
      <c r="N931" t="s">
        <v>85</v>
      </c>
      <c r="O931" s="6" t="s">
        <v>141</v>
      </c>
      <c r="P931" s="6" t="s">
        <v>74</v>
      </c>
      <c r="Q931">
        <v>6</v>
      </c>
      <c r="R931" t="s">
        <v>213</v>
      </c>
      <c r="S931" t="s">
        <v>15</v>
      </c>
      <c r="T931">
        <v>2</v>
      </c>
      <c r="U931" t="s">
        <v>28</v>
      </c>
      <c r="V931" t="s">
        <v>28</v>
      </c>
      <c r="W931">
        <v>19.419999999999998</v>
      </c>
      <c r="X931">
        <v>35.43913713405238</v>
      </c>
      <c r="Y931">
        <v>39.223180466434059</v>
      </c>
    </row>
    <row r="932" spans="1:25" x14ac:dyDescent="0.2">
      <c r="A932" t="s">
        <v>174</v>
      </c>
      <c r="B932">
        <v>2014</v>
      </c>
      <c r="C932" t="s">
        <v>826</v>
      </c>
      <c r="D932" t="s">
        <v>812</v>
      </c>
      <c r="E932" t="s">
        <v>175</v>
      </c>
      <c r="F932" t="s">
        <v>189</v>
      </c>
      <c r="G932">
        <v>-43.484158999999998</v>
      </c>
      <c r="H932">
        <v>146.95835</v>
      </c>
      <c r="I932" t="s">
        <v>767</v>
      </c>
      <c r="J932" t="s">
        <v>14</v>
      </c>
      <c r="K932" t="s">
        <v>3</v>
      </c>
      <c r="L932" t="s">
        <v>3</v>
      </c>
      <c r="M932" t="s">
        <v>12</v>
      </c>
      <c r="N932" t="s">
        <v>85</v>
      </c>
      <c r="O932" s="6" t="s">
        <v>141</v>
      </c>
      <c r="P932" s="6" t="s">
        <v>74</v>
      </c>
      <c r="Q932">
        <v>6</v>
      </c>
      <c r="R932" t="s">
        <v>213</v>
      </c>
      <c r="S932" t="s">
        <v>37</v>
      </c>
      <c r="T932">
        <v>2</v>
      </c>
      <c r="U932" t="s">
        <v>28</v>
      </c>
      <c r="V932" t="s">
        <v>28</v>
      </c>
      <c r="W932">
        <v>19.52</v>
      </c>
      <c r="X932">
        <v>31.58705701078582</v>
      </c>
      <c r="Y932">
        <v>18.522057442482765</v>
      </c>
    </row>
    <row r="933" spans="1:25" x14ac:dyDescent="0.2">
      <c r="A933" t="s">
        <v>174</v>
      </c>
      <c r="B933">
        <v>2014</v>
      </c>
      <c r="C933" t="s">
        <v>826</v>
      </c>
      <c r="D933" t="s">
        <v>812</v>
      </c>
      <c r="E933" t="s">
        <v>175</v>
      </c>
      <c r="F933" t="s">
        <v>189</v>
      </c>
      <c r="G933">
        <v>-43.484158999999998</v>
      </c>
      <c r="H933">
        <v>146.95835</v>
      </c>
      <c r="I933" t="s">
        <v>767</v>
      </c>
      <c r="J933" t="s">
        <v>14</v>
      </c>
      <c r="K933" t="s">
        <v>3</v>
      </c>
      <c r="L933" t="s">
        <v>3</v>
      </c>
      <c r="M933" t="s">
        <v>12</v>
      </c>
      <c r="N933" t="s">
        <v>85</v>
      </c>
      <c r="O933" s="6" t="s">
        <v>141</v>
      </c>
      <c r="P933" s="6" t="s">
        <v>74</v>
      </c>
      <c r="Q933">
        <v>6</v>
      </c>
      <c r="R933" t="s">
        <v>213</v>
      </c>
      <c r="S933" t="s">
        <v>116</v>
      </c>
      <c r="T933">
        <v>2</v>
      </c>
      <c r="U933" t="s">
        <v>28</v>
      </c>
      <c r="V933" t="s">
        <v>28</v>
      </c>
      <c r="W933">
        <v>19.759999999999998</v>
      </c>
      <c r="X933">
        <v>30.816640986132512</v>
      </c>
      <c r="Y933">
        <v>23.969721396154146</v>
      </c>
    </row>
    <row r="934" spans="1:25" x14ac:dyDescent="0.2">
      <c r="A934" t="s">
        <v>174</v>
      </c>
      <c r="B934">
        <v>2014</v>
      </c>
      <c r="C934" t="s">
        <v>826</v>
      </c>
      <c r="D934" t="s">
        <v>812</v>
      </c>
      <c r="E934" t="s">
        <v>175</v>
      </c>
      <c r="F934" t="s">
        <v>189</v>
      </c>
      <c r="G934">
        <v>-43.484158999999998</v>
      </c>
      <c r="H934">
        <v>146.95835</v>
      </c>
      <c r="I934" t="s">
        <v>767</v>
      </c>
      <c r="J934" t="s">
        <v>14</v>
      </c>
      <c r="K934" t="s">
        <v>3</v>
      </c>
      <c r="L934" t="s">
        <v>3</v>
      </c>
      <c r="M934" t="s">
        <v>12</v>
      </c>
      <c r="N934" t="s">
        <v>85</v>
      </c>
      <c r="O934" s="6" t="s">
        <v>141</v>
      </c>
      <c r="P934" s="6" t="s">
        <v>74</v>
      </c>
      <c r="Q934">
        <v>6</v>
      </c>
      <c r="R934" t="s">
        <v>213</v>
      </c>
      <c r="S934" t="s">
        <v>117</v>
      </c>
      <c r="T934">
        <v>2</v>
      </c>
      <c r="U934" t="s">
        <v>28</v>
      </c>
      <c r="V934" t="s">
        <v>28</v>
      </c>
      <c r="W934">
        <v>19.839999999999996</v>
      </c>
      <c r="X934">
        <v>0</v>
      </c>
      <c r="Y934">
        <v>0</v>
      </c>
    </row>
    <row r="935" spans="1:25" x14ac:dyDescent="0.2">
      <c r="A935" t="s">
        <v>174</v>
      </c>
      <c r="B935">
        <v>2014</v>
      </c>
      <c r="C935" t="s">
        <v>826</v>
      </c>
      <c r="D935" t="s">
        <v>812</v>
      </c>
      <c r="E935" t="s">
        <v>175</v>
      </c>
      <c r="F935" t="s">
        <v>189</v>
      </c>
      <c r="G935">
        <v>-43.484158999999998</v>
      </c>
      <c r="H935">
        <v>146.95835</v>
      </c>
      <c r="I935" t="s">
        <v>767</v>
      </c>
      <c r="J935" t="s">
        <v>14</v>
      </c>
      <c r="K935" t="s">
        <v>3</v>
      </c>
      <c r="L935" t="s">
        <v>3</v>
      </c>
      <c r="M935" t="s">
        <v>12</v>
      </c>
      <c r="N935" t="s">
        <v>85</v>
      </c>
      <c r="O935" s="6" t="s">
        <v>141</v>
      </c>
      <c r="P935" s="6" t="s">
        <v>74</v>
      </c>
      <c r="Q935">
        <v>6</v>
      </c>
      <c r="R935" t="s">
        <v>213</v>
      </c>
      <c r="S935" t="s">
        <v>118</v>
      </c>
      <c r="T935">
        <v>2</v>
      </c>
      <c r="U935" t="s">
        <v>28</v>
      </c>
      <c r="V935" t="s">
        <v>28</v>
      </c>
      <c r="W935">
        <v>19.88</v>
      </c>
      <c r="X935">
        <v>8.4745762711864394</v>
      </c>
      <c r="Y935">
        <v>11.984860698077075</v>
      </c>
    </row>
    <row r="936" spans="1:25" x14ac:dyDescent="0.2">
      <c r="A936" t="s">
        <v>174</v>
      </c>
      <c r="B936">
        <v>2014</v>
      </c>
      <c r="C936" t="s">
        <v>826</v>
      </c>
      <c r="D936" t="s">
        <v>812</v>
      </c>
      <c r="E936" t="s">
        <v>175</v>
      </c>
      <c r="F936" t="s">
        <v>189</v>
      </c>
      <c r="G936">
        <v>-43.484158999999998</v>
      </c>
      <c r="H936">
        <v>146.95835</v>
      </c>
      <c r="I936" t="s">
        <v>767</v>
      </c>
      <c r="J936" t="s">
        <v>14</v>
      </c>
      <c r="K936" t="s">
        <v>3</v>
      </c>
      <c r="L936" t="s">
        <v>3</v>
      </c>
      <c r="M936" t="s">
        <v>12</v>
      </c>
      <c r="N936" t="s">
        <v>85</v>
      </c>
      <c r="O936" s="6" t="s">
        <v>141</v>
      </c>
      <c r="P936" s="6" t="s">
        <v>74</v>
      </c>
      <c r="Q936">
        <v>6</v>
      </c>
      <c r="R936" t="s">
        <v>213</v>
      </c>
      <c r="S936" t="s">
        <v>177</v>
      </c>
      <c r="T936">
        <v>2</v>
      </c>
      <c r="U936" t="s">
        <v>28</v>
      </c>
      <c r="V936" t="s">
        <v>28</v>
      </c>
      <c r="W936">
        <v>19.98</v>
      </c>
      <c r="X936">
        <v>29.275808936825886</v>
      </c>
      <c r="Y936">
        <v>8.7162623258742329</v>
      </c>
    </row>
    <row r="937" spans="1:25" x14ac:dyDescent="0.2">
      <c r="A937" t="s">
        <v>174</v>
      </c>
      <c r="B937">
        <v>2014</v>
      </c>
      <c r="C937" t="s">
        <v>826</v>
      </c>
      <c r="D937" t="s">
        <v>812</v>
      </c>
      <c r="E937" t="s">
        <v>175</v>
      </c>
      <c r="F937" t="s">
        <v>189</v>
      </c>
      <c r="G937">
        <v>-43.484158999999998</v>
      </c>
      <c r="H937">
        <v>146.95835</v>
      </c>
      <c r="I937" t="s">
        <v>767</v>
      </c>
      <c r="J937" t="s">
        <v>14</v>
      </c>
      <c r="K937" t="s">
        <v>3</v>
      </c>
      <c r="L937" t="s">
        <v>3</v>
      </c>
      <c r="M937" t="s">
        <v>12</v>
      </c>
      <c r="N937" t="s">
        <v>85</v>
      </c>
      <c r="O937" s="6" t="s">
        <v>141</v>
      </c>
      <c r="P937" s="6" t="s">
        <v>74</v>
      </c>
      <c r="Q937">
        <v>6</v>
      </c>
      <c r="R937" t="s">
        <v>213</v>
      </c>
      <c r="S937" t="s">
        <v>178</v>
      </c>
      <c r="T937">
        <v>2</v>
      </c>
      <c r="U937" t="s">
        <v>28</v>
      </c>
      <c r="V937" t="s">
        <v>28</v>
      </c>
      <c r="W937">
        <v>20.36</v>
      </c>
      <c r="X937">
        <v>45.454545454545453</v>
      </c>
      <c r="Y937">
        <v>35.95458209423122</v>
      </c>
    </row>
    <row r="938" spans="1:25" x14ac:dyDescent="0.2">
      <c r="A938" t="s">
        <v>174</v>
      </c>
      <c r="B938">
        <v>2014</v>
      </c>
      <c r="C938" t="s">
        <v>826</v>
      </c>
      <c r="D938" t="s">
        <v>812</v>
      </c>
      <c r="E938" t="s">
        <v>175</v>
      </c>
      <c r="F938" t="s">
        <v>189</v>
      </c>
      <c r="G938">
        <v>-43.484158999999998</v>
      </c>
      <c r="H938">
        <v>146.95835</v>
      </c>
      <c r="I938" t="s">
        <v>767</v>
      </c>
      <c r="J938" t="s">
        <v>14</v>
      </c>
      <c r="K938" t="s">
        <v>3</v>
      </c>
      <c r="L938" t="s">
        <v>3</v>
      </c>
      <c r="M938" t="s">
        <v>12</v>
      </c>
      <c r="N938" t="s">
        <v>85</v>
      </c>
      <c r="O938" s="6" t="s">
        <v>141</v>
      </c>
      <c r="P938" s="6" t="s">
        <v>74</v>
      </c>
      <c r="Q938">
        <v>6</v>
      </c>
      <c r="R938" t="s">
        <v>213</v>
      </c>
      <c r="S938" t="s">
        <v>179</v>
      </c>
      <c r="T938">
        <v>2</v>
      </c>
      <c r="U938" t="s">
        <v>28</v>
      </c>
      <c r="V938" t="s">
        <v>28</v>
      </c>
      <c r="W938">
        <v>20.68</v>
      </c>
      <c r="X938">
        <v>130.20030816640985</v>
      </c>
      <c r="Y938">
        <v>160.16132023793909</v>
      </c>
    </row>
    <row r="939" spans="1:25" x14ac:dyDescent="0.2">
      <c r="A939" t="s">
        <v>174</v>
      </c>
      <c r="B939">
        <v>2014</v>
      </c>
      <c r="C939" t="s">
        <v>826</v>
      </c>
      <c r="D939" t="s">
        <v>812</v>
      </c>
      <c r="E939" t="s">
        <v>175</v>
      </c>
      <c r="F939" t="s">
        <v>189</v>
      </c>
      <c r="G939">
        <v>-43.484158999999998</v>
      </c>
      <c r="H939">
        <v>146.95835</v>
      </c>
      <c r="I939" t="s">
        <v>767</v>
      </c>
      <c r="J939" t="s">
        <v>14</v>
      </c>
      <c r="K939" t="s">
        <v>3</v>
      </c>
      <c r="L939" t="s">
        <v>3</v>
      </c>
      <c r="M939" t="s">
        <v>12</v>
      </c>
      <c r="N939" t="s">
        <v>85</v>
      </c>
      <c r="O939" s="6" t="s">
        <v>141</v>
      </c>
      <c r="P939" s="6" t="s">
        <v>74</v>
      </c>
      <c r="Q939">
        <v>6</v>
      </c>
      <c r="R939" t="s">
        <v>213</v>
      </c>
      <c r="S939" t="s">
        <v>180</v>
      </c>
      <c r="T939">
        <v>2</v>
      </c>
      <c r="U939" t="s">
        <v>28</v>
      </c>
      <c r="V939" t="s">
        <v>28</v>
      </c>
      <c r="W939">
        <v>21.5</v>
      </c>
      <c r="X939">
        <v>37.750385208012325</v>
      </c>
      <c r="Y939">
        <v>40.312713257168348</v>
      </c>
    </row>
    <row r="940" spans="1:25" x14ac:dyDescent="0.2">
      <c r="A940" t="s">
        <v>174</v>
      </c>
      <c r="B940">
        <v>2014</v>
      </c>
      <c r="C940" t="s">
        <v>826</v>
      </c>
      <c r="D940" t="s">
        <v>812</v>
      </c>
      <c r="E940" t="s">
        <v>175</v>
      </c>
      <c r="F940" t="s">
        <v>189</v>
      </c>
      <c r="G940">
        <v>-43.484158999999998</v>
      </c>
      <c r="H940">
        <v>146.95835</v>
      </c>
      <c r="I940" t="s">
        <v>767</v>
      </c>
      <c r="J940" t="s">
        <v>14</v>
      </c>
      <c r="K940" t="s">
        <v>3</v>
      </c>
      <c r="L940" t="s">
        <v>3</v>
      </c>
      <c r="M940" t="s">
        <v>12</v>
      </c>
      <c r="N940" t="s">
        <v>85</v>
      </c>
      <c r="O940" s="6" t="s">
        <v>141</v>
      </c>
      <c r="P940" s="6" t="s">
        <v>74</v>
      </c>
      <c r="Q940">
        <v>6</v>
      </c>
      <c r="R940" t="s">
        <v>213</v>
      </c>
      <c r="S940" t="s">
        <v>181</v>
      </c>
      <c r="T940">
        <v>2</v>
      </c>
      <c r="U940" t="s">
        <v>28</v>
      </c>
      <c r="V940" t="s">
        <v>28</v>
      </c>
      <c r="W940">
        <v>21.6</v>
      </c>
      <c r="X940">
        <v>61.633281972265017</v>
      </c>
      <c r="Y940">
        <v>52.297573955245426</v>
      </c>
    </row>
    <row r="941" spans="1:25" x14ac:dyDescent="0.2">
      <c r="A941" t="s">
        <v>174</v>
      </c>
      <c r="B941">
        <v>2014</v>
      </c>
      <c r="C941" t="s">
        <v>826</v>
      </c>
      <c r="D941" t="s">
        <v>812</v>
      </c>
      <c r="E941" t="s">
        <v>175</v>
      </c>
      <c r="F941" t="s">
        <v>189</v>
      </c>
      <c r="G941">
        <v>-43.484158999999998</v>
      </c>
      <c r="H941">
        <v>146.95835</v>
      </c>
      <c r="I941" t="s">
        <v>767</v>
      </c>
      <c r="J941" t="s">
        <v>14</v>
      </c>
      <c r="K941" t="s">
        <v>3</v>
      </c>
      <c r="L941" t="s">
        <v>3</v>
      </c>
      <c r="M941" t="s">
        <v>12</v>
      </c>
      <c r="N941" t="s">
        <v>85</v>
      </c>
      <c r="O941" s="6" t="s">
        <v>141</v>
      </c>
      <c r="P941" s="6" t="s">
        <v>74</v>
      </c>
      <c r="Q941">
        <v>6</v>
      </c>
      <c r="R941" t="s">
        <v>213</v>
      </c>
      <c r="S941" t="s">
        <v>182</v>
      </c>
      <c r="T941">
        <v>2</v>
      </c>
      <c r="U941" t="s">
        <v>28</v>
      </c>
      <c r="V941" t="s">
        <v>28</v>
      </c>
      <c r="W941">
        <v>25.6</v>
      </c>
      <c r="X941">
        <v>5.3929121725731894</v>
      </c>
      <c r="Y941">
        <v>7.6267295351399582</v>
      </c>
    </row>
    <row r="942" spans="1:25" x14ac:dyDescent="0.2">
      <c r="A942" t="s">
        <v>174</v>
      </c>
      <c r="B942">
        <v>2014</v>
      </c>
      <c r="C942" t="s">
        <v>826</v>
      </c>
      <c r="D942" t="s">
        <v>812</v>
      </c>
      <c r="E942" t="s">
        <v>175</v>
      </c>
      <c r="F942" t="s">
        <v>189</v>
      </c>
      <c r="G942">
        <v>-43.484158999999998</v>
      </c>
      <c r="H942">
        <v>146.95835</v>
      </c>
      <c r="I942" t="s">
        <v>767</v>
      </c>
      <c r="J942" t="s">
        <v>14</v>
      </c>
      <c r="K942" t="s">
        <v>3</v>
      </c>
      <c r="L942" t="s">
        <v>3</v>
      </c>
      <c r="M942" t="s">
        <v>12</v>
      </c>
      <c r="N942" t="s">
        <v>85</v>
      </c>
      <c r="O942" s="6" t="s">
        <v>141</v>
      </c>
      <c r="P942" s="6" t="s">
        <v>74</v>
      </c>
      <c r="Q942">
        <v>6</v>
      </c>
      <c r="R942" t="s">
        <v>213</v>
      </c>
      <c r="S942" t="s">
        <v>183</v>
      </c>
      <c r="T942">
        <v>2</v>
      </c>
      <c r="U942" t="s">
        <v>28</v>
      </c>
      <c r="V942" t="s">
        <v>28</v>
      </c>
      <c r="W942">
        <v>25.98</v>
      </c>
      <c r="X942">
        <v>70.878274268104775</v>
      </c>
      <c r="Y942">
        <v>58.834770699651088</v>
      </c>
    </row>
    <row r="943" spans="1:25" x14ac:dyDescent="0.2">
      <c r="A943" t="s">
        <v>174</v>
      </c>
      <c r="B943">
        <v>2014</v>
      </c>
      <c r="C943" t="s">
        <v>826</v>
      </c>
      <c r="D943" t="s">
        <v>812</v>
      </c>
      <c r="E943" t="s">
        <v>175</v>
      </c>
      <c r="F943" t="s">
        <v>189</v>
      </c>
      <c r="G943">
        <v>-43.484158999999998</v>
      </c>
      <c r="H943">
        <v>146.95835</v>
      </c>
      <c r="I943" t="s">
        <v>767</v>
      </c>
      <c r="J943" t="s">
        <v>14</v>
      </c>
      <c r="K943" t="s">
        <v>3</v>
      </c>
      <c r="L943" t="s">
        <v>3</v>
      </c>
      <c r="M943" t="s">
        <v>12</v>
      </c>
      <c r="N943" t="s">
        <v>85</v>
      </c>
      <c r="O943" s="6" t="s">
        <v>141</v>
      </c>
      <c r="P943" s="6" t="s">
        <v>74</v>
      </c>
      <c r="Q943">
        <v>6</v>
      </c>
      <c r="R943" t="s">
        <v>213</v>
      </c>
      <c r="S943" t="s">
        <v>184</v>
      </c>
      <c r="T943">
        <v>2</v>
      </c>
      <c r="U943" t="s">
        <v>28</v>
      </c>
      <c r="V943" t="s">
        <v>28</v>
      </c>
      <c r="W943">
        <v>26.079999999999995</v>
      </c>
      <c r="X943">
        <v>33.898305084745758</v>
      </c>
      <c r="Y943">
        <v>47.939442792308299</v>
      </c>
    </row>
    <row r="944" spans="1:25" x14ac:dyDescent="0.2">
      <c r="A944" t="s">
        <v>174</v>
      </c>
      <c r="B944">
        <v>2014</v>
      </c>
      <c r="C944" t="s">
        <v>826</v>
      </c>
      <c r="D944" t="s">
        <v>812</v>
      </c>
      <c r="E944" t="s">
        <v>175</v>
      </c>
      <c r="F944" t="s">
        <v>189</v>
      </c>
      <c r="G944">
        <v>-43.484158999999998</v>
      </c>
      <c r="H944">
        <v>146.95835</v>
      </c>
      <c r="I944" t="s">
        <v>767</v>
      </c>
      <c r="J944" t="s">
        <v>14</v>
      </c>
      <c r="K944" t="s">
        <v>3</v>
      </c>
      <c r="L944" t="s">
        <v>3</v>
      </c>
      <c r="M944" t="s">
        <v>12</v>
      </c>
      <c r="N944" t="s">
        <v>85</v>
      </c>
      <c r="O944" s="6" t="s">
        <v>141</v>
      </c>
      <c r="P944" s="6" t="s">
        <v>74</v>
      </c>
      <c r="Q944">
        <v>6</v>
      </c>
      <c r="R944" t="s">
        <v>213</v>
      </c>
      <c r="S944" t="s">
        <v>185</v>
      </c>
      <c r="T944">
        <v>2</v>
      </c>
      <c r="U944" t="s">
        <v>28</v>
      </c>
      <c r="V944" t="s">
        <v>28</v>
      </c>
      <c r="W944">
        <v>26.26</v>
      </c>
      <c r="X944">
        <v>11.556240369799692</v>
      </c>
      <c r="Y944">
        <v>14.163926279545636</v>
      </c>
    </row>
    <row r="945" spans="1:25" x14ac:dyDescent="0.2">
      <c r="A945" t="s">
        <v>174</v>
      </c>
      <c r="B945">
        <v>2014</v>
      </c>
      <c r="C945" t="s">
        <v>826</v>
      </c>
      <c r="D945" t="s">
        <v>812</v>
      </c>
      <c r="E945" t="s">
        <v>175</v>
      </c>
      <c r="F945" t="s">
        <v>191</v>
      </c>
      <c r="G945">
        <v>-35.579301000000001</v>
      </c>
      <c r="H945">
        <v>138.607066</v>
      </c>
      <c r="I945" t="s">
        <v>772</v>
      </c>
      <c r="J945" t="s">
        <v>7</v>
      </c>
      <c r="K945" t="s">
        <v>3</v>
      </c>
      <c r="L945" t="s">
        <v>3</v>
      </c>
      <c r="M945" t="s">
        <v>12</v>
      </c>
      <c r="N945" t="s">
        <v>85</v>
      </c>
      <c r="O945" s="6" t="s">
        <v>141</v>
      </c>
      <c r="P945" s="6" t="s">
        <v>74</v>
      </c>
      <c r="Q945">
        <v>6</v>
      </c>
      <c r="R945" t="s">
        <v>213</v>
      </c>
      <c r="S945" t="s">
        <v>7</v>
      </c>
      <c r="T945">
        <v>2</v>
      </c>
      <c r="U945" t="s">
        <v>28</v>
      </c>
      <c r="V945" t="s">
        <v>28</v>
      </c>
      <c r="W945">
        <v>11.879999999999999</v>
      </c>
      <c r="X945">
        <v>5.9417914417914419</v>
      </c>
      <c r="Y945">
        <v>2.4008462976496681</v>
      </c>
    </row>
    <row r="946" spans="1:25" x14ac:dyDescent="0.2">
      <c r="A946" t="s">
        <v>174</v>
      </c>
      <c r="B946">
        <v>2014</v>
      </c>
      <c r="C946" t="s">
        <v>826</v>
      </c>
      <c r="D946" t="s">
        <v>812</v>
      </c>
      <c r="E946" t="s">
        <v>175</v>
      </c>
      <c r="F946" t="s">
        <v>191</v>
      </c>
      <c r="G946">
        <v>-35.579301000000001</v>
      </c>
      <c r="H946">
        <v>138.607066</v>
      </c>
      <c r="I946" t="s">
        <v>772</v>
      </c>
      <c r="J946" t="s">
        <v>14</v>
      </c>
      <c r="K946" t="s">
        <v>3</v>
      </c>
      <c r="L946" t="s">
        <v>3</v>
      </c>
      <c r="M946" t="s">
        <v>12</v>
      </c>
      <c r="N946" t="s">
        <v>85</v>
      </c>
      <c r="O946" s="6" t="s">
        <v>141</v>
      </c>
      <c r="P946" s="6" t="s">
        <v>74</v>
      </c>
      <c r="Q946">
        <v>6</v>
      </c>
      <c r="R946" t="s">
        <v>213</v>
      </c>
      <c r="S946" t="s">
        <v>9</v>
      </c>
      <c r="T946">
        <v>2</v>
      </c>
      <c r="U946" t="s">
        <v>28</v>
      </c>
      <c r="V946" t="s">
        <v>28</v>
      </c>
      <c r="W946">
        <v>13.879999999999999</v>
      </c>
      <c r="X946">
        <v>9.3371008371008362</v>
      </c>
      <c r="Y946">
        <v>2.4008462976496707</v>
      </c>
    </row>
    <row r="947" spans="1:25" x14ac:dyDescent="0.2">
      <c r="A947" t="s">
        <v>174</v>
      </c>
      <c r="B947">
        <v>2014</v>
      </c>
      <c r="C947" t="s">
        <v>826</v>
      </c>
      <c r="D947" t="s">
        <v>812</v>
      </c>
      <c r="E947" t="s">
        <v>175</v>
      </c>
      <c r="F947" t="s">
        <v>191</v>
      </c>
      <c r="G947">
        <v>-35.579301000000001</v>
      </c>
      <c r="H947">
        <v>138.607066</v>
      </c>
      <c r="I947" t="s">
        <v>772</v>
      </c>
      <c r="J947" t="s">
        <v>14</v>
      </c>
      <c r="K947" t="s">
        <v>3</v>
      </c>
      <c r="L947" t="s">
        <v>3</v>
      </c>
      <c r="M947" t="s">
        <v>12</v>
      </c>
      <c r="N947" t="s">
        <v>85</v>
      </c>
      <c r="O947" s="6" t="s">
        <v>141</v>
      </c>
      <c r="P947" s="6" t="s">
        <v>74</v>
      </c>
      <c r="Q947">
        <v>6</v>
      </c>
      <c r="R947" t="s">
        <v>213</v>
      </c>
      <c r="S947" t="s">
        <v>27</v>
      </c>
      <c r="T947">
        <v>2</v>
      </c>
      <c r="U947" t="s">
        <v>28</v>
      </c>
      <c r="V947" t="s">
        <v>28</v>
      </c>
      <c r="W947">
        <v>15.9</v>
      </c>
      <c r="X947">
        <v>0.84882734882734889</v>
      </c>
      <c r="Y947">
        <v>0</v>
      </c>
    </row>
    <row r="948" spans="1:25" x14ac:dyDescent="0.2">
      <c r="A948" t="s">
        <v>174</v>
      </c>
      <c r="B948">
        <v>2014</v>
      </c>
      <c r="C948" t="s">
        <v>826</v>
      </c>
      <c r="D948" t="s">
        <v>812</v>
      </c>
      <c r="E948" t="s">
        <v>175</v>
      </c>
      <c r="F948" t="s">
        <v>191</v>
      </c>
      <c r="G948">
        <v>-35.579301000000001</v>
      </c>
      <c r="H948">
        <v>138.607066</v>
      </c>
      <c r="I948" t="s">
        <v>772</v>
      </c>
      <c r="J948" t="s">
        <v>14</v>
      </c>
      <c r="K948" t="s">
        <v>3</v>
      </c>
      <c r="L948" t="s">
        <v>3</v>
      </c>
      <c r="M948" t="s">
        <v>12</v>
      </c>
      <c r="N948" t="s">
        <v>85</v>
      </c>
      <c r="O948" s="6" t="s">
        <v>141</v>
      </c>
      <c r="P948" s="6" t="s">
        <v>74</v>
      </c>
      <c r="Q948">
        <v>6</v>
      </c>
      <c r="R948" t="s">
        <v>213</v>
      </c>
      <c r="S948" t="s">
        <v>13</v>
      </c>
      <c r="T948">
        <v>2</v>
      </c>
      <c r="U948" t="s">
        <v>28</v>
      </c>
      <c r="V948" t="s">
        <v>28</v>
      </c>
      <c r="W948">
        <v>17.86</v>
      </c>
      <c r="X948">
        <v>9.3371008371008362</v>
      </c>
      <c r="Y948">
        <v>0</v>
      </c>
    </row>
    <row r="949" spans="1:25" x14ac:dyDescent="0.2">
      <c r="A949" t="s">
        <v>174</v>
      </c>
      <c r="B949">
        <v>2014</v>
      </c>
      <c r="C949" t="s">
        <v>826</v>
      </c>
      <c r="D949" t="s">
        <v>812</v>
      </c>
      <c r="E949" t="s">
        <v>175</v>
      </c>
      <c r="F949" t="s">
        <v>191</v>
      </c>
      <c r="G949">
        <v>-35.579301000000001</v>
      </c>
      <c r="H949">
        <v>138.607066</v>
      </c>
      <c r="I949" t="s">
        <v>772</v>
      </c>
      <c r="J949" t="s">
        <v>14</v>
      </c>
      <c r="K949" t="s">
        <v>3</v>
      </c>
      <c r="L949" t="s">
        <v>3</v>
      </c>
      <c r="M949" t="s">
        <v>12</v>
      </c>
      <c r="N949" t="s">
        <v>85</v>
      </c>
      <c r="O949" s="6" t="s">
        <v>141</v>
      </c>
      <c r="P949" s="6" t="s">
        <v>74</v>
      </c>
      <c r="Q949">
        <v>6</v>
      </c>
      <c r="R949" t="s">
        <v>213</v>
      </c>
      <c r="S949" t="s">
        <v>15</v>
      </c>
      <c r="T949">
        <v>2</v>
      </c>
      <c r="U949" t="s">
        <v>28</v>
      </c>
      <c r="V949" t="s">
        <v>28</v>
      </c>
      <c r="W949">
        <v>17.940000000000001</v>
      </c>
      <c r="X949">
        <v>13.581237581237581</v>
      </c>
      <c r="Y949">
        <v>3.6012694464745141</v>
      </c>
    </row>
    <row r="950" spans="1:25" x14ac:dyDescent="0.2">
      <c r="A950" t="s">
        <v>174</v>
      </c>
      <c r="B950">
        <v>2014</v>
      </c>
      <c r="C950" t="s">
        <v>826</v>
      </c>
      <c r="D950" t="s">
        <v>812</v>
      </c>
      <c r="E950" t="s">
        <v>175</v>
      </c>
      <c r="F950" t="s">
        <v>191</v>
      </c>
      <c r="G950">
        <v>-35.579301000000001</v>
      </c>
      <c r="H950">
        <v>138.607066</v>
      </c>
      <c r="I950" t="s">
        <v>772</v>
      </c>
      <c r="J950" t="s">
        <v>14</v>
      </c>
      <c r="K950" t="s">
        <v>3</v>
      </c>
      <c r="L950" t="s">
        <v>3</v>
      </c>
      <c r="M950" t="s">
        <v>12</v>
      </c>
      <c r="N950" t="s">
        <v>85</v>
      </c>
      <c r="O950" s="6" t="s">
        <v>141</v>
      </c>
      <c r="P950" s="6" t="s">
        <v>74</v>
      </c>
      <c r="Q950">
        <v>6</v>
      </c>
      <c r="R950" t="s">
        <v>213</v>
      </c>
      <c r="S950" t="s">
        <v>37</v>
      </c>
      <c r="T950">
        <v>2</v>
      </c>
      <c r="U950" t="s">
        <v>28</v>
      </c>
      <c r="V950" t="s">
        <v>28</v>
      </c>
      <c r="W950">
        <v>18.040000000000003</v>
      </c>
      <c r="X950">
        <v>8.4882734882734887</v>
      </c>
      <c r="Y950">
        <v>2.400846297649665</v>
      </c>
    </row>
    <row r="951" spans="1:25" x14ac:dyDescent="0.2">
      <c r="A951" t="s">
        <v>174</v>
      </c>
      <c r="B951">
        <v>2014</v>
      </c>
      <c r="C951" t="s">
        <v>826</v>
      </c>
      <c r="D951" t="s">
        <v>812</v>
      </c>
      <c r="E951" t="s">
        <v>175</v>
      </c>
      <c r="F951" t="s">
        <v>191</v>
      </c>
      <c r="G951">
        <v>-35.579301000000001</v>
      </c>
      <c r="H951">
        <v>138.607066</v>
      </c>
      <c r="I951" t="s">
        <v>772</v>
      </c>
      <c r="J951" t="s">
        <v>14</v>
      </c>
      <c r="K951" t="s">
        <v>3</v>
      </c>
      <c r="L951" t="s">
        <v>3</v>
      </c>
      <c r="M951" t="s">
        <v>12</v>
      </c>
      <c r="N951" t="s">
        <v>85</v>
      </c>
      <c r="O951" s="6" t="s">
        <v>141</v>
      </c>
      <c r="P951" s="6" t="s">
        <v>74</v>
      </c>
      <c r="Q951">
        <v>6</v>
      </c>
      <c r="R951" t="s">
        <v>213</v>
      </c>
      <c r="S951" t="s">
        <v>116</v>
      </c>
      <c r="T951">
        <v>2</v>
      </c>
      <c r="U951" t="s">
        <v>28</v>
      </c>
      <c r="V951" t="s">
        <v>28</v>
      </c>
      <c r="W951">
        <v>18.240000000000002</v>
      </c>
      <c r="X951">
        <v>50.080813580813583</v>
      </c>
      <c r="Y951">
        <v>51.618195399467893</v>
      </c>
    </row>
    <row r="952" spans="1:25" x14ac:dyDescent="0.2">
      <c r="A952" t="s">
        <v>174</v>
      </c>
      <c r="B952">
        <v>2014</v>
      </c>
      <c r="C952" t="s">
        <v>826</v>
      </c>
      <c r="D952" t="s">
        <v>812</v>
      </c>
      <c r="E952" t="s">
        <v>175</v>
      </c>
      <c r="F952" t="s">
        <v>191</v>
      </c>
      <c r="G952">
        <v>-35.579301000000001</v>
      </c>
      <c r="H952">
        <v>138.607066</v>
      </c>
      <c r="I952" t="s">
        <v>772</v>
      </c>
      <c r="J952" t="s">
        <v>14</v>
      </c>
      <c r="K952" t="s">
        <v>3</v>
      </c>
      <c r="L952" t="s">
        <v>3</v>
      </c>
      <c r="M952" t="s">
        <v>12</v>
      </c>
      <c r="N952" t="s">
        <v>85</v>
      </c>
      <c r="O952" s="6" t="s">
        <v>141</v>
      </c>
      <c r="P952" s="6" t="s">
        <v>74</v>
      </c>
      <c r="Q952">
        <v>6</v>
      </c>
      <c r="R952" t="s">
        <v>213</v>
      </c>
      <c r="S952" t="s">
        <v>117</v>
      </c>
      <c r="T952">
        <v>2</v>
      </c>
      <c r="U952" t="s">
        <v>28</v>
      </c>
      <c r="V952" t="s">
        <v>28</v>
      </c>
      <c r="W952">
        <v>18.560000000000002</v>
      </c>
      <c r="X952">
        <v>9.7615145115145108</v>
      </c>
      <c r="Y952">
        <v>0.60021157441240591</v>
      </c>
    </row>
    <row r="953" spans="1:25" x14ac:dyDescent="0.2">
      <c r="A953" t="s">
        <v>174</v>
      </c>
      <c r="B953">
        <v>2014</v>
      </c>
      <c r="C953" t="s">
        <v>826</v>
      </c>
      <c r="D953" t="s">
        <v>812</v>
      </c>
      <c r="E953" t="s">
        <v>175</v>
      </c>
      <c r="F953" t="s">
        <v>191</v>
      </c>
      <c r="G953">
        <v>-35.579301000000001</v>
      </c>
      <c r="H953">
        <v>138.607066</v>
      </c>
      <c r="I953" t="s">
        <v>772</v>
      </c>
      <c r="J953" t="s">
        <v>14</v>
      </c>
      <c r="K953" t="s">
        <v>3</v>
      </c>
      <c r="L953" t="s">
        <v>3</v>
      </c>
      <c r="M953" t="s">
        <v>12</v>
      </c>
      <c r="N953" t="s">
        <v>85</v>
      </c>
      <c r="O953" s="6" t="s">
        <v>141</v>
      </c>
      <c r="P953" s="6" t="s">
        <v>74</v>
      </c>
      <c r="Q953">
        <v>6</v>
      </c>
      <c r="R953" t="s">
        <v>213</v>
      </c>
      <c r="S953" t="s">
        <v>118</v>
      </c>
      <c r="T953">
        <v>2</v>
      </c>
      <c r="U953" t="s">
        <v>28</v>
      </c>
      <c r="V953" t="s">
        <v>28</v>
      </c>
      <c r="W953">
        <v>19.419999999999998</v>
      </c>
      <c r="X953">
        <v>3.3953093953093956</v>
      </c>
      <c r="Y953">
        <v>3.6012694464745043</v>
      </c>
    </row>
    <row r="954" spans="1:25" x14ac:dyDescent="0.2">
      <c r="A954" t="s">
        <v>174</v>
      </c>
      <c r="B954">
        <v>2014</v>
      </c>
      <c r="C954" t="s">
        <v>826</v>
      </c>
      <c r="D954" t="s">
        <v>812</v>
      </c>
      <c r="E954" t="s">
        <v>175</v>
      </c>
      <c r="F954" t="s">
        <v>191</v>
      </c>
      <c r="G954">
        <v>-35.579301000000001</v>
      </c>
      <c r="H954">
        <v>138.607066</v>
      </c>
      <c r="I954" t="s">
        <v>772</v>
      </c>
      <c r="J954" t="s">
        <v>14</v>
      </c>
      <c r="K954" t="s">
        <v>3</v>
      </c>
      <c r="L954" t="s">
        <v>3</v>
      </c>
      <c r="M954" t="s">
        <v>12</v>
      </c>
      <c r="N954" t="s">
        <v>85</v>
      </c>
      <c r="O954" s="6" t="s">
        <v>141</v>
      </c>
      <c r="P954" s="6" t="s">
        <v>74</v>
      </c>
      <c r="Q954">
        <v>6</v>
      </c>
      <c r="R954" t="s">
        <v>213</v>
      </c>
      <c r="S954" t="s">
        <v>177</v>
      </c>
      <c r="T954">
        <v>2</v>
      </c>
      <c r="U954" t="s">
        <v>28</v>
      </c>
      <c r="V954" t="s">
        <v>28</v>
      </c>
      <c r="W954">
        <v>20.2</v>
      </c>
      <c r="X954">
        <v>0</v>
      </c>
      <c r="Y954">
        <v>0</v>
      </c>
    </row>
    <row r="955" spans="1:25" x14ac:dyDescent="0.2">
      <c r="A955" t="s">
        <v>174</v>
      </c>
      <c r="B955">
        <v>2014</v>
      </c>
      <c r="C955" t="s">
        <v>826</v>
      </c>
      <c r="D955" t="s">
        <v>812</v>
      </c>
      <c r="E955" t="s">
        <v>175</v>
      </c>
      <c r="F955" t="s">
        <v>191</v>
      </c>
      <c r="G955">
        <v>-35.579301000000001</v>
      </c>
      <c r="H955">
        <v>138.607066</v>
      </c>
      <c r="I955" t="s">
        <v>772</v>
      </c>
      <c r="J955" t="s">
        <v>14</v>
      </c>
      <c r="K955" t="s">
        <v>3</v>
      </c>
      <c r="L955" t="s">
        <v>3</v>
      </c>
      <c r="M955" t="s">
        <v>12</v>
      </c>
      <c r="N955" t="s">
        <v>85</v>
      </c>
      <c r="O955" s="6" t="s">
        <v>141</v>
      </c>
      <c r="P955" s="6" t="s">
        <v>74</v>
      </c>
      <c r="Q955">
        <v>6</v>
      </c>
      <c r="R955" t="s">
        <v>213</v>
      </c>
      <c r="S955" t="s">
        <v>178</v>
      </c>
      <c r="T955">
        <v>2</v>
      </c>
      <c r="U955" t="s">
        <v>28</v>
      </c>
      <c r="V955" t="s">
        <v>28</v>
      </c>
      <c r="W955">
        <v>20.7</v>
      </c>
      <c r="X955">
        <v>13.156823906823908</v>
      </c>
      <c r="Y955">
        <v>1.8006347232372493</v>
      </c>
    </row>
    <row r="956" spans="1:25" x14ac:dyDescent="0.2">
      <c r="A956" t="s">
        <v>174</v>
      </c>
      <c r="B956">
        <v>2014</v>
      </c>
      <c r="C956" t="s">
        <v>826</v>
      </c>
      <c r="D956" t="s">
        <v>812</v>
      </c>
      <c r="E956" t="s">
        <v>175</v>
      </c>
      <c r="F956" t="s">
        <v>191</v>
      </c>
      <c r="G956">
        <v>-35.579301000000001</v>
      </c>
      <c r="H956">
        <v>138.607066</v>
      </c>
      <c r="I956" t="s">
        <v>772</v>
      </c>
      <c r="J956" t="s">
        <v>14</v>
      </c>
      <c r="K956" t="s">
        <v>3</v>
      </c>
      <c r="L956" t="s">
        <v>3</v>
      </c>
      <c r="M956" t="s">
        <v>12</v>
      </c>
      <c r="N956" t="s">
        <v>85</v>
      </c>
      <c r="O956" s="6" t="s">
        <v>141</v>
      </c>
      <c r="P956" s="6" t="s">
        <v>74</v>
      </c>
      <c r="Q956">
        <v>6</v>
      </c>
      <c r="R956" t="s">
        <v>213</v>
      </c>
      <c r="S956" t="s">
        <v>179</v>
      </c>
      <c r="T956">
        <v>2</v>
      </c>
      <c r="U956" t="s">
        <v>28</v>
      </c>
      <c r="V956" t="s">
        <v>28</v>
      </c>
      <c r="W956">
        <v>22.15</v>
      </c>
      <c r="X956">
        <v>8.0638598138598141</v>
      </c>
      <c r="Y956">
        <v>9.0031736161862614</v>
      </c>
    </row>
    <row r="957" spans="1:25" x14ac:dyDescent="0.2">
      <c r="A957" t="s">
        <v>174</v>
      </c>
      <c r="B957">
        <v>2014</v>
      </c>
      <c r="C957" t="s">
        <v>826</v>
      </c>
      <c r="D957" t="s">
        <v>812</v>
      </c>
      <c r="E957" t="s">
        <v>175</v>
      </c>
      <c r="F957" t="s">
        <v>191</v>
      </c>
      <c r="G957">
        <v>-35.579301000000001</v>
      </c>
      <c r="H957">
        <v>138.607066</v>
      </c>
      <c r="I957" t="s">
        <v>772</v>
      </c>
      <c r="J957" t="s">
        <v>14</v>
      </c>
      <c r="K957" t="s">
        <v>3</v>
      </c>
      <c r="L957" t="s">
        <v>3</v>
      </c>
      <c r="M957" t="s">
        <v>12</v>
      </c>
      <c r="N957" t="s">
        <v>85</v>
      </c>
      <c r="O957" s="6" t="s">
        <v>141</v>
      </c>
      <c r="P957" s="6" t="s">
        <v>74</v>
      </c>
      <c r="Q957">
        <v>6</v>
      </c>
      <c r="R957" t="s">
        <v>213</v>
      </c>
      <c r="S957" t="s">
        <v>180</v>
      </c>
      <c r="T957">
        <v>2</v>
      </c>
      <c r="U957" t="s">
        <v>28</v>
      </c>
      <c r="V957" t="s">
        <v>28</v>
      </c>
      <c r="W957">
        <v>22.22</v>
      </c>
      <c r="X957">
        <v>9.3371008371008379</v>
      </c>
      <c r="Y957">
        <v>1.2004231488248236</v>
      </c>
    </row>
    <row r="958" spans="1:25" x14ac:dyDescent="0.2">
      <c r="A958" t="s">
        <v>174</v>
      </c>
      <c r="B958">
        <v>2014</v>
      </c>
      <c r="C958" t="s">
        <v>826</v>
      </c>
      <c r="D958" t="s">
        <v>812</v>
      </c>
      <c r="E958" t="s">
        <v>175</v>
      </c>
      <c r="F958" t="s">
        <v>191</v>
      </c>
      <c r="G958">
        <v>-35.579301000000001</v>
      </c>
      <c r="H958">
        <v>138.607066</v>
      </c>
      <c r="I958" t="s">
        <v>772</v>
      </c>
      <c r="J958" t="s">
        <v>14</v>
      </c>
      <c r="K958" t="s">
        <v>3</v>
      </c>
      <c r="L958" t="s">
        <v>3</v>
      </c>
      <c r="M958" t="s">
        <v>12</v>
      </c>
      <c r="N958" t="s">
        <v>85</v>
      </c>
      <c r="O958" s="6" t="s">
        <v>141</v>
      </c>
      <c r="P958" s="6" t="s">
        <v>74</v>
      </c>
      <c r="Q958">
        <v>6</v>
      </c>
      <c r="R958" t="s">
        <v>213</v>
      </c>
      <c r="S958" t="s">
        <v>181</v>
      </c>
      <c r="T958">
        <v>2</v>
      </c>
      <c r="U958" t="s">
        <v>28</v>
      </c>
      <c r="V958" t="s">
        <v>28</v>
      </c>
      <c r="W958">
        <v>22.5</v>
      </c>
      <c r="X958">
        <v>11.459169209169211</v>
      </c>
      <c r="Y958">
        <v>4.2014810208869156</v>
      </c>
    </row>
    <row r="959" spans="1:25" x14ac:dyDescent="0.2">
      <c r="A959" t="s">
        <v>174</v>
      </c>
      <c r="B959">
        <v>2014</v>
      </c>
      <c r="C959" t="s">
        <v>826</v>
      </c>
      <c r="D959" t="s">
        <v>812</v>
      </c>
      <c r="E959" t="s">
        <v>175</v>
      </c>
      <c r="F959" t="s">
        <v>191</v>
      </c>
      <c r="G959">
        <v>-35.579301000000001</v>
      </c>
      <c r="H959">
        <v>138.607066</v>
      </c>
      <c r="I959" t="s">
        <v>772</v>
      </c>
      <c r="J959" t="s">
        <v>14</v>
      </c>
      <c r="K959" t="s">
        <v>3</v>
      </c>
      <c r="L959" t="s">
        <v>3</v>
      </c>
      <c r="M959" t="s">
        <v>12</v>
      </c>
      <c r="N959" t="s">
        <v>85</v>
      </c>
      <c r="O959" s="6" t="s">
        <v>141</v>
      </c>
      <c r="P959" s="6" t="s">
        <v>74</v>
      </c>
      <c r="Q959">
        <v>6</v>
      </c>
      <c r="R959" t="s">
        <v>213</v>
      </c>
      <c r="S959" t="s">
        <v>182</v>
      </c>
      <c r="T959">
        <v>2</v>
      </c>
      <c r="U959" t="s">
        <v>28</v>
      </c>
      <c r="V959" t="s">
        <v>28</v>
      </c>
      <c r="W959">
        <v>22.839999999999996</v>
      </c>
      <c r="X959">
        <v>9.7615145115145125</v>
      </c>
      <c r="Y959">
        <v>9.0031736161862614</v>
      </c>
    </row>
    <row r="960" spans="1:25" x14ac:dyDescent="0.2">
      <c r="A960" t="s">
        <v>174</v>
      </c>
      <c r="B960">
        <v>2014</v>
      </c>
      <c r="C960" t="s">
        <v>826</v>
      </c>
      <c r="D960" t="s">
        <v>812</v>
      </c>
      <c r="E960" t="s">
        <v>175</v>
      </c>
      <c r="F960" t="s">
        <v>191</v>
      </c>
      <c r="G960">
        <v>-35.579301000000001</v>
      </c>
      <c r="H960">
        <v>138.607066</v>
      </c>
      <c r="I960" t="s">
        <v>772</v>
      </c>
      <c r="J960" t="s">
        <v>14</v>
      </c>
      <c r="K960" t="s">
        <v>3</v>
      </c>
      <c r="L960" t="s">
        <v>3</v>
      </c>
      <c r="M960" t="s">
        <v>12</v>
      </c>
      <c r="N960" t="s">
        <v>85</v>
      </c>
      <c r="O960" s="6" t="s">
        <v>141</v>
      </c>
      <c r="P960" s="6" t="s">
        <v>74</v>
      </c>
      <c r="Q960">
        <v>6</v>
      </c>
      <c r="R960" t="s">
        <v>213</v>
      </c>
      <c r="S960" t="s">
        <v>183</v>
      </c>
      <c r="T960">
        <v>2</v>
      </c>
      <c r="U960" t="s">
        <v>28</v>
      </c>
      <c r="V960" t="s">
        <v>28</v>
      </c>
      <c r="W960">
        <v>24.5</v>
      </c>
      <c r="X960">
        <v>7.2150324650324649</v>
      </c>
      <c r="Y960">
        <v>3.0010578720620837</v>
      </c>
    </row>
    <row r="961" spans="1:25" x14ac:dyDescent="0.2">
      <c r="A961" t="s">
        <v>174</v>
      </c>
      <c r="B961">
        <v>2014</v>
      </c>
      <c r="C961" t="s">
        <v>826</v>
      </c>
      <c r="D961" t="s">
        <v>812</v>
      </c>
      <c r="E961" t="s">
        <v>175</v>
      </c>
      <c r="F961" t="s">
        <v>191</v>
      </c>
      <c r="G961">
        <v>-35.579301000000001</v>
      </c>
      <c r="H961">
        <v>138.607066</v>
      </c>
      <c r="I961" t="s">
        <v>772</v>
      </c>
      <c r="J961" t="s">
        <v>14</v>
      </c>
      <c r="K961" t="s">
        <v>3</v>
      </c>
      <c r="L961" t="s">
        <v>3</v>
      </c>
      <c r="M961" t="s">
        <v>12</v>
      </c>
      <c r="N961" t="s">
        <v>85</v>
      </c>
      <c r="O961" s="6" t="s">
        <v>141</v>
      </c>
      <c r="P961" s="6" t="s">
        <v>74</v>
      </c>
      <c r="Q961">
        <v>6</v>
      </c>
      <c r="R961" t="s">
        <v>213</v>
      </c>
      <c r="S961" t="s">
        <v>184</v>
      </c>
      <c r="T961">
        <v>2</v>
      </c>
      <c r="U961" t="s">
        <v>28</v>
      </c>
      <c r="V961" t="s">
        <v>28</v>
      </c>
      <c r="W961">
        <v>24.88</v>
      </c>
      <c r="X961">
        <v>2.970895720895721</v>
      </c>
      <c r="Y961">
        <v>4.2014810208869218</v>
      </c>
    </row>
    <row r="962" spans="1:25" x14ac:dyDescent="0.2">
      <c r="A962" t="s">
        <v>174</v>
      </c>
      <c r="B962">
        <v>2014</v>
      </c>
      <c r="C962" t="s">
        <v>826</v>
      </c>
      <c r="D962" t="s">
        <v>812</v>
      </c>
      <c r="E962" t="s">
        <v>175</v>
      </c>
      <c r="F962" t="s">
        <v>191</v>
      </c>
      <c r="G962">
        <v>-35.579301000000001</v>
      </c>
      <c r="H962">
        <v>138.607066</v>
      </c>
      <c r="I962" t="s">
        <v>772</v>
      </c>
      <c r="J962" t="s">
        <v>14</v>
      </c>
      <c r="K962" t="s">
        <v>3</v>
      </c>
      <c r="L962" t="s">
        <v>3</v>
      </c>
      <c r="M962" t="s">
        <v>12</v>
      </c>
      <c r="N962" t="s">
        <v>85</v>
      </c>
      <c r="O962" s="6" t="s">
        <v>141</v>
      </c>
      <c r="P962" s="6" t="s">
        <v>74</v>
      </c>
      <c r="Q962">
        <v>6</v>
      </c>
      <c r="R962" t="s">
        <v>213</v>
      </c>
      <c r="S962" t="s">
        <v>185</v>
      </c>
      <c r="T962">
        <v>2</v>
      </c>
      <c r="U962" t="s">
        <v>28</v>
      </c>
      <c r="V962" t="s">
        <v>28</v>
      </c>
      <c r="W962">
        <v>27.380000000000003</v>
      </c>
      <c r="X962">
        <v>5.9417914417914419</v>
      </c>
      <c r="Y962">
        <v>2.4008462976496681</v>
      </c>
    </row>
    <row r="963" spans="1:25" x14ac:dyDescent="0.2">
      <c r="A963" t="s">
        <v>174</v>
      </c>
      <c r="B963">
        <v>2014</v>
      </c>
      <c r="C963" t="s">
        <v>826</v>
      </c>
      <c r="D963" t="s">
        <v>812</v>
      </c>
      <c r="E963" t="s">
        <v>175</v>
      </c>
      <c r="F963" t="s">
        <v>176</v>
      </c>
      <c r="G963">
        <v>-34.923164</v>
      </c>
      <c r="H963">
        <v>138.395128</v>
      </c>
      <c r="I963" t="s">
        <v>772</v>
      </c>
      <c r="J963" t="s">
        <v>7</v>
      </c>
      <c r="K963" t="s">
        <v>3</v>
      </c>
      <c r="L963" t="s">
        <v>3</v>
      </c>
      <c r="M963" t="s">
        <v>26</v>
      </c>
      <c r="N963" t="s">
        <v>85</v>
      </c>
      <c r="O963" s="6" t="s">
        <v>80</v>
      </c>
      <c r="P963" s="7"/>
      <c r="Q963">
        <v>6</v>
      </c>
      <c r="R963" t="s">
        <v>213</v>
      </c>
      <c r="S963" t="s">
        <v>7</v>
      </c>
      <c r="T963">
        <v>5</v>
      </c>
      <c r="U963" t="s">
        <v>28</v>
      </c>
      <c r="V963" t="s">
        <v>28</v>
      </c>
      <c r="W963">
        <v>11.879999999999999</v>
      </c>
      <c r="X963">
        <v>4.8092E-5</v>
      </c>
      <c r="Y963">
        <v>6.7847969755917994E-6</v>
      </c>
    </row>
    <row r="964" spans="1:25" x14ac:dyDescent="0.2">
      <c r="A964" t="s">
        <v>174</v>
      </c>
      <c r="B964">
        <v>2014</v>
      </c>
      <c r="C964" t="s">
        <v>826</v>
      </c>
      <c r="D964" t="s">
        <v>812</v>
      </c>
      <c r="E964" t="s">
        <v>175</v>
      </c>
      <c r="F964" t="s">
        <v>176</v>
      </c>
      <c r="G964">
        <v>-34.923164</v>
      </c>
      <c r="H964">
        <v>138.395128</v>
      </c>
      <c r="I964" t="s">
        <v>772</v>
      </c>
      <c r="J964" t="s">
        <v>14</v>
      </c>
      <c r="K964" t="s">
        <v>3</v>
      </c>
      <c r="L964" t="s">
        <v>3</v>
      </c>
      <c r="M964" t="s">
        <v>26</v>
      </c>
      <c r="N964" t="s">
        <v>85</v>
      </c>
      <c r="O964" s="6" t="s">
        <v>80</v>
      </c>
      <c r="P964" s="8"/>
      <c r="Q964">
        <v>6</v>
      </c>
      <c r="R964" t="s">
        <v>213</v>
      </c>
      <c r="S964" t="s">
        <v>9</v>
      </c>
      <c r="T964">
        <v>6</v>
      </c>
      <c r="U964" t="s">
        <v>28</v>
      </c>
      <c r="V964" t="s">
        <v>28</v>
      </c>
      <c r="W964">
        <v>13.879999999999999</v>
      </c>
      <c r="X964">
        <v>3.9629999999999998E-5</v>
      </c>
      <c r="Y964">
        <v>7.1236984776168089E-6</v>
      </c>
    </row>
    <row r="965" spans="1:25" x14ac:dyDescent="0.2">
      <c r="A965" t="s">
        <v>174</v>
      </c>
      <c r="B965">
        <v>2014</v>
      </c>
      <c r="C965" t="s">
        <v>826</v>
      </c>
      <c r="D965" t="s">
        <v>812</v>
      </c>
      <c r="E965" t="s">
        <v>175</v>
      </c>
      <c r="F965" t="s">
        <v>176</v>
      </c>
      <c r="G965">
        <v>-34.923164</v>
      </c>
      <c r="H965">
        <v>138.395128</v>
      </c>
      <c r="I965" t="s">
        <v>772</v>
      </c>
      <c r="J965" t="s">
        <v>14</v>
      </c>
      <c r="K965" t="s">
        <v>3</v>
      </c>
      <c r="L965" t="s">
        <v>3</v>
      </c>
      <c r="M965" t="s">
        <v>26</v>
      </c>
      <c r="N965" t="s">
        <v>85</v>
      </c>
      <c r="O965" s="6" t="s">
        <v>80</v>
      </c>
      <c r="P965" s="8"/>
      <c r="Q965">
        <v>6</v>
      </c>
      <c r="R965" t="s">
        <v>213</v>
      </c>
      <c r="S965" t="s">
        <v>27</v>
      </c>
      <c r="T965">
        <v>6</v>
      </c>
      <c r="U965" t="s">
        <v>28</v>
      </c>
      <c r="V965" t="s">
        <v>28</v>
      </c>
      <c r="W965">
        <v>15.9</v>
      </c>
      <c r="X965">
        <v>4.7176666666666658E-5</v>
      </c>
      <c r="Y965">
        <v>1.3418023202643052E-5</v>
      </c>
    </row>
    <row r="966" spans="1:25" x14ac:dyDescent="0.2">
      <c r="A966" t="s">
        <v>174</v>
      </c>
      <c r="B966">
        <v>2014</v>
      </c>
      <c r="C966" t="s">
        <v>826</v>
      </c>
      <c r="D966" t="s">
        <v>812</v>
      </c>
      <c r="E966" t="s">
        <v>175</v>
      </c>
      <c r="F966" t="s">
        <v>176</v>
      </c>
      <c r="G966">
        <v>-34.923164</v>
      </c>
      <c r="H966">
        <v>138.395128</v>
      </c>
      <c r="I966" t="s">
        <v>772</v>
      </c>
      <c r="J966" t="s">
        <v>14</v>
      </c>
      <c r="K966" t="s">
        <v>3</v>
      </c>
      <c r="L966" t="s">
        <v>3</v>
      </c>
      <c r="M966" t="s">
        <v>26</v>
      </c>
      <c r="N966" t="s">
        <v>85</v>
      </c>
      <c r="O966" s="6" t="s">
        <v>80</v>
      </c>
      <c r="P966" s="8"/>
      <c r="Q966">
        <v>6</v>
      </c>
      <c r="R966" t="s">
        <v>213</v>
      </c>
      <c r="S966" t="s">
        <v>13</v>
      </c>
      <c r="T966">
        <v>6</v>
      </c>
      <c r="U966" t="s">
        <v>28</v>
      </c>
      <c r="V966" t="s">
        <v>28</v>
      </c>
      <c r="W966">
        <v>17.86</v>
      </c>
      <c r="X966">
        <v>3.9969999999999998E-5</v>
      </c>
      <c r="Y966">
        <v>8.776236095274565E-6</v>
      </c>
    </row>
    <row r="967" spans="1:25" x14ac:dyDescent="0.2">
      <c r="A967" t="s">
        <v>174</v>
      </c>
      <c r="B967">
        <v>2014</v>
      </c>
      <c r="C967" t="s">
        <v>826</v>
      </c>
      <c r="D967" t="s">
        <v>812</v>
      </c>
      <c r="E967" t="s">
        <v>175</v>
      </c>
      <c r="F967" t="s">
        <v>176</v>
      </c>
      <c r="G967">
        <v>-34.923164</v>
      </c>
      <c r="H967">
        <v>138.395128</v>
      </c>
      <c r="I967" t="s">
        <v>772</v>
      </c>
      <c r="J967" t="s">
        <v>14</v>
      </c>
      <c r="K967" t="s">
        <v>3</v>
      </c>
      <c r="L967" t="s">
        <v>3</v>
      </c>
      <c r="M967" t="s">
        <v>26</v>
      </c>
      <c r="N967" t="s">
        <v>85</v>
      </c>
      <c r="O967" s="6" t="s">
        <v>80</v>
      </c>
      <c r="P967" s="8"/>
      <c r="Q967">
        <v>6</v>
      </c>
      <c r="R967" t="s">
        <v>213</v>
      </c>
      <c r="S967" t="s">
        <v>15</v>
      </c>
      <c r="T967">
        <v>5</v>
      </c>
      <c r="U967" t="s">
        <v>28</v>
      </c>
      <c r="V967" t="s">
        <v>28</v>
      </c>
      <c r="W967">
        <v>17.940000000000001</v>
      </c>
      <c r="X967">
        <v>3.8523999999999999E-5</v>
      </c>
      <c r="Y967">
        <v>5.9093722170802064E-6</v>
      </c>
    </row>
    <row r="968" spans="1:25" x14ac:dyDescent="0.2">
      <c r="A968" t="s">
        <v>174</v>
      </c>
      <c r="B968">
        <v>2014</v>
      </c>
      <c r="C968" t="s">
        <v>826</v>
      </c>
      <c r="D968" t="s">
        <v>812</v>
      </c>
      <c r="E968" t="s">
        <v>175</v>
      </c>
      <c r="F968" t="s">
        <v>176</v>
      </c>
      <c r="G968">
        <v>-34.923164</v>
      </c>
      <c r="H968">
        <v>138.395128</v>
      </c>
      <c r="I968" t="s">
        <v>772</v>
      </c>
      <c r="J968" t="s">
        <v>14</v>
      </c>
      <c r="K968" t="s">
        <v>3</v>
      </c>
      <c r="L968" t="s">
        <v>3</v>
      </c>
      <c r="M968" t="s">
        <v>26</v>
      </c>
      <c r="N968" t="s">
        <v>85</v>
      </c>
      <c r="O968" s="6" t="s">
        <v>80</v>
      </c>
      <c r="P968" s="8"/>
      <c r="Q968">
        <v>6</v>
      </c>
      <c r="R968" t="s">
        <v>213</v>
      </c>
      <c r="S968" t="s">
        <v>37</v>
      </c>
      <c r="T968">
        <v>6</v>
      </c>
      <c r="U968" t="s">
        <v>28</v>
      </c>
      <c r="V968" t="s">
        <v>28</v>
      </c>
      <c r="W968">
        <v>18.04</v>
      </c>
      <c r="X968">
        <v>3.4195E-5</v>
      </c>
      <c r="Y968">
        <v>6.1579079239624878E-6</v>
      </c>
    </row>
    <row r="969" spans="1:25" x14ac:dyDescent="0.2">
      <c r="A969" t="s">
        <v>174</v>
      </c>
      <c r="B969">
        <v>2014</v>
      </c>
      <c r="C969" t="s">
        <v>826</v>
      </c>
      <c r="D969" t="s">
        <v>812</v>
      </c>
      <c r="E969" t="s">
        <v>175</v>
      </c>
      <c r="F969" t="s">
        <v>176</v>
      </c>
      <c r="G969">
        <v>-34.923164</v>
      </c>
      <c r="H969">
        <v>138.395128</v>
      </c>
      <c r="I969" t="s">
        <v>772</v>
      </c>
      <c r="J969" t="s">
        <v>14</v>
      </c>
      <c r="K969" t="s">
        <v>3</v>
      </c>
      <c r="L969" t="s">
        <v>3</v>
      </c>
      <c r="M969" t="s">
        <v>26</v>
      </c>
      <c r="N969" t="s">
        <v>85</v>
      </c>
      <c r="O969" s="6" t="s">
        <v>80</v>
      </c>
      <c r="P969" s="8"/>
      <c r="Q969">
        <v>6</v>
      </c>
      <c r="R969" t="s">
        <v>213</v>
      </c>
      <c r="S969" t="s">
        <v>116</v>
      </c>
      <c r="T969">
        <v>2</v>
      </c>
      <c r="U969" t="s">
        <v>28</v>
      </c>
      <c r="V969" t="s">
        <v>28</v>
      </c>
      <c r="W969">
        <v>18.240000000000002</v>
      </c>
      <c r="X969">
        <v>3.7889999999999998E-5</v>
      </c>
      <c r="Y969">
        <v>1.6659435764755051E-5</v>
      </c>
    </row>
    <row r="970" spans="1:25" x14ac:dyDescent="0.2">
      <c r="A970" t="s">
        <v>174</v>
      </c>
      <c r="B970">
        <v>2014</v>
      </c>
      <c r="C970" t="s">
        <v>826</v>
      </c>
      <c r="D970" t="s">
        <v>812</v>
      </c>
      <c r="E970" t="s">
        <v>175</v>
      </c>
      <c r="F970" t="s">
        <v>176</v>
      </c>
      <c r="G970">
        <v>-34.923164</v>
      </c>
      <c r="H970">
        <v>138.395128</v>
      </c>
      <c r="I970" t="s">
        <v>772</v>
      </c>
      <c r="J970" t="s">
        <v>14</v>
      </c>
      <c r="K970" t="s">
        <v>3</v>
      </c>
      <c r="L970" t="s">
        <v>3</v>
      </c>
      <c r="M970" t="s">
        <v>26</v>
      </c>
      <c r="N970" t="s">
        <v>85</v>
      </c>
      <c r="O970" s="6" t="s">
        <v>80</v>
      </c>
      <c r="P970" s="8"/>
      <c r="Q970">
        <v>6</v>
      </c>
      <c r="R970" t="s">
        <v>213</v>
      </c>
      <c r="S970" t="s">
        <v>117</v>
      </c>
      <c r="T970">
        <v>4</v>
      </c>
      <c r="U970" t="s">
        <v>28</v>
      </c>
      <c r="V970" t="s">
        <v>28</v>
      </c>
      <c r="W970">
        <v>18.559999999999999</v>
      </c>
      <c r="X970">
        <v>3.9564999999999998E-5</v>
      </c>
      <c r="Y970">
        <v>4.4852759112456044E-6</v>
      </c>
    </row>
    <row r="971" spans="1:25" x14ac:dyDescent="0.2">
      <c r="A971" t="s">
        <v>174</v>
      </c>
      <c r="B971">
        <v>2014</v>
      </c>
      <c r="C971" t="s">
        <v>826</v>
      </c>
      <c r="D971" t="s">
        <v>812</v>
      </c>
      <c r="E971" t="s">
        <v>175</v>
      </c>
      <c r="F971" t="s">
        <v>176</v>
      </c>
      <c r="G971">
        <v>-34.923164</v>
      </c>
      <c r="H971">
        <v>138.395128</v>
      </c>
      <c r="I971" t="s">
        <v>772</v>
      </c>
      <c r="J971" t="s">
        <v>14</v>
      </c>
      <c r="K971" t="s">
        <v>3</v>
      </c>
      <c r="L971" t="s">
        <v>3</v>
      </c>
      <c r="M971" t="s">
        <v>26</v>
      </c>
      <c r="N971" t="s">
        <v>85</v>
      </c>
      <c r="O971" s="6" t="s">
        <v>80</v>
      </c>
      <c r="P971" s="8"/>
      <c r="Q971">
        <v>6</v>
      </c>
      <c r="R971" t="s">
        <v>213</v>
      </c>
      <c r="S971" t="s">
        <v>118</v>
      </c>
      <c r="T971">
        <v>1</v>
      </c>
      <c r="U971" t="s">
        <v>28</v>
      </c>
      <c r="V971" t="s">
        <v>28</v>
      </c>
      <c r="W971">
        <v>19.419999999999998</v>
      </c>
      <c r="X971">
        <v>3.006E-5</v>
      </c>
      <c r="Y971" t="s">
        <v>28</v>
      </c>
    </row>
    <row r="972" spans="1:25" x14ac:dyDescent="0.2">
      <c r="A972" t="s">
        <v>174</v>
      </c>
      <c r="B972">
        <v>2014</v>
      </c>
      <c r="C972" t="s">
        <v>826</v>
      </c>
      <c r="D972" t="s">
        <v>812</v>
      </c>
      <c r="E972" t="s">
        <v>175</v>
      </c>
      <c r="F972" t="s">
        <v>176</v>
      </c>
      <c r="G972">
        <v>-34.923164</v>
      </c>
      <c r="H972">
        <v>138.395128</v>
      </c>
      <c r="I972" t="s">
        <v>772</v>
      </c>
      <c r="J972" t="s">
        <v>14</v>
      </c>
      <c r="K972" t="s">
        <v>3</v>
      </c>
      <c r="L972" t="s">
        <v>3</v>
      </c>
      <c r="M972" t="s">
        <v>26</v>
      </c>
      <c r="N972" t="s">
        <v>85</v>
      </c>
      <c r="O972" s="6" t="s">
        <v>80</v>
      </c>
      <c r="P972" s="8"/>
      <c r="Q972">
        <v>6</v>
      </c>
      <c r="R972" t="s">
        <v>213</v>
      </c>
      <c r="S972" t="s">
        <v>177</v>
      </c>
      <c r="T972">
        <v>6</v>
      </c>
      <c r="U972" t="s">
        <v>28</v>
      </c>
      <c r="V972" t="s">
        <v>28</v>
      </c>
      <c r="W972">
        <v>20.2</v>
      </c>
      <c r="X972">
        <v>5.2963333333333342E-5</v>
      </c>
      <c r="Y972">
        <v>1.4658163140948675E-5</v>
      </c>
    </row>
    <row r="973" spans="1:25" x14ac:dyDescent="0.2">
      <c r="A973" t="s">
        <v>174</v>
      </c>
      <c r="B973">
        <v>2014</v>
      </c>
      <c r="C973" t="s">
        <v>826</v>
      </c>
      <c r="D973" t="s">
        <v>812</v>
      </c>
      <c r="E973" t="s">
        <v>175</v>
      </c>
      <c r="F973" t="s">
        <v>176</v>
      </c>
      <c r="G973">
        <v>-34.923164</v>
      </c>
      <c r="H973">
        <v>138.395128</v>
      </c>
      <c r="I973" t="s">
        <v>772</v>
      </c>
      <c r="J973" t="s">
        <v>14</v>
      </c>
      <c r="K973" t="s">
        <v>3</v>
      </c>
      <c r="L973" t="s">
        <v>3</v>
      </c>
      <c r="M973" t="s">
        <v>26</v>
      </c>
      <c r="N973" t="s">
        <v>85</v>
      </c>
      <c r="O973" s="6" t="s">
        <v>80</v>
      </c>
      <c r="P973" s="8"/>
      <c r="Q973">
        <v>6</v>
      </c>
      <c r="R973" t="s">
        <v>213</v>
      </c>
      <c r="S973" t="s">
        <v>178</v>
      </c>
      <c r="T973">
        <v>6</v>
      </c>
      <c r="U973" t="s">
        <v>28</v>
      </c>
      <c r="V973" t="s">
        <v>28</v>
      </c>
      <c r="W973">
        <v>20.7</v>
      </c>
      <c r="X973">
        <v>4.7306666666666665E-5</v>
      </c>
      <c r="Y973">
        <v>1.1334832449871795E-5</v>
      </c>
    </row>
    <row r="974" spans="1:25" x14ac:dyDescent="0.2">
      <c r="A974" t="s">
        <v>174</v>
      </c>
      <c r="B974">
        <v>2014</v>
      </c>
      <c r="C974" t="s">
        <v>826</v>
      </c>
      <c r="D974" t="s">
        <v>812</v>
      </c>
      <c r="E974" t="s">
        <v>175</v>
      </c>
      <c r="F974" t="s">
        <v>176</v>
      </c>
      <c r="G974">
        <v>-34.923164</v>
      </c>
      <c r="H974">
        <v>138.395128</v>
      </c>
      <c r="I974" t="s">
        <v>772</v>
      </c>
      <c r="J974" t="s">
        <v>14</v>
      </c>
      <c r="K974" t="s">
        <v>3</v>
      </c>
      <c r="L974" t="s">
        <v>3</v>
      </c>
      <c r="M974" t="s">
        <v>26</v>
      </c>
      <c r="N974" t="s">
        <v>85</v>
      </c>
      <c r="O974" s="6" t="s">
        <v>80</v>
      </c>
      <c r="P974" s="8"/>
      <c r="Q974">
        <v>6</v>
      </c>
      <c r="R974" t="s">
        <v>213</v>
      </c>
      <c r="S974" t="s">
        <v>179</v>
      </c>
      <c r="T974">
        <v>6</v>
      </c>
      <c r="U974" t="s">
        <v>28</v>
      </c>
      <c r="V974" t="s">
        <v>28</v>
      </c>
      <c r="W974">
        <v>22.15</v>
      </c>
      <c r="X974">
        <v>4.5991666666666669E-5</v>
      </c>
      <c r="Y974">
        <v>1.0576947417221398E-5</v>
      </c>
    </row>
    <row r="975" spans="1:25" x14ac:dyDescent="0.2">
      <c r="A975" t="s">
        <v>174</v>
      </c>
      <c r="B975">
        <v>2014</v>
      </c>
      <c r="C975" t="s">
        <v>826</v>
      </c>
      <c r="D975" t="s">
        <v>812</v>
      </c>
      <c r="E975" t="s">
        <v>175</v>
      </c>
      <c r="F975" t="s">
        <v>176</v>
      </c>
      <c r="G975">
        <v>-34.923164</v>
      </c>
      <c r="H975">
        <v>138.395128</v>
      </c>
      <c r="I975" t="s">
        <v>772</v>
      </c>
      <c r="J975" t="s">
        <v>14</v>
      </c>
      <c r="K975" t="s">
        <v>3</v>
      </c>
      <c r="L975" t="s">
        <v>3</v>
      </c>
      <c r="M975" t="s">
        <v>26</v>
      </c>
      <c r="N975" t="s">
        <v>85</v>
      </c>
      <c r="O975" s="6" t="s">
        <v>80</v>
      </c>
      <c r="P975" s="8"/>
      <c r="Q975">
        <v>6</v>
      </c>
      <c r="R975" t="s">
        <v>213</v>
      </c>
      <c r="S975" t="s">
        <v>180</v>
      </c>
      <c r="T975">
        <v>1</v>
      </c>
      <c r="U975" t="s">
        <v>28</v>
      </c>
      <c r="V975" t="s">
        <v>28</v>
      </c>
      <c r="W975">
        <v>22.22</v>
      </c>
      <c r="X975">
        <v>3.7960000000000002E-5</v>
      </c>
      <c r="Y975" t="s">
        <v>28</v>
      </c>
    </row>
    <row r="976" spans="1:25" x14ac:dyDescent="0.2">
      <c r="A976" t="s">
        <v>174</v>
      </c>
      <c r="B976">
        <v>2014</v>
      </c>
      <c r="C976" t="s">
        <v>826</v>
      </c>
      <c r="D976" t="s">
        <v>812</v>
      </c>
      <c r="E976" t="s">
        <v>175</v>
      </c>
      <c r="F976" t="s">
        <v>176</v>
      </c>
      <c r="G976">
        <v>-34.923164</v>
      </c>
      <c r="H976">
        <v>138.395128</v>
      </c>
      <c r="I976" t="s">
        <v>772</v>
      </c>
      <c r="J976" t="s">
        <v>14</v>
      </c>
      <c r="K976" t="s">
        <v>3</v>
      </c>
      <c r="L976" t="s">
        <v>3</v>
      </c>
      <c r="M976" t="s">
        <v>26</v>
      </c>
      <c r="N976" t="s">
        <v>85</v>
      </c>
      <c r="O976" s="6" t="s">
        <v>80</v>
      </c>
      <c r="P976" s="8"/>
      <c r="Q976">
        <v>6</v>
      </c>
      <c r="R976" t="s">
        <v>213</v>
      </c>
      <c r="S976" t="s">
        <v>181</v>
      </c>
      <c r="T976">
        <v>2</v>
      </c>
      <c r="U976" t="s">
        <v>28</v>
      </c>
      <c r="V976" t="s">
        <v>28</v>
      </c>
      <c r="W976">
        <v>22.5</v>
      </c>
      <c r="X976">
        <v>6.4805E-5</v>
      </c>
      <c r="Y976">
        <v>2.1008142469052353E-5</v>
      </c>
    </row>
    <row r="977" spans="1:25" x14ac:dyDescent="0.2">
      <c r="A977" t="s">
        <v>174</v>
      </c>
      <c r="B977">
        <v>2014</v>
      </c>
      <c r="C977" t="s">
        <v>826</v>
      </c>
      <c r="D977" t="s">
        <v>812</v>
      </c>
      <c r="E977" t="s">
        <v>175</v>
      </c>
      <c r="F977" t="s">
        <v>176</v>
      </c>
      <c r="G977">
        <v>-34.923164</v>
      </c>
      <c r="H977">
        <v>138.395128</v>
      </c>
      <c r="I977" t="s">
        <v>772</v>
      </c>
      <c r="J977" t="s">
        <v>14</v>
      </c>
      <c r="K977" t="s">
        <v>3</v>
      </c>
      <c r="L977" t="s">
        <v>3</v>
      </c>
      <c r="M977" t="s">
        <v>26</v>
      </c>
      <c r="N977" t="s">
        <v>85</v>
      </c>
      <c r="O977" s="6" t="s">
        <v>80</v>
      </c>
      <c r="P977" s="8"/>
      <c r="Q977">
        <v>6</v>
      </c>
      <c r="R977" t="s">
        <v>213</v>
      </c>
      <c r="S977" t="s">
        <v>182</v>
      </c>
      <c r="T977">
        <v>6</v>
      </c>
      <c r="U977" t="s">
        <v>28</v>
      </c>
      <c r="V977" t="s">
        <v>28</v>
      </c>
      <c r="W977">
        <v>22.839999999999996</v>
      </c>
      <c r="X977">
        <v>4.4943333333333327E-5</v>
      </c>
      <c r="Y977">
        <v>1.0851821352504234E-5</v>
      </c>
    </row>
    <row r="978" spans="1:25" x14ac:dyDescent="0.2">
      <c r="A978" t="s">
        <v>174</v>
      </c>
      <c r="B978">
        <v>2014</v>
      </c>
      <c r="C978" t="s">
        <v>826</v>
      </c>
      <c r="D978" t="s">
        <v>812</v>
      </c>
      <c r="E978" t="s">
        <v>175</v>
      </c>
      <c r="F978" t="s">
        <v>176</v>
      </c>
      <c r="G978">
        <v>-34.923164</v>
      </c>
      <c r="H978">
        <v>138.395128</v>
      </c>
      <c r="I978" t="s">
        <v>772</v>
      </c>
      <c r="J978" t="s">
        <v>14</v>
      </c>
      <c r="K978" t="s">
        <v>3</v>
      </c>
      <c r="L978" t="s">
        <v>3</v>
      </c>
      <c r="M978" t="s">
        <v>26</v>
      </c>
      <c r="N978" t="s">
        <v>85</v>
      </c>
      <c r="O978" s="6" t="s">
        <v>80</v>
      </c>
      <c r="P978" s="8"/>
      <c r="Q978">
        <v>6</v>
      </c>
      <c r="R978" t="s">
        <v>213</v>
      </c>
      <c r="S978" t="s">
        <v>183</v>
      </c>
      <c r="T978">
        <v>1</v>
      </c>
      <c r="U978" t="s">
        <v>28</v>
      </c>
      <c r="V978" t="s">
        <v>28</v>
      </c>
      <c r="W978">
        <v>24.5</v>
      </c>
      <c r="X978">
        <v>3.4780000000000002E-5</v>
      </c>
      <c r="Y978" t="s">
        <v>28</v>
      </c>
    </row>
    <row r="979" spans="1:25" x14ac:dyDescent="0.2">
      <c r="A979" t="s">
        <v>174</v>
      </c>
      <c r="B979">
        <v>2014</v>
      </c>
      <c r="C979" t="s">
        <v>826</v>
      </c>
      <c r="D979" t="s">
        <v>812</v>
      </c>
      <c r="E979" t="s">
        <v>175</v>
      </c>
      <c r="F979" t="s">
        <v>176</v>
      </c>
      <c r="G979">
        <v>-34.923164</v>
      </c>
      <c r="H979">
        <v>138.395128</v>
      </c>
      <c r="I979" t="s">
        <v>772</v>
      </c>
      <c r="J979" t="s">
        <v>14</v>
      </c>
      <c r="K979" t="s">
        <v>3</v>
      </c>
      <c r="L979" t="s">
        <v>3</v>
      </c>
      <c r="M979" t="s">
        <v>26</v>
      </c>
      <c r="N979" t="s">
        <v>85</v>
      </c>
      <c r="O979" s="6" t="s">
        <v>80</v>
      </c>
      <c r="P979" s="8"/>
      <c r="Q979">
        <v>6</v>
      </c>
      <c r="R979" t="s">
        <v>213</v>
      </c>
      <c r="S979" t="s">
        <v>184</v>
      </c>
      <c r="T979">
        <v>1</v>
      </c>
      <c r="U979" t="s">
        <v>28</v>
      </c>
      <c r="V979" t="s">
        <v>28</v>
      </c>
      <c r="W979">
        <v>24.88</v>
      </c>
      <c r="X979">
        <v>7.4439999999999999E-5</v>
      </c>
      <c r="Y979" t="s">
        <v>28</v>
      </c>
    </row>
    <row r="980" spans="1:25" x14ac:dyDescent="0.2">
      <c r="A980" t="s">
        <v>174</v>
      </c>
      <c r="B980">
        <v>2014</v>
      </c>
      <c r="C980" t="s">
        <v>826</v>
      </c>
      <c r="D980" t="s">
        <v>812</v>
      </c>
      <c r="E980" t="s">
        <v>175</v>
      </c>
      <c r="F980" t="s">
        <v>186</v>
      </c>
      <c r="G980">
        <v>-35.036262999999998</v>
      </c>
      <c r="H980">
        <v>117.881372</v>
      </c>
      <c r="I980" t="s">
        <v>767</v>
      </c>
      <c r="J980" t="s">
        <v>7</v>
      </c>
      <c r="K980" t="s">
        <v>3</v>
      </c>
      <c r="L980" t="s">
        <v>3</v>
      </c>
      <c r="M980" t="s">
        <v>26</v>
      </c>
      <c r="N980" t="s">
        <v>85</v>
      </c>
      <c r="O980" s="6" t="s">
        <v>80</v>
      </c>
      <c r="P980" s="8"/>
      <c r="Q980">
        <v>6</v>
      </c>
      <c r="R980" t="s">
        <v>213</v>
      </c>
      <c r="S980" t="s">
        <v>7</v>
      </c>
      <c r="T980">
        <v>6</v>
      </c>
      <c r="U980" t="s">
        <v>28</v>
      </c>
      <c r="V980" t="s">
        <v>28</v>
      </c>
      <c r="W980">
        <v>13.4333333333333</v>
      </c>
      <c r="X980">
        <v>3.5878333333333339E-5</v>
      </c>
      <c r="Y980">
        <v>5.0647306608216319E-6</v>
      </c>
    </row>
    <row r="981" spans="1:25" x14ac:dyDescent="0.2">
      <c r="A981" t="s">
        <v>174</v>
      </c>
      <c r="B981">
        <v>2014</v>
      </c>
      <c r="C981" t="s">
        <v>826</v>
      </c>
      <c r="D981" t="s">
        <v>812</v>
      </c>
      <c r="E981" t="s">
        <v>175</v>
      </c>
      <c r="F981" t="s">
        <v>186</v>
      </c>
      <c r="G981">
        <v>-35.036262999999998</v>
      </c>
      <c r="H981">
        <v>117.881372</v>
      </c>
      <c r="I981" t="s">
        <v>767</v>
      </c>
      <c r="J981" t="s">
        <v>14</v>
      </c>
      <c r="K981" t="s">
        <v>3</v>
      </c>
      <c r="L981" t="s">
        <v>3</v>
      </c>
      <c r="M981" t="s">
        <v>26</v>
      </c>
      <c r="N981" t="s">
        <v>85</v>
      </c>
      <c r="O981" s="6" t="s">
        <v>80</v>
      </c>
      <c r="P981" s="8"/>
      <c r="Q981">
        <v>6</v>
      </c>
      <c r="R981" t="s">
        <v>213</v>
      </c>
      <c r="S981" t="s">
        <v>9</v>
      </c>
      <c r="T981">
        <v>6</v>
      </c>
      <c r="U981" t="s">
        <v>28</v>
      </c>
      <c r="V981" t="s">
        <v>28</v>
      </c>
      <c r="W981">
        <v>16.133333333333301</v>
      </c>
      <c r="X981">
        <v>4.2321666666666665E-5</v>
      </c>
      <c r="Y981">
        <v>3.8862239599213876E-6</v>
      </c>
    </row>
    <row r="982" spans="1:25" x14ac:dyDescent="0.2">
      <c r="A982" t="s">
        <v>174</v>
      </c>
      <c r="B982">
        <v>2014</v>
      </c>
      <c r="C982" t="s">
        <v>826</v>
      </c>
      <c r="D982" t="s">
        <v>812</v>
      </c>
      <c r="E982" t="s">
        <v>175</v>
      </c>
      <c r="F982" t="s">
        <v>186</v>
      </c>
      <c r="G982">
        <v>-35.036262999999998</v>
      </c>
      <c r="H982">
        <v>117.881372</v>
      </c>
      <c r="I982" t="s">
        <v>767</v>
      </c>
      <c r="J982" t="s">
        <v>14</v>
      </c>
      <c r="K982" t="s">
        <v>3</v>
      </c>
      <c r="L982" t="s">
        <v>3</v>
      </c>
      <c r="M982" t="s">
        <v>26</v>
      </c>
      <c r="N982" t="s">
        <v>85</v>
      </c>
      <c r="O982" s="6" t="s">
        <v>80</v>
      </c>
      <c r="P982" s="8"/>
      <c r="Q982">
        <v>6</v>
      </c>
      <c r="R982" t="s">
        <v>213</v>
      </c>
      <c r="S982" t="s">
        <v>27</v>
      </c>
      <c r="T982">
        <v>6</v>
      </c>
      <c r="U982" t="s">
        <v>28</v>
      </c>
      <c r="V982" t="s">
        <v>28</v>
      </c>
      <c r="W982">
        <v>18.766666666666666</v>
      </c>
      <c r="X982">
        <v>4.6121666666666662E-5</v>
      </c>
      <c r="Y982">
        <v>2.733008720561888E-6</v>
      </c>
    </row>
    <row r="983" spans="1:25" x14ac:dyDescent="0.2">
      <c r="A983" t="s">
        <v>174</v>
      </c>
      <c r="B983">
        <v>2014</v>
      </c>
      <c r="C983" t="s">
        <v>826</v>
      </c>
      <c r="D983" t="s">
        <v>812</v>
      </c>
      <c r="E983" t="s">
        <v>175</v>
      </c>
      <c r="F983" t="s">
        <v>186</v>
      </c>
      <c r="G983">
        <v>-35.036262999999998</v>
      </c>
      <c r="H983">
        <v>117.881372</v>
      </c>
      <c r="I983" t="s">
        <v>767</v>
      </c>
      <c r="J983" t="s">
        <v>14</v>
      </c>
      <c r="K983" t="s">
        <v>3</v>
      </c>
      <c r="L983" t="s">
        <v>3</v>
      </c>
      <c r="M983" t="s">
        <v>26</v>
      </c>
      <c r="N983" t="s">
        <v>85</v>
      </c>
      <c r="O983" s="6" t="s">
        <v>80</v>
      </c>
      <c r="P983" s="8"/>
      <c r="Q983">
        <v>6</v>
      </c>
      <c r="R983" t="s">
        <v>213</v>
      </c>
      <c r="S983" t="s">
        <v>13</v>
      </c>
      <c r="T983">
        <v>6</v>
      </c>
      <c r="U983" t="s">
        <v>28</v>
      </c>
      <c r="V983" t="s">
        <v>28</v>
      </c>
      <c r="W983">
        <v>18.899999999999999</v>
      </c>
      <c r="X983">
        <v>4.1358333333333333E-5</v>
      </c>
      <c r="Y983">
        <v>7.8124142661962582E-6</v>
      </c>
    </row>
    <row r="984" spans="1:25" x14ac:dyDescent="0.2">
      <c r="A984" t="s">
        <v>174</v>
      </c>
      <c r="B984">
        <v>2014</v>
      </c>
      <c r="C984" t="s">
        <v>826</v>
      </c>
      <c r="D984" t="s">
        <v>812</v>
      </c>
      <c r="E984" t="s">
        <v>175</v>
      </c>
      <c r="F984" t="s">
        <v>186</v>
      </c>
      <c r="G984">
        <v>-35.036262999999998</v>
      </c>
      <c r="H984">
        <v>117.881372</v>
      </c>
      <c r="I984" t="s">
        <v>767</v>
      </c>
      <c r="J984" t="s">
        <v>14</v>
      </c>
      <c r="K984" t="s">
        <v>3</v>
      </c>
      <c r="L984" t="s">
        <v>3</v>
      </c>
      <c r="M984" t="s">
        <v>26</v>
      </c>
      <c r="N984" t="s">
        <v>85</v>
      </c>
      <c r="O984" s="6" t="s">
        <v>80</v>
      </c>
      <c r="P984" s="8"/>
      <c r="Q984">
        <v>6</v>
      </c>
      <c r="R984" t="s">
        <v>213</v>
      </c>
      <c r="S984" t="s">
        <v>15</v>
      </c>
      <c r="T984">
        <v>6</v>
      </c>
      <c r="U984" t="s">
        <v>28</v>
      </c>
      <c r="V984" t="s">
        <v>28</v>
      </c>
      <c r="W984">
        <v>19.233333333333299</v>
      </c>
      <c r="X984">
        <v>5.4998333333333332E-5</v>
      </c>
      <c r="Y984">
        <v>1.6620841635328416E-5</v>
      </c>
    </row>
    <row r="985" spans="1:25" x14ac:dyDescent="0.2">
      <c r="A985" t="s">
        <v>174</v>
      </c>
      <c r="B985">
        <v>2014</v>
      </c>
      <c r="C985" t="s">
        <v>826</v>
      </c>
      <c r="D985" t="s">
        <v>812</v>
      </c>
      <c r="E985" t="s">
        <v>175</v>
      </c>
      <c r="F985" t="s">
        <v>186</v>
      </c>
      <c r="G985">
        <v>-35.036262999999998</v>
      </c>
      <c r="H985">
        <v>117.881372</v>
      </c>
      <c r="I985" t="s">
        <v>767</v>
      </c>
      <c r="J985" t="s">
        <v>14</v>
      </c>
      <c r="K985" t="s">
        <v>3</v>
      </c>
      <c r="L985" t="s">
        <v>3</v>
      </c>
      <c r="M985" t="s">
        <v>26</v>
      </c>
      <c r="N985" t="s">
        <v>85</v>
      </c>
      <c r="O985" s="6" t="s">
        <v>80</v>
      </c>
      <c r="P985" s="8"/>
      <c r="Q985">
        <v>6</v>
      </c>
      <c r="R985" t="s">
        <v>213</v>
      </c>
      <c r="S985" t="s">
        <v>37</v>
      </c>
      <c r="T985">
        <v>6</v>
      </c>
      <c r="U985" t="s">
        <v>28</v>
      </c>
      <c r="V985" t="s">
        <v>28</v>
      </c>
      <c r="W985">
        <v>20.266666666666666</v>
      </c>
      <c r="X985">
        <v>4.1853333333333328E-5</v>
      </c>
      <c r="Y985">
        <v>1.5673246845077532E-6</v>
      </c>
    </row>
    <row r="986" spans="1:25" x14ac:dyDescent="0.2">
      <c r="A986" t="s">
        <v>174</v>
      </c>
      <c r="B986">
        <v>2014</v>
      </c>
      <c r="C986" t="s">
        <v>826</v>
      </c>
      <c r="D986" t="s">
        <v>812</v>
      </c>
      <c r="E986" t="s">
        <v>175</v>
      </c>
      <c r="F986" t="s">
        <v>186</v>
      </c>
      <c r="G986">
        <v>-35.036262999999998</v>
      </c>
      <c r="H986">
        <v>117.881372</v>
      </c>
      <c r="I986" t="s">
        <v>767</v>
      </c>
      <c r="J986" t="s">
        <v>14</v>
      </c>
      <c r="K986" t="s">
        <v>3</v>
      </c>
      <c r="L986" t="s">
        <v>3</v>
      </c>
      <c r="M986" t="s">
        <v>26</v>
      </c>
      <c r="N986" t="s">
        <v>85</v>
      </c>
      <c r="O986" s="6" t="s">
        <v>80</v>
      </c>
      <c r="P986" s="8"/>
      <c r="Q986">
        <v>6</v>
      </c>
      <c r="R986" t="s">
        <v>213</v>
      </c>
      <c r="S986" t="s">
        <v>116</v>
      </c>
      <c r="T986">
        <v>6</v>
      </c>
      <c r="U986" t="s">
        <v>28</v>
      </c>
      <c r="V986" t="s">
        <v>28</v>
      </c>
      <c r="W986">
        <v>20.433333333333302</v>
      </c>
      <c r="X986">
        <v>5.004833333333334E-5</v>
      </c>
      <c r="Y986">
        <v>9.7194823250349122E-6</v>
      </c>
    </row>
    <row r="987" spans="1:25" x14ac:dyDescent="0.2">
      <c r="A987" t="s">
        <v>174</v>
      </c>
      <c r="B987">
        <v>2014</v>
      </c>
      <c r="C987" t="s">
        <v>826</v>
      </c>
      <c r="D987" t="s">
        <v>812</v>
      </c>
      <c r="E987" t="s">
        <v>175</v>
      </c>
      <c r="F987" t="s">
        <v>186</v>
      </c>
      <c r="G987">
        <v>-35.036262999999998</v>
      </c>
      <c r="H987">
        <v>117.881372</v>
      </c>
      <c r="I987" t="s">
        <v>767</v>
      </c>
      <c r="J987" t="s">
        <v>14</v>
      </c>
      <c r="K987" t="s">
        <v>3</v>
      </c>
      <c r="L987" t="s">
        <v>3</v>
      </c>
      <c r="M987" t="s">
        <v>26</v>
      </c>
      <c r="N987" t="s">
        <v>85</v>
      </c>
      <c r="O987" s="6" t="s">
        <v>80</v>
      </c>
      <c r="P987" s="8"/>
      <c r="Q987">
        <v>6</v>
      </c>
      <c r="R987" t="s">
        <v>213</v>
      </c>
      <c r="S987" t="s">
        <v>117</v>
      </c>
      <c r="T987">
        <v>6</v>
      </c>
      <c r="U987" t="s">
        <v>28</v>
      </c>
      <c r="V987" t="s">
        <v>28</v>
      </c>
      <c r="W987">
        <v>20.8</v>
      </c>
      <c r="X987">
        <v>4.6436666666666676E-5</v>
      </c>
      <c r="Y987">
        <v>1.8838117386474081E-6</v>
      </c>
    </row>
    <row r="988" spans="1:25" x14ac:dyDescent="0.2">
      <c r="A988" t="s">
        <v>174</v>
      </c>
      <c r="B988">
        <v>2014</v>
      </c>
      <c r="C988" t="s">
        <v>826</v>
      </c>
      <c r="D988" t="s">
        <v>812</v>
      </c>
      <c r="E988" t="s">
        <v>175</v>
      </c>
      <c r="F988" t="s">
        <v>186</v>
      </c>
      <c r="G988">
        <v>-35.036262999999998</v>
      </c>
      <c r="H988">
        <v>117.881372</v>
      </c>
      <c r="I988" t="s">
        <v>767</v>
      </c>
      <c r="J988" t="s">
        <v>14</v>
      </c>
      <c r="K988" t="s">
        <v>3</v>
      </c>
      <c r="L988" t="s">
        <v>3</v>
      </c>
      <c r="M988" t="s">
        <v>26</v>
      </c>
      <c r="N988" t="s">
        <v>85</v>
      </c>
      <c r="O988" s="6" t="s">
        <v>80</v>
      </c>
      <c r="P988" s="8"/>
      <c r="Q988">
        <v>6</v>
      </c>
      <c r="R988" t="s">
        <v>213</v>
      </c>
      <c r="S988" t="s">
        <v>118</v>
      </c>
      <c r="T988">
        <v>12</v>
      </c>
      <c r="U988" t="s">
        <v>28</v>
      </c>
      <c r="V988" t="s">
        <v>28</v>
      </c>
      <c r="W988">
        <v>20.966666666666665</v>
      </c>
      <c r="X988">
        <v>4.867333333333332E-5</v>
      </c>
      <c r="Y988">
        <v>1.1987032640113769E-5</v>
      </c>
    </row>
    <row r="989" spans="1:25" x14ac:dyDescent="0.2">
      <c r="A989" t="s">
        <v>174</v>
      </c>
      <c r="B989">
        <v>2014</v>
      </c>
      <c r="C989" t="s">
        <v>826</v>
      </c>
      <c r="D989" t="s">
        <v>812</v>
      </c>
      <c r="E989" t="s">
        <v>175</v>
      </c>
      <c r="F989" t="s">
        <v>186</v>
      </c>
      <c r="G989">
        <v>-35.036262999999998</v>
      </c>
      <c r="H989">
        <v>117.881372</v>
      </c>
      <c r="I989" t="s">
        <v>767</v>
      </c>
      <c r="J989" t="s">
        <v>14</v>
      </c>
      <c r="K989" t="s">
        <v>3</v>
      </c>
      <c r="L989" t="s">
        <v>3</v>
      </c>
      <c r="M989" t="s">
        <v>26</v>
      </c>
      <c r="N989" t="s">
        <v>85</v>
      </c>
      <c r="O989" s="6" t="s">
        <v>80</v>
      </c>
      <c r="P989" s="8"/>
      <c r="Q989">
        <v>6</v>
      </c>
      <c r="R989" t="s">
        <v>213</v>
      </c>
      <c r="S989" t="s">
        <v>177</v>
      </c>
      <c r="T989">
        <v>6</v>
      </c>
      <c r="U989" t="s">
        <v>28</v>
      </c>
      <c r="V989" t="s">
        <v>28</v>
      </c>
      <c r="W989">
        <v>21.233333333333299</v>
      </c>
      <c r="X989">
        <v>7.9614999999999989E-5</v>
      </c>
      <c r="Y989">
        <v>1.9972741173910025E-5</v>
      </c>
    </row>
    <row r="990" spans="1:25" x14ac:dyDescent="0.2">
      <c r="A990" t="s">
        <v>174</v>
      </c>
      <c r="B990">
        <v>2014</v>
      </c>
      <c r="C990" t="s">
        <v>826</v>
      </c>
      <c r="D990" t="s">
        <v>812</v>
      </c>
      <c r="E990" t="s">
        <v>175</v>
      </c>
      <c r="F990" t="s">
        <v>186</v>
      </c>
      <c r="G990">
        <v>-35.036262999999998</v>
      </c>
      <c r="H990">
        <v>117.881372</v>
      </c>
      <c r="I990" t="s">
        <v>767</v>
      </c>
      <c r="J990" t="s">
        <v>14</v>
      </c>
      <c r="K990" t="s">
        <v>3</v>
      </c>
      <c r="L990" t="s">
        <v>3</v>
      </c>
      <c r="M990" t="s">
        <v>26</v>
      </c>
      <c r="N990" t="s">
        <v>85</v>
      </c>
      <c r="O990" s="6" t="s">
        <v>80</v>
      </c>
      <c r="P990" s="8"/>
      <c r="Q990">
        <v>6</v>
      </c>
      <c r="R990" t="s">
        <v>213</v>
      </c>
      <c r="S990" t="s">
        <v>178</v>
      </c>
      <c r="T990">
        <v>6</v>
      </c>
      <c r="U990" t="s">
        <v>28</v>
      </c>
      <c r="V990" t="s">
        <v>28</v>
      </c>
      <c r="W990">
        <v>21.8333333333333</v>
      </c>
      <c r="X990">
        <v>5.5448333333333329E-5</v>
      </c>
      <c r="Y990">
        <v>1.4903396145398121E-5</v>
      </c>
    </row>
    <row r="991" spans="1:25" x14ac:dyDescent="0.2">
      <c r="A991" t="s">
        <v>174</v>
      </c>
      <c r="B991">
        <v>2014</v>
      </c>
      <c r="C991" t="s">
        <v>826</v>
      </c>
      <c r="D991" t="s">
        <v>812</v>
      </c>
      <c r="E991" t="s">
        <v>175</v>
      </c>
      <c r="F991" t="s">
        <v>186</v>
      </c>
      <c r="G991">
        <v>-35.036262999999998</v>
      </c>
      <c r="H991">
        <v>117.881372</v>
      </c>
      <c r="I991" t="s">
        <v>767</v>
      </c>
      <c r="J991" t="s">
        <v>14</v>
      </c>
      <c r="K991" t="s">
        <v>3</v>
      </c>
      <c r="L991" t="s">
        <v>3</v>
      </c>
      <c r="M991" t="s">
        <v>26</v>
      </c>
      <c r="N991" t="s">
        <v>85</v>
      </c>
      <c r="O991" s="6" t="s">
        <v>80</v>
      </c>
      <c r="P991" s="8"/>
      <c r="Q991">
        <v>6</v>
      </c>
      <c r="R991" t="s">
        <v>213</v>
      </c>
      <c r="S991" t="s">
        <v>179</v>
      </c>
      <c r="T991">
        <v>6</v>
      </c>
      <c r="U991" t="s">
        <v>28</v>
      </c>
      <c r="V991" t="s">
        <v>28</v>
      </c>
      <c r="W991">
        <v>22.9</v>
      </c>
      <c r="X991">
        <v>4.3109999999999992E-5</v>
      </c>
      <c r="Y991">
        <v>3.126326918286135E-6</v>
      </c>
    </row>
    <row r="992" spans="1:25" x14ac:dyDescent="0.2">
      <c r="A992" t="s">
        <v>174</v>
      </c>
      <c r="B992">
        <v>2014</v>
      </c>
      <c r="C992" t="s">
        <v>826</v>
      </c>
      <c r="D992" t="s">
        <v>812</v>
      </c>
      <c r="E992" t="s">
        <v>175</v>
      </c>
      <c r="F992" t="s">
        <v>186</v>
      </c>
      <c r="G992">
        <v>-35.036262999999998</v>
      </c>
      <c r="H992">
        <v>117.881372</v>
      </c>
      <c r="I992" t="s">
        <v>767</v>
      </c>
      <c r="J992" t="s">
        <v>14</v>
      </c>
      <c r="K992" t="s">
        <v>3</v>
      </c>
      <c r="L992" t="s">
        <v>3</v>
      </c>
      <c r="M992" t="s">
        <v>26</v>
      </c>
      <c r="N992" t="s">
        <v>85</v>
      </c>
      <c r="O992" s="6" t="s">
        <v>80</v>
      </c>
      <c r="P992" s="8"/>
      <c r="Q992">
        <v>6</v>
      </c>
      <c r="R992" t="s">
        <v>213</v>
      </c>
      <c r="S992" t="s">
        <v>180</v>
      </c>
      <c r="T992">
        <v>6</v>
      </c>
      <c r="U992" t="s">
        <v>28</v>
      </c>
      <c r="V992" t="s">
        <v>28</v>
      </c>
      <c r="W992">
        <v>22.933333333333199</v>
      </c>
      <c r="X992">
        <v>5.2739999999999993E-5</v>
      </c>
      <c r="Y992">
        <v>8.7674329196179679E-6</v>
      </c>
    </row>
    <row r="993" spans="1:25" x14ac:dyDescent="0.2">
      <c r="A993" t="s">
        <v>174</v>
      </c>
      <c r="B993">
        <v>2014</v>
      </c>
      <c r="C993" t="s">
        <v>826</v>
      </c>
      <c r="D993" t="s">
        <v>812</v>
      </c>
      <c r="E993" t="s">
        <v>175</v>
      </c>
      <c r="F993" t="s">
        <v>186</v>
      </c>
      <c r="G993">
        <v>-35.036262999999998</v>
      </c>
      <c r="H993">
        <v>117.881372</v>
      </c>
      <c r="I993" t="s">
        <v>767</v>
      </c>
      <c r="J993" t="s">
        <v>14</v>
      </c>
      <c r="K993" t="s">
        <v>3</v>
      </c>
      <c r="L993" t="s">
        <v>3</v>
      </c>
      <c r="M993" t="s">
        <v>26</v>
      </c>
      <c r="N993" t="s">
        <v>85</v>
      </c>
      <c r="O993" s="6" t="s">
        <v>80</v>
      </c>
      <c r="P993" s="8"/>
      <c r="Q993">
        <v>6</v>
      </c>
      <c r="R993" t="s">
        <v>213</v>
      </c>
      <c r="S993" t="s">
        <v>181</v>
      </c>
      <c r="T993">
        <v>6</v>
      </c>
      <c r="U993" t="s">
        <v>28</v>
      </c>
      <c r="V993" t="s">
        <v>28</v>
      </c>
      <c r="W993">
        <v>25.5</v>
      </c>
      <c r="X993">
        <v>5.0401666666666662E-5</v>
      </c>
      <c r="Y993">
        <v>5.4548635791069398E-6</v>
      </c>
    </row>
    <row r="994" spans="1:25" x14ac:dyDescent="0.2">
      <c r="A994" t="s">
        <v>174</v>
      </c>
      <c r="B994">
        <v>2014</v>
      </c>
      <c r="C994" t="s">
        <v>826</v>
      </c>
      <c r="D994" t="s">
        <v>812</v>
      </c>
      <c r="E994" t="s">
        <v>175</v>
      </c>
      <c r="F994" t="s">
        <v>186</v>
      </c>
      <c r="G994">
        <v>-35.036262999999998</v>
      </c>
      <c r="H994">
        <v>117.881372</v>
      </c>
      <c r="I994" t="s">
        <v>767</v>
      </c>
      <c r="J994" t="s">
        <v>14</v>
      </c>
      <c r="K994" t="s">
        <v>3</v>
      </c>
      <c r="L994" t="s">
        <v>3</v>
      </c>
      <c r="M994" t="s">
        <v>26</v>
      </c>
      <c r="N994" t="s">
        <v>85</v>
      </c>
      <c r="O994" s="6" t="s">
        <v>80</v>
      </c>
      <c r="P994" s="8"/>
      <c r="Q994">
        <v>6</v>
      </c>
      <c r="R994" t="s">
        <v>213</v>
      </c>
      <c r="S994" t="s">
        <v>182</v>
      </c>
      <c r="T994">
        <v>6</v>
      </c>
      <c r="U994" t="s">
        <v>28</v>
      </c>
      <c r="V994" t="s">
        <v>28</v>
      </c>
      <c r="W994">
        <v>26.033333333333299</v>
      </c>
      <c r="X994">
        <v>5.1706666666666671E-5</v>
      </c>
      <c r="Y994">
        <v>3.544565793812448E-6</v>
      </c>
    </row>
    <row r="995" spans="1:25" x14ac:dyDescent="0.2">
      <c r="A995" t="s">
        <v>174</v>
      </c>
      <c r="B995">
        <v>2014</v>
      </c>
      <c r="C995" t="s">
        <v>826</v>
      </c>
      <c r="D995" t="s">
        <v>812</v>
      </c>
      <c r="E995" t="s">
        <v>175</v>
      </c>
      <c r="F995" t="s">
        <v>186</v>
      </c>
      <c r="G995">
        <v>-35.036262999999998</v>
      </c>
      <c r="H995">
        <v>117.881372</v>
      </c>
      <c r="I995" t="s">
        <v>767</v>
      </c>
      <c r="J995" t="s">
        <v>14</v>
      </c>
      <c r="K995" t="s">
        <v>3</v>
      </c>
      <c r="L995" t="s">
        <v>3</v>
      </c>
      <c r="M995" t="s">
        <v>26</v>
      </c>
      <c r="N995" t="s">
        <v>85</v>
      </c>
      <c r="O995" s="6" t="s">
        <v>80</v>
      </c>
      <c r="P995" s="8"/>
      <c r="Q995">
        <v>6</v>
      </c>
      <c r="R995" t="s">
        <v>213</v>
      </c>
      <c r="S995" t="s">
        <v>183</v>
      </c>
      <c r="T995">
        <v>6</v>
      </c>
      <c r="U995" t="s">
        <v>28</v>
      </c>
      <c r="V995" t="s">
        <v>28</v>
      </c>
      <c r="W995">
        <v>26.166666666666668</v>
      </c>
      <c r="X995">
        <v>5.4056666666666667E-5</v>
      </c>
      <c r="Y995">
        <v>5.4601086680273364E-6</v>
      </c>
    </row>
    <row r="996" spans="1:25" x14ac:dyDescent="0.2">
      <c r="A996" t="s">
        <v>174</v>
      </c>
      <c r="B996">
        <v>2014</v>
      </c>
      <c r="C996" t="s">
        <v>826</v>
      </c>
      <c r="D996" t="s">
        <v>812</v>
      </c>
      <c r="E996" t="s">
        <v>175</v>
      </c>
      <c r="F996" t="s">
        <v>186</v>
      </c>
      <c r="G996">
        <v>-35.036262999999998</v>
      </c>
      <c r="H996">
        <v>117.881372</v>
      </c>
      <c r="I996" t="s">
        <v>767</v>
      </c>
      <c r="J996" t="s">
        <v>14</v>
      </c>
      <c r="K996" t="s">
        <v>3</v>
      </c>
      <c r="L996" t="s">
        <v>3</v>
      </c>
      <c r="M996" t="s">
        <v>26</v>
      </c>
      <c r="N996" t="s">
        <v>85</v>
      </c>
      <c r="O996" s="6" t="s">
        <v>80</v>
      </c>
      <c r="P996" s="8"/>
      <c r="Q996">
        <v>6</v>
      </c>
      <c r="R996" t="s">
        <v>213</v>
      </c>
      <c r="S996" t="s">
        <v>184</v>
      </c>
      <c r="T996">
        <v>6</v>
      </c>
      <c r="U996" t="s">
        <v>28</v>
      </c>
      <c r="V996" t="s">
        <v>28</v>
      </c>
      <c r="W996">
        <v>26.666666666666668</v>
      </c>
      <c r="X996">
        <v>5.3950000000000004E-5</v>
      </c>
      <c r="Y996">
        <v>8.3455113683943579E-6</v>
      </c>
    </row>
    <row r="997" spans="1:25" x14ac:dyDescent="0.2">
      <c r="A997" t="s">
        <v>174</v>
      </c>
      <c r="B997">
        <v>2014</v>
      </c>
      <c r="C997" t="s">
        <v>826</v>
      </c>
      <c r="D997" t="s">
        <v>812</v>
      </c>
      <c r="E997" t="s">
        <v>175</v>
      </c>
      <c r="F997" t="s">
        <v>187</v>
      </c>
      <c r="G997">
        <v>-41.845897000000001</v>
      </c>
      <c r="H997">
        <v>148.289063</v>
      </c>
      <c r="I997" t="s">
        <v>767</v>
      </c>
      <c r="J997" t="s">
        <v>7</v>
      </c>
      <c r="K997" t="s">
        <v>3</v>
      </c>
      <c r="L997" t="s">
        <v>3</v>
      </c>
      <c r="M997" t="s">
        <v>26</v>
      </c>
      <c r="N997" t="s">
        <v>85</v>
      </c>
      <c r="O997" s="6" t="s">
        <v>80</v>
      </c>
      <c r="P997" s="8"/>
      <c r="Q997">
        <v>6</v>
      </c>
      <c r="R997" t="s">
        <v>213</v>
      </c>
      <c r="S997" t="s">
        <v>7</v>
      </c>
      <c r="T997">
        <v>6</v>
      </c>
      <c r="U997" t="s">
        <v>28</v>
      </c>
      <c r="V997" t="s">
        <v>28</v>
      </c>
      <c r="W997">
        <v>13.1</v>
      </c>
      <c r="X997">
        <v>1.0423499999999999E-4</v>
      </c>
      <c r="Y997">
        <v>1.8157376187103741E-5</v>
      </c>
    </row>
    <row r="998" spans="1:25" x14ac:dyDescent="0.2">
      <c r="A998" t="s">
        <v>174</v>
      </c>
      <c r="B998">
        <v>2014</v>
      </c>
      <c r="C998" t="s">
        <v>826</v>
      </c>
      <c r="D998" t="s">
        <v>812</v>
      </c>
      <c r="E998" t="s">
        <v>175</v>
      </c>
      <c r="F998" t="s">
        <v>187</v>
      </c>
      <c r="G998">
        <v>-41.845897000000001</v>
      </c>
      <c r="H998">
        <v>148.289063</v>
      </c>
      <c r="I998" t="s">
        <v>767</v>
      </c>
      <c r="J998" t="s">
        <v>14</v>
      </c>
      <c r="K998" t="s">
        <v>3</v>
      </c>
      <c r="L998" t="s">
        <v>3</v>
      </c>
      <c r="M998" t="s">
        <v>26</v>
      </c>
      <c r="N998" t="s">
        <v>85</v>
      </c>
      <c r="O998" s="6" t="s">
        <v>80</v>
      </c>
      <c r="P998" s="8"/>
      <c r="Q998">
        <v>6</v>
      </c>
      <c r="R998" t="s">
        <v>213</v>
      </c>
      <c r="S998" t="s">
        <v>9</v>
      </c>
      <c r="T998">
        <v>6</v>
      </c>
      <c r="U998" t="s">
        <v>28</v>
      </c>
      <c r="V998" t="s">
        <v>28</v>
      </c>
      <c r="W998">
        <v>13.48</v>
      </c>
      <c r="X998">
        <v>9.5021666666666679E-5</v>
      </c>
      <c r="Y998">
        <v>1.46027345612616E-5</v>
      </c>
    </row>
    <row r="999" spans="1:25" x14ac:dyDescent="0.2">
      <c r="A999" t="s">
        <v>174</v>
      </c>
      <c r="B999">
        <v>2014</v>
      </c>
      <c r="C999" t="s">
        <v>826</v>
      </c>
      <c r="D999" t="s">
        <v>812</v>
      </c>
      <c r="E999" t="s">
        <v>175</v>
      </c>
      <c r="F999" t="s">
        <v>187</v>
      </c>
      <c r="G999">
        <v>-41.845897000000001</v>
      </c>
      <c r="H999">
        <v>148.289063</v>
      </c>
      <c r="I999" t="s">
        <v>767</v>
      </c>
      <c r="J999" t="s">
        <v>14</v>
      </c>
      <c r="K999" t="s">
        <v>3</v>
      </c>
      <c r="L999" t="s">
        <v>3</v>
      </c>
      <c r="M999" t="s">
        <v>26</v>
      </c>
      <c r="N999" t="s">
        <v>85</v>
      </c>
      <c r="O999" s="6" t="s">
        <v>80</v>
      </c>
      <c r="P999" s="8"/>
      <c r="Q999">
        <v>6</v>
      </c>
      <c r="R999" t="s">
        <v>213</v>
      </c>
      <c r="S999" t="s">
        <v>27</v>
      </c>
      <c r="T999">
        <v>6</v>
      </c>
      <c r="U999" t="s">
        <v>28</v>
      </c>
      <c r="V999" t="s">
        <v>28</v>
      </c>
      <c r="W999">
        <v>16.72</v>
      </c>
      <c r="X999">
        <v>1.8718333333333332E-4</v>
      </c>
      <c r="Y999">
        <v>3.3692457118273127E-5</v>
      </c>
    </row>
    <row r="1000" spans="1:25" x14ac:dyDescent="0.2">
      <c r="A1000" t="s">
        <v>174</v>
      </c>
      <c r="B1000">
        <v>2014</v>
      </c>
      <c r="C1000" t="s">
        <v>826</v>
      </c>
      <c r="D1000" t="s">
        <v>812</v>
      </c>
      <c r="E1000" t="s">
        <v>175</v>
      </c>
      <c r="F1000" t="s">
        <v>187</v>
      </c>
      <c r="G1000">
        <v>-41.845897000000001</v>
      </c>
      <c r="H1000">
        <v>148.289063</v>
      </c>
      <c r="I1000" t="s">
        <v>767</v>
      </c>
      <c r="J1000" t="s">
        <v>14</v>
      </c>
      <c r="K1000" t="s">
        <v>3</v>
      </c>
      <c r="L1000" t="s">
        <v>3</v>
      </c>
      <c r="M1000" t="s">
        <v>26</v>
      </c>
      <c r="N1000" t="s">
        <v>85</v>
      </c>
      <c r="O1000" s="6" t="s">
        <v>80</v>
      </c>
      <c r="P1000" s="8"/>
      <c r="Q1000">
        <v>6</v>
      </c>
      <c r="R1000" t="s">
        <v>213</v>
      </c>
      <c r="S1000" t="s">
        <v>13</v>
      </c>
      <c r="T1000">
        <v>6</v>
      </c>
      <c r="U1000" t="s">
        <v>28</v>
      </c>
      <c r="V1000" t="s">
        <v>28</v>
      </c>
      <c r="W1000">
        <v>17.579999999999998</v>
      </c>
      <c r="X1000">
        <v>2.0019999999999999E-4</v>
      </c>
      <c r="Y1000">
        <v>5.7739310699037723E-5</v>
      </c>
    </row>
    <row r="1001" spans="1:25" x14ac:dyDescent="0.2">
      <c r="A1001" t="s">
        <v>174</v>
      </c>
      <c r="B1001">
        <v>2014</v>
      </c>
      <c r="C1001" t="s">
        <v>826</v>
      </c>
      <c r="D1001" t="s">
        <v>812</v>
      </c>
      <c r="E1001" t="s">
        <v>175</v>
      </c>
      <c r="F1001" t="s">
        <v>187</v>
      </c>
      <c r="G1001">
        <v>-41.845897000000001</v>
      </c>
      <c r="H1001">
        <v>148.289063</v>
      </c>
      <c r="I1001" t="s">
        <v>767</v>
      </c>
      <c r="J1001" t="s">
        <v>14</v>
      </c>
      <c r="K1001" t="s">
        <v>3</v>
      </c>
      <c r="L1001" t="s">
        <v>3</v>
      </c>
      <c r="M1001" t="s">
        <v>26</v>
      </c>
      <c r="N1001" t="s">
        <v>85</v>
      </c>
      <c r="O1001" s="6" t="s">
        <v>80</v>
      </c>
      <c r="P1001" s="8"/>
      <c r="Q1001">
        <v>6</v>
      </c>
      <c r="R1001" t="s">
        <v>213</v>
      </c>
      <c r="S1001" t="s">
        <v>15</v>
      </c>
      <c r="T1001">
        <v>6</v>
      </c>
      <c r="U1001" t="s">
        <v>28</v>
      </c>
      <c r="V1001" t="s">
        <v>28</v>
      </c>
      <c r="W1001">
        <v>19.419999999999998</v>
      </c>
      <c r="X1001">
        <v>2.5290000000000002E-4</v>
      </c>
      <c r="Y1001">
        <v>5.7089964091773511E-5</v>
      </c>
    </row>
    <row r="1002" spans="1:25" x14ac:dyDescent="0.2">
      <c r="A1002" t="s">
        <v>174</v>
      </c>
      <c r="B1002">
        <v>2014</v>
      </c>
      <c r="C1002" t="s">
        <v>826</v>
      </c>
      <c r="D1002" t="s">
        <v>812</v>
      </c>
      <c r="E1002" t="s">
        <v>175</v>
      </c>
      <c r="F1002" t="s">
        <v>187</v>
      </c>
      <c r="G1002">
        <v>-41.845897000000001</v>
      </c>
      <c r="H1002">
        <v>148.289063</v>
      </c>
      <c r="I1002" t="s">
        <v>767</v>
      </c>
      <c r="J1002" t="s">
        <v>14</v>
      </c>
      <c r="K1002" t="s">
        <v>3</v>
      </c>
      <c r="L1002" t="s">
        <v>3</v>
      </c>
      <c r="M1002" t="s">
        <v>26</v>
      </c>
      <c r="N1002" t="s">
        <v>85</v>
      </c>
      <c r="O1002" s="6" t="s">
        <v>80</v>
      </c>
      <c r="P1002" s="8"/>
      <c r="Q1002">
        <v>6</v>
      </c>
      <c r="R1002" t="s">
        <v>213</v>
      </c>
      <c r="S1002" t="s">
        <v>37</v>
      </c>
      <c r="T1002">
        <v>6</v>
      </c>
      <c r="U1002" t="s">
        <v>28</v>
      </c>
      <c r="V1002" t="s">
        <v>28</v>
      </c>
      <c r="W1002">
        <v>19.52</v>
      </c>
      <c r="X1002">
        <v>2.3369999999999999E-4</v>
      </c>
      <c r="Y1002">
        <v>4.7625497372730843E-5</v>
      </c>
    </row>
    <row r="1003" spans="1:25" x14ac:dyDescent="0.2">
      <c r="A1003" t="s">
        <v>174</v>
      </c>
      <c r="B1003">
        <v>2014</v>
      </c>
      <c r="C1003" t="s">
        <v>826</v>
      </c>
      <c r="D1003" t="s">
        <v>812</v>
      </c>
      <c r="E1003" t="s">
        <v>175</v>
      </c>
      <c r="F1003" t="s">
        <v>187</v>
      </c>
      <c r="G1003">
        <v>-41.845897000000001</v>
      </c>
      <c r="H1003">
        <v>148.289063</v>
      </c>
      <c r="I1003" t="s">
        <v>767</v>
      </c>
      <c r="J1003" t="s">
        <v>14</v>
      </c>
      <c r="K1003" t="s">
        <v>3</v>
      </c>
      <c r="L1003" t="s">
        <v>3</v>
      </c>
      <c r="M1003" t="s">
        <v>26</v>
      </c>
      <c r="N1003" t="s">
        <v>85</v>
      </c>
      <c r="O1003" s="6" t="s">
        <v>80</v>
      </c>
      <c r="P1003" s="8"/>
      <c r="Q1003">
        <v>6</v>
      </c>
      <c r="R1003" t="s">
        <v>213</v>
      </c>
      <c r="S1003" t="s">
        <v>116</v>
      </c>
      <c r="T1003">
        <v>6</v>
      </c>
      <c r="U1003" t="s">
        <v>28</v>
      </c>
      <c r="V1003" t="s">
        <v>28</v>
      </c>
      <c r="W1003">
        <v>19.759999999999998</v>
      </c>
      <c r="X1003">
        <v>2.3775000000000001E-4</v>
      </c>
      <c r="Y1003">
        <v>3.1968281154919878E-5</v>
      </c>
    </row>
    <row r="1004" spans="1:25" x14ac:dyDescent="0.2">
      <c r="A1004" t="s">
        <v>174</v>
      </c>
      <c r="B1004">
        <v>2014</v>
      </c>
      <c r="C1004" t="s">
        <v>826</v>
      </c>
      <c r="D1004" t="s">
        <v>812</v>
      </c>
      <c r="E1004" t="s">
        <v>175</v>
      </c>
      <c r="F1004" t="s">
        <v>187</v>
      </c>
      <c r="G1004">
        <v>-41.845897000000001</v>
      </c>
      <c r="H1004">
        <v>148.289063</v>
      </c>
      <c r="I1004" t="s">
        <v>767</v>
      </c>
      <c r="J1004" t="s">
        <v>14</v>
      </c>
      <c r="K1004" t="s">
        <v>3</v>
      </c>
      <c r="L1004" t="s">
        <v>3</v>
      </c>
      <c r="M1004" t="s">
        <v>26</v>
      </c>
      <c r="N1004" t="s">
        <v>85</v>
      </c>
      <c r="O1004" s="6" t="s">
        <v>80</v>
      </c>
      <c r="P1004" s="8"/>
      <c r="Q1004">
        <v>6</v>
      </c>
      <c r="R1004" t="s">
        <v>213</v>
      </c>
      <c r="S1004" t="s">
        <v>117</v>
      </c>
      <c r="T1004">
        <v>6</v>
      </c>
      <c r="U1004" t="s">
        <v>28</v>
      </c>
      <c r="V1004" t="s">
        <v>28</v>
      </c>
      <c r="W1004">
        <v>19.839999999999996</v>
      </c>
      <c r="X1004">
        <v>2.3418333333333335E-4</v>
      </c>
      <c r="Y1004">
        <v>5.5592568448189703E-5</v>
      </c>
    </row>
    <row r="1005" spans="1:25" x14ac:dyDescent="0.2">
      <c r="A1005" t="s">
        <v>174</v>
      </c>
      <c r="B1005">
        <v>2014</v>
      </c>
      <c r="C1005" t="s">
        <v>826</v>
      </c>
      <c r="D1005" t="s">
        <v>812</v>
      </c>
      <c r="E1005" t="s">
        <v>175</v>
      </c>
      <c r="F1005" t="s">
        <v>187</v>
      </c>
      <c r="G1005">
        <v>-41.845897000000001</v>
      </c>
      <c r="H1005">
        <v>148.289063</v>
      </c>
      <c r="I1005" t="s">
        <v>767</v>
      </c>
      <c r="J1005" t="s">
        <v>14</v>
      </c>
      <c r="K1005" t="s">
        <v>3</v>
      </c>
      <c r="L1005" t="s">
        <v>3</v>
      </c>
      <c r="M1005" t="s">
        <v>26</v>
      </c>
      <c r="N1005" t="s">
        <v>85</v>
      </c>
      <c r="O1005" s="6" t="s">
        <v>80</v>
      </c>
      <c r="P1005" s="8"/>
      <c r="Q1005">
        <v>6</v>
      </c>
      <c r="R1005" t="s">
        <v>213</v>
      </c>
      <c r="S1005" t="s">
        <v>118</v>
      </c>
      <c r="T1005">
        <v>6</v>
      </c>
      <c r="U1005" t="s">
        <v>28</v>
      </c>
      <c r="V1005" t="s">
        <v>28</v>
      </c>
      <c r="W1005">
        <v>19.88</v>
      </c>
      <c r="X1005">
        <v>3.0083333333333335E-4</v>
      </c>
      <c r="Y1005">
        <v>7.2155683536826549E-5</v>
      </c>
    </row>
    <row r="1006" spans="1:25" x14ac:dyDescent="0.2">
      <c r="A1006" t="s">
        <v>174</v>
      </c>
      <c r="B1006">
        <v>2014</v>
      </c>
      <c r="C1006" t="s">
        <v>826</v>
      </c>
      <c r="D1006" t="s">
        <v>812</v>
      </c>
      <c r="E1006" t="s">
        <v>175</v>
      </c>
      <c r="F1006" t="s">
        <v>187</v>
      </c>
      <c r="G1006">
        <v>-41.845897000000001</v>
      </c>
      <c r="H1006">
        <v>148.289063</v>
      </c>
      <c r="I1006" t="s">
        <v>767</v>
      </c>
      <c r="J1006" t="s">
        <v>14</v>
      </c>
      <c r="K1006" t="s">
        <v>3</v>
      </c>
      <c r="L1006" t="s">
        <v>3</v>
      </c>
      <c r="M1006" t="s">
        <v>26</v>
      </c>
      <c r="N1006" t="s">
        <v>85</v>
      </c>
      <c r="O1006" s="6" t="s">
        <v>80</v>
      </c>
      <c r="P1006" s="8"/>
      <c r="Q1006">
        <v>6</v>
      </c>
      <c r="R1006" t="s">
        <v>213</v>
      </c>
      <c r="S1006" t="s">
        <v>177</v>
      </c>
      <c r="T1006">
        <v>6</v>
      </c>
      <c r="U1006" t="s">
        <v>28</v>
      </c>
      <c r="V1006" t="s">
        <v>28</v>
      </c>
      <c r="W1006">
        <v>19.98</v>
      </c>
      <c r="X1006">
        <v>2.0698333333333334E-4</v>
      </c>
      <c r="Y1006">
        <v>4.7190821847756266E-5</v>
      </c>
    </row>
    <row r="1007" spans="1:25" x14ac:dyDescent="0.2">
      <c r="A1007" t="s">
        <v>174</v>
      </c>
      <c r="B1007">
        <v>2014</v>
      </c>
      <c r="C1007" t="s">
        <v>826</v>
      </c>
      <c r="D1007" t="s">
        <v>812</v>
      </c>
      <c r="E1007" t="s">
        <v>175</v>
      </c>
      <c r="F1007" t="s">
        <v>187</v>
      </c>
      <c r="G1007">
        <v>-41.845897000000001</v>
      </c>
      <c r="H1007">
        <v>148.289063</v>
      </c>
      <c r="I1007" t="s">
        <v>767</v>
      </c>
      <c r="J1007" t="s">
        <v>14</v>
      </c>
      <c r="K1007" t="s">
        <v>3</v>
      </c>
      <c r="L1007" t="s">
        <v>3</v>
      </c>
      <c r="M1007" t="s">
        <v>26</v>
      </c>
      <c r="N1007" t="s">
        <v>85</v>
      </c>
      <c r="O1007" s="6" t="s">
        <v>80</v>
      </c>
      <c r="P1007" s="8"/>
      <c r="Q1007">
        <v>6</v>
      </c>
      <c r="R1007" t="s">
        <v>213</v>
      </c>
      <c r="S1007" t="s">
        <v>178</v>
      </c>
      <c r="T1007">
        <v>6</v>
      </c>
      <c r="U1007" t="s">
        <v>28</v>
      </c>
      <c r="V1007" t="s">
        <v>28</v>
      </c>
      <c r="W1007">
        <v>20.36</v>
      </c>
      <c r="X1007">
        <v>2.7659999999999995E-4</v>
      </c>
      <c r="Y1007">
        <v>8.41563782490669E-5</v>
      </c>
    </row>
    <row r="1008" spans="1:25" x14ac:dyDescent="0.2">
      <c r="A1008" t="s">
        <v>174</v>
      </c>
      <c r="B1008">
        <v>2014</v>
      </c>
      <c r="C1008" t="s">
        <v>826</v>
      </c>
      <c r="D1008" t="s">
        <v>812</v>
      </c>
      <c r="E1008" t="s">
        <v>175</v>
      </c>
      <c r="F1008" t="s">
        <v>187</v>
      </c>
      <c r="G1008">
        <v>-41.845897000000001</v>
      </c>
      <c r="H1008">
        <v>148.289063</v>
      </c>
      <c r="I1008" t="s">
        <v>767</v>
      </c>
      <c r="J1008" t="s">
        <v>14</v>
      </c>
      <c r="K1008" t="s">
        <v>3</v>
      </c>
      <c r="L1008" t="s">
        <v>3</v>
      </c>
      <c r="M1008" t="s">
        <v>26</v>
      </c>
      <c r="N1008" t="s">
        <v>85</v>
      </c>
      <c r="O1008" s="6" t="s">
        <v>80</v>
      </c>
      <c r="P1008" s="8"/>
      <c r="Q1008">
        <v>6</v>
      </c>
      <c r="R1008" t="s">
        <v>213</v>
      </c>
      <c r="S1008" t="s">
        <v>179</v>
      </c>
      <c r="T1008">
        <v>6</v>
      </c>
      <c r="U1008" t="s">
        <v>28</v>
      </c>
      <c r="V1008" t="s">
        <v>28</v>
      </c>
      <c r="W1008">
        <v>20.68</v>
      </c>
      <c r="X1008">
        <v>2.8848333333333329E-4</v>
      </c>
      <c r="Y1008">
        <v>3.9879489297967116E-5</v>
      </c>
    </row>
    <row r="1009" spans="1:25" x14ac:dyDescent="0.2">
      <c r="A1009" t="s">
        <v>174</v>
      </c>
      <c r="B1009">
        <v>2014</v>
      </c>
      <c r="C1009" t="s">
        <v>826</v>
      </c>
      <c r="D1009" t="s">
        <v>812</v>
      </c>
      <c r="E1009" t="s">
        <v>175</v>
      </c>
      <c r="F1009" t="s">
        <v>187</v>
      </c>
      <c r="G1009">
        <v>-41.845897000000001</v>
      </c>
      <c r="H1009">
        <v>148.289063</v>
      </c>
      <c r="I1009" t="s">
        <v>767</v>
      </c>
      <c r="J1009" t="s">
        <v>14</v>
      </c>
      <c r="K1009" t="s">
        <v>3</v>
      </c>
      <c r="L1009" t="s">
        <v>3</v>
      </c>
      <c r="M1009" t="s">
        <v>26</v>
      </c>
      <c r="N1009" t="s">
        <v>85</v>
      </c>
      <c r="O1009" s="6" t="s">
        <v>80</v>
      </c>
      <c r="P1009" s="8"/>
      <c r="Q1009">
        <v>6</v>
      </c>
      <c r="R1009" t="s">
        <v>213</v>
      </c>
      <c r="S1009" t="s">
        <v>180</v>
      </c>
      <c r="T1009">
        <v>6</v>
      </c>
      <c r="U1009" t="s">
        <v>28</v>
      </c>
      <c r="V1009" t="s">
        <v>28</v>
      </c>
      <c r="W1009">
        <v>21.5</v>
      </c>
      <c r="X1009">
        <v>3.0719999999999999E-4</v>
      </c>
      <c r="Y1009">
        <v>5.7714642856037971E-5</v>
      </c>
    </row>
    <row r="1010" spans="1:25" x14ac:dyDescent="0.2">
      <c r="A1010" t="s">
        <v>174</v>
      </c>
      <c r="B1010">
        <v>2014</v>
      </c>
      <c r="C1010" t="s">
        <v>826</v>
      </c>
      <c r="D1010" t="s">
        <v>812</v>
      </c>
      <c r="E1010" t="s">
        <v>175</v>
      </c>
      <c r="F1010" t="s">
        <v>187</v>
      </c>
      <c r="G1010">
        <v>-41.845897000000001</v>
      </c>
      <c r="H1010">
        <v>148.289063</v>
      </c>
      <c r="I1010" t="s">
        <v>767</v>
      </c>
      <c r="J1010" t="s">
        <v>14</v>
      </c>
      <c r="K1010" t="s">
        <v>3</v>
      </c>
      <c r="L1010" t="s">
        <v>3</v>
      </c>
      <c r="M1010" t="s">
        <v>26</v>
      </c>
      <c r="N1010" t="s">
        <v>85</v>
      </c>
      <c r="O1010" s="6" t="s">
        <v>80</v>
      </c>
      <c r="P1010" s="8"/>
      <c r="Q1010">
        <v>6</v>
      </c>
      <c r="R1010" t="s">
        <v>213</v>
      </c>
      <c r="S1010" t="s">
        <v>181</v>
      </c>
      <c r="T1010">
        <v>6</v>
      </c>
      <c r="U1010" t="s">
        <v>28</v>
      </c>
      <c r="V1010" t="s">
        <v>28</v>
      </c>
      <c r="W1010">
        <v>21.6</v>
      </c>
      <c r="X1010">
        <v>2.3479999999999999E-4</v>
      </c>
      <c r="Y1010">
        <v>7.9794937182756139E-5</v>
      </c>
    </row>
    <row r="1011" spans="1:25" x14ac:dyDescent="0.2">
      <c r="A1011" t="s">
        <v>174</v>
      </c>
      <c r="B1011">
        <v>2014</v>
      </c>
      <c r="C1011" t="s">
        <v>826</v>
      </c>
      <c r="D1011" t="s">
        <v>812</v>
      </c>
      <c r="E1011" t="s">
        <v>175</v>
      </c>
      <c r="F1011" t="s">
        <v>187</v>
      </c>
      <c r="G1011">
        <v>-41.845897000000001</v>
      </c>
      <c r="H1011">
        <v>148.289063</v>
      </c>
      <c r="I1011" t="s">
        <v>767</v>
      </c>
      <c r="J1011" t="s">
        <v>14</v>
      </c>
      <c r="K1011" t="s">
        <v>3</v>
      </c>
      <c r="L1011" t="s">
        <v>3</v>
      </c>
      <c r="M1011" t="s">
        <v>26</v>
      </c>
      <c r="N1011" t="s">
        <v>85</v>
      </c>
      <c r="O1011" s="6" t="s">
        <v>80</v>
      </c>
      <c r="P1011" s="8"/>
      <c r="Q1011">
        <v>6</v>
      </c>
      <c r="R1011" t="s">
        <v>213</v>
      </c>
      <c r="S1011" t="s">
        <v>182</v>
      </c>
      <c r="T1011">
        <v>6</v>
      </c>
      <c r="U1011" t="s">
        <v>28</v>
      </c>
      <c r="V1011" t="s">
        <v>28</v>
      </c>
      <c r="W1011">
        <v>25.6</v>
      </c>
      <c r="X1011">
        <v>1.7261666666666664E-4</v>
      </c>
      <c r="Y1011">
        <v>3.3675119400926726E-5</v>
      </c>
    </row>
    <row r="1012" spans="1:25" x14ac:dyDescent="0.2">
      <c r="A1012" t="s">
        <v>174</v>
      </c>
      <c r="B1012">
        <v>2014</v>
      </c>
      <c r="C1012" t="s">
        <v>826</v>
      </c>
      <c r="D1012" t="s">
        <v>812</v>
      </c>
      <c r="E1012" t="s">
        <v>175</v>
      </c>
      <c r="F1012" t="s">
        <v>187</v>
      </c>
      <c r="G1012">
        <v>-41.845897000000001</v>
      </c>
      <c r="H1012">
        <v>148.289063</v>
      </c>
      <c r="I1012" t="s">
        <v>767</v>
      </c>
      <c r="J1012" t="s">
        <v>14</v>
      </c>
      <c r="K1012" t="s">
        <v>3</v>
      </c>
      <c r="L1012" t="s">
        <v>3</v>
      </c>
      <c r="M1012" t="s">
        <v>26</v>
      </c>
      <c r="N1012" t="s">
        <v>85</v>
      </c>
      <c r="O1012" s="6" t="s">
        <v>80</v>
      </c>
      <c r="P1012" s="8"/>
      <c r="Q1012">
        <v>6</v>
      </c>
      <c r="R1012" t="s">
        <v>213</v>
      </c>
      <c r="S1012" t="s">
        <v>183</v>
      </c>
      <c r="T1012">
        <v>6</v>
      </c>
      <c r="U1012" t="s">
        <v>28</v>
      </c>
      <c r="V1012" t="s">
        <v>28</v>
      </c>
      <c r="W1012">
        <v>25.98</v>
      </c>
      <c r="X1012">
        <v>9.9488333333333327E-5</v>
      </c>
      <c r="Y1012">
        <v>1.9982981175657167E-5</v>
      </c>
    </row>
    <row r="1013" spans="1:25" x14ac:dyDescent="0.2">
      <c r="A1013" t="s">
        <v>174</v>
      </c>
      <c r="B1013">
        <v>2014</v>
      </c>
      <c r="C1013" t="s">
        <v>826</v>
      </c>
      <c r="D1013" t="s">
        <v>812</v>
      </c>
      <c r="E1013" t="s">
        <v>175</v>
      </c>
      <c r="F1013" t="s">
        <v>187</v>
      </c>
      <c r="G1013">
        <v>-41.845897000000001</v>
      </c>
      <c r="H1013">
        <v>148.289063</v>
      </c>
      <c r="I1013" t="s">
        <v>767</v>
      </c>
      <c r="J1013" t="s">
        <v>14</v>
      </c>
      <c r="K1013" t="s">
        <v>3</v>
      </c>
      <c r="L1013" t="s">
        <v>3</v>
      </c>
      <c r="M1013" t="s">
        <v>26</v>
      </c>
      <c r="N1013" t="s">
        <v>85</v>
      </c>
      <c r="O1013" s="6" t="s">
        <v>80</v>
      </c>
      <c r="P1013" s="8"/>
      <c r="Q1013">
        <v>6</v>
      </c>
      <c r="R1013" t="s">
        <v>213</v>
      </c>
      <c r="S1013" t="s">
        <v>184</v>
      </c>
      <c r="T1013">
        <v>6</v>
      </c>
      <c r="U1013" t="s">
        <v>28</v>
      </c>
      <c r="V1013" t="s">
        <v>28</v>
      </c>
      <c r="W1013">
        <v>26.079999999999995</v>
      </c>
      <c r="X1013">
        <v>1.4548333333333334E-4</v>
      </c>
      <c r="Y1013">
        <v>4.4814971456720447E-5</v>
      </c>
    </row>
    <row r="1014" spans="1:25" x14ac:dyDescent="0.2">
      <c r="A1014" t="s">
        <v>174</v>
      </c>
      <c r="B1014">
        <v>2014</v>
      </c>
      <c r="C1014" t="s">
        <v>826</v>
      </c>
      <c r="D1014" t="s">
        <v>812</v>
      </c>
      <c r="E1014" t="s">
        <v>175</v>
      </c>
      <c r="F1014" t="s">
        <v>187</v>
      </c>
      <c r="G1014">
        <v>-41.845897000000001</v>
      </c>
      <c r="H1014">
        <v>148.289063</v>
      </c>
      <c r="I1014" t="s">
        <v>767</v>
      </c>
      <c r="J1014" t="s">
        <v>14</v>
      </c>
      <c r="K1014" t="s">
        <v>3</v>
      </c>
      <c r="L1014" t="s">
        <v>3</v>
      </c>
      <c r="M1014" t="s">
        <v>26</v>
      </c>
      <c r="N1014" t="s">
        <v>85</v>
      </c>
      <c r="O1014" s="6" t="s">
        <v>80</v>
      </c>
      <c r="P1014" s="8"/>
      <c r="Q1014">
        <v>6</v>
      </c>
      <c r="R1014" t="s">
        <v>213</v>
      </c>
      <c r="S1014" t="s">
        <v>185</v>
      </c>
      <c r="T1014">
        <v>6</v>
      </c>
      <c r="U1014" t="s">
        <v>28</v>
      </c>
      <c r="V1014" t="s">
        <v>28</v>
      </c>
      <c r="W1014">
        <v>26.26</v>
      </c>
      <c r="X1014">
        <v>1.6113333333333334E-4</v>
      </c>
      <c r="Y1014">
        <v>1.7120358251703265E-5</v>
      </c>
    </row>
    <row r="1015" spans="1:25" x14ac:dyDescent="0.2">
      <c r="A1015" t="s">
        <v>174</v>
      </c>
      <c r="B1015">
        <v>2014</v>
      </c>
      <c r="C1015" t="s">
        <v>826</v>
      </c>
      <c r="D1015" t="s">
        <v>812</v>
      </c>
      <c r="E1015" t="s">
        <v>175</v>
      </c>
      <c r="F1015" t="s">
        <v>192</v>
      </c>
      <c r="G1015">
        <v>-43.100771000000002</v>
      </c>
      <c r="H1015">
        <v>147.986166</v>
      </c>
      <c r="I1015" t="s">
        <v>767</v>
      </c>
      <c r="J1015" t="s">
        <v>7</v>
      </c>
      <c r="K1015" t="s">
        <v>3</v>
      </c>
      <c r="L1015" t="s">
        <v>3</v>
      </c>
      <c r="M1015" t="s">
        <v>26</v>
      </c>
      <c r="N1015" t="s">
        <v>85</v>
      </c>
      <c r="O1015" s="6" t="s">
        <v>80</v>
      </c>
      <c r="P1015" s="8"/>
      <c r="Q1015">
        <v>6</v>
      </c>
      <c r="R1015" t="s">
        <v>213</v>
      </c>
      <c r="S1015" t="s">
        <v>7</v>
      </c>
      <c r="T1015">
        <v>6</v>
      </c>
      <c r="U1015" t="s">
        <v>28</v>
      </c>
      <c r="V1015" t="s">
        <v>28</v>
      </c>
      <c r="W1015">
        <v>13.1</v>
      </c>
      <c r="X1015">
        <v>1.0326499999999999E-4</v>
      </c>
      <c r="Y1015">
        <v>1.7811227638767695E-5</v>
      </c>
    </row>
    <row r="1016" spans="1:25" x14ac:dyDescent="0.2">
      <c r="A1016" t="s">
        <v>174</v>
      </c>
      <c r="B1016">
        <v>2014</v>
      </c>
      <c r="C1016" t="s">
        <v>826</v>
      </c>
      <c r="D1016" t="s">
        <v>812</v>
      </c>
      <c r="E1016" t="s">
        <v>175</v>
      </c>
      <c r="F1016" t="s">
        <v>192</v>
      </c>
      <c r="G1016">
        <v>-43.100771000000002</v>
      </c>
      <c r="H1016">
        <v>147.986166</v>
      </c>
      <c r="I1016" t="s">
        <v>767</v>
      </c>
      <c r="J1016" t="s">
        <v>14</v>
      </c>
      <c r="K1016" t="s">
        <v>3</v>
      </c>
      <c r="L1016" t="s">
        <v>3</v>
      </c>
      <c r="M1016" t="s">
        <v>26</v>
      </c>
      <c r="N1016" t="s">
        <v>85</v>
      </c>
      <c r="O1016" s="6" t="s">
        <v>80</v>
      </c>
      <c r="P1016" s="8"/>
      <c r="Q1016">
        <v>6</v>
      </c>
      <c r="R1016" t="s">
        <v>213</v>
      </c>
      <c r="S1016" t="s">
        <v>9</v>
      </c>
      <c r="T1016">
        <v>6</v>
      </c>
      <c r="U1016" t="s">
        <v>28</v>
      </c>
      <c r="V1016" t="s">
        <v>28</v>
      </c>
      <c r="W1016">
        <v>13.48</v>
      </c>
      <c r="X1016">
        <v>1.0400333333333331E-4</v>
      </c>
      <c r="Y1016">
        <v>6.0782289087094256E-6</v>
      </c>
    </row>
    <row r="1017" spans="1:25" x14ac:dyDescent="0.2">
      <c r="A1017" t="s">
        <v>174</v>
      </c>
      <c r="B1017">
        <v>2014</v>
      </c>
      <c r="C1017" t="s">
        <v>826</v>
      </c>
      <c r="D1017" t="s">
        <v>812</v>
      </c>
      <c r="E1017" t="s">
        <v>175</v>
      </c>
      <c r="F1017" t="s">
        <v>192</v>
      </c>
      <c r="G1017">
        <v>-43.100771000000002</v>
      </c>
      <c r="H1017">
        <v>147.986166</v>
      </c>
      <c r="I1017" t="s">
        <v>767</v>
      </c>
      <c r="J1017" t="s">
        <v>14</v>
      </c>
      <c r="K1017" t="s">
        <v>3</v>
      </c>
      <c r="L1017" t="s">
        <v>3</v>
      </c>
      <c r="M1017" t="s">
        <v>26</v>
      </c>
      <c r="N1017" t="s">
        <v>85</v>
      </c>
      <c r="O1017" s="6" t="s">
        <v>80</v>
      </c>
      <c r="P1017" s="8"/>
      <c r="Q1017">
        <v>6</v>
      </c>
      <c r="R1017" t="s">
        <v>213</v>
      </c>
      <c r="S1017" t="s">
        <v>27</v>
      </c>
      <c r="T1017">
        <v>6</v>
      </c>
      <c r="U1017" t="s">
        <v>28</v>
      </c>
      <c r="V1017" t="s">
        <v>28</v>
      </c>
      <c r="W1017">
        <v>16.72</v>
      </c>
      <c r="X1017">
        <v>1.9596666666666667E-4</v>
      </c>
      <c r="Y1017">
        <v>3.4741598504770319E-5</v>
      </c>
    </row>
    <row r="1018" spans="1:25" x14ac:dyDescent="0.2">
      <c r="A1018" t="s">
        <v>174</v>
      </c>
      <c r="B1018">
        <v>2014</v>
      </c>
      <c r="C1018" t="s">
        <v>826</v>
      </c>
      <c r="D1018" t="s">
        <v>812</v>
      </c>
      <c r="E1018" t="s">
        <v>175</v>
      </c>
      <c r="F1018" t="s">
        <v>192</v>
      </c>
      <c r="G1018">
        <v>-43.100771000000002</v>
      </c>
      <c r="H1018">
        <v>147.986166</v>
      </c>
      <c r="I1018" t="s">
        <v>767</v>
      </c>
      <c r="J1018" t="s">
        <v>14</v>
      </c>
      <c r="K1018" t="s">
        <v>3</v>
      </c>
      <c r="L1018" t="s">
        <v>3</v>
      </c>
      <c r="M1018" t="s">
        <v>26</v>
      </c>
      <c r="N1018" t="s">
        <v>85</v>
      </c>
      <c r="O1018" s="6" t="s">
        <v>80</v>
      </c>
      <c r="P1018" s="8"/>
      <c r="Q1018">
        <v>6</v>
      </c>
      <c r="R1018" t="s">
        <v>213</v>
      </c>
      <c r="S1018" t="s">
        <v>13</v>
      </c>
      <c r="T1018">
        <v>6</v>
      </c>
      <c r="U1018" t="s">
        <v>28</v>
      </c>
      <c r="V1018" t="s">
        <v>28</v>
      </c>
      <c r="W1018">
        <v>17.579999999999998</v>
      </c>
      <c r="X1018">
        <v>2.0451166666666666E-4</v>
      </c>
      <c r="Y1018">
        <v>8.2822337667242069E-5</v>
      </c>
    </row>
    <row r="1019" spans="1:25" x14ac:dyDescent="0.2">
      <c r="A1019" t="s">
        <v>174</v>
      </c>
      <c r="B1019">
        <v>2014</v>
      </c>
      <c r="C1019" t="s">
        <v>826</v>
      </c>
      <c r="D1019" t="s">
        <v>812</v>
      </c>
      <c r="E1019" t="s">
        <v>175</v>
      </c>
      <c r="F1019" t="s">
        <v>192</v>
      </c>
      <c r="G1019">
        <v>-43.100771000000002</v>
      </c>
      <c r="H1019">
        <v>147.986166</v>
      </c>
      <c r="I1019" t="s">
        <v>767</v>
      </c>
      <c r="J1019" t="s">
        <v>14</v>
      </c>
      <c r="K1019" t="s">
        <v>3</v>
      </c>
      <c r="L1019" t="s">
        <v>3</v>
      </c>
      <c r="M1019" t="s">
        <v>26</v>
      </c>
      <c r="N1019" t="s">
        <v>85</v>
      </c>
      <c r="O1019" s="6" t="s">
        <v>80</v>
      </c>
      <c r="P1019" s="8"/>
      <c r="Q1019">
        <v>6</v>
      </c>
      <c r="R1019" t="s">
        <v>213</v>
      </c>
      <c r="S1019" t="s">
        <v>15</v>
      </c>
      <c r="T1019">
        <v>6</v>
      </c>
      <c r="U1019" t="s">
        <v>28</v>
      </c>
      <c r="V1019" t="s">
        <v>28</v>
      </c>
      <c r="W1019">
        <v>19.419999999999998</v>
      </c>
      <c r="X1019">
        <v>1.8489999999999999E-4</v>
      </c>
      <c r="Y1019">
        <v>2.3708310779133962E-5</v>
      </c>
    </row>
    <row r="1020" spans="1:25" x14ac:dyDescent="0.2">
      <c r="A1020" t="s">
        <v>174</v>
      </c>
      <c r="B1020">
        <v>2014</v>
      </c>
      <c r="C1020" t="s">
        <v>826</v>
      </c>
      <c r="D1020" t="s">
        <v>812</v>
      </c>
      <c r="E1020" t="s">
        <v>175</v>
      </c>
      <c r="F1020" t="s">
        <v>192</v>
      </c>
      <c r="G1020">
        <v>-43.100771000000002</v>
      </c>
      <c r="H1020">
        <v>147.986166</v>
      </c>
      <c r="I1020" t="s">
        <v>767</v>
      </c>
      <c r="J1020" t="s">
        <v>14</v>
      </c>
      <c r="K1020" t="s">
        <v>3</v>
      </c>
      <c r="L1020" t="s">
        <v>3</v>
      </c>
      <c r="M1020" t="s">
        <v>26</v>
      </c>
      <c r="N1020" t="s">
        <v>85</v>
      </c>
      <c r="O1020" s="6" t="s">
        <v>80</v>
      </c>
      <c r="P1020" s="8"/>
      <c r="Q1020">
        <v>6</v>
      </c>
      <c r="R1020" t="s">
        <v>213</v>
      </c>
      <c r="S1020" t="s">
        <v>37</v>
      </c>
      <c r="T1020">
        <v>6</v>
      </c>
      <c r="U1020" t="s">
        <v>28</v>
      </c>
      <c r="V1020" t="s">
        <v>28</v>
      </c>
      <c r="W1020">
        <v>19.52</v>
      </c>
      <c r="X1020">
        <v>2.7978333333333335E-4</v>
      </c>
      <c r="Y1020">
        <v>4.2640329110674963E-5</v>
      </c>
    </row>
    <row r="1021" spans="1:25" x14ac:dyDescent="0.2">
      <c r="A1021" t="s">
        <v>174</v>
      </c>
      <c r="B1021">
        <v>2014</v>
      </c>
      <c r="C1021" t="s">
        <v>826</v>
      </c>
      <c r="D1021" t="s">
        <v>812</v>
      </c>
      <c r="E1021" t="s">
        <v>175</v>
      </c>
      <c r="F1021" t="s">
        <v>192</v>
      </c>
      <c r="G1021">
        <v>-43.100771000000002</v>
      </c>
      <c r="H1021">
        <v>147.986166</v>
      </c>
      <c r="I1021" t="s">
        <v>767</v>
      </c>
      <c r="J1021" t="s">
        <v>14</v>
      </c>
      <c r="K1021" t="s">
        <v>3</v>
      </c>
      <c r="L1021" t="s">
        <v>3</v>
      </c>
      <c r="M1021" t="s">
        <v>26</v>
      </c>
      <c r="N1021" t="s">
        <v>85</v>
      </c>
      <c r="O1021" s="6" t="s">
        <v>80</v>
      </c>
      <c r="P1021" s="8"/>
      <c r="Q1021">
        <v>6</v>
      </c>
      <c r="R1021" t="s">
        <v>213</v>
      </c>
      <c r="S1021" t="s">
        <v>116</v>
      </c>
      <c r="T1021">
        <v>6</v>
      </c>
      <c r="U1021" t="s">
        <v>28</v>
      </c>
      <c r="V1021" t="s">
        <v>28</v>
      </c>
      <c r="W1021">
        <v>19.759999999999998</v>
      </c>
      <c r="X1021">
        <v>2.9131666666666671E-4</v>
      </c>
      <c r="Y1021">
        <v>5.6866665689722557E-5</v>
      </c>
    </row>
    <row r="1022" spans="1:25" x14ac:dyDescent="0.2">
      <c r="A1022" t="s">
        <v>174</v>
      </c>
      <c r="B1022">
        <v>2014</v>
      </c>
      <c r="C1022" t="s">
        <v>826</v>
      </c>
      <c r="D1022" t="s">
        <v>812</v>
      </c>
      <c r="E1022" t="s">
        <v>175</v>
      </c>
      <c r="F1022" t="s">
        <v>192</v>
      </c>
      <c r="G1022">
        <v>-43.100771000000002</v>
      </c>
      <c r="H1022">
        <v>147.986166</v>
      </c>
      <c r="I1022" t="s">
        <v>767</v>
      </c>
      <c r="J1022" t="s">
        <v>14</v>
      </c>
      <c r="K1022" t="s">
        <v>3</v>
      </c>
      <c r="L1022" t="s">
        <v>3</v>
      </c>
      <c r="M1022" t="s">
        <v>26</v>
      </c>
      <c r="N1022" t="s">
        <v>85</v>
      </c>
      <c r="O1022" s="6" t="s">
        <v>80</v>
      </c>
      <c r="P1022" s="8"/>
      <c r="Q1022">
        <v>6</v>
      </c>
      <c r="R1022" t="s">
        <v>213</v>
      </c>
      <c r="S1022" t="s">
        <v>117</v>
      </c>
      <c r="T1022">
        <v>6</v>
      </c>
      <c r="U1022" t="s">
        <v>28</v>
      </c>
      <c r="V1022" t="s">
        <v>28</v>
      </c>
      <c r="W1022">
        <v>19.839999999999996</v>
      </c>
      <c r="X1022">
        <v>2.7576666666666668E-4</v>
      </c>
      <c r="Y1022">
        <v>8.1808988911162147E-5</v>
      </c>
    </row>
    <row r="1023" spans="1:25" x14ac:dyDescent="0.2">
      <c r="A1023" t="s">
        <v>174</v>
      </c>
      <c r="B1023">
        <v>2014</v>
      </c>
      <c r="C1023" t="s">
        <v>826</v>
      </c>
      <c r="D1023" t="s">
        <v>812</v>
      </c>
      <c r="E1023" t="s">
        <v>175</v>
      </c>
      <c r="F1023" t="s">
        <v>192</v>
      </c>
      <c r="G1023">
        <v>-43.100771000000002</v>
      </c>
      <c r="H1023">
        <v>147.986166</v>
      </c>
      <c r="I1023" t="s">
        <v>767</v>
      </c>
      <c r="J1023" t="s">
        <v>14</v>
      </c>
      <c r="K1023" t="s">
        <v>3</v>
      </c>
      <c r="L1023" t="s">
        <v>3</v>
      </c>
      <c r="M1023" t="s">
        <v>26</v>
      </c>
      <c r="N1023" t="s">
        <v>85</v>
      </c>
      <c r="O1023" s="6" t="s">
        <v>80</v>
      </c>
      <c r="P1023" s="8"/>
      <c r="Q1023">
        <v>6</v>
      </c>
      <c r="R1023" t="s">
        <v>213</v>
      </c>
      <c r="S1023" t="s">
        <v>118</v>
      </c>
      <c r="T1023">
        <v>6</v>
      </c>
      <c r="U1023" t="s">
        <v>28</v>
      </c>
      <c r="V1023" t="s">
        <v>28</v>
      </c>
      <c r="W1023">
        <v>19.88</v>
      </c>
      <c r="X1023">
        <v>2.4525000000000003E-4</v>
      </c>
      <c r="Y1023">
        <v>5.8372964632610392E-5</v>
      </c>
    </row>
    <row r="1024" spans="1:25" x14ac:dyDescent="0.2">
      <c r="A1024" t="s">
        <v>174</v>
      </c>
      <c r="B1024">
        <v>2014</v>
      </c>
      <c r="C1024" t="s">
        <v>826</v>
      </c>
      <c r="D1024" t="s">
        <v>812</v>
      </c>
      <c r="E1024" t="s">
        <v>175</v>
      </c>
      <c r="F1024" t="s">
        <v>192</v>
      </c>
      <c r="G1024">
        <v>-43.100771000000002</v>
      </c>
      <c r="H1024">
        <v>147.986166</v>
      </c>
      <c r="I1024" t="s">
        <v>767</v>
      </c>
      <c r="J1024" t="s">
        <v>14</v>
      </c>
      <c r="K1024" t="s">
        <v>3</v>
      </c>
      <c r="L1024" t="s">
        <v>3</v>
      </c>
      <c r="M1024" t="s">
        <v>26</v>
      </c>
      <c r="N1024" t="s">
        <v>85</v>
      </c>
      <c r="O1024" s="6" t="s">
        <v>80</v>
      </c>
      <c r="P1024" s="8"/>
      <c r="Q1024">
        <v>6</v>
      </c>
      <c r="R1024" t="s">
        <v>213</v>
      </c>
      <c r="S1024" t="s">
        <v>177</v>
      </c>
      <c r="T1024">
        <v>6</v>
      </c>
      <c r="U1024" t="s">
        <v>28</v>
      </c>
      <c r="V1024" t="s">
        <v>28</v>
      </c>
      <c r="W1024">
        <v>19.98</v>
      </c>
      <c r="X1024">
        <v>3.1385000000000001E-4</v>
      </c>
      <c r="Y1024">
        <v>9.1757784410915084E-5</v>
      </c>
    </row>
    <row r="1025" spans="1:25" x14ac:dyDescent="0.2">
      <c r="A1025" t="s">
        <v>174</v>
      </c>
      <c r="B1025">
        <v>2014</v>
      </c>
      <c r="C1025" t="s">
        <v>826</v>
      </c>
      <c r="D1025" t="s">
        <v>812</v>
      </c>
      <c r="E1025" t="s">
        <v>175</v>
      </c>
      <c r="F1025" t="s">
        <v>192</v>
      </c>
      <c r="G1025">
        <v>-43.100771000000002</v>
      </c>
      <c r="H1025">
        <v>147.986166</v>
      </c>
      <c r="I1025" t="s">
        <v>767</v>
      </c>
      <c r="J1025" t="s">
        <v>14</v>
      </c>
      <c r="K1025" t="s">
        <v>3</v>
      </c>
      <c r="L1025" t="s">
        <v>3</v>
      </c>
      <c r="M1025" t="s">
        <v>26</v>
      </c>
      <c r="N1025" t="s">
        <v>85</v>
      </c>
      <c r="O1025" s="6" t="s">
        <v>80</v>
      </c>
      <c r="P1025" s="8"/>
      <c r="Q1025">
        <v>6</v>
      </c>
      <c r="R1025" t="s">
        <v>213</v>
      </c>
      <c r="S1025" t="s">
        <v>178</v>
      </c>
      <c r="T1025">
        <v>6</v>
      </c>
      <c r="U1025" t="s">
        <v>28</v>
      </c>
      <c r="V1025" t="s">
        <v>28</v>
      </c>
      <c r="W1025">
        <v>20.36</v>
      </c>
      <c r="X1025">
        <v>2.8965000000000002E-4</v>
      </c>
      <c r="Y1025">
        <v>4.1777110958035311E-5</v>
      </c>
    </row>
    <row r="1026" spans="1:25" x14ac:dyDescent="0.2">
      <c r="A1026" t="s">
        <v>174</v>
      </c>
      <c r="B1026">
        <v>2014</v>
      </c>
      <c r="C1026" t="s">
        <v>826</v>
      </c>
      <c r="D1026" t="s">
        <v>812</v>
      </c>
      <c r="E1026" t="s">
        <v>175</v>
      </c>
      <c r="F1026" t="s">
        <v>192</v>
      </c>
      <c r="G1026">
        <v>-43.100771000000002</v>
      </c>
      <c r="H1026">
        <v>147.986166</v>
      </c>
      <c r="I1026" t="s">
        <v>767</v>
      </c>
      <c r="J1026" t="s">
        <v>14</v>
      </c>
      <c r="K1026" t="s">
        <v>3</v>
      </c>
      <c r="L1026" t="s">
        <v>3</v>
      </c>
      <c r="M1026" t="s">
        <v>26</v>
      </c>
      <c r="N1026" t="s">
        <v>85</v>
      </c>
      <c r="O1026" s="6" t="s">
        <v>80</v>
      </c>
      <c r="P1026" s="8"/>
      <c r="Q1026">
        <v>6</v>
      </c>
      <c r="R1026" t="s">
        <v>213</v>
      </c>
      <c r="S1026" t="s">
        <v>179</v>
      </c>
      <c r="T1026">
        <v>6</v>
      </c>
      <c r="U1026" t="s">
        <v>28</v>
      </c>
      <c r="V1026" t="s">
        <v>28</v>
      </c>
      <c r="W1026">
        <v>20.68</v>
      </c>
      <c r="X1026">
        <v>2.964666666666667E-4</v>
      </c>
      <c r="Y1026">
        <v>4.5460737638831467E-5</v>
      </c>
    </row>
    <row r="1027" spans="1:25" x14ac:dyDescent="0.2">
      <c r="A1027" t="s">
        <v>174</v>
      </c>
      <c r="B1027">
        <v>2014</v>
      </c>
      <c r="C1027" t="s">
        <v>826</v>
      </c>
      <c r="D1027" t="s">
        <v>812</v>
      </c>
      <c r="E1027" t="s">
        <v>175</v>
      </c>
      <c r="F1027" t="s">
        <v>192</v>
      </c>
      <c r="G1027">
        <v>-43.100771000000002</v>
      </c>
      <c r="H1027">
        <v>147.986166</v>
      </c>
      <c r="I1027" t="s">
        <v>767</v>
      </c>
      <c r="J1027" t="s">
        <v>14</v>
      </c>
      <c r="K1027" t="s">
        <v>3</v>
      </c>
      <c r="L1027" t="s">
        <v>3</v>
      </c>
      <c r="M1027" t="s">
        <v>26</v>
      </c>
      <c r="N1027" t="s">
        <v>85</v>
      </c>
      <c r="O1027" s="6" t="s">
        <v>80</v>
      </c>
      <c r="P1027" s="8"/>
      <c r="Q1027">
        <v>6</v>
      </c>
      <c r="R1027" t="s">
        <v>213</v>
      </c>
      <c r="S1027" t="s">
        <v>180</v>
      </c>
      <c r="T1027">
        <v>6</v>
      </c>
      <c r="U1027" t="s">
        <v>28</v>
      </c>
      <c r="V1027" t="s">
        <v>28</v>
      </c>
      <c r="W1027">
        <v>21.5</v>
      </c>
      <c r="X1027">
        <v>2.5954999999999999E-4</v>
      </c>
      <c r="Y1027">
        <v>7.0964970231798135E-5</v>
      </c>
    </row>
    <row r="1028" spans="1:25" x14ac:dyDescent="0.2">
      <c r="A1028" t="s">
        <v>174</v>
      </c>
      <c r="B1028">
        <v>2014</v>
      </c>
      <c r="C1028" t="s">
        <v>826</v>
      </c>
      <c r="D1028" t="s">
        <v>812</v>
      </c>
      <c r="E1028" t="s">
        <v>175</v>
      </c>
      <c r="F1028" t="s">
        <v>192</v>
      </c>
      <c r="G1028">
        <v>-43.100771000000002</v>
      </c>
      <c r="H1028">
        <v>147.986166</v>
      </c>
      <c r="I1028" t="s">
        <v>767</v>
      </c>
      <c r="J1028" t="s">
        <v>14</v>
      </c>
      <c r="K1028" t="s">
        <v>3</v>
      </c>
      <c r="L1028" t="s">
        <v>3</v>
      </c>
      <c r="M1028" t="s">
        <v>26</v>
      </c>
      <c r="N1028" t="s">
        <v>85</v>
      </c>
      <c r="O1028" s="6" t="s">
        <v>80</v>
      </c>
      <c r="P1028" s="8"/>
      <c r="Q1028">
        <v>6</v>
      </c>
      <c r="R1028" t="s">
        <v>213</v>
      </c>
      <c r="S1028" t="s">
        <v>181</v>
      </c>
      <c r="T1028">
        <v>6</v>
      </c>
      <c r="U1028" t="s">
        <v>28</v>
      </c>
      <c r="V1028" t="s">
        <v>28</v>
      </c>
      <c r="W1028">
        <v>21.6</v>
      </c>
      <c r="X1028">
        <v>2.3048333333333332E-4</v>
      </c>
      <c r="Y1028">
        <v>4.6072873436184492E-5</v>
      </c>
    </row>
    <row r="1029" spans="1:25" x14ac:dyDescent="0.2">
      <c r="A1029" t="s">
        <v>174</v>
      </c>
      <c r="B1029">
        <v>2014</v>
      </c>
      <c r="C1029" t="s">
        <v>826</v>
      </c>
      <c r="D1029" t="s">
        <v>812</v>
      </c>
      <c r="E1029" t="s">
        <v>175</v>
      </c>
      <c r="F1029" t="s">
        <v>192</v>
      </c>
      <c r="G1029">
        <v>-43.100771000000002</v>
      </c>
      <c r="H1029">
        <v>147.986166</v>
      </c>
      <c r="I1029" t="s">
        <v>767</v>
      </c>
      <c r="J1029" t="s">
        <v>14</v>
      </c>
      <c r="K1029" t="s">
        <v>3</v>
      </c>
      <c r="L1029" t="s">
        <v>3</v>
      </c>
      <c r="M1029" t="s">
        <v>26</v>
      </c>
      <c r="N1029" t="s">
        <v>85</v>
      </c>
      <c r="O1029" s="6" t="s">
        <v>80</v>
      </c>
      <c r="P1029" s="8"/>
      <c r="Q1029">
        <v>6</v>
      </c>
      <c r="R1029" t="s">
        <v>213</v>
      </c>
      <c r="S1029" t="s">
        <v>182</v>
      </c>
      <c r="T1029">
        <v>6</v>
      </c>
      <c r="U1029" t="s">
        <v>28</v>
      </c>
      <c r="V1029" t="s">
        <v>28</v>
      </c>
      <c r="W1029">
        <v>25.6</v>
      </c>
      <c r="X1029">
        <v>2.129E-4</v>
      </c>
      <c r="Y1029">
        <v>2.8388589256953256E-5</v>
      </c>
    </row>
    <row r="1030" spans="1:25" x14ac:dyDescent="0.2">
      <c r="A1030" t="s">
        <v>174</v>
      </c>
      <c r="B1030">
        <v>2014</v>
      </c>
      <c r="C1030" t="s">
        <v>826</v>
      </c>
      <c r="D1030" t="s">
        <v>812</v>
      </c>
      <c r="E1030" t="s">
        <v>175</v>
      </c>
      <c r="F1030" t="s">
        <v>192</v>
      </c>
      <c r="G1030">
        <v>-43.100771000000002</v>
      </c>
      <c r="H1030">
        <v>147.986166</v>
      </c>
      <c r="I1030" t="s">
        <v>767</v>
      </c>
      <c r="J1030" t="s">
        <v>14</v>
      </c>
      <c r="K1030" t="s">
        <v>3</v>
      </c>
      <c r="L1030" t="s">
        <v>3</v>
      </c>
      <c r="M1030" t="s">
        <v>26</v>
      </c>
      <c r="N1030" t="s">
        <v>85</v>
      </c>
      <c r="O1030" s="6" t="s">
        <v>80</v>
      </c>
      <c r="P1030" s="8"/>
      <c r="Q1030">
        <v>6</v>
      </c>
      <c r="R1030" t="s">
        <v>213</v>
      </c>
      <c r="S1030" t="s">
        <v>183</v>
      </c>
      <c r="T1030">
        <v>6</v>
      </c>
      <c r="U1030" t="s">
        <v>28</v>
      </c>
      <c r="V1030" t="s">
        <v>28</v>
      </c>
      <c r="W1030">
        <v>25.98</v>
      </c>
      <c r="X1030">
        <v>1.7169999999999997E-4</v>
      </c>
      <c r="Y1030">
        <v>4.9290932228960873E-5</v>
      </c>
    </row>
    <row r="1031" spans="1:25" x14ac:dyDescent="0.2">
      <c r="A1031" t="s">
        <v>174</v>
      </c>
      <c r="B1031">
        <v>2014</v>
      </c>
      <c r="C1031" t="s">
        <v>826</v>
      </c>
      <c r="D1031" t="s">
        <v>812</v>
      </c>
      <c r="E1031" t="s">
        <v>175</v>
      </c>
      <c r="F1031" t="s">
        <v>192</v>
      </c>
      <c r="G1031">
        <v>-43.100771000000002</v>
      </c>
      <c r="H1031">
        <v>147.986166</v>
      </c>
      <c r="I1031" t="s">
        <v>767</v>
      </c>
      <c r="J1031" t="s">
        <v>14</v>
      </c>
      <c r="K1031" t="s">
        <v>3</v>
      </c>
      <c r="L1031" t="s">
        <v>3</v>
      </c>
      <c r="M1031" t="s">
        <v>26</v>
      </c>
      <c r="N1031" t="s">
        <v>85</v>
      </c>
      <c r="O1031" s="6" t="s">
        <v>80</v>
      </c>
      <c r="P1031" s="8"/>
      <c r="Q1031">
        <v>6</v>
      </c>
      <c r="R1031" t="s">
        <v>213</v>
      </c>
      <c r="S1031" t="s">
        <v>184</v>
      </c>
      <c r="T1031">
        <v>6</v>
      </c>
      <c r="U1031" t="s">
        <v>28</v>
      </c>
      <c r="V1031" t="s">
        <v>28</v>
      </c>
      <c r="W1031">
        <v>26.079999999999995</v>
      </c>
      <c r="X1031">
        <v>1.7623333333333333E-4</v>
      </c>
      <c r="Y1031">
        <v>2.7674657480566352E-5</v>
      </c>
    </row>
    <row r="1032" spans="1:25" x14ac:dyDescent="0.2">
      <c r="A1032" t="s">
        <v>174</v>
      </c>
      <c r="B1032">
        <v>2014</v>
      </c>
      <c r="C1032" t="s">
        <v>826</v>
      </c>
      <c r="D1032" t="s">
        <v>812</v>
      </c>
      <c r="E1032" t="s">
        <v>175</v>
      </c>
      <c r="F1032" t="s">
        <v>192</v>
      </c>
      <c r="G1032">
        <v>-43.100771000000002</v>
      </c>
      <c r="H1032">
        <v>147.986166</v>
      </c>
      <c r="I1032" t="s">
        <v>767</v>
      </c>
      <c r="J1032" t="s">
        <v>14</v>
      </c>
      <c r="K1032" t="s">
        <v>3</v>
      </c>
      <c r="L1032" t="s">
        <v>3</v>
      </c>
      <c r="M1032" t="s">
        <v>26</v>
      </c>
      <c r="N1032" t="s">
        <v>85</v>
      </c>
      <c r="O1032" s="6" t="s">
        <v>80</v>
      </c>
      <c r="P1032" s="8"/>
      <c r="Q1032">
        <v>6</v>
      </c>
      <c r="R1032" t="s">
        <v>213</v>
      </c>
      <c r="S1032" t="s">
        <v>185</v>
      </c>
      <c r="T1032">
        <v>6</v>
      </c>
      <c r="U1032" t="s">
        <v>28</v>
      </c>
      <c r="V1032" t="s">
        <v>28</v>
      </c>
      <c r="W1032">
        <v>26.26</v>
      </c>
      <c r="X1032">
        <v>1.9824999999999999E-4</v>
      </c>
      <c r="Y1032">
        <v>6.628335386807158E-5</v>
      </c>
    </row>
    <row r="1033" spans="1:25" x14ac:dyDescent="0.2">
      <c r="A1033" t="s">
        <v>174</v>
      </c>
      <c r="B1033">
        <v>2014</v>
      </c>
      <c r="C1033" t="s">
        <v>826</v>
      </c>
      <c r="D1033" t="s">
        <v>812</v>
      </c>
      <c r="E1033" t="s">
        <v>175</v>
      </c>
      <c r="F1033" t="s">
        <v>322</v>
      </c>
      <c r="G1033">
        <v>-34.229953999999999</v>
      </c>
      <c r="H1033">
        <v>115.02813399999999</v>
      </c>
      <c r="I1033" t="s">
        <v>767</v>
      </c>
      <c r="J1033" t="s">
        <v>7</v>
      </c>
      <c r="K1033" t="s">
        <v>3</v>
      </c>
      <c r="L1033" t="s">
        <v>3</v>
      </c>
      <c r="M1033" t="s">
        <v>26</v>
      </c>
      <c r="N1033" t="s">
        <v>85</v>
      </c>
      <c r="O1033" s="6" t="s">
        <v>80</v>
      </c>
      <c r="P1033" s="8"/>
      <c r="Q1033">
        <v>6</v>
      </c>
      <c r="R1033" t="s">
        <v>213</v>
      </c>
      <c r="S1033" t="s">
        <v>7</v>
      </c>
      <c r="T1033">
        <v>6</v>
      </c>
      <c r="U1033" t="s">
        <v>28</v>
      </c>
      <c r="V1033" t="s">
        <v>28</v>
      </c>
      <c r="W1033">
        <v>14.78</v>
      </c>
      <c r="X1033">
        <v>6.0111666666666676E-5</v>
      </c>
      <c r="Y1033">
        <v>9.7342496714778335E-6</v>
      </c>
    </row>
    <row r="1034" spans="1:25" x14ac:dyDescent="0.2">
      <c r="A1034" t="s">
        <v>174</v>
      </c>
      <c r="B1034">
        <v>2014</v>
      </c>
      <c r="C1034" t="s">
        <v>826</v>
      </c>
      <c r="D1034" t="s">
        <v>812</v>
      </c>
      <c r="E1034" t="s">
        <v>175</v>
      </c>
      <c r="F1034" t="s">
        <v>322</v>
      </c>
      <c r="G1034">
        <v>-34.229953999999999</v>
      </c>
      <c r="H1034">
        <v>115.02813399999999</v>
      </c>
      <c r="I1034" t="s">
        <v>767</v>
      </c>
      <c r="J1034" t="s">
        <v>14</v>
      </c>
      <c r="K1034" t="s">
        <v>3</v>
      </c>
      <c r="L1034" t="s">
        <v>3</v>
      </c>
      <c r="M1034" t="s">
        <v>26</v>
      </c>
      <c r="N1034" t="s">
        <v>85</v>
      </c>
      <c r="O1034" s="6" t="s">
        <v>80</v>
      </c>
      <c r="P1034" s="8"/>
      <c r="Q1034">
        <v>6</v>
      </c>
      <c r="R1034" t="s">
        <v>213</v>
      </c>
      <c r="S1034" t="s">
        <v>9</v>
      </c>
      <c r="T1034">
        <v>6</v>
      </c>
      <c r="U1034" t="s">
        <v>28</v>
      </c>
      <c r="V1034" t="s">
        <v>28</v>
      </c>
      <c r="W1034">
        <v>17.074999999999999</v>
      </c>
      <c r="X1034">
        <v>5.2096666666666659E-5</v>
      </c>
      <c r="Y1034">
        <v>1.2617723513640136E-5</v>
      </c>
    </row>
    <row r="1035" spans="1:25" x14ac:dyDescent="0.2">
      <c r="A1035" t="s">
        <v>174</v>
      </c>
      <c r="B1035">
        <v>2014</v>
      </c>
      <c r="C1035" t="s">
        <v>826</v>
      </c>
      <c r="D1035" t="s">
        <v>812</v>
      </c>
      <c r="E1035" t="s">
        <v>175</v>
      </c>
      <c r="F1035" t="s">
        <v>322</v>
      </c>
      <c r="G1035">
        <v>-34.229953999999999</v>
      </c>
      <c r="H1035">
        <v>115.02813399999999</v>
      </c>
      <c r="I1035" t="s">
        <v>767</v>
      </c>
      <c r="J1035" t="s">
        <v>14</v>
      </c>
      <c r="K1035" t="s">
        <v>3</v>
      </c>
      <c r="L1035" t="s">
        <v>3</v>
      </c>
      <c r="M1035" t="s">
        <v>26</v>
      </c>
      <c r="N1035" t="s">
        <v>85</v>
      </c>
      <c r="O1035" s="6" t="s">
        <v>80</v>
      </c>
      <c r="P1035" s="8"/>
      <c r="Q1035">
        <v>6</v>
      </c>
      <c r="R1035" t="s">
        <v>213</v>
      </c>
      <c r="S1035" t="s">
        <v>27</v>
      </c>
      <c r="T1035">
        <v>6</v>
      </c>
      <c r="U1035" t="s">
        <v>28</v>
      </c>
      <c r="V1035" t="s">
        <v>28</v>
      </c>
      <c r="W1035">
        <v>19.04</v>
      </c>
      <c r="X1035">
        <v>6.007833333333333E-5</v>
      </c>
      <c r="Y1035">
        <v>1.2068559842278918E-5</v>
      </c>
    </row>
    <row r="1036" spans="1:25" x14ac:dyDescent="0.2">
      <c r="A1036" t="s">
        <v>174</v>
      </c>
      <c r="B1036">
        <v>2014</v>
      </c>
      <c r="C1036" t="s">
        <v>826</v>
      </c>
      <c r="D1036" t="s">
        <v>812</v>
      </c>
      <c r="E1036" t="s">
        <v>175</v>
      </c>
      <c r="F1036" t="s">
        <v>322</v>
      </c>
      <c r="G1036">
        <v>-34.229953999999999</v>
      </c>
      <c r="H1036">
        <v>115.02813399999999</v>
      </c>
      <c r="I1036" t="s">
        <v>767</v>
      </c>
      <c r="J1036" t="s">
        <v>14</v>
      </c>
      <c r="K1036" t="s">
        <v>3</v>
      </c>
      <c r="L1036" t="s">
        <v>3</v>
      </c>
      <c r="M1036" t="s">
        <v>26</v>
      </c>
      <c r="N1036" t="s">
        <v>85</v>
      </c>
      <c r="O1036" s="6" t="s">
        <v>80</v>
      </c>
      <c r="P1036" s="8"/>
      <c r="Q1036">
        <v>6</v>
      </c>
      <c r="R1036" t="s">
        <v>213</v>
      </c>
      <c r="S1036" t="s">
        <v>13</v>
      </c>
      <c r="T1036">
        <v>6</v>
      </c>
      <c r="U1036" t="s">
        <v>28</v>
      </c>
      <c r="V1036" t="s">
        <v>28</v>
      </c>
      <c r="W1036">
        <v>19.45</v>
      </c>
      <c r="X1036">
        <v>6.7251666666666665E-5</v>
      </c>
      <c r="Y1036">
        <v>9.8460233935669588E-6</v>
      </c>
    </row>
    <row r="1037" spans="1:25" x14ac:dyDescent="0.2">
      <c r="A1037" t="s">
        <v>174</v>
      </c>
      <c r="B1037">
        <v>2014</v>
      </c>
      <c r="C1037" t="s">
        <v>826</v>
      </c>
      <c r="D1037" t="s">
        <v>812</v>
      </c>
      <c r="E1037" t="s">
        <v>175</v>
      </c>
      <c r="F1037" t="s">
        <v>322</v>
      </c>
      <c r="G1037">
        <v>-34.229953999999999</v>
      </c>
      <c r="H1037">
        <v>115.02813399999999</v>
      </c>
      <c r="I1037" t="s">
        <v>767</v>
      </c>
      <c r="J1037" t="s">
        <v>14</v>
      </c>
      <c r="K1037" t="s">
        <v>3</v>
      </c>
      <c r="L1037" t="s">
        <v>3</v>
      </c>
      <c r="M1037" t="s">
        <v>26</v>
      </c>
      <c r="N1037" t="s">
        <v>85</v>
      </c>
      <c r="O1037" s="6" t="s">
        <v>80</v>
      </c>
      <c r="P1037" s="8"/>
      <c r="Q1037">
        <v>6</v>
      </c>
      <c r="R1037" t="s">
        <v>213</v>
      </c>
      <c r="S1037" t="s">
        <v>15</v>
      </c>
      <c r="T1037">
        <v>6</v>
      </c>
      <c r="U1037" t="s">
        <v>28</v>
      </c>
      <c r="V1037" t="s">
        <v>28</v>
      </c>
      <c r="W1037">
        <v>20.74</v>
      </c>
      <c r="X1037">
        <v>6.5481666666666674E-5</v>
      </c>
      <c r="Y1037">
        <v>1.6451749349739864E-5</v>
      </c>
    </row>
    <row r="1038" spans="1:25" x14ac:dyDescent="0.2">
      <c r="A1038" t="s">
        <v>174</v>
      </c>
      <c r="B1038">
        <v>2014</v>
      </c>
      <c r="C1038" t="s">
        <v>826</v>
      </c>
      <c r="D1038" t="s">
        <v>812</v>
      </c>
      <c r="E1038" t="s">
        <v>175</v>
      </c>
      <c r="F1038" t="s">
        <v>322</v>
      </c>
      <c r="G1038">
        <v>-34.229953999999999</v>
      </c>
      <c r="H1038">
        <v>115.02813399999999</v>
      </c>
      <c r="I1038" t="s">
        <v>767</v>
      </c>
      <c r="J1038" t="s">
        <v>14</v>
      </c>
      <c r="K1038" t="s">
        <v>3</v>
      </c>
      <c r="L1038" t="s">
        <v>3</v>
      </c>
      <c r="M1038" t="s">
        <v>26</v>
      </c>
      <c r="N1038" t="s">
        <v>85</v>
      </c>
      <c r="O1038" s="6" t="s">
        <v>80</v>
      </c>
      <c r="P1038" s="8"/>
      <c r="Q1038">
        <v>6</v>
      </c>
      <c r="R1038" t="s">
        <v>213</v>
      </c>
      <c r="S1038" t="s">
        <v>37</v>
      </c>
      <c r="T1038">
        <v>6</v>
      </c>
      <c r="U1038" t="s">
        <v>28</v>
      </c>
      <c r="V1038" t="s">
        <v>28</v>
      </c>
      <c r="W1038">
        <v>21.42</v>
      </c>
      <c r="X1038">
        <v>5.7918333333333331E-5</v>
      </c>
      <c r="Y1038">
        <v>5.3438017054029566E-6</v>
      </c>
    </row>
    <row r="1039" spans="1:25" x14ac:dyDescent="0.2">
      <c r="A1039" t="s">
        <v>174</v>
      </c>
      <c r="B1039">
        <v>2014</v>
      </c>
      <c r="C1039" t="s">
        <v>826</v>
      </c>
      <c r="D1039" t="s">
        <v>812</v>
      </c>
      <c r="E1039" t="s">
        <v>175</v>
      </c>
      <c r="F1039" t="s">
        <v>322</v>
      </c>
      <c r="G1039">
        <v>-34.229953999999999</v>
      </c>
      <c r="H1039">
        <v>115.02813399999999</v>
      </c>
      <c r="I1039" t="s">
        <v>767</v>
      </c>
      <c r="J1039" t="s">
        <v>14</v>
      </c>
      <c r="K1039" t="s">
        <v>3</v>
      </c>
      <c r="L1039" t="s">
        <v>3</v>
      </c>
      <c r="M1039" t="s">
        <v>26</v>
      </c>
      <c r="N1039" t="s">
        <v>85</v>
      </c>
      <c r="O1039" s="6" t="s">
        <v>80</v>
      </c>
      <c r="P1039" s="8"/>
      <c r="Q1039">
        <v>6</v>
      </c>
      <c r="R1039" t="s">
        <v>213</v>
      </c>
      <c r="S1039" t="s">
        <v>116</v>
      </c>
      <c r="T1039">
        <v>6</v>
      </c>
      <c r="U1039" t="s">
        <v>28</v>
      </c>
      <c r="V1039" t="s">
        <v>28</v>
      </c>
      <c r="W1039">
        <v>21.7</v>
      </c>
      <c r="X1039">
        <v>6.4676666666666657E-5</v>
      </c>
      <c r="Y1039">
        <v>1.4209103654582414E-5</v>
      </c>
    </row>
    <row r="1040" spans="1:25" x14ac:dyDescent="0.2">
      <c r="A1040" t="s">
        <v>174</v>
      </c>
      <c r="B1040">
        <v>2014</v>
      </c>
      <c r="C1040" t="s">
        <v>826</v>
      </c>
      <c r="D1040" t="s">
        <v>812</v>
      </c>
      <c r="E1040" t="s">
        <v>175</v>
      </c>
      <c r="F1040" t="s">
        <v>322</v>
      </c>
      <c r="G1040">
        <v>-34.229953999999999</v>
      </c>
      <c r="H1040">
        <v>115.02813399999999</v>
      </c>
      <c r="I1040" t="s">
        <v>767</v>
      </c>
      <c r="J1040" t="s">
        <v>14</v>
      </c>
      <c r="K1040" t="s">
        <v>3</v>
      </c>
      <c r="L1040" t="s">
        <v>3</v>
      </c>
      <c r="M1040" t="s">
        <v>26</v>
      </c>
      <c r="N1040" t="s">
        <v>85</v>
      </c>
      <c r="O1040" s="6" t="s">
        <v>80</v>
      </c>
      <c r="P1040" s="8"/>
      <c r="Q1040">
        <v>6</v>
      </c>
      <c r="R1040" t="s">
        <v>213</v>
      </c>
      <c r="S1040" t="s">
        <v>117</v>
      </c>
      <c r="T1040">
        <v>6</v>
      </c>
      <c r="U1040" t="s">
        <v>28</v>
      </c>
      <c r="V1040" t="s">
        <v>28</v>
      </c>
      <c r="W1040">
        <v>21.774999999999999</v>
      </c>
      <c r="X1040">
        <v>7.5558333333333345E-5</v>
      </c>
      <c r="Y1040">
        <v>1.8120582128250364E-5</v>
      </c>
    </row>
    <row r="1041" spans="1:25" x14ac:dyDescent="0.2">
      <c r="A1041" t="s">
        <v>174</v>
      </c>
      <c r="B1041">
        <v>2014</v>
      </c>
      <c r="C1041" t="s">
        <v>826</v>
      </c>
      <c r="D1041" t="s">
        <v>812</v>
      </c>
      <c r="E1041" t="s">
        <v>175</v>
      </c>
      <c r="F1041" t="s">
        <v>322</v>
      </c>
      <c r="G1041">
        <v>-34.229953999999999</v>
      </c>
      <c r="H1041">
        <v>115.02813399999999</v>
      </c>
      <c r="I1041" t="s">
        <v>767</v>
      </c>
      <c r="J1041" t="s">
        <v>14</v>
      </c>
      <c r="K1041" t="s">
        <v>3</v>
      </c>
      <c r="L1041" t="s">
        <v>3</v>
      </c>
      <c r="M1041" t="s">
        <v>26</v>
      </c>
      <c r="N1041" t="s">
        <v>85</v>
      </c>
      <c r="O1041" s="6" t="s">
        <v>80</v>
      </c>
      <c r="P1041" s="8"/>
      <c r="Q1041">
        <v>6</v>
      </c>
      <c r="R1041" t="s">
        <v>213</v>
      </c>
      <c r="S1041" t="s">
        <v>118</v>
      </c>
      <c r="T1041">
        <v>6</v>
      </c>
      <c r="U1041" t="s">
        <v>28</v>
      </c>
      <c r="V1041" t="s">
        <v>28</v>
      </c>
      <c r="W1041">
        <v>21.875</v>
      </c>
      <c r="X1041">
        <v>8.3781666666666685E-5</v>
      </c>
      <c r="Y1041">
        <v>1.1459484136149585E-5</v>
      </c>
    </row>
    <row r="1042" spans="1:25" x14ac:dyDescent="0.2">
      <c r="A1042" t="s">
        <v>174</v>
      </c>
      <c r="B1042">
        <v>2014</v>
      </c>
      <c r="C1042" t="s">
        <v>826</v>
      </c>
      <c r="D1042" t="s">
        <v>812</v>
      </c>
      <c r="E1042" t="s">
        <v>175</v>
      </c>
      <c r="F1042" t="s">
        <v>322</v>
      </c>
      <c r="G1042">
        <v>-34.229953999999999</v>
      </c>
      <c r="H1042">
        <v>115.02813399999999</v>
      </c>
      <c r="I1042" t="s">
        <v>767</v>
      </c>
      <c r="J1042" t="s">
        <v>14</v>
      </c>
      <c r="K1042" t="s">
        <v>3</v>
      </c>
      <c r="L1042" t="s">
        <v>3</v>
      </c>
      <c r="M1042" t="s">
        <v>26</v>
      </c>
      <c r="N1042" t="s">
        <v>85</v>
      </c>
      <c r="O1042" s="6" t="s">
        <v>80</v>
      </c>
      <c r="P1042" s="8"/>
      <c r="Q1042">
        <v>6</v>
      </c>
      <c r="R1042" t="s">
        <v>213</v>
      </c>
      <c r="S1042" t="s">
        <v>177</v>
      </c>
      <c r="T1042">
        <v>6</v>
      </c>
      <c r="U1042" t="s">
        <v>28</v>
      </c>
      <c r="V1042" t="s">
        <v>28</v>
      </c>
      <c r="W1042">
        <v>22.225000000000001</v>
      </c>
      <c r="X1042">
        <v>5.7070000000000001E-5</v>
      </c>
      <c r="Y1042">
        <v>4.6583731065683869E-6</v>
      </c>
    </row>
    <row r="1043" spans="1:25" x14ac:dyDescent="0.2">
      <c r="A1043" t="s">
        <v>174</v>
      </c>
      <c r="B1043">
        <v>2014</v>
      </c>
      <c r="C1043" t="s">
        <v>826</v>
      </c>
      <c r="D1043" t="s">
        <v>812</v>
      </c>
      <c r="E1043" t="s">
        <v>175</v>
      </c>
      <c r="F1043" t="s">
        <v>322</v>
      </c>
      <c r="G1043">
        <v>-34.229953999999999</v>
      </c>
      <c r="H1043">
        <v>115.02813399999999</v>
      </c>
      <c r="I1043" t="s">
        <v>767</v>
      </c>
      <c r="J1043" t="s">
        <v>14</v>
      </c>
      <c r="K1043" t="s">
        <v>3</v>
      </c>
      <c r="L1043" t="s">
        <v>3</v>
      </c>
      <c r="M1043" t="s">
        <v>26</v>
      </c>
      <c r="N1043" t="s">
        <v>85</v>
      </c>
      <c r="O1043" s="6" t="s">
        <v>80</v>
      </c>
      <c r="P1043" s="8"/>
      <c r="Q1043">
        <v>6</v>
      </c>
      <c r="R1043" t="s">
        <v>213</v>
      </c>
      <c r="S1043" t="s">
        <v>178</v>
      </c>
      <c r="T1043">
        <v>6</v>
      </c>
      <c r="U1043" t="s">
        <v>28</v>
      </c>
      <c r="V1043" t="s">
        <v>28</v>
      </c>
      <c r="W1043">
        <v>22.274999999999999</v>
      </c>
      <c r="X1043">
        <v>7.2766666666666669E-5</v>
      </c>
      <c r="Y1043">
        <v>1.0366827222765184E-5</v>
      </c>
    </row>
    <row r="1044" spans="1:25" x14ac:dyDescent="0.2">
      <c r="A1044" t="s">
        <v>174</v>
      </c>
      <c r="B1044">
        <v>2014</v>
      </c>
      <c r="C1044" t="s">
        <v>826</v>
      </c>
      <c r="D1044" t="s">
        <v>812</v>
      </c>
      <c r="E1044" t="s">
        <v>175</v>
      </c>
      <c r="F1044" t="s">
        <v>322</v>
      </c>
      <c r="G1044">
        <v>-34.229953999999999</v>
      </c>
      <c r="H1044">
        <v>115.02813399999999</v>
      </c>
      <c r="I1044" t="s">
        <v>767</v>
      </c>
      <c r="J1044" t="s">
        <v>14</v>
      </c>
      <c r="K1044" t="s">
        <v>3</v>
      </c>
      <c r="L1044" t="s">
        <v>3</v>
      </c>
      <c r="M1044" t="s">
        <v>26</v>
      </c>
      <c r="N1044" t="s">
        <v>85</v>
      </c>
      <c r="O1044" s="6" t="s">
        <v>80</v>
      </c>
      <c r="P1044" s="8"/>
      <c r="Q1044">
        <v>6</v>
      </c>
      <c r="R1044" t="s">
        <v>213</v>
      </c>
      <c r="S1044" t="s">
        <v>179</v>
      </c>
      <c r="T1044">
        <v>6</v>
      </c>
      <c r="U1044" t="s">
        <v>28</v>
      </c>
      <c r="V1044" t="s">
        <v>28</v>
      </c>
      <c r="W1044">
        <v>23.349999999999998</v>
      </c>
      <c r="X1044">
        <v>6.3960000000000004E-5</v>
      </c>
      <c r="Y1044">
        <v>1.2777514625309543E-5</v>
      </c>
    </row>
    <row r="1045" spans="1:25" x14ac:dyDescent="0.2">
      <c r="A1045" t="s">
        <v>174</v>
      </c>
      <c r="B1045">
        <v>2014</v>
      </c>
      <c r="C1045" t="s">
        <v>826</v>
      </c>
      <c r="D1045" t="s">
        <v>812</v>
      </c>
      <c r="E1045" t="s">
        <v>175</v>
      </c>
      <c r="F1045" t="s">
        <v>322</v>
      </c>
      <c r="G1045">
        <v>-34.229953999999999</v>
      </c>
      <c r="H1045">
        <v>115.02813399999999</v>
      </c>
      <c r="I1045" t="s">
        <v>767</v>
      </c>
      <c r="J1045" t="s">
        <v>14</v>
      </c>
      <c r="K1045" t="s">
        <v>3</v>
      </c>
      <c r="L1045" t="s">
        <v>3</v>
      </c>
      <c r="M1045" t="s">
        <v>26</v>
      </c>
      <c r="N1045" t="s">
        <v>85</v>
      </c>
      <c r="O1045" s="6" t="s">
        <v>80</v>
      </c>
      <c r="P1045" s="8"/>
      <c r="Q1045">
        <v>6</v>
      </c>
      <c r="R1045" t="s">
        <v>213</v>
      </c>
      <c r="S1045" t="s">
        <v>180</v>
      </c>
      <c r="T1045">
        <v>6</v>
      </c>
      <c r="U1045" t="s">
        <v>28</v>
      </c>
      <c r="V1045" t="s">
        <v>28</v>
      </c>
      <c r="W1045">
        <v>25.939999999999998</v>
      </c>
      <c r="X1045">
        <v>5.3235000000000001E-5</v>
      </c>
      <c r="Y1045">
        <v>1.1579281065765663E-5</v>
      </c>
    </row>
    <row r="1046" spans="1:25" x14ac:dyDescent="0.2">
      <c r="A1046" t="s">
        <v>174</v>
      </c>
      <c r="B1046">
        <v>2014</v>
      </c>
      <c r="C1046" t="s">
        <v>826</v>
      </c>
      <c r="D1046" t="s">
        <v>812</v>
      </c>
      <c r="E1046" t="s">
        <v>175</v>
      </c>
      <c r="F1046" t="s">
        <v>322</v>
      </c>
      <c r="G1046">
        <v>-34.229953999999999</v>
      </c>
      <c r="H1046">
        <v>115.02813399999999</v>
      </c>
      <c r="I1046" t="s">
        <v>767</v>
      </c>
      <c r="J1046" t="s">
        <v>14</v>
      </c>
      <c r="K1046" t="s">
        <v>3</v>
      </c>
      <c r="L1046" t="s">
        <v>3</v>
      </c>
      <c r="M1046" t="s">
        <v>26</v>
      </c>
      <c r="N1046" t="s">
        <v>85</v>
      </c>
      <c r="O1046" s="6" t="s">
        <v>80</v>
      </c>
      <c r="P1046" s="8"/>
      <c r="Q1046">
        <v>6</v>
      </c>
      <c r="R1046" t="s">
        <v>213</v>
      </c>
      <c r="S1046" t="s">
        <v>181</v>
      </c>
      <c r="T1046">
        <v>6</v>
      </c>
      <c r="U1046" t="s">
        <v>28</v>
      </c>
      <c r="V1046" t="s">
        <v>28</v>
      </c>
      <c r="W1046">
        <v>26.04</v>
      </c>
      <c r="X1046">
        <v>4.707833333333334E-5</v>
      </c>
      <c r="Y1046">
        <v>7.2355246296772417E-6</v>
      </c>
    </row>
    <row r="1047" spans="1:25" x14ac:dyDescent="0.2">
      <c r="A1047" t="s">
        <v>174</v>
      </c>
      <c r="B1047">
        <v>2014</v>
      </c>
      <c r="C1047" t="s">
        <v>826</v>
      </c>
      <c r="D1047" t="s">
        <v>812</v>
      </c>
      <c r="E1047" t="s">
        <v>175</v>
      </c>
      <c r="F1047" t="s">
        <v>322</v>
      </c>
      <c r="G1047">
        <v>-34.229953999999999</v>
      </c>
      <c r="H1047">
        <v>115.02813399999999</v>
      </c>
      <c r="I1047" t="s">
        <v>767</v>
      </c>
      <c r="J1047" t="s">
        <v>14</v>
      </c>
      <c r="K1047" t="s">
        <v>3</v>
      </c>
      <c r="L1047" t="s">
        <v>3</v>
      </c>
      <c r="M1047" t="s">
        <v>26</v>
      </c>
      <c r="N1047" t="s">
        <v>85</v>
      </c>
      <c r="O1047" s="6" t="s">
        <v>80</v>
      </c>
      <c r="P1047" s="8"/>
      <c r="Q1047">
        <v>6</v>
      </c>
      <c r="R1047" t="s">
        <v>213</v>
      </c>
      <c r="S1047" t="s">
        <v>182</v>
      </c>
      <c r="T1047">
        <v>6</v>
      </c>
      <c r="U1047" t="s">
        <v>28</v>
      </c>
      <c r="V1047" t="s">
        <v>28</v>
      </c>
      <c r="W1047">
        <v>26.424999999999997</v>
      </c>
      <c r="X1047">
        <v>5.1976666666666667E-5</v>
      </c>
      <c r="Y1047">
        <v>3.1759513010539645E-6</v>
      </c>
    </row>
    <row r="1048" spans="1:25" x14ac:dyDescent="0.2">
      <c r="A1048" t="s">
        <v>174</v>
      </c>
      <c r="B1048">
        <v>2014</v>
      </c>
      <c r="C1048" t="s">
        <v>826</v>
      </c>
      <c r="D1048" t="s">
        <v>812</v>
      </c>
      <c r="E1048" t="s">
        <v>175</v>
      </c>
      <c r="F1048" t="s">
        <v>322</v>
      </c>
      <c r="G1048">
        <v>-34.229953999999999</v>
      </c>
      <c r="H1048">
        <v>115.02813399999999</v>
      </c>
      <c r="I1048" t="s">
        <v>767</v>
      </c>
      <c r="J1048" t="s">
        <v>14</v>
      </c>
      <c r="K1048" t="s">
        <v>3</v>
      </c>
      <c r="L1048" t="s">
        <v>3</v>
      </c>
      <c r="M1048" t="s">
        <v>26</v>
      </c>
      <c r="N1048" t="s">
        <v>85</v>
      </c>
      <c r="O1048" s="6" t="s">
        <v>80</v>
      </c>
      <c r="P1048" s="8"/>
      <c r="Q1048">
        <v>6</v>
      </c>
      <c r="R1048" t="s">
        <v>213</v>
      </c>
      <c r="S1048" t="s">
        <v>183</v>
      </c>
      <c r="T1048">
        <v>6</v>
      </c>
      <c r="U1048" t="s">
        <v>28</v>
      </c>
      <c r="V1048" t="s">
        <v>28</v>
      </c>
      <c r="W1048">
        <v>26.6</v>
      </c>
      <c r="X1048">
        <v>4.4624999999999994E-5</v>
      </c>
      <c r="Y1048">
        <v>4.7323767812802351E-6</v>
      </c>
    </row>
    <row r="1049" spans="1:25" x14ac:dyDescent="0.2">
      <c r="A1049" t="s">
        <v>174</v>
      </c>
      <c r="B1049">
        <v>2014</v>
      </c>
      <c r="C1049" t="s">
        <v>826</v>
      </c>
      <c r="D1049" t="s">
        <v>812</v>
      </c>
      <c r="E1049" t="s">
        <v>175</v>
      </c>
      <c r="F1049" t="s">
        <v>322</v>
      </c>
      <c r="G1049">
        <v>-34.229953999999999</v>
      </c>
      <c r="H1049">
        <v>115.02813399999999</v>
      </c>
      <c r="I1049" t="s">
        <v>767</v>
      </c>
      <c r="J1049" t="s">
        <v>14</v>
      </c>
      <c r="K1049" t="s">
        <v>3</v>
      </c>
      <c r="L1049" t="s">
        <v>3</v>
      </c>
      <c r="M1049" t="s">
        <v>26</v>
      </c>
      <c r="N1049" t="s">
        <v>85</v>
      </c>
      <c r="O1049" s="6" t="s">
        <v>80</v>
      </c>
      <c r="P1049" s="8"/>
      <c r="Q1049">
        <v>6</v>
      </c>
      <c r="R1049" t="s">
        <v>213</v>
      </c>
      <c r="S1049" t="s">
        <v>184</v>
      </c>
      <c r="T1049">
        <v>6</v>
      </c>
      <c r="U1049" t="s">
        <v>28</v>
      </c>
      <c r="V1049" t="s">
        <v>28</v>
      </c>
      <c r="W1049">
        <v>26.7</v>
      </c>
      <c r="X1049">
        <v>7.3155E-5</v>
      </c>
      <c r="Y1049">
        <v>1.2293430359342353E-5</v>
      </c>
    </row>
    <row r="1050" spans="1:25" x14ac:dyDescent="0.2">
      <c r="A1050" t="s">
        <v>174</v>
      </c>
      <c r="B1050">
        <v>2014</v>
      </c>
      <c r="C1050" t="s">
        <v>826</v>
      </c>
      <c r="D1050" t="s">
        <v>812</v>
      </c>
      <c r="E1050" t="s">
        <v>175</v>
      </c>
      <c r="F1050" t="s">
        <v>322</v>
      </c>
      <c r="G1050">
        <v>-34.229953999999999</v>
      </c>
      <c r="H1050">
        <v>115.02813399999999</v>
      </c>
      <c r="I1050" t="s">
        <v>767</v>
      </c>
      <c r="J1050" t="s">
        <v>14</v>
      </c>
      <c r="K1050" t="s">
        <v>3</v>
      </c>
      <c r="L1050" t="s">
        <v>3</v>
      </c>
      <c r="M1050" t="s">
        <v>26</v>
      </c>
      <c r="N1050" t="s">
        <v>85</v>
      </c>
      <c r="O1050" s="6" t="s">
        <v>80</v>
      </c>
      <c r="P1050" s="8"/>
      <c r="Q1050">
        <v>6</v>
      </c>
      <c r="R1050" t="s">
        <v>213</v>
      </c>
      <c r="S1050" t="s">
        <v>185</v>
      </c>
      <c r="T1050">
        <v>6</v>
      </c>
      <c r="U1050" t="s">
        <v>28</v>
      </c>
      <c r="V1050" t="s">
        <v>28</v>
      </c>
      <c r="W1050">
        <v>26.974999999999998</v>
      </c>
      <c r="X1050">
        <v>4.6673333333333326E-5</v>
      </c>
      <c r="Y1050">
        <v>5.3085465681924133E-6</v>
      </c>
    </row>
    <row r="1051" spans="1:25" x14ac:dyDescent="0.2">
      <c r="A1051" t="s">
        <v>174</v>
      </c>
      <c r="B1051">
        <v>2014</v>
      </c>
      <c r="C1051" t="s">
        <v>826</v>
      </c>
      <c r="D1051" t="s">
        <v>812</v>
      </c>
      <c r="E1051" t="s">
        <v>175</v>
      </c>
      <c r="F1051" t="s">
        <v>190</v>
      </c>
      <c r="G1051">
        <v>-35.382478999999996</v>
      </c>
      <c r="H1051">
        <v>137.15918500000001</v>
      </c>
      <c r="I1051" t="s">
        <v>772</v>
      </c>
      <c r="J1051" t="s">
        <v>7</v>
      </c>
      <c r="K1051" t="s">
        <v>3</v>
      </c>
      <c r="L1051" t="s">
        <v>3</v>
      </c>
      <c r="M1051" t="s">
        <v>26</v>
      </c>
      <c r="N1051" t="s">
        <v>85</v>
      </c>
      <c r="O1051" s="6" t="s">
        <v>80</v>
      </c>
      <c r="P1051" s="8"/>
      <c r="Q1051">
        <v>6</v>
      </c>
      <c r="R1051" t="s">
        <v>213</v>
      </c>
      <c r="S1051" t="s">
        <v>7</v>
      </c>
      <c r="T1051">
        <v>6</v>
      </c>
      <c r="U1051" t="s">
        <v>28</v>
      </c>
      <c r="V1051" t="s">
        <v>28</v>
      </c>
      <c r="W1051">
        <v>11.879999999999999</v>
      </c>
      <c r="X1051">
        <v>5.398833333333334E-5</v>
      </c>
      <c r="Y1051">
        <v>9.6150952500048205E-6</v>
      </c>
    </row>
    <row r="1052" spans="1:25" x14ac:dyDescent="0.2">
      <c r="A1052" t="s">
        <v>174</v>
      </c>
      <c r="B1052">
        <v>2014</v>
      </c>
      <c r="C1052" t="s">
        <v>826</v>
      </c>
      <c r="D1052" t="s">
        <v>812</v>
      </c>
      <c r="E1052" t="s">
        <v>175</v>
      </c>
      <c r="F1052" t="s">
        <v>190</v>
      </c>
      <c r="G1052">
        <v>-35.382478999999996</v>
      </c>
      <c r="H1052">
        <v>137.15918500000001</v>
      </c>
      <c r="I1052" t="s">
        <v>772</v>
      </c>
      <c r="J1052" t="s">
        <v>14</v>
      </c>
      <c r="K1052" t="s">
        <v>3</v>
      </c>
      <c r="L1052" t="s">
        <v>3</v>
      </c>
      <c r="M1052" t="s">
        <v>26</v>
      </c>
      <c r="N1052" t="s">
        <v>85</v>
      </c>
      <c r="O1052" s="6" t="s">
        <v>80</v>
      </c>
      <c r="P1052" s="8"/>
      <c r="Q1052">
        <v>6</v>
      </c>
      <c r="R1052" t="s">
        <v>213</v>
      </c>
      <c r="S1052" t="s">
        <v>9</v>
      </c>
      <c r="T1052">
        <v>6</v>
      </c>
      <c r="U1052" t="s">
        <v>28</v>
      </c>
      <c r="V1052" t="s">
        <v>28</v>
      </c>
      <c r="W1052">
        <v>13.879999999999999</v>
      </c>
      <c r="X1052">
        <v>3.9524999999999999E-5</v>
      </c>
      <c r="Y1052">
        <v>9.0200770506687035E-6</v>
      </c>
    </row>
    <row r="1053" spans="1:25" x14ac:dyDescent="0.2">
      <c r="A1053" t="s">
        <v>174</v>
      </c>
      <c r="B1053">
        <v>2014</v>
      </c>
      <c r="C1053" t="s">
        <v>826</v>
      </c>
      <c r="D1053" t="s">
        <v>812</v>
      </c>
      <c r="E1053" t="s">
        <v>175</v>
      </c>
      <c r="F1053" t="s">
        <v>190</v>
      </c>
      <c r="G1053">
        <v>-35.382478999999996</v>
      </c>
      <c r="H1053">
        <v>137.15918500000001</v>
      </c>
      <c r="I1053" t="s">
        <v>772</v>
      </c>
      <c r="J1053" t="s">
        <v>14</v>
      </c>
      <c r="K1053" t="s">
        <v>3</v>
      </c>
      <c r="L1053" t="s">
        <v>3</v>
      </c>
      <c r="M1053" t="s">
        <v>26</v>
      </c>
      <c r="N1053" t="s">
        <v>85</v>
      </c>
      <c r="O1053" s="6" t="s">
        <v>80</v>
      </c>
      <c r="P1053" s="8"/>
      <c r="Q1053">
        <v>6</v>
      </c>
      <c r="R1053" t="s">
        <v>213</v>
      </c>
      <c r="S1053" t="s">
        <v>27</v>
      </c>
      <c r="T1053">
        <v>6</v>
      </c>
      <c r="U1053" t="s">
        <v>28</v>
      </c>
      <c r="V1053" t="s">
        <v>28</v>
      </c>
      <c r="W1053">
        <v>15.9</v>
      </c>
      <c r="X1053">
        <v>4.1723333333333334E-5</v>
      </c>
      <c r="Y1053">
        <v>5.6863262891489991E-6</v>
      </c>
    </row>
    <row r="1054" spans="1:25" x14ac:dyDescent="0.2">
      <c r="A1054" t="s">
        <v>174</v>
      </c>
      <c r="B1054">
        <v>2014</v>
      </c>
      <c r="C1054" t="s">
        <v>826</v>
      </c>
      <c r="D1054" t="s">
        <v>812</v>
      </c>
      <c r="E1054" t="s">
        <v>175</v>
      </c>
      <c r="F1054" t="s">
        <v>190</v>
      </c>
      <c r="G1054">
        <v>-35.382478999999996</v>
      </c>
      <c r="H1054">
        <v>137.15918500000001</v>
      </c>
      <c r="I1054" t="s">
        <v>772</v>
      </c>
      <c r="J1054" t="s">
        <v>14</v>
      </c>
      <c r="K1054" t="s">
        <v>3</v>
      </c>
      <c r="L1054" t="s">
        <v>3</v>
      </c>
      <c r="M1054" t="s">
        <v>26</v>
      </c>
      <c r="N1054" t="s">
        <v>85</v>
      </c>
      <c r="O1054" s="6" t="s">
        <v>80</v>
      </c>
      <c r="P1054" s="8"/>
      <c r="Q1054">
        <v>6</v>
      </c>
      <c r="R1054" t="s">
        <v>213</v>
      </c>
      <c r="S1054" t="s">
        <v>13</v>
      </c>
      <c r="T1054">
        <v>6</v>
      </c>
      <c r="U1054" t="s">
        <v>28</v>
      </c>
      <c r="V1054" t="s">
        <v>28</v>
      </c>
      <c r="W1054">
        <v>17.86</v>
      </c>
      <c r="X1054">
        <v>3.5583333333333329E-5</v>
      </c>
      <c r="Y1054">
        <v>7.3964901586270537E-6</v>
      </c>
    </row>
    <row r="1055" spans="1:25" x14ac:dyDescent="0.2">
      <c r="A1055" t="s">
        <v>174</v>
      </c>
      <c r="B1055">
        <v>2014</v>
      </c>
      <c r="C1055" t="s">
        <v>826</v>
      </c>
      <c r="D1055" t="s">
        <v>812</v>
      </c>
      <c r="E1055" t="s">
        <v>175</v>
      </c>
      <c r="F1055" t="s">
        <v>190</v>
      </c>
      <c r="G1055">
        <v>-35.382478999999996</v>
      </c>
      <c r="H1055">
        <v>137.15918500000001</v>
      </c>
      <c r="I1055" t="s">
        <v>772</v>
      </c>
      <c r="J1055" t="s">
        <v>14</v>
      </c>
      <c r="K1055" t="s">
        <v>3</v>
      </c>
      <c r="L1055" t="s">
        <v>3</v>
      </c>
      <c r="M1055" t="s">
        <v>26</v>
      </c>
      <c r="N1055" t="s">
        <v>85</v>
      </c>
      <c r="O1055" s="6" t="s">
        <v>80</v>
      </c>
      <c r="P1055" s="8"/>
      <c r="Q1055">
        <v>6</v>
      </c>
      <c r="R1055" t="s">
        <v>213</v>
      </c>
      <c r="S1055" t="s">
        <v>15</v>
      </c>
      <c r="T1055">
        <v>6</v>
      </c>
      <c r="U1055" t="s">
        <v>28</v>
      </c>
      <c r="V1055" t="s">
        <v>28</v>
      </c>
      <c r="W1055">
        <v>17.940000000000001</v>
      </c>
      <c r="X1055">
        <v>4.4521666666666671E-5</v>
      </c>
      <c r="Y1055">
        <v>7.8342208717055415E-6</v>
      </c>
    </row>
    <row r="1056" spans="1:25" x14ac:dyDescent="0.2">
      <c r="A1056" t="s">
        <v>174</v>
      </c>
      <c r="B1056">
        <v>2014</v>
      </c>
      <c r="C1056" t="s">
        <v>826</v>
      </c>
      <c r="D1056" t="s">
        <v>812</v>
      </c>
      <c r="E1056" t="s">
        <v>175</v>
      </c>
      <c r="F1056" t="s">
        <v>190</v>
      </c>
      <c r="G1056">
        <v>-35.382478999999996</v>
      </c>
      <c r="H1056">
        <v>137.15918500000001</v>
      </c>
      <c r="I1056" t="s">
        <v>772</v>
      </c>
      <c r="J1056" t="s">
        <v>14</v>
      </c>
      <c r="K1056" t="s">
        <v>3</v>
      </c>
      <c r="L1056" t="s">
        <v>3</v>
      </c>
      <c r="M1056" t="s">
        <v>26</v>
      </c>
      <c r="N1056" t="s">
        <v>85</v>
      </c>
      <c r="O1056" s="6" t="s">
        <v>80</v>
      </c>
      <c r="P1056" s="8"/>
      <c r="Q1056">
        <v>6</v>
      </c>
      <c r="R1056" t="s">
        <v>213</v>
      </c>
      <c r="S1056" t="s">
        <v>37</v>
      </c>
      <c r="T1056">
        <v>6</v>
      </c>
      <c r="U1056" t="s">
        <v>28</v>
      </c>
      <c r="V1056" t="s">
        <v>28</v>
      </c>
      <c r="W1056">
        <v>18.04</v>
      </c>
      <c r="X1056">
        <v>4.0360000000000007E-5</v>
      </c>
      <c r="Y1056">
        <v>4.06536099258109E-6</v>
      </c>
    </row>
    <row r="1057" spans="1:25" x14ac:dyDescent="0.2">
      <c r="A1057" t="s">
        <v>174</v>
      </c>
      <c r="B1057">
        <v>2014</v>
      </c>
      <c r="C1057" t="s">
        <v>826</v>
      </c>
      <c r="D1057" t="s">
        <v>812</v>
      </c>
      <c r="E1057" t="s">
        <v>175</v>
      </c>
      <c r="F1057" t="s">
        <v>190</v>
      </c>
      <c r="G1057">
        <v>-35.382478999999996</v>
      </c>
      <c r="H1057">
        <v>137.15918500000001</v>
      </c>
      <c r="I1057" t="s">
        <v>772</v>
      </c>
      <c r="J1057" t="s">
        <v>14</v>
      </c>
      <c r="K1057" t="s">
        <v>3</v>
      </c>
      <c r="L1057" t="s">
        <v>3</v>
      </c>
      <c r="M1057" t="s">
        <v>26</v>
      </c>
      <c r="N1057" t="s">
        <v>85</v>
      </c>
      <c r="O1057" s="6" t="s">
        <v>80</v>
      </c>
      <c r="P1057" s="8"/>
      <c r="Q1057">
        <v>6</v>
      </c>
      <c r="R1057" t="s">
        <v>213</v>
      </c>
      <c r="S1057" t="s">
        <v>116</v>
      </c>
      <c r="T1057">
        <v>6</v>
      </c>
      <c r="U1057" t="s">
        <v>28</v>
      </c>
      <c r="V1057" t="s">
        <v>28</v>
      </c>
      <c r="W1057">
        <v>18.239999999999998</v>
      </c>
      <c r="X1057">
        <v>4.4475000000000004E-5</v>
      </c>
      <c r="Y1057">
        <v>8.62405647013051E-6</v>
      </c>
    </row>
    <row r="1058" spans="1:25" x14ac:dyDescent="0.2">
      <c r="A1058" t="s">
        <v>174</v>
      </c>
      <c r="B1058">
        <v>2014</v>
      </c>
      <c r="C1058" t="s">
        <v>826</v>
      </c>
      <c r="D1058" t="s">
        <v>812</v>
      </c>
      <c r="E1058" t="s">
        <v>175</v>
      </c>
      <c r="F1058" t="s">
        <v>190</v>
      </c>
      <c r="G1058">
        <v>-35.382478999999996</v>
      </c>
      <c r="H1058">
        <v>137.15918500000001</v>
      </c>
      <c r="I1058" t="s">
        <v>772</v>
      </c>
      <c r="J1058" t="s">
        <v>14</v>
      </c>
      <c r="K1058" t="s">
        <v>3</v>
      </c>
      <c r="L1058" t="s">
        <v>3</v>
      </c>
      <c r="M1058" t="s">
        <v>26</v>
      </c>
      <c r="N1058" t="s">
        <v>85</v>
      </c>
      <c r="O1058" s="6" t="s">
        <v>80</v>
      </c>
      <c r="P1058" s="8"/>
      <c r="Q1058">
        <v>6</v>
      </c>
      <c r="R1058" t="s">
        <v>213</v>
      </c>
      <c r="S1058" t="s">
        <v>117</v>
      </c>
      <c r="T1058">
        <v>6</v>
      </c>
      <c r="U1058" t="s">
        <v>28</v>
      </c>
      <c r="V1058" t="s">
        <v>28</v>
      </c>
      <c r="W1058">
        <v>18.559999999999999</v>
      </c>
      <c r="X1058">
        <v>4.8306666666666663E-5</v>
      </c>
      <c r="Y1058">
        <v>8.9794201743022998E-6</v>
      </c>
    </row>
    <row r="1059" spans="1:25" x14ac:dyDescent="0.2">
      <c r="A1059" t="s">
        <v>174</v>
      </c>
      <c r="B1059">
        <v>2014</v>
      </c>
      <c r="C1059" t="s">
        <v>826</v>
      </c>
      <c r="D1059" t="s">
        <v>812</v>
      </c>
      <c r="E1059" t="s">
        <v>175</v>
      </c>
      <c r="F1059" t="s">
        <v>190</v>
      </c>
      <c r="G1059">
        <v>-35.382478999999996</v>
      </c>
      <c r="H1059">
        <v>137.15918500000001</v>
      </c>
      <c r="I1059" t="s">
        <v>772</v>
      </c>
      <c r="J1059" t="s">
        <v>14</v>
      </c>
      <c r="K1059" t="s">
        <v>3</v>
      </c>
      <c r="L1059" t="s">
        <v>3</v>
      </c>
      <c r="M1059" t="s">
        <v>26</v>
      </c>
      <c r="N1059" t="s">
        <v>85</v>
      </c>
      <c r="O1059" s="6" t="s">
        <v>80</v>
      </c>
      <c r="P1059" s="8"/>
      <c r="Q1059">
        <v>6</v>
      </c>
      <c r="R1059" t="s">
        <v>213</v>
      </c>
      <c r="S1059" t="s">
        <v>118</v>
      </c>
      <c r="T1059">
        <v>6</v>
      </c>
      <c r="U1059" t="s">
        <v>28</v>
      </c>
      <c r="V1059" t="s">
        <v>28</v>
      </c>
      <c r="W1059">
        <v>19.419999999999998</v>
      </c>
      <c r="X1059">
        <v>4.6459999999999992E-5</v>
      </c>
      <c r="Y1059">
        <v>1.4191665159522338E-5</v>
      </c>
    </row>
    <row r="1060" spans="1:25" x14ac:dyDescent="0.2">
      <c r="A1060" t="s">
        <v>174</v>
      </c>
      <c r="B1060">
        <v>2014</v>
      </c>
      <c r="C1060" t="s">
        <v>826</v>
      </c>
      <c r="D1060" t="s">
        <v>812</v>
      </c>
      <c r="E1060" t="s">
        <v>175</v>
      </c>
      <c r="F1060" t="s">
        <v>190</v>
      </c>
      <c r="G1060">
        <v>-35.382478999999996</v>
      </c>
      <c r="H1060">
        <v>137.15918500000001</v>
      </c>
      <c r="I1060" t="s">
        <v>772</v>
      </c>
      <c r="J1060" t="s">
        <v>14</v>
      </c>
      <c r="K1060" t="s">
        <v>3</v>
      </c>
      <c r="L1060" t="s">
        <v>3</v>
      </c>
      <c r="M1060" t="s">
        <v>26</v>
      </c>
      <c r="N1060" t="s">
        <v>85</v>
      </c>
      <c r="O1060" s="6" t="s">
        <v>80</v>
      </c>
      <c r="P1060" s="8"/>
      <c r="Q1060">
        <v>6</v>
      </c>
      <c r="R1060" t="s">
        <v>213</v>
      </c>
      <c r="S1060" t="s">
        <v>177</v>
      </c>
      <c r="T1060">
        <v>6</v>
      </c>
      <c r="U1060" t="s">
        <v>28</v>
      </c>
      <c r="V1060" t="s">
        <v>28</v>
      </c>
      <c r="W1060">
        <v>20.2</v>
      </c>
      <c r="X1060">
        <v>6.9373333333333335E-5</v>
      </c>
      <c r="Y1060">
        <v>7.1483275433255269E-6</v>
      </c>
    </row>
    <row r="1061" spans="1:25" x14ac:dyDescent="0.2">
      <c r="A1061" t="s">
        <v>174</v>
      </c>
      <c r="B1061">
        <v>2014</v>
      </c>
      <c r="C1061" t="s">
        <v>826</v>
      </c>
      <c r="D1061" t="s">
        <v>812</v>
      </c>
      <c r="E1061" t="s">
        <v>175</v>
      </c>
      <c r="F1061" t="s">
        <v>190</v>
      </c>
      <c r="G1061">
        <v>-35.382478999999996</v>
      </c>
      <c r="H1061">
        <v>137.15918500000001</v>
      </c>
      <c r="I1061" t="s">
        <v>772</v>
      </c>
      <c r="J1061" t="s">
        <v>14</v>
      </c>
      <c r="K1061" t="s">
        <v>3</v>
      </c>
      <c r="L1061" t="s">
        <v>3</v>
      </c>
      <c r="M1061" t="s">
        <v>26</v>
      </c>
      <c r="N1061" t="s">
        <v>85</v>
      </c>
      <c r="O1061" s="6" t="s">
        <v>80</v>
      </c>
      <c r="P1061" s="8"/>
      <c r="Q1061">
        <v>6</v>
      </c>
      <c r="R1061" t="s">
        <v>213</v>
      </c>
      <c r="S1061" t="s">
        <v>178</v>
      </c>
      <c r="T1061">
        <v>6</v>
      </c>
      <c r="U1061" t="s">
        <v>28</v>
      </c>
      <c r="V1061" t="s">
        <v>28</v>
      </c>
      <c r="W1061">
        <v>20.7</v>
      </c>
      <c r="X1061">
        <v>4.2556666666666665E-5</v>
      </c>
      <c r="Y1061">
        <v>6.7132247591352712E-6</v>
      </c>
    </row>
    <row r="1062" spans="1:25" x14ac:dyDescent="0.2">
      <c r="A1062" t="s">
        <v>174</v>
      </c>
      <c r="B1062">
        <v>2014</v>
      </c>
      <c r="C1062" t="s">
        <v>826</v>
      </c>
      <c r="D1062" t="s">
        <v>812</v>
      </c>
      <c r="E1062" t="s">
        <v>175</v>
      </c>
      <c r="F1062" t="s">
        <v>190</v>
      </c>
      <c r="G1062">
        <v>-35.382478999999996</v>
      </c>
      <c r="H1062">
        <v>137.15918500000001</v>
      </c>
      <c r="I1062" t="s">
        <v>772</v>
      </c>
      <c r="J1062" t="s">
        <v>14</v>
      </c>
      <c r="K1062" t="s">
        <v>3</v>
      </c>
      <c r="L1062" t="s">
        <v>3</v>
      </c>
      <c r="M1062" t="s">
        <v>26</v>
      </c>
      <c r="N1062" t="s">
        <v>85</v>
      </c>
      <c r="O1062" s="6" t="s">
        <v>80</v>
      </c>
      <c r="P1062" s="8"/>
      <c r="Q1062">
        <v>6</v>
      </c>
      <c r="R1062" t="s">
        <v>213</v>
      </c>
      <c r="S1062" t="s">
        <v>179</v>
      </c>
      <c r="T1062">
        <v>6</v>
      </c>
      <c r="U1062" t="s">
        <v>28</v>
      </c>
      <c r="V1062" t="s">
        <v>28</v>
      </c>
      <c r="W1062">
        <v>22.15</v>
      </c>
      <c r="X1062">
        <v>4.9248333333333341E-5</v>
      </c>
      <c r="Y1062">
        <v>7.0640934780526559E-6</v>
      </c>
    </row>
    <row r="1063" spans="1:25" x14ac:dyDescent="0.2">
      <c r="A1063" t="s">
        <v>174</v>
      </c>
      <c r="B1063">
        <v>2014</v>
      </c>
      <c r="C1063" t="s">
        <v>826</v>
      </c>
      <c r="D1063" t="s">
        <v>812</v>
      </c>
      <c r="E1063" t="s">
        <v>175</v>
      </c>
      <c r="F1063" t="s">
        <v>190</v>
      </c>
      <c r="G1063">
        <v>-35.382478999999996</v>
      </c>
      <c r="H1063">
        <v>137.15918500000001</v>
      </c>
      <c r="I1063" t="s">
        <v>772</v>
      </c>
      <c r="J1063" t="s">
        <v>14</v>
      </c>
      <c r="K1063" t="s">
        <v>3</v>
      </c>
      <c r="L1063" t="s">
        <v>3</v>
      </c>
      <c r="M1063" t="s">
        <v>26</v>
      </c>
      <c r="N1063" t="s">
        <v>85</v>
      </c>
      <c r="O1063" s="6" t="s">
        <v>80</v>
      </c>
      <c r="P1063" s="8"/>
      <c r="Q1063">
        <v>6</v>
      </c>
      <c r="R1063" t="s">
        <v>213</v>
      </c>
      <c r="S1063" t="s">
        <v>180</v>
      </c>
      <c r="T1063">
        <v>6</v>
      </c>
      <c r="U1063" t="s">
        <v>28</v>
      </c>
      <c r="V1063" t="s">
        <v>28</v>
      </c>
      <c r="W1063">
        <v>22.22</v>
      </c>
      <c r="X1063">
        <v>5.9749999999999995E-5</v>
      </c>
      <c r="Y1063">
        <v>1.3050241377078051E-5</v>
      </c>
    </row>
    <row r="1064" spans="1:25" x14ac:dyDescent="0.2">
      <c r="A1064" t="s">
        <v>174</v>
      </c>
      <c r="B1064">
        <v>2014</v>
      </c>
      <c r="C1064" t="s">
        <v>826</v>
      </c>
      <c r="D1064" t="s">
        <v>812</v>
      </c>
      <c r="E1064" t="s">
        <v>175</v>
      </c>
      <c r="F1064" t="s">
        <v>190</v>
      </c>
      <c r="G1064">
        <v>-35.382478999999996</v>
      </c>
      <c r="H1064">
        <v>137.15918500000001</v>
      </c>
      <c r="I1064" t="s">
        <v>772</v>
      </c>
      <c r="J1064" t="s">
        <v>14</v>
      </c>
      <c r="K1064" t="s">
        <v>3</v>
      </c>
      <c r="L1064" t="s">
        <v>3</v>
      </c>
      <c r="M1064" t="s">
        <v>26</v>
      </c>
      <c r="N1064" t="s">
        <v>85</v>
      </c>
      <c r="O1064" s="6" t="s">
        <v>80</v>
      </c>
      <c r="P1064" s="8"/>
      <c r="Q1064">
        <v>6</v>
      </c>
      <c r="R1064" t="s">
        <v>213</v>
      </c>
      <c r="S1064" t="s">
        <v>181</v>
      </c>
      <c r="T1064">
        <v>6</v>
      </c>
      <c r="U1064" t="s">
        <v>28</v>
      </c>
      <c r="V1064" t="s">
        <v>28</v>
      </c>
      <c r="W1064">
        <v>22.5</v>
      </c>
      <c r="X1064">
        <v>3.9346666666666667E-5</v>
      </c>
      <c r="Y1064">
        <v>9.0703928617599841E-6</v>
      </c>
    </row>
    <row r="1065" spans="1:25" x14ac:dyDescent="0.2">
      <c r="A1065" t="s">
        <v>174</v>
      </c>
      <c r="B1065">
        <v>2014</v>
      </c>
      <c r="C1065" t="s">
        <v>826</v>
      </c>
      <c r="D1065" t="s">
        <v>812</v>
      </c>
      <c r="E1065" t="s">
        <v>175</v>
      </c>
      <c r="F1065" t="s">
        <v>190</v>
      </c>
      <c r="G1065">
        <v>-35.382478999999996</v>
      </c>
      <c r="H1065">
        <v>137.15918500000001</v>
      </c>
      <c r="I1065" t="s">
        <v>772</v>
      </c>
      <c r="J1065" t="s">
        <v>14</v>
      </c>
      <c r="K1065" t="s">
        <v>3</v>
      </c>
      <c r="L1065" t="s">
        <v>3</v>
      </c>
      <c r="M1065" t="s">
        <v>26</v>
      </c>
      <c r="N1065" t="s">
        <v>85</v>
      </c>
      <c r="O1065" s="6" t="s">
        <v>80</v>
      </c>
      <c r="P1065" s="8"/>
      <c r="Q1065">
        <v>6</v>
      </c>
      <c r="R1065" t="s">
        <v>213</v>
      </c>
      <c r="S1065" t="s">
        <v>182</v>
      </c>
      <c r="T1065">
        <v>6</v>
      </c>
      <c r="U1065" t="s">
        <v>28</v>
      </c>
      <c r="V1065" t="s">
        <v>28</v>
      </c>
      <c r="W1065">
        <v>22.839999999999996</v>
      </c>
      <c r="X1065">
        <v>4.780166666666666E-5</v>
      </c>
      <c r="Y1065">
        <v>1.0042590137343386E-5</v>
      </c>
    </row>
    <row r="1066" spans="1:25" x14ac:dyDescent="0.2">
      <c r="A1066" t="s">
        <v>174</v>
      </c>
      <c r="B1066">
        <v>2014</v>
      </c>
      <c r="C1066" t="s">
        <v>826</v>
      </c>
      <c r="D1066" t="s">
        <v>812</v>
      </c>
      <c r="E1066" t="s">
        <v>175</v>
      </c>
      <c r="F1066" t="s">
        <v>190</v>
      </c>
      <c r="G1066">
        <v>-35.382478999999996</v>
      </c>
      <c r="H1066">
        <v>137.15918500000001</v>
      </c>
      <c r="I1066" t="s">
        <v>772</v>
      </c>
      <c r="J1066" t="s">
        <v>14</v>
      </c>
      <c r="K1066" t="s">
        <v>3</v>
      </c>
      <c r="L1066" t="s">
        <v>3</v>
      </c>
      <c r="M1066" t="s">
        <v>26</v>
      </c>
      <c r="N1066" t="s">
        <v>85</v>
      </c>
      <c r="O1066" s="6" t="s">
        <v>80</v>
      </c>
      <c r="P1066" s="8"/>
      <c r="Q1066">
        <v>6</v>
      </c>
      <c r="R1066" t="s">
        <v>213</v>
      </c>
      <c r="S1066" t="s">
        <v>183</v>
      </c>
      <c r="T1066">
        <v>6</v>
      </c>
      <c r="U1066" t="s">
        <v>28</v>
      </c>
      <c r="V1066" t="s">
        <v>28</v>
      </c>
      <c r="W1066">
        <v>24.5</v>
      </c>
      <c r="X1066">
        <v>4.386166666666666E-5</v>
      </c>
      <c r="Y1066">
        <v>9.8559452447072574E-6</v>
      </c>
    </row>
    <row r="1067" spans="1:25" x14ac:dyDescent="0.2">
      <c r="A1067" t="s">
        <v>174</v>
      </c>
      <c r="B1067">
        <v>2014</v>
      </c>
      <c r="C1067" t="s">
        <v>826</v>
      </c>
      <c r="D1067" t="s">
        <v>812</v>
      </c>
      <c r="E1067" t="s">
        <v>175</v>
      </c>
      <c r="F1067" t="s">
        <v>190</v>
      </c>
      <c r="G1067">
        <v>-35.382478999999996</v>
      </c>
      <c r="H1067">
        <v>137.15918500000001</v>
      </c>
      <c r="I1067" t="s">
        <v>772</v>
      </c>
      <c r="J1067" t="s">
        <v>14</v>
      </c>
      <c r="K1067" t="s">
        <v>3</v>
      </c>
      <c r="L1067" t="s">
        <v>3</v>
      </c>
      <c r="M1067" t="s">
        <v>26</v>
      </c>
      <c r="N1067" t="s">
        <v>85</v>
      </c>
      <c r="O1067" s="6" t="s">
        <v>80</v>
      </c>
      <c r="P1067" s="8"/>
      <c r="Q1067">
        <v>6</v>
      </c>
      <c r="R1067" t="s">
        <v>213</v>
      </c>
      <c r="S1067" t="s">
        <v>184</v>
      </c>
      <c r="T1067">
        <v>3</v>
      </c>
      <c r="U1067" t="s">
        <v>28</v>
      </c>
      <c r="V1067" t="s">
        <v>28</v>
      </c>
      <c r="W1067">
        <v>24.88</v>
      </c>
      <c r="X1067">
        <v>4.0216666666666671E-5</v>
      </c>
      <c r="Y1067">
        <v>2.9137661768461966E-6</v>
      </c>
    </row>
    <row r="1068" spans="1:25" x14ac:dyDescent="0.2">
      <c r="A1068" t="s">
        <v>174</v>
      </c>
      <c r="B1068">
        <v>2014</v>
      </c>
      <c r="C1068" t="s">
        <v>826</v>
      </c>
      <c r="D1068" t="s">
        <v>812</v>
      </c>
      <c r="E1068" t="s">
        <v>175</v>
      </c>
      <c r="F1068" t="s">
        <v>188</v>
      </c>
      <c r="G1068">
        <v>-31.842694000000002</v>
      </c>
      <c r="H1068">
        <v>115.747713</v>
      </c>
      <c r="I1068" t="s">
        <v>767</v>
      </c>
      <c r="J1068" t="s">
        <v>7</v>
      </c>
      <c r="K1068" t="s">
        <v>3</v>
      </c>
      <c r="L1068" t="s">
        <v>3</v>
      </c>
      <c r="M1068" t="s">
        <v>26</v>
      </c>
      <c r="N1068" t="s">
        <v>85</v>
      </c>
      <c r="O1068" s="6" t="s">
        <v>80</v>
      </c>
      <c r="P1068" s="8"/>
      <c r="Q1068">
        <v>6</v>
      </c>
      <c r="R1068" t="s">
        <v>213</v>
      </c>
      <c r="S1068" t="s">
        <v>7</v>
      </c>
      <c r="T1068">
        <v>6</v>
      </c>
      <c r="U1068" t="s">
        <v>28</v>
      </c>
      <c r="V1068" t="s">
        <v>28</v>
      </c>
      <c r="W1068">
        <v>14.78</v>
      </c>
      <c r="X1068">
        <v>5.8013333333333329E-5</v>
      </c>
      <c r="Y1068">
        <v>6.9311634425013943E-6</v>
      </c>
    </row>
    <row r="1069" spans="1:25" x14ac:dyDescent="0.2">
      <c r="A1069" t="s">
        <v>174</v>
      </c>
      <c r="B1069">
        <v>2014</v>
      </c>
      <c r="C1069" t="s">
        <v>826</v>
      </c>
      <c r="D1069" t="s">
        <v>812</v>
      </c>
      <c r="E1069" t="s">
        <v>175</v>
      </c>
      <c r="F1069" t="s">
        <v>188</v>
      </c>
      <c r="G1069">
        <v>-31.842694000000002</v>
      </c>
      <c r="H1069">
        <v>115.747713</v>
      </c>
      <c r="I1069" t="s">
        <v>767</v>
      </c>
      <c r="J1069" t="s">
        <v>14</v>
      </c>
      <c r="K1069" t="s">
        <v>3</v>
      </c>
      <c r="L1069" t="s">
        <v>3</v>
      </c>
      <c r="M1069" t="s">
        <v>26</v>
      </c>
      <c r="N1069" t="s">
        <v>85</v>
      </c>
      <c r="O1069" s="6" t="s">
        <v>80</v>
      </c>
      <c r="P1069" s="8"/>
      <c r="Q1069">
        <v>6</v>
      </c>
      <c r="R1069" t="s">
        <v>213</v>
      </c>
      <c r="S1069" t="s">
        <v>9</v>
      </c>
      <c r="T1069">
        <v>6</v>
      </c>
      <c r="U1069" t="s">
        <v>28</v>
      </c>
      <c r="V1069" t="s">
        <v>28</v>
      </c>
      <c r="W1069">
        <v>17.074999999999999</v>
      </c>
      <c r="X1069">
        <v>5.5386666666666663E-5</v>
      </c>
      <c r="Y1069">
        <v>7.1254520324444563E-6</v>
      </c>
    </row>
    <row r="1070" spans="1:25" x14ac:dyDescent="0.2">
      <c r="A1070" t="s">
        <v>174</v>
      </c>
      <c r="B1070">
        <v>2014</v>
      </c>
      <c r="C1070" t="s">
        <v>826</v>
      </c>
      <c r="D1070" t="s">
        <v>812</v>
      </c>
      <c r="E1070" t="s">
        <v>175</v>
      </c>
      <c r="F1070" t="s">
        <v>188</v>
      </c>
      <c r="G1070">
        <v>-31.842694000000002</v>
      </c>
      <c r="H1070">
        <v>115.747713</v>
      </c>
      <c r="I1070" t="s">
        <v>767</v>
      </c>
      <c r="J1070" t="s">
        <v>14</v>
      </c>
      <c r="K1070" t="s">
        <v>3</v>
      </c>
      <c r="L1070" t="s">
        <v>3</v>
      </c>
      <c r="M1070" t="s">
        <v>26</v>
      </c>
      <c r="N1070" t="s">
        <v>85</v>
      </c>
      <c r="O1070" s="6" t="s">
        <v>80</v>
      </c>
      <c r="P1070" s="8"/>
      <c r="Q1070">
        <v>6</v>
      </c>
      <c r="R1070" t="s">
        <v>213</v>
      </c>
      <c r="S1070" t="s">
        <v>27</v>
      </c>
      <c r="T1070">
        <v>6</v>
      </c>
      <c r="U1070" t="s">
        <v>28</v>
      </c>
      <c r="V1070" t="s">
        <v>28</v>
      </c>
      <c r="W1070">
        <v>19.04</v>
      </c>
      <c r="X1070">
        <v>5.8781666666666667E-5</v>
      </c>
      <c r="Y1070">
        <v>6.5422730504516755E-6</v>
      </c>
    </row>
    <row r="1071" spans="1:25" x14ac:dyDescent="0.2">
      <c r="A1071" t="s">
        <v>174</v>
      </c>
      <c r="B1071">
        <v>2014</v>
      </c>
      <c r="C1071" t="s">
        <v>826</v>
      </c>
      <c r="D1071" t="s">
        <v>812</v>
      </c>
      <c r="E1071" t="s">
        <v>175</v>
      </c>
      <c r="F1071" t="s">
        <v>188</v>
      </c>
      <c r="G1071">
        <v>-31.842694000000002</v>
      </c>
      <c r="H1071">
        <v>115.747713</v>
      </c>
      <c r="I1071" t="s">
        <v>767</v>
      </c>
      <c r="J1071" t="s">
        <v>14</v>
      </c>
      <c r="K1071" t="s">
        <v>3</v>
      </c>
      <c r="L1071" t="s">
        <v>3</v>
      </c>
      <c r="M1071" t="s">
        <v>26</v>
      </c>
      <c r="N1071" t="s">
        <v>85</v>
      </c>
      <c r="O1071" s="6" t="s">
        <v>80</v>
      </c>
      <c r="P1071" s="8"/>
      <c r="Q1071">
        <v>6</v>
      </c>
      <c r="R1071" t="s">
        <v>213</v>
      </c>
      <c r="S1071" t="s">
        <v>13</v>
      </c>
      <c r="T1071">
        <v>6</v>
      </c>
      <c r="U1071" t="s">
        <v>28</v>
      </c>
      <c r="V1071" t="s">
        <v>28</v>
      </c>
      <c r="W1071">
        <v>19.45</v>
      </c>
      <c r="X1071">
        <v>6.9300000000000018E-5</v>
      </c>
      <c r="Y1071">
        <v>7.7114434446476041E-6</v>
      </c>
    </row>
    <row r="1072" spans="1:25" x14ac:dyDescent="0.2">
      <c r="A1072" t="s">
        <v>174</v>
      </c>
      <c r="B1072">
        <v>2014</v>
      </c>
      <c r="C1072" t="s">
        <v>826</v>
      </c>
      <c r="D1072" t="s">
        <v>812</v>
      </c>
      <c r="E1072" t="s">
        <v>175</v>
      </c>
      <c r="F1072" t="s">
        <v>188</v>
      </c>
      <c r="G1072">
        <v>-31.842694000000002</v>
      </c>
      <c r="H1072">
        <v>115.747713</v>
      </c>
      <c r="I1072" t="s">
        <v>767</v>
      </c>
      <c r="J1072" t="s">
        <v>14</v>
      </c>
      <c r="K1072" t="s">
        <v>3</v>
      </c>
      <c r="L1072" t="s">
        <v>3</v>
      </c>
      <c r="M1072" t="s">
        <v>26</v>
      </c>
      <c r="N1072" t="s">
        <v>85</v>
      </c>
      <c r="O1072" s="6" t="s">
        <v>80</v>
      </c>
      <c r="P1072" s="8"/>
      <c r="Q1072">
        <v>6</v>
      </c>
      <c r="R1072" t="s">
        <v>213</v>
      </c>
      <c r="S1072" t="s">
        <v>15</v>
      </c>
      <c r="T1072">
        <v>6</v>
      </c>
      <c r="U1072" t="s">
        <v>28</v>
      </c>
      <c r="V1072" t="s">
        <v>28</v>
      </c>
      <c r="W1072">
        <v>20.74</v>
      </c>
      <c r="X1072">
        <v>6.7498333333333317E-5</v>
      </c>
      <c r="Y1072">
        <v>1.284246770160112E-5</v>
      </c>
    </row>
    <row r="1073" spans="1:25" x14ac:dyDescent="0.2">
      <c r="A1073" t="s">
        <v>174</v>
      </c>
      <c r="B1073">
        <v>2014</v>
      </c>
      <c r="C1073" t="s">
        <v>826</v>
      </c>
      <c r="D1073" t="s">
        <v>812</v>
      </c>
      <c r="E1073" t="s">
        <v>175</v>
      </c>
      <c r="F1073" t="s">
        <v>188</v>
      </c>
      <c r="G1073">
        <v>-31.842694000000002</v>
      </c>
      <c r="H1073">
        <v>115.747713</v>
      </c>
      <c r="I1073" t="s">
        <v>767</v>
      </c>
      <c r="J1073" t="s">
        <v>14</v>
      </c>
      <c r="K1073" t="s">
        <v>3</v>
      </c>
      <c r="L1073" t="s">
        <v>3</v>
      </c>
      <c r="M1073" t="s">
        <v>26</v>
      </c>
      <c r="N1073" t="s">
        <v>85</v>
      </c>
      <c r="O1073" s="6" t="s">
        <v>80</v>
      </c>
      <c r="P1073" s="8"/>
      <c r="Q1073">
        <v>6</v>
      </c>
      <c r="R1073" t="s">
        <v>213</v>
      </c>
      <c r="S1073" t="s">
        <v>37</v>
      </c>
      <c r="T1073">
        <v>6</v>
      </c>
      <c r="U1073" t="s">
        <v>28</v>
      </c>
      <c r="V1073" t="s">
        <v>28</v>
      </c>
      <c r="W1073">
        <v>21.42</v>
      </c>
      <c r="X1073">
        <v>6.4808333333333327E-5</v>
      </c>
      <c r="Y1073">
        <v>7.8162021894694579E-6</v>
      </c>
    </row>
    <row r="1074" spans="1:25" x14ac:dyDescent="0.2">
      <c r="A1074" t="s">
        <v>174</v>
      </c>
      <c r="B1074">
        <v>2014</v>
      </c>
      <c r="C1074" t="s">
        <v>826</v>
      </c>
      <c r="D1074" t="s">
        <v>812</v>
      </c>
      <c r="E1074" t="s">
        <v>175</v>
      </c>
      <c r="F1074" t="s">
        <v>188</v>
      </c>
      <c r="G1074">
        <v>-31.842694000000002</v>
      </c>
      <c r="H1074">
        <v>115.747713</v>
      </c>
      <c r="I1074" t="s">
        <v>767</v>
      </c>
      <c r="J1074" t="s">
        <v>14</v>
      </c>
      <c r="K1074" t="s">
        <v>3</v>
      </c>
      <c r="L1074" t="s">
        <v>3</v>
      </c>
      <c r="M1074" t="s">
        <v>26</v>
      </c>
      <c r="N1074" t="s">
        <v>85</v>
      </c>
      <c r="O1074" s="6" t="s">
        <v>80</v>
      </c>
      <c r="P1074" s="8"/>
      <c r="Q1074">
        <v>6</v>
      </c>
      <c r="R1074" t="s">
        <v>213</v>
      </c>
      <c r="S1074" t="s">
        <v>116</v>
      </c>
      <c r="T1074">
        <v>6</v>
      </c>
      <c r="U1074" t="s">
        <v>28</v>
      </c>
      <c r="V1074" t="s">
        <v>28</v>
      </c>
      <c r="W1074">
        <v>21.7</v>
      </c>
      <c r="X1074">
        <v>6.2643333333333337E-5</v>
      </c>
      <c r="Y1074">
        <v>1.0442929984763243E-5</v>
      </c>
    </row>
    <row r="1075" spans="1:25" x14ac:dyDescent="0.2">
      <c r="A1075" t="s">
        <v>174</v>
      </c>
      <c r="B1075">
        <v>2014</v>
      </c>
      <c r="C1075" t="s">
        <v>826</v>
      </c>
      <c r="D1075" t="s">
        <v>812</v>
      </c>
      <c r="E1075" t="s">
        <v>175</v>
      </c>
      <c r="F1075" t="s">
        <v>188</v>
      </c>
      <c r="G1075">
        <v>-31.842694000000002</v>
      </c>
      <c r="H1075">
        <v>115.747713</v>
      </c>
      <c r="I1075" t="s">
        <v>767</v>
      </c>
      <c r="J1075" t="s">
        <v>14</v>
      </c>
      <c r="K1075" t="s">
        <v>3</v>
      </c>
      <c r="L1075" t="s">
        <v>3</v>
      </c>
      <c r="M1075" t="s">
        <v>26</v>
      </c>
      <c r="N1075" t="s">
        <v>85</v>
      </c>
      <c r="O1075" s="6" t="s">
        <v>80</v>
      </c>
      <c r="P1075" s="8"/>
      <c r="Q1075">
        <v>6</v>
      </c>
      <c r="R1075" t="s">
        <v>213</v>
      </c>
      <c r="S1075" t="s">
        <v>117</v>
      </c>
      <c r="T1075">
        <v>6</v>
      </c>
      <c r="U1075" t="s">
        <v>28</v>
      </c>
      <c r="V1075" t="s">
        <v>28</v>
      </c>
      <c r="W1075">
        <v>21.774999999999999</v>
      </c>
      <c r="X1075">
        <v>6.9886666666666656E-5</v>
      </c>
      <c r="Y1075">
        <v>1.366563378210713E-5</v>
      </c>
    </row>
    <row r="1076" spans="1:25" x14ac:dyDescent="0.2">
      <c r="A1076" t="s">
        <v>174</v>
      </c>
      <c r="B1076">
        <v>2014</v>
      </c>
      <c r="C1076" t="s">
        <v>826</v>
      </c>
      <c r="D1076" t="s">
        <v>812</v>
      </c>
      <c r="E1076" t="s">
        <v>175</v>
      </c>
      <c r="F1076" t="s">
        <v>188</v>
      </c>
      <c r="G1076">
        <v>-31.842694000000002</v>
      </c>
      <c r="H1076">
        <v>115.747713</v>
      </c>
      <c r="I1076" t="s">
        <v>767</v>
      </c>
      <c r="J1076" t="s">
        <v>14</v>
      </c>
      <c r="K1076" t="s">
        <v>3</v>
      </c>
      <c r="L1076" t="s">
        <v>3</v>
      </c>
      <c r="M1076" t="s">
        <v>26</v>
      </c>
      <c r="N1076" t="s">
        <v>85</v>
      </c>
      <c r="O1076" s="6" t="s">
        <v>80</v>
      </c>
      <c r="P1076" s="8"/>
      <c r="Q1076">
        <v>6</v>
      </c>
      <c r="R1076" t="s">
        <v>213</v>
      </c>
      <c r="S1076" t="s">
        <v>118</v>
      </c>
      <c r="T1076">
        <v>6</v>
      </c>
      <c r="U1076" t="s">
        <v>28</v>
      </c>
      <c r="V1076" t="s">
        <v>28</v>
      </c>
      <c r="W1076">
        <v>21.875</v>
      </c>
      <c r="X1076">
        <v>8.0575000000000007E-5</v>
      </c>
      <c r="Y1076">
        <v>1.1348061949072952E-5</v>
      </c>
    </row>
    <row r="1077" spans="1:25" x14ac:dyDescent="0.2">
      <c r="A1077" t="s">
        <v>174</v>
      </c>
      <c r="B1077">
        <v>2014</v>
      </c>
      <c r="C1077" t="s">
        <v>826</v>
      </c>
      <c r="D1077" t="s">
        <v>812</v>
      </c>
      <c r="E1077" t="s">
        <v>175</v>
      </c>
      <c r="F1077" t="s">
        <v>188</v>
      </c>
      <c r="G1077">
        <v>-31.842694000000002</v>
      </c>
      <c r="H1077">
        <v>115.747713</v>
      </c>
      <c r="I1077" t="s">
        <v>767</v>
      </c>
      <c r="J1077" t="s">
        <v>14</v>
      </c>
      <c r="K1077" t="s">
        <v>3</v>
      </c>
      <c r="L1077" t="s">
        <v>3</v>
      </c>
      <c r="M1077" t="s">
        <v>26</v>
      </c>
      <c r="N1077" t="s">
        <v>85</v>
      </c>
      <c r="O1077" s="6" t="s">
        <v>80</v>
      </c>
      <c r="P1077" s="8"/>
      <c r="Q1077">
        <v>6</v>
      </c>
      <c r="R1077" t="s">
        <v>213</v>
      </c>
      <c r="S1077" t="s">
        <v>177</v>
      </c>
      <c r="T1077">
        <v>6</v>
      </c>
      <c r="U1077" t="s">
        <v>28</v>
      </c>
      <c r="V1077" t="s">
        <v>28</v>
      </c>
      <c r="W1077">
        <v>22.225000000000001</v>
      </c>
      <c r="X1077">
        <v>6.1941666666666663E-5</v>
      </c>
      <c r="Y1077">
        <v>1.2099759363998423E-5</v>
      </c>
    </row>
    <row r="1078" spans="1:25" x14ac:dyDescent="0.2">
      <c r="A1078" t="s">
        <v>174</v>
      </c>
      <c r="B1078">
        <v>2014</v>
      </c>
      <c r="C1078" t="s">
        <v>826</v>
      </c>
      <c r="D1078" t="s">
        <v>812</v>
      </c>
      <c r="E1078" t="s">
        <v>175</v>
      </c>
      <c r="F1078" t="s">
        <v>188</v>
      </c>
      <c r="G1078">
        <v>-31.842694000000002</v>
      </c>
      <c r="H1078">
        <v>115.747713</v>
      </c>
      <c r="I1078" t="s">
        <v>767</v>
      </c>
      <c r="J1078" t="s">
        <v>14</v>
      </c>
      <c r="K1078" t="s">
        <v>3</v>
      </c>
      <c r="L1078" t="s">
        <v>3</v>
      </c>
      <c r="M1078" t="s">
        <v>26</v>
      </c>
      <c r="N1078" t="s">
        <v>85</v>
      </c>
      <c r="O1078" s="6" t="s">
        <v>80</v>
      </c>
      <c r="P1078" s="8"/>
      <c r="Q1078">
        <v>6</v>
      </c>
      <c r="R1078" t="s">
        <v>213</v>
      </c>
      <c r="S1078" t="s">
        <v>178</v>
      </c>
      <c r="T1078">
        <v>6</v>
      </c>
      <c r="U1078" t="s">
        <v>28</v>
      </c>
      <c r="V1078" t="s">
        <v>28</v>
      </c>
      <c r="W1078">
        <v>22.274999999999999</v>
      </c>
      <c r="X1078">
        <v>7.2991666666666675E-5</v>
      </c>
      <c r="Y1078">
        <v>6.020323634711443E-6</v>
      </c>
    </row>
    <row r="1079" spans="1:25" x14ac:dyDescent="0.2">
      <c r="A1079" t="s">
        <v>174</v>
      </c>
      <c r="B1079">
        <v>2014</v>
      </c>
      <c r="C1079" t="s">
        <v>826</v>
      </c>
      <c r="D1079" t="s">
        <v>812</v>
      </c>
      <c r="E1079" t="s">
        <v>175</v>
      </c>
      <c r="F1079" t="s">
        <v>188</v>
      </c>
      <c r="G1079">
        <v>-31.842694000000002</v>
      </c>
      <c r="H1079">
        <v>115.747713</v>
      </c>
      <c r="I1079" t="s">
        <v>767</v>
      </c>
      <c r="J1079" t="s">
        <v>14</v>
      </c>
      <c r="K1079" t="s">
        <v>3</v>
      </c>
      <c r="L1079" t="s">
        <v>3</v>
      </c>
      <c r="M1079" t="s">
        <v>26</v>
      </c>
      <c r="N1079" t="s">
        <v>85</v>
      </c>
      <c r="O1079" s="6" t="s">
        <v>80</v>
      </c>
      <c r="P1079" s="8"/>
      <c r="Q1079">
        <v>6</v>
      </c>
      <c r="R1079" t="s">
        <v>213</v>
      </c>
      <c r="S1079" t="s">
        <v>179</v>
      </c>
      <c r="T1079">
        <v>6</v>
      </c>
      <c r="U1079" t="s">
        <v>28</v>
      </c>
      <c r="V1079" t="s">
        <v>28</v>
      </c>
      <c r="W1079">
        <v>23.349999999999998</v>
      </c>
      <c r="X1079">
        <v>6.9668333333333332E-5</v>
      </c>
      <c r="Y1079">
        <v>7.2538580539370195E-6</v>
      </c>
    </row>
    <row r="1080" spans="1:25" x14ac:dyDescent="0.2">
      <c r="A1080" t="s">
        <v>174</v>
      </c>
      <c r="B1080">
        <v>2014</v>
      </c>
      <c r="C1080" t="s">
        <v>826</v>
      </c>
      <c r="D1080" t="s">
        <v>812</v>
      </c>
      <c r="E1080" t="s">
        <v>175</v>
      </c>
      <c r="F1080" t="s">
        <v>188</v>
      </c>
      <c r="G1080">
        <v>-31.842694000000002</v>
      </c>
      <c r="H1080">
        <v>115.747713</v>
      </c>
      <c r="I1080" t="s">
        <v>767</v>
      </c>
      <c r="J1080" t="s">
        <v>14</v>
      </c>
      <c r="K1080" t="s">
        <v>3</v>
      </c>
      <c r="L1080" t="s">
        <v>3</v>
      </c>
      <c r="M1080" t="s">
        <v>26</v>
      </c>
      <c r="N1080" t="s">
        <v>85</v>
      </c>
      <c r="O1080" s="6" t="s">
        <v>80</v>
      </c>
      <c r="P1080" s="8"/>
      <c r="Q1080">
        <v>6</v>
      </c>
      <c r="R1080" t="s">
        <v>213</v>
      </c>
      <c r="S1080" t="s">
        <v>180</v>
      </c>
      <c r="T1080">
        <v>6</v>
      </c>
      <c r="U1080" t="s">
        <v>28</v>
      </c>
      <c r="V1080" t="s">
        <v>28</v>
      </c>
      <c r="W1080">
        <v>25.939999999999998</v>
      </c>
      <c r="X1080">
        <v>5.575E-5</v>
      </c>
      <c r="Y1080">
        <v>9.8816840669999234E-6</v>
      </c>
    </row>
    <row r="1081" spans="1:25" x14ac:dyDescent="0.2">
      <c r="A1081" t="s">
        <v>174</v>
      </c>
      <c r="B1081">
        <v>2014</v>
      </c>
      <c r="C1081" t="s">
        <v>826</v>
      </c>
      <c r="D1081" t="s">
        <v>812</v>
      </c>
      <c r="E1081" t="s">
        <v>175</v>
      </c>
      <c r="F1081" t="s">
        <v>188</v>
      </c>
      <c r="G1081">
        <v>-31.842694000000002</v>
      </c>
      <c r="H1081">
        <v>115.747713</v>
      </c>
      <c r="I1081" t="s">
        <v>767</v>
      </c>
      <c r="J1081" t="s">
        <v>14</v>
      </c>
      <c r="K1081" t="s">
        <v>3</v>
      </c>
      <c r="L1081" t="s">
        <v>3</v>
      </c>
      <c r="M1081" t="s">
        <v>26</v>
      </c>
      <c r="N1081" t="s">
        <v>85</v>
      </c>
      <c r="O1081" s="6" t="s">
        <v>80</v>
      </c>
      <c r="P1081" s="8"/>
      <c r="Q1081">
        <v>6</v>
      </c>
      <c r="R1081" t="s">
        <v>213</v>
      </c>
      <c r="S1081" t="s">
        <v>181</v>
      </c>
      <c r="T1081">
        <v>6</v>
      </c>
      <c r="U1081" t="s">
        <v>28</v>
      </c>
      <c r="V1081" t="s">
        <v>28</v>
      </c>
      <c r="W1081">
        <v>26.04</v>
      </c>
      <c r="X1081">
        <v>5.8793333333333332E-5</v>
      </c>
      <c r="Y1081">
        <v>1.2475702251443272E-5</v>
      </c>
    </row>
    <row r="1082" spans="1:25" x14ac:dyDescent="0.2">
      <c r="A1082" t="s">
        <v>174</v>
      </c>
      <c r="B1082">
        <v>2014</v>
      </c>
      <c r="C1082" t="s">
        <v>826</v>
      </c>
      <c r="D1082" t="s">
        <v>812</v>
      </c>
      <c r="E1082" t="s">
        <v>175</v>
      </c>
      <c r="F1082" t="s">
        <v>188</v>
      </c>
      <c r="G1082">
        <v>-31.842694000000002</v>
      </c>
      <c r="H1082">
        <v>115.747713</v>
      </c>
      <c r="I1082" t="s">
        <v>767</v>
      </c>
      <c r="J1082" t="s">
        <v>14</v>
      </c>
      <c r="K1082" t="s">
        <v>3</v>
      </c>
      <c r="L1082" t="s">
        <v>3</v>
      </c>
      <c r="M1082" t="s">
        <v>26</v>
      </c>
      <c r="N1082" t="s">
        <v>85</v>
      </c>
      <c r="O1082" s="6" t="s">
        <v>80</v>
      </c>
      <c r="P1082" s="8"/>
      <c r="Q1082">
        <v>6</v>
      </c>
      <c r="R1082" t="s">
        <v>213</v>
      </c>
      <c r="S1082" t="s">
        <v>182</v>
      </c>
      <c r="T1082">
        <v>6</v>
      </c>
      <c r="U1082" t="s">
        <v>28</v>
      </c>
      <c r="V1082" t="s">
        <v>28</v>
      </c>
      <c r="W1082">
        <v>26.424999999999997</v>
      </c>
      <c r="X1082">
        <v>5.683333333333333E-5</v>
      </c>
      <c r="Y1082">
        <v>6.2964900275206543E-6</v>
      </c>
    </row>
    <row r="1083" spans="1:25" x14ac:dyDescent="0.2">
      <c r="A1083" t="s">
        <v>174</v>
      </c>
      <c r="B1083">
        <v>2014</v>
      </c>
      <c r="C1083" t="s">
        <v>826</v>
      </c>
      <c r="D1083" t="s">
        <v>812</v>
      </c>
      <c r="E1083" t="s">
        <v>175</v>
      </c>
      <c r="F1083" t="s">
        <v>188</v>
      </c>
      <c r="G1083">
        <v>-31.842694000000002</v>
      </c>
      <c r="H1083">
        <v>115.747713</v>
      </c>
      <c r="I1083" t="s">
        <v>767</v>
      </c>
      <c r="J1083" t="s">
        <v>14</v>
      </c>
      <c r="K1083" t="s">
        <v>3</v>
      </c>
      <c r="L1083" t="s">
        <v>3</v>
      </c>
      <c r="M1083" t="s">
        <v>26</v>
      </c>
      <c r="N1083" t="s">
        <v>85</v>
      </c>
      <c r="O1083" s="6" t="s">
        <v>80</v>
      </c>
      <c r="P1083" s="8"/>
      <c r="Q1083">
        <v>6</v>
      </c>
      <c r="R1083" t="s">
        <v>213</v>
      </c>
      <c r="S1083" t="s">
        <v>183</v>
      </c>
      <c r="T1083">
        <v>6</v>
      </c>
      <c r="U1083" t="s">
        <v>28</v>
      </c>
      <c r="V1083" t="s">
        <v>28</v>
      </c>
      <c r="W1083">
        <v>26.6</v>
      </c>
      <c r="X1083">
        <v>5.236166666666667E-5</v>
      </c>
      <c r="Y1083">
        <v>1.2692420441612632E-5</v>
      </c>
    </row>
    <row r="1084" spans="1:25" x14ac:dyDescent="0.2">
      <c r="A1084" t="s">
        <v>174</v>
      </c>
      <c r="B1084">
        <v>2014</v>
      </c>
      <c r="C1084" t="s">
        <v>826</v>
      </c>
      <c r="D1084" t="s">
        <v>812</v>
      </c>
      <c r="E1084" t="s">
        <v>175</v>
      </c>
      <c r="F1084" t="s">
        <v>188</v>
      </c>
      <c r="G1084">
        <v>-31.842694000000002</v>
      </c>
      <c r="H1084">
        <v>115.747713</v>
      </c>
      <c r="I1084" t="s">
        <v>767</v>
      </c>
      <c r="J1084" t="s">
        <v>14</v>
      </c>
      <c r="K1084" t="s">
        <v>3</v>
      </c>
      <c r="L1084" t="s">
        <v>3</v>
      </c>
      <c r="M1084" t="s">
        <v>26</v>
      </c>
      <c r="N1084" t="s">
        <v>85</v>
      </c>
      <c r="O1084" s="6" t="s">
        <v>80</v>
      </c>
      <c r="P1084" s="8"/>
      <c r="Q1084">
        <v>6</v>
      </c>
      <c r="R1084" t="s">
        <v>213</v>
      </c>
      <c r="S1084" t="s">
        <v>184</v>
      </c>
      <c r="T1084">
        <v>6</v>
      </c>
      <c r="U1084" t="s">
        <v>28</v>
      </c>
      <c r="V1084" t="s">
        <v>28</v>
      </c>
      <c r="W1084">
        <v>26.7</v>
      </c>
      <c r="X1084">
        <v>6.465333333333334E-5</v>
      </c>
      <c r="Y1084">
        <v>1.0657040239516102E-5</v>
      </c>
    </row>
    <row r="1085" spans="1:25" x14ac:dyDescent="0.2">
      <c r="A1085" t="s">
        <v>174</v>
      </c>
      <c r="B1085">
        <v>2014</v>
      </c>
      <c r="C1085" t="s">
        <v>826</v>
      </c>
      <c r="D1085" t="s">
        <v>812</v>
      </c>
      <c r="E1085" t="s">
        <v>175</v>
      </c>
      <c r="F1085" t="s">
        <v>188</v>
      </c>
      <c r="G1085">
        <v>-31.842694000000002</v>
      </c>
      <c r="H1085">
        <v>115.747713</v>
      </c>
      <c r="I1085" t="s">
        <v>767</v>
      </c>
      <c r="J1085" t="s">
        <v>14</v>
      </c>
      <c r="K1085" t="s">
        <v>3</v>
      </c>
      <c r="L1085" t="s">
        <v>3</v>
      </c>
      <c r="M1085" t="s">
        <v>26</v>
      </c>
      <c r="N1085" t="s">
        <v>85</v>
      </c>
      <c r="O1085" s="6" t="s">
        <v>80</v>
      </c>
      <c r="P1085" s="8"/>
      <c r="Q1085">
        <v>6</v>
      </c>
      <c r="R1085" t="s">
        <v>213</v>
      </c>
      <c r="S1085" t="s">
        <v>185</v>
      </c>
      <c r="T1085">
        <v>6</v>
      </c>
      <c r="U1085" t="s">
        <v>28</v>
      </c>
      <c r="V1085" t="s">
        <v>28</v>
      </c>
      <c r="W1085">
        <v>26.974999999999998</v>
      </c>
      <c r="X1085">
        <v>5.1611666666666666E-5</v>
      </c>
      <c r="Y1085">
        <v>7.1817363267294868E-6</v>
      </c>
    </row>
    <row r="1086" spans="1:25" x14ac:dyDescent="0.2">
      <c r="A1086" t="s">
        <v>174</v>
      </c>
      <c r="B1086">
        <v>2014</v>
      </c>
      <c r="C1086" t="s">
        <v>826</v>
      </c>
      <c r="D1086" t="s">
        <v>812</v>
      </c>
      <c r="E1086" t="s">
        <v>175</v>
      </c>
      <c r="F1086" t="s">
        <v>189</v>
      </c>
      <c r="G1086">
        <v>-43.484158999999998</v>
      </c>
      <c r="H1086">
        <v>146.95835</v>
      </c>
      <c r="I1086" t="s">
        <v>767</v>
      </c>
      <c r="J1086" t="s">
        <v>7</v>
      </c>
      <c r="K1086" t="s">
        <v>3</v>
      </c>
      <c r="L1086" t="s">
        <v>3</v>
      </c>
      <c r="M1086" t="s">
        <v>26</v>
      </c>
      <c r="N1086" t="s">
        <v>85</v>
      </c>
      <c r="O1086" s="6" t="s">
        <v>80</v>
      </c>
      <c r="P1086" s="8"/>
      <c r="Q1086">
        <v>6</v>
      </c>
      <c r="R1086" t="s">
        <v>213</v>
      </c>
      <c r="S1086" t="s">
        <v>7</v>
      </c>
      <c r="T1086">
        <v>6</v>
      </c>
      <c r="U1086" t="s">
        <v>28</v>
      </c>
      <c r="V1086" t="s">
        <v>28</v>
      </c>
      <c r="W1086">
        <v>13.1</v>
      </c>
      <c r="X1086">
        <v>6.0254999999999998E-5</v>
      </c>
      <c r="Y1086">
        <v>6.9502568297870081E-6</v>
      </c>
    </row>
    <row r="1087" spans="1:25" x14ac:dyDescent="0.2">
      <c r="A1087" t="s">
        <v>174</v>
      </c>
      <c r="B1087">
        <v>2014</v>
      </c>
      <c r="C1087" t="s">
        <v>826</v>
      </c>
      <c r="D1087" t="s">
        <v>812</v>
      </c>
      <c r="E1087" t="s">
        <v>175</v>
      </c>
      <c r="F1087" t="s">
        <v>189</v>
      </c>
      <c r="G1087">
        <v>-43.484158999999998</v>
      </c>
      <c r="H1087">
        <v>146.95835</v>
      </c>
      <c r="I1087" t="s">
        <v>767</v>
      </c>
      <c r="J1087" t="s">
        <v>14</v>
      </c>
      <c r="K1087" t="s">
        <v>3</v>
      </c>
      <c r="L1087" t="s">
        <v>3</v>
      </c>
      <c r="M1087" t="s">
        <v>26</v>
      </c>
      <c r="N1087" t="s">
        <v>85</v>
      </c>
      <c r="O1087" s="6" t="s">
        <v>80</v>
      </c>
      <c r="P1087" s="8"/>
      <c r="Q1087">
        <v>6</v>
      </c>
      <c r="R1087" t="s">
        <v>213</v>
      </c>
      <c r="S1087" t="s">
        <v>9</v>
      </c>
      <c r="T1087">
        <v>6</v>
      </c>
      <c r="U1087" t="s">
        <v>28</v>
      </c>
      <c r="V1087" t="s">
        <v>28</v>
      </c>
      <c r="W1087">
        <v>13.48</v>
      </c>
      <c r="X1087">
        <v>7.8741666666666665E-5</v>
      </c>
      <c r="Y1087">
        <v>1.271781807806148E-5</v>
      </c>
    </row>
    <row r="1088" spans="1:25" x14ac:dyDescent="0.2">
      <c r="A1088" t="s">
        <v>174</v>
      </c>
      <c r="B1088">
        <v>2014</v>
      </c>
      <c r="C1088" t="s">
        <v>826</v>
      </c>
      <c r="D1088" t="s">
        <v>812</v>
      </c>
      <c r="E1088" t="s">
        <v>175</v>
      </c>
      <c r="F1088" t="s">
        <v>189</v>
      </c>
      <c r="G1088">
        <v>-43.484158999999998</v>
      </c>
      <c r="H1088">
        <v>146.95835</v>
      </c>
      <c r="I1088" t="s">
        <v>767</v>
      </c>
      <c r="J1088" t="s">
        <v>14</v>
      </c>
      <c r="K1088" t="s">
        <v>3</v>
      </c>
      <c r="L1088" t="s">
        <v>3</v>
      </c>
      <c r="M1088" t="s">
        <v>26</v>
      </c>
      <c r="N1088" t="s">
        <v>85</v>
      </c>
      <c r="O1088" s="6" t="s">
        <v>80</v>
      </c>
      <c r="P1088" s="8"/>
      <c r="Q1088">
        <v>6</v>
      </c>
      <c r="R1088" t="s">
        <v>213</v>
      </c>
      <c r="S1088" t="s">
        <v>27</v>
      </c>
      <c r="T1088">
        <v>6</v>
      </c>
      <c r="U1088" t="s">
        <v>28</v>
      </c>
      <c r="V1088" t="s">
        <v>28</v>
      </c>
      <c r="W1088">
        <v>16.72</v>
      </c>
      <c r="X1088">
        <v>1.3094999999999998E-4</v>
      </c>
      <c r="Y1088">
        <v>2.4116778391816885E-5</v>
      </c>
    </row>
    <row r="1089" spans="1:25" x14ac:dyDescent="0.2">
      <c r="A1089" t="s">
        <v>174</v>
      </c>
      <c r="B1089">
        <v>2014</v>
      </c>
      <c r="C1089" t="s">
        <v>826</v>
      </c>
      <c r="D1089" t="s">
        <v>812</v>
      </c>
      <c r="E1089" t="s">
        <v>175</v>
      </c>
      <c r="F1089" t="s">
        <v>189</v>
      </c>
      <c r="G1089">
        <v>-43.484158999999998</v>
      </c>
      <c r="H1089">
        <v>146.95835</v>
      </c>
      <c r="I1089" t="s">
        <v>767</v>
      </c>
      <c r="J1089" t="s">
        <v>14</v>
      </c>
      <c r="K1089" t="s">
        <v>3</v>
      </c>
      <c r="L1089" t="s">
        <v>3</v>
      </c>
      <c r="M1089" t="s">
        <v>26</v>
      </c>
      <c r="N1089" t="s">
        <v>85</v>
      </c>
      <c r="O1089" s="6" t="s">
        <v>80</v>
      </c>
      <c r="P1089" s="8"/>
      <c r="Q1089">
        <v>6</v>
      </c>
      <c r="R1089" t="s">
        <v>213</v>
      </c>
      <c r="S1089" t="s">
        <v>13</v>
      </c>
      <c r="T1089">
        <v>6</v>
      </c>
      <c r="U1089" t="s">
        <v>28</v>
      </c>
      <c r="V1089" t="s">
        <v>28</v>
      </c>
      <c r="W1089">
        <v>17.579999999999998</v>
      </c>
      <c r="X1089">
        <v>1.5848999999999998E-4</v>
      </c>
      <c r="Y1089">
        <v>5.1849981677913829E-5</v>
      </c>
    </row>
    <row r="1090" spans="1:25" x14ac:dyDescent="0.2">
      <c r="A1090" t="s">
        <v>174</v>
      </c>
      <c r="B1090">
        <v>2014</v>
      </c>
      <c r="C1090" t="s">
        <v>826</v>
      </c>
      <c r="D1090" t="s">
        <v>812</v>
      </c>
      <c r="E1090" t="s">
        <v>175</v>
      </c>
      <c r="F1090" t="s">
        <v>189</v>
      </c>
      <c r="G1090">
        <v>-43.484158999999998</v>
      </c>
      <c r="H1090">
        <v>146.95835</v>
      </c>
      <c r="I1090" t="s">
        <v>767</v>
      </c>
      <c r="J1090" t="s">
        <v>14</v>
      </c>
      <c r="K1090" t="s">
        <v>3</v>
      </c>
      <c r="L1090" t="s">
        <v>3</v>
      </c>
      <c r="M1090" t="s">
        <v>26</v>
      </c>
      <c r="N1090" t="s">
        <v>85</v>
      </c>
      <c r="O1090" s="6" t="s">
        <v>80</v>
      </c>
      <c r="P1090" s="8"/>
      <c r="Q1090">
        <v>6</v>
      </c>
      <c r="R1090" t="s">
        <v>213</v>
      </c>
      <c r="S1090" t="s">
        <v>15</v>
      </c>
      <c r="T1090">
        <v>6</v>
      </c>
      <c r="U1090" t="s">
        <v>28</v>
      </c>
      <c r="V1090" t="s">
        <v>28</v>
      </c>
      <c r="W1090">
        <v>19.419999999999998</v>
      </c>
      <c r="X1090">
        <v>1.7126666666666666E-4</v>
      </c>
      <c r="Y1090">
        <v>2.2489968133962911E-5</v>
      </c>
    </row>
    <row r="1091" spans="1:25" x14ac:dyDescent="0.2">
      <c r="A1091" t="s">
        <v>174</v>
      </c>
      <c r="B1091">
        <v>2014</v>
      </c>
      <c r="C1091" t="s">
        <v>826</v>
      </c>
      <c r="D1091" t="s">
        <v>812</v>
      </c>
      <c r="E1091" t="s">
        <v>175</v>
      </c>
      <c r="F1091" t="s">
        <v>189</v>
      </c>
      <c r="G1091">
        <v>-43.484158999999998</v>
      </c>
      <c r="H1091">
        <v>146.95835</v>
      </c>
      <c r="I1091" t="s">
        <v>767</v>
      </c>
      <c r="J1091" t="s">
        <v>14</v>
      </c>
      <c r="K1091" t="s">
        <v>3</v>
      </c>
      <c r="L1091" t="s">
        <v>3</v>
      </c>
      <c r="M1091" t="s">
        <v>26</v>
      </c>
      <c r="N1091" t="s">
        <v>85</v>
      </c>
      <c r="O1091" s="6" t="s">
        <v>80</v>
      </c>
      <c r="P1091" s="8"/>
      <c r="Q1091">
        <v>6</v>
      </c>
      <c r="R1091" t="s">
        <v>213</v>
      </c>
      <c r="S1091" t="s">
        <v>37</v>
      </c>
      <c r="T1091">
        <v>6</v>
      </c>
      <c r="U1091" t="s">
        <v>28</v>
      </c>
      <c r="V1091" t="s">
        <v>28</v>
      </c>
      <c r="W1091">
        <v>19.52</v>
      </c>
      <c r="X1091">
        <v>2.1831666666666664E-4</v>
      </c>
      <c r="Y1091">
        <v>6.6354304055326187E-5</v>
      </c>
    </row>
    <row r="1092" spans="1:25" x14ac:dyDescent="0.2">
      <c r="A1092" t="s">
        <v>174</v>
      </c>
      <c r="B1092">
        <v>2014</v>
      </c>
      <c r="C1092" t="s">
        <v>826</v>
      </c>
      <c r="D1092" t="s">
        <v>812</v>
      </c>
      <c r="E1092" t="s">
        <v>175</v>
      </c>
      <c r="F1092" t="s">
        <v>189</v>
      </c>
      <c r="G1092">
        <v>-43.484158999999998</v>
      </c>
      <c r="H1092">
        <v>146.95835</v>
      </c>
      <c r="I1092" t="s">
        <v>767</v>
      </c>
      <c r="J1092" t="s">
        <v>14</v>
      </c>
      <c r="K1092" t="s">
        <v>3</v>
      </c>
      <c r="L1092" t="s">
        <v>3</v>
      </c>
      <c r="M1092" t="s">
        <v>26</v>
      </c>
      <c r="N1092" t="s">
        <v>85</v>
      </c>
      <c r="O1092" s="6" t="s">
        <v>80</v>
      </c>
      <c r="P1092" s="8"/>
      <c r="Q1092">
        <v>6</v>
      </c>
      <c r="R1092" t="s">
        <v>213</v>
      </c>
      <c r="S1092" t="s">
        <v>116</v>
      </c>
      <c r="T1092">
        <v>6</v>
      </c>
      <c r="U1092" t="s">
        <v>28</v>
      </c>
      <c r="V1092" t="s">
        <v>28</v>
      </c>
      <c r="W1092">
        <v>19.759999999999998</v>
      </c>
      <c r="X1092">
        <v>1.5480499999999999E-4</v>
      </c>
      <c r="Y1092">
        <v>4.144303741281524E-5</v>
      </c>
    </row>
    <row r="1093" spans="1:25" x14ac:dyDescent="0.2">
      <c r="A1093" t="s">
        <v>174</v>
      </c>
      <c r="B1093">
        <v>2014</v>
      </c>
      <c r="C1093" t="s">
        <v>826</v>
      </c>
      <c r="D1093" t="s">
        <v>812</v>
      </c>
      <c r="E1093" t="s">
        <v>175</v>
      </c>
      <c r="F1093" t="s">
        <v>189</v>
      </c>
      <c r="G1093">
        <v>-43.484158999999998</v>
      </c>
      <c r="H1093">
        <v>146.95835</v>
      </c>
      <c r="I1093" t="s">
        <v>767</v>
      </c>
      <c r="J1093" t="s">
        <v>14</v>
      </c>
      <c r="K1093" t="s">
        <v>3</v>
      </c>
      <c r="L1093" t="s">
        <v>3</v>
      </c>
      <c r="M1093" t="s">
        <v>26</v>
      </c>
      <c r="N1093" t="s">
        <v>85</v>
      </c>
      <c r="O1093" s="6" t="s">
        <v>80</v>
      </c>
      <c r="P1093" s="8"/>
      <c r="Q1093">
        <v>6</v>
      </c>
      <c r="R1093" t="s">
        <v>213</v>
      </c>
      <c r="S1093" t="s">
        <v>117</v>
      </c>
      <c r="T1093">
        <v>6</v>
      </c>
      <c r="U1093" t="s">
        <v>28</v>
      </c>
      <c r="V1093" t="s">
        <v>28</v>
      </c>
      <c r="W1093">
        <v>19.88</v>
      </c>
      <c r="X1093">
        <v>2.0476666666666664E-4</v>
      </c>
      <c r="Y1093">
        <v>4.8127691266740425E-5</v>
      </c>
    </row>
    <row r="1094" spans="1:25" x14ac:dyDescent="0.2">
      <c r="A1094" t="s">
        <v>174</v>
      </c>
      <c r="B1094">
        <v>2014</v>
      </c>
      <c r="C1094" t="s">
        <v>826</v>
      </c>
      <c r="D1094" t="s">
        <v>812</v>
      </c>
      <c r="E1094" t="s">
        <v>175</v>
      </c>
      <c r="F1094" t="s">
        <v>189</v>
      </c>
      <c r="G1094">
        <v>-43.484158999999998</v>
      </c>
      <c r="H1094">
        <v>146.95835</v>
      </c>
      <c r="I1094" t="s">
        <v>767</v>
      </c>
      <c r="J1094" t="s">
        <v>14</v>
      </c>
      <c r="K1094" t="s">
        <v>3</v>
      </c>
      <c r="L1094" t="s">
        <v>3</v>
      </c>
      <c r="M1094" t="s">
        <v>26</v>
      </c>
      <c r="N1094" t="s">
        <v>85</v>
      </c>
      <c r="O1094" s="6" t="s">
        <v>80</v>
      </c>
      <c r="P1094" s="8"/>
      <c r="Q1094">
        <v>6</v>
      </c>
      <c r="R1094" t="s">
        <v>213</v>
      </c>
      <c r="S1094" t="s">
        <v>118</v>
      </c>
      <c r="T1094">
        <v>6</v>
      </c>
      <c r="U1094" t="s">
        <v>28</v>
      </c>
      <c r="V1094" t="s">
        <v>28</v>
      </c>
      <c r="W1094">
        <v>19.98</v>
      </c>
      <c r="X1094">
        <v>1.9088333333333336E-4</v>
      </c>
      <c r="Y1094">
        <v>4.5104386335107779E-5</v>
      </c>
    </row>
    <row r="1095" spans="1:25" x14ac:dyDescent="0.2">
      <c r="A1095" t="s">
        <v>174</v>
      </c>
      <c r="B1095">
        <v>2014</v>
      </c>
      <c r="C1095" t="s">
        <v>826</v>
      </c>
      <c r="D1095" t="s">
        <v>812</v>
      </c>
      <c r="E1095" t="s">
        <v>175</v>
      </c>
      <c r="F1095" t="s">
        <v>189</v>
      </c>
      <c r="G1095">
        <v>-43.484158999999998</v>
      </c>
      <c r="H1095">
        <v>146.95835</v>
      </c>
      <c r="I1095" t="s">
        <v>767</v>
      </c>
      <c r="J1095" t="s">
        <v>14</v>
      </c>
      <c r="K1095" t="s">
        <v>3</v>
      </c>
      <c r="L1095" t="s">
        <v>3</v>
      </c>
      <c r="M1095" t="s">
        <v>26</v>
      </c>
      <c r="N1095" t="s">
        <v>85</v>
      </c>
      <c r="O1095" s="6" t="s">
        <v>80</v>
      </c>
      <c r="P1095" s="8"/>
      <c r="Q1095">
        <v>6</v>
      </c>
      <c r="R1095" t="s">
        <v>213</v>
      </c>
      <c r="S1095" t="s">
        <v>177</v>
      </c>
      <c r="T1095">
        <v>6</v>
      </c>
      <c r="U1095" t="s">
        <v>28</v>
      </c>
      <c r="V1095" t="s">
        <v>28</v>
      </c>
      <c r="W1095">
        <v>20.36</v>
      </c>
      <c r="X1095">
        <v>1.5075000000000001E-4</v>
      </c>
      <c r="Y1095">
        <v>4.0624413841925121E-5</v>
      </c>
    </row>
    <row r="1096" spans="1:25" x14ac:dyDescent="0.2">
      <c r="A1096" t="s">
        <v>174</v>
      </c>
      <c r="B1096">
        <v>2014</v>
      </c>
      <c r="C1096" t="s">
        <v>826</v>
      </c>
      <c r="D1096" t="s">
        <v>812</v>
      </c>
      <c r="E1096" t="s">
        <v>175</v>
      </c>
      <c r="F1096" t="s">
        <v>189</v>
      </c>
      <c r="G1096">
        <v>-43.484158999999998</v>
      </c>
      <c r="H1096">
        <v>146.95835</v>
      </c>
      <c r="I1096" t="s">
        <v>767</v>
      </c>
      <c r="J1096" t="s">
        <v>14</v>
      </c>
      <c r="K1096" t="s">
        <v>3</v>
      </c>
      <c r="L1096" t="s">
        <v>3</v>
      </c>
      <c r="M1096" t="s">
        <v>26</v>
      </c>
      <c r="N1096" t="s">
        <v>85</v>
      </c>
      <c r="O1096" s="6" t="s">
        <v>80</v>
      </c>
      <c r="P1096" s="8"/>
      <c r="Q1096">
        <v>6</v>
      </c>
      <c r="R1096" t="s">
        <v>213</v>
      </c>
      <c r="S1096" t="s">
        <v>178</v>
      </c>
      <c r="T1096">
        <v>6</v>
      </c>
      <c r="U1096" t="s">
        <v>28</v>
      </c>
      <c r="V1096" t="s">
        <v>28</v>
      </c>
      <c r="W1096">
        <v>20.68</v>
      </c>
      <c r="X1096">
        <v>2.1025000000000001E-4</v>
      </c>
      <c r="Y1096">
        <v>5.4767682076202531E-5</v>
      </c>
    </row>
    <row r="1097" spans="1:25" x14ac:dyDescent="0.2">
      <c r="A1097" t="s">
        <v>174</v>
      </c>
      <c r="B1097">
        <v>2014</v>
      </c>
      <c r="C1097" t="s">
        <v>826</v>
      </c>
      <c r="D1097" t="s">
        <v>812</v>
      </c>
      <c r="E1097" t="s">
        <v>175</v>
      </c>
      <c r="F1097" t="s">
        <v>189</v>
      </c>
      <c r="G1097">
        <v>-43.484158999999998</v>
      </c>
      <c r="H1097">
        <v>146.95835</v>
      </c>
      <c r="I1097" t="s">
        <v>767</v>
      </c>
      <c r="J1097" t="s">
        <v>14</v>
      </c>
      <c r="K1097" t="s">
        <v>3</v>
      </c>
      <c r="L1097" t="s">
        <v>3</v>
      </c>
      <c r="M1097" t="s">
        <v>26</v>
      </c>
      <c r="N1097" t="s">
        <v>85</v>
      </c>
      <c r="O1097" s="6" t="s">
        <v>80</v>
      </c>
      <c r="P1097" s="8"/>
      <c r="Q1097">
        <v>6</v>
      </c>
      <c r="R1097" t="s">
        <v>213</v>
      </c>
      <c r="S1097" t="s">
        <v>179</v>
      </c>
      <c r="T1097">
        <v>6</v>
      </c>
      <c r="U1097" t="s">
        <v>28</v>
      </c>
      <c r="V1097" t="s">
        <v>28</v>
      </c>
      <c r="W1097">
        <v>21.5</v>
      </c>
      <c r="X1097">
        <v>2.0353333333333334E-4</v>
      </c>
      <c r="Y1097">
        <v>4.7540747434876126E-5</v>
      </c>
    </row>
    <row r="1098" spans="1:25" x14ac:dyDescent="0.2">
      <c r="A1098" t="s">
        <v>174</v>
      </c>
      <c r="B1098">
        <v>2014</v>
      </c>
      <c r="C1098" t="s">
        <v>826</v>
      </c>
      <c r="D1098" t="s">
        <v>812</v>
      </c>
      <c r="E1098" t="s">
        <v>175</v>
      </c>
      <c r="F1098" t="s">
        <v>189</v>
      </c>
      <c r="G1098">
        <v>-43.484158999999998</v>
      </c>
      <c r="H1098">
        <v>146.95835</v>
      </c>
      <c r="I1098" t="s">
        <v>767</v>
      </c>
      <c r="J1098" t="s">
        <v>14</v>
      </c>
      <c r="K1098" t="s">
        <v>3</v>
      </c>
      <c r="L1098" t="s">
        <v>3</v>
      </c>
      <c r="M1098" t="s">
        <v>26</v>
      </c>
      <c r="N1098" t="s">
        <v>85</v>
      </c>
      <c r="O1098" s="6" t="s">
        <v>80</v>
      </c>
      <c r="P1098" s="8"/>
      <c r="Q1098">
        <v>6</v>
      </c>
      <c r="R1098" t="s">
        <v>213</v>
      </c>
      <c r="S1098" t="s">
        <v>180</v>
      </c>
      <c r="T1098">
        <v>6</v>
      </c>
      <c r="U1098" t="s">
        <v>28</v>
      </c>
      <c r="V1098" t="s">
        <v>28</v>
      </c>
      <c r="W1098">
        <v>21.6</v>
      </c>
      <c r="X1098">
        <v>2.2313333333333333E-4</v>
      </c>
      <c r="Y1098">
        <v>4.1596618452305318E-5</v>
      </c>
    </row>
    <row r="1099" spans="1:25" x14ac:dyDescent="0.2">
      <c r="A1099" t="s">
        <v>174</v>
      </c>
      <c r="B1099">
        <v>2014</v>
      </c>
      <c r="C1099" t="s">
        <v>826</v>
      </c>
      <c r="D1099" t="s">
        <v>812</v>
      </c>
      <c r="E1099" t="s">
        <v>175</v>
      </c>
      <c r="F1099" t="s">
        <v>189</v>
      </c>
      <c r="G1099">
        <v>-43.484158999999998</v>
      </c>
      <c r="H1099">
        <v>146.95835</v>
      </c>
      <c r="I1099" t="s">
        <v>767</v>
      </c>
      <c r="J1099" t="s">
        <v>14</v>
      </c>
      <c r="K1099" t="s">
        <v>3</v>
      </c>
      <c r="L1099" t="s">
        <v>3</v>
      </c>
      <c r="M1099" t="s">
        <v>26</v>
      </c>
      <c r="N1099" t="s">
        <v>85</v>
      </c>
      <c r="O1099" s="6" t="s">
        <v>80</v>
      </c>
      <c r="P1099" s="8"/>
      <c r="Q1099">
        <v>6</v>
      </c>
      <c r="R1099" t="s">
        <v>213</v>
      </c>
      <c r="S1099" t="s">
        <v>181</v>
      </c>
      <c r="T1099">
        <v>6</v>
      </c>
      <c r="U1099" t="s">
        <v>28</v>
      </c>
      <c r="V1099" t="s">
        <v>28</v>
      </c>
      <c r="W1099">
        <v>25.6</v>
      </c>
      <c r="X1099">
        <v>1.6448333333333334E-4</v>
      </c>
      <c r="Y1099">
        <v>3.7899678978411659E-5</v>
      </c>
    </row>
    <row r="1100" spans="1:25" x14ac:dyDescent="0.2">
      <c r="A1100" t="s">
        <v>174</v>
      </c>
      <c r="B1100">
        <v>2014</v>
      </c>
      <c r="C1100" t="s">
        <v>826</v>
      </c>
      <c r="D1100" t="s">
        <v>812</v>
      </c>
      <c r="E1100" t="s">
        <v>175</v>
      </c>
      <c r="F1100" t="s">
        <v>189</v>
      </c>
      <c r="G1100">
        <v>-43.484158999999998</v>
      </c>
      <c r="H1100">
        <v>146.95835</v>
      </c>
      <c r="I1100" t="s">
        <v>767</v>
      </c>
      <c r="J1100" t="s">
        <v>14</v>
      </c>
      <c r="K1100" t="s">
        <v>3</v>
      </c>
      <c r="L1100" t="s">
        <v>3</v>
      </c>
      <c r="M1100" t="s">
        <v>26</v>
      </c>
      <c r="N1100" t="s">
        <v>85</v>
      </c>
      <c r="O1100" s="6" t="s">
        <v>80</v>
      </c>
      <c r="P1100" s="8"/>
      <c r="Q1100">
        <v>6</v>
      </c>
      <c r="R1100" t="s">
        <v>213</v>
      </c>
      <c r="S1100" t="s">
        <v>182</v>
      </c>
      <c r="T1100">
        <v>6</v>
      </c>
      <c r="U1100" t="s">
        <v>28</v>
      </c>
      <c r="V1100" t="s">
        <v>28</v>
      </c>
      <c r="W1100">
        <v>25.98</v>
      </c>
      <c r="X1100">
        <v>1.1087166666666667E-4</v>
      </c>
      <c r="Y1100">
        <v>3.1150920639150708E-5</v>
      </c>
    </row>
    <row r="1101" spans="1:25" x14ac:dyDescent="0.2">
      <c r="A1101" t="s">
        <v>174</v>
      </c>
      <c r="B1101">
        <v>2014</v>
      </c>
      <c r="C1101" t="s">
        <v>826</v>
      </c>
      <c r="D1101" t="s">
        <v>812</v>
      </c>
      <c r="E1101" t="s">
        <v>175</v>
      </c>
      <c r="F1101" t="s">
        <v>189</v>
      </c>
      <c r="G1101">
        <v>-43.484158999999998</v>
      </c>
      <c r="H1101">
        <v>146.95835</v>
      </c>
      <c r="I1101" t="s">
        <v>767</v>
      </c>
      <c r="J1101" t="s">
        <v>14</v>
      </c>
      <c r="K1101" t="s">
        <v>3</v>
      </c>
      <c r="L1101" t="s">
        <v>3</v>
      </c>
      <c r="M1101" t="s">
        <v>26</v>
      </c>
      <c r="N1101" t="s">
        <v>85</v>
      </c>
      <c r="O1101" s="6" t="s">
        <v>80</v>
      </c>
      <c r="P1101" s="8"/>
      <c r="Q1101">
        <v>6</v>
      </c>
      <c r="R1101" t="s">
        <v>213</v>
      </c>
      <c r="S1101" t="s">
        <v>183</v>
      </c>
      <c r="T1101">
        <v>6</v>
      </c>
      <c r="U1101" t="s">
        <v>28</v>
      </c>
      <c r="V1101" t="s">
        <v>28</v>
      </c>
      <c r="W1101">
        <v>26.079999999999995</v>
      </c>
      <c r="X1101">
        <v>1.7731666666666668E-4</v>
      </c>
      <c r="Y1101">
        <v>4.7898201079650849E-5</v>
      </c>
    </row>
    <row r="1102" spans="1:25" x14ac:dyDescent="0.2">
      <c r="A1102" t="s">
        <v>174</v>
      </c>
      <c r="B1102">
        <v>2014</v>
      </c>
      <c r="C1102" t="s">
        <v>826</v>
      </c>
      <c r="D1102" t="s">
        <v>812</v>
      </c>
      <c r="E1102" t="s">
        <v>175</v>
      </c>
      <c r="F1102" t="s">
        <v>189</v>
      </c>
      <c r="G1102">
        <v>-43.484158999999998</v>
      </c>
      <c r="H1102">
        <v>146.95835</v>
      </c>
      <c r="I1102" t="s">
        <v>767</v>
      </c>
      <c r="J1102" t="s">
        <v>14</v>
      </c>
      <c r="K1102" t="s">
        <v>3</v>
      </c>
      <c r="L1102" t="s">
        <v>3</v>
      </c>
      <c r="M1102" t="s">
        <v>26</v>
      </c>
      <c r="N1102" t="s">
        <v>85</v>
      </c>
      <c r="O1102" s="6" t="s">
        <v>80</v>
      </c>
      <c r="P1102" s="8"/>
      <c r="Q1102">
        <v>6</v>
      </c>
      <c r="R1102" t="s">
        <v>213</v>
      </c>
      <c r="S1102" t="s">
        <v>184</v>
      </c>
      <c r="T1102">
        <v>6</v>
      </c>
      <c r="U1102" t="s">
        <v>28</v>
      </c>
      <c r="V1102" t="s">
        <v>28</v>
      </c>
      <c r="W1102">
        <v>26.26</v>
      </c>
      <c r="X1102">
        <v>1.3019999999999999E-4</v>
      </c>
      <c r="Y1102">
        <v>1.6843633812215105E-5</v>
      </c>
    </row>
    <row r="1103" spans="1:25" x14ac:dyDescent="0.2">
      <c r="A1103" t="s">
        <v>174</v>
      </c>
      <c r="B1103">
        <v>2014</v>
      </c>
      <c r="C1103" t="s">
        <v>826</v>
      </c>
      <c r="D1103" t="s">
        <v>812</v>
      </c>
      <c r="E1103" t="s">
        <v>175</v>
      </c>
      <c r="F1103" t="s">
        <v>191</v>
      </c>
      <c r="G1103">
        <v>-35.579301000000001</v>
      </c>
      <c r="H1103">
        <v>138.607066</v>
      </c>
      <c r="I1103" t="s">
        <v>772</v>
      </c>
      <c r="J1103" t="s">
        <v>7</v>
      </c>
      <c r="K1103" t="s">
        <v>3</v>
      </c>
      <c r="L1103" t="s">
        <v>3</v>
      </c>
      <c r="M1103" t="s">
        <v>26</v>
      </c>
      <c r="N1103" t="s">
        <v>85</v>
      </c>
      <c r="O1103" s="6" t="s">
        <v>80</v>
      </c>
      <c r="P1103" s="8"/>
      <c r="Q1103">
        <v>6</v>
      </c>
      <c r="R1103" t="s">
        <v>213</v>
      </c>
      <c r="S1103" t="s">
        <v>7</v>
      </c>
      <c r="T1103">
        <v>6</v>
      </c>
      <c r="U1103" t="s">
        <v>28</v>
      </c>
      <c r="V1103" t="s">
        <v>28</v>
      </c>
      <c r="W1103">
        <v>11.879999999999999</v>
      </c>
      <c r="X1103">
        <v>5.1410000000000004E-5</v>
      </c>
      <c r="Y1103">
        <v>1.1322759380998905E-5</v>
      </c>
    </row>
    <row r="1104" spans="1:25" x14ac:dyDescent="0.2">
      <c r="A1104" t="s">
        <v>174</v>
      </c>
      <c r="B1104">
        <v>2014</v>
      </c>
      <c r="C1104" t="s">
        <v>826</v>
      </c>
      <c r="D1104" t="s">
        <v>812</v>
      </c>
      <c r="E1104" t="s">
        <v>175</v>
      </c>
      <c r="F1104" t="s">
        <v>191</v>
      </c>
      <c r="G1104">
        <v>-35.579301000000001</v>
      </c>
      <c r="H1104">
        <v>138.607066</v>
      </c>
      <c r="I1104" t="s">
        <v>772</v>
      </c>
      <c r="J1104" t="s">
        <v>14</v>
      </c>
      <c r="K1104" t="s">
        <v>3</v>
      </c>
      <c r="L1104" t="s">
        <v>3</v>
      </c>
      <c r="M1104" t="s">
        <v>26</v>
      </c>
      <c r="N1104" t="s">
        <v>85</v>
      </c>
      <c r="O1104" s="6" t="s">
        <v>80</v>
      </c>
      <c r="P1104" s="8"/>
      <c r="Q1104">
        <v>6</v>
      </c>
      <c r="R1104" t="s">
        <v>213</v>
      </c>
      <c r="S1104" t="s">
        <v>9</v>
      </c>
      <c r="T1104">
        <v>6</v>
      </c>
      <c r="U1104" t="s">
        <v>28</v>
      </c>
      <c r="V1104" t="s">
        <v>28</v>
      </c>
      <c r="W1104">
        <v>13.879999999999999</v>
      </c>
      <c r="X1104">
        <v>4.0358333333333336E-5</v>
      </c>
      <c r="Y1104">
        <v>3.9361626829523772E-6</v>
      </c>
    </row>
    <row r="1105" spans="1:28" x14ac:dyDescent="0.2">
      <c r="A1105" t="s">
        <v>174</v>
      </c>
      <c r="B1105">
        <v>2014</v>
      </c>
      <c r="C1105" t="s">
        <v>826</v>
      </c>
      <c r="D1105" t="s">
        <v>812</v>
      </c>
      <c r="E1105" t="s">
        <v>175</v>
      </c>
      <c r="F1105" t="s">
        <v>191</v>
      </c>
      <c r="G1105">
        <v>-35.579301000000001</v>
      </c>
      <c r="H1105">
        <v>138.607066</v>
      </c>
      <c r="I1105" t="s">
        <v>772</v>
      </c>
      <c r="J1105" t="s">
        <v>14</v>
      </c>
      <c r="K1105" t="s">
        <v>3</v>
      </c>
      <c r="L1105" t="s">
        <v>3</v>
      </c>
      <c r="M1105" t="s">
        <v>26</v>
      </c>
      <c r="N1105" t="s">
        <v>85</v>
      </c>
      <c r="O1105" s="6" t="s">
        <v>80</v>
      </c>
      <c r="P1105" s="8"/>
      <c r="Q1105">
        <v>6</v>
      </c>
      <c r="R1105" t="s">
        <v>213</v>
      </c>
      <c r="S1105" t="s">
        <v>27</v>
      </c>
      <c r="T1105">
        <v>6</v>
      </c>
      <c r="U1105" t="s">
        <v>28</v>
      </c>
      <c r="V1105" t="s">
        <v>28</v>
      </c>
      <c r="W1105">
        <v>15.9</v>
      </c>
      <c r="X1105">
        <v>4.21E-5</v>
      </c>
      <c r="Y1105">
        <v>8.0843985552420329E-6</v>
      </c>
    </row>
    <row r="1106" spans="1:28" x14ac:dyDescent="0.2">
      <c r="A1106" t="s">
        <v>174</v>
      </c>
      <c r="B1106">
        <v>2014</v>
      </c>
      <c r="C1106" t="s">
        <v>826</v>
      </c>
      <c r="D1106" t="s">
        <v>812</v>
      </c>
      <c r="E1106" t="s">
        <v>175</v>
      </c>
      <c r="F1106" t="s">
        <v>191</v>
      </c>
      <c r="G1106">
        <v>-35.579301000000001</v>
      </c>
      <c r="H1106">
        <v>138.607066</v>
      </c>
      <c r="I1106" t="s">
        <v>772</v>
      </c>
      <c r="J1106" t="s">
        <v>14</v>
      </c>
      <c r="K1106" t="s">
        <v>3</v>
      </c>
      <c r="L1106" t="s">
        <v>3</v>
      </c>
      <c r="M1106" t="s">
        <v>26</v>
      </c>
      <c r="N1106" t="s">
        <v>85</v>
      </c>
      <c r="O1106" s="6" t="s">
        <v>80</v>
      </c>
      <c r="P1106" s="8"/>
      <c r="Q1106">
        <v>6</v>
      </c>
      <c r="R1106" t="s">
        <v>213</v>
      </c>
      <c r="S1106" t="s">
        <v>13</v>
      </c>
      <c r="T1106">
        <v>6</v>
      </c>
      <c r="U1106" t="s">
        <v>28</v>
      </c>
      <c r="V1106" t="s">
        <v>28</v>
      </c>
      <c r="W1106">
        <v>17.86</v>
      </c>
      <c r="X1106">
        <v>3.4409999999999998E-5</v>
      </c>
      <c r="Y1106">
        <v>3.7893060050621273E-6</v>
      </c>
    </row>
    <row r="1107" spans="1:28" x14ac:dyDescent="0.2">
      <c r="A1107" t="s">
        <v>174</v>
      </c>
      <c r="B1107">
        <v>2014</v>
      </c>
      <c r="C1107" t="s">
        <v>826</v>
      </c>
      <c r="D1107" t="s">
        <v>812</v>
      </c>
      <c r="E1107" t="s">
        <v>175</v>
      </c>
      <c r="F1107" t="s">
        <v>191</v>
      </c>
      <c r="G1107">
        <v>-35.579301000000001</v>
      </c>
      <c r="H1107">
        <v>138.607066</v>
      </c>
      <c r="I1107" t="s">
        <v>772</v>
      </c>
      <c r="J1107" t="s">
        <v>14</v>
      </c>
      <c r="K1107" t="s">
        <v>3</v>
      </c>
      <c r="L1107" t="s">
        <v>3</v>
      </c>
      <c r="M1107" t="s">
        <v>26</v>
      </c>
      <c r="N1107" t="s">
        <v>85</v>
      </c>
      <c r="O1107" s="6" t="s">
        <v>80</v>
      </c>
      <c r="P1107" s="8"/>
      <c r="Q1107">
        <v>6</v>
      </c>
      <c r="R1107" t="s">
        <v>213</v>
      </c>
      <c r="S1107" t="s">
        <v>15</v>
      </c>
      <c r="T1107">
        <v>6</v>
      </c>
      <c r="U1107" t="s">
        <v>28</v>
      </c>
      <c r="V1107" t="s">
        <v>28</v>
      </c>
      <c r="W1107">
        <v>17.940000000000001</v>
      </c>
      <c r="X1107">
        <v>3.8630000000000001E-5</v>
      </c>
      <c r="Y1107">
        <v>5.9758112419988442E-6</v>
      </c>
    </row>
    <row r="1108" spans="1:28" x14ac:dyDescent="0.2">
      <c r="A1108" t="s">
        <v>174</v>
      </c>
      <c r="B1108">
        <v>2014</v>
      </c>
      <c r="C1108" t="s">
        <v>826</v>
      </c>
      <c r="D1108" t="s">
        <v>812</v>
      </c>
      <c r="E1108" t="s">
        <v>175</v>
      </c>
      <c r="F1108" t="s">
        <v>191</v>
      </c>
      <c r="G1108">
        <v>-35.579301000000001</v>
      </c>
      <c r="H1108">
        <v>138.607066</v>
      </c>
      <c r="I1108" t="s">
        <v>772</v>
      </c>
      <c r="J1108" t="s">
        <v>14</v>
      </c>
      <c r="K1108" t="s">
        <v>3</v>
      </c>
      <c r="L1108" t="s">
        <v>3</v>
      </c>
      <c r="M1108" t="s">
        <v>26</v>
      </c>
      <c r="N1108" t="s">
        <v>85</v>
      </c>
      <c r="O1108" s="6" t="s">
        <v>80</v>
      </c>
      <c r="P1108" s="8"/>
      <c r="Q1108">
        <v>6</v>
      </c>
      <c r="R1108" t="s">
        <v>213</v>
      </c>
      <c r="S1108" t="s">
        <v>37</v>
      </c>
      <c r="T1108">
        <v>6</v>
      </c>
      <c r="U1108" t="s">
        <v>28</v>
      </c>
      <c r="V1108" t="s">
        <v>28</v>
      </c>
      <c r="W1108">
        <v>18.04</v>
      </c>
      <c r="X1108">
        <v>4.0826666666666667E-5</v>
      </c>
      <c r="Y1108">
        <v>5.3174793527259013E-6</v>
      </c>
    </row>
    <row r="1109" spans="1:28" x14ac:dyDescent="0.2">
      <c r="A1109" t="s">
        <v>174</v>
      </c>
      <c r="B1109">
        <v>2014</v>
      </c>
      <c r="C1109" t="s">
        <v>826</v>
      </c>
      <c r="D1109" t="s">
        <v>812</v>
      </c>
      <c r="E1109" t="s">
        <v>175</v>
      </c>
      <c r="F1109" t="s">
        <v>191</v>
      </c>
      <c r="G1109">
        <v>-35.579301000000001</v>
      </c>
      <c r="H1109">
        <v>138.607066</v>
      </c>
      <c r="I1109" t="s">
        <v>772</v>
      </c>
      <c r="J1109" t="s">
        <v>14</v>
      </c>
      <c r="K1109" t="s">
        <v>3</v>
      </c>
      <c r="L1109" t="s">
        <v>3</v>
      </c>
      <c r="M1109" t="s">
        <v>26</v>
      </c>
      <c r="N1109" t="s">
        <v>85</v>
      </c>
      <c r="O1109" s="6" t="s">
        <v>80</v>
      </c>
      <c r="P1109" s="8"/>
      <c r="Q1109">
        <v>6</v>
      </c>
      <c r="R1109" t="s">
        <v>213</v>
      </c>
      <c r="S1109" t="s">
        <v>116</v>
      </c>
      <c r="T1109">
        <v>6</v>
      </c>
      <c r="U1109" t="s">
        <v>28</v>
      </c>
      <c r="V1109" t="s">
        <v>28</v>
      </c>
      <c r="W1109">
        <v>18.239999999999998</v>
      </c>
      <c r="X1109">
        <v>4.4566666666666668E-5</v>
      </c>
      <c r="Y1109">
        <v>2.830156650552532E-6</v>
      </c>
    </row>
    <row r="1110" spans="1:28" x14ac:dyDescent="0.2">
      <c r="A1110" t="s">
        <v>174</v>
      </c>
      <c r="B1110">
        <v>2014</v>
      </c>
      <c r="C1110" t="s">
        <v>826</v>
      </c>
      <c r="D1110" t="s">
        <v>812</v>
      </c>
      <c r="E1110" t="s">
        <v>175</v>
      </c>
      <c r="F1110" t="s">
        <v>191</v>
      </c>
      <c r="G1110">
        <v>-35.579301000000001</v>
      </c>
      <c r="H1110">
        <v>138.607066</v>
      </c>
      <c r="I1110" t="s">
        <v>772</v>
      </c>
      <c r="J1110" t="s">
        <v>14</v>
      </c>
      <c r="K1110" t="s">
        <v>3</v>
      </c>
      <c r="L1110" t="s">
        <v>3</v>
      </c>
      <c r="M1110" t="s">
        <v>26</v>
      </c>
      <c r="N1110" t="s">
        <v>85</v>
      </c>
      <c r="O1110" s="6" t="s">
        <v>80</v>
      </c>
      <c r="P1110" s="8"/>
      <c r="Q1110">
        <v>6</v>
      </c>
      <c r="R1110" t="s">
        <v>213</v>
      </c>
      <c r="S1110" t="s">
        <v>117</v>
      </c>
      <c r="T1110">
        <v>6</v>
      </c>
      <c r="U1110" t="s">
        <v>28</v>
      </c>
      <c r="V1110" t="s">
        <v>28</v>
      </c>
      <c r="W1110">
        <v>18.559999999999999</v>
      </c>
      <c r="X1110">
        <v>4.2886666666666671E-5</v>
      </c>
      <c r="Y1110">
        <v>2.2265638698825902E-6</v>
      </c>
    </row>
    <row r="1111" spans="1:28" x14ac:dyDescent="0.2">
      <c r="A1111" t="s">
        <v>174</v>
      </c>
      <c r="B1111">
        <v>2014</v>
      </c>
      <c r="C1111" t="s">
        <v>826</v>
      </c>
      <c r="D1111" t="s">
        <v>812</v>
      </c>
      <c r="E1111" t="s">
        <v>175</v>
      </c>
      <c r="F1111" t="s">
        <v>191</v>
      </c>
      <c r="G1111">
        <v>-35.579301000000001</v>
      </c>
      <c r="H1111">
        <v>138.607066</v>
      </c>
      <c r="I1111" t="s">
        <v>772</v>
      </c>
      <c r="J1111" t="s">
        <v>14</v>
      </c>
      <c r="K1111" t="s">
        <v>3</v>
      </c>
      <c r="L1111" t="s">
        <v>3</v>
      </c>
      <c r="M1111" t="s">
        <v>26</v>
      </c>
      <c r="N1111" t="s">
        <v>85</v>
      </c>
      <c r="O1111" s="6" t="s">
        <v>80</v>
      </c>
      <c r="P1111" s="8"/>
      <c r="Q1111">
        <v>6</v>
      </c>
      <c r="R1111" t="s">
        <v>213</v>
      </c>
      <c r="S1111" t="s">
        <v>118</v>
      </c>
      <c r="T1111">
        <v>6</v>
      </c>
      <c r="U1111" t="s">
        <v>28</v>
      </c>
      <c r="V1111" t="s">
        <v>28</v>
      </c>
      <c r="W1111">
        <v>19.419999999999998</v>
      </c>
      <c r="X1111">
        <v>3.4738333333333332E-5</v>
      </c>
      <c r="Y1111">
        <v>4.3466097900164436E-6</v>
      </c>
    </row>
    <row r="1112" spans="1:28" x14ac:dyDescent="0.2">
      <c r="A1112" t="s">
        <v>174</v>
      </c>
      <c r="B1112">
        <v>2014</v>
      </c>
      <c r="C1112" t="s">
        <v>826</v>
      </c>
      <c r="D1112" t="s">
        <v>812</v>
      </c>
      <c r="E1112" t="s">
        <v>175</v>
      </c>
      <c r="F1112" t="s">
        <v>191</v>
      </c>
      <c r="G1112">
        <v>-35.579301000000001</v>
      </c>
      <c r="H1112">
        <v>138.607066</v>
      </c>
      <c r="I1112" t="s">
        <v>772</v>
      </c>
      <c r="J1112" t="s">
        <v>14</v>
      </c>
      <c r="K1112" t="s">
        <v>3</v>
      </c>
      <c r="L1112" t="s">
        <v>3</v>
      </c>
      <c r="M1112" t="s">
        <v>26</v>
      </c>
      <c r="N1112" t="s">
        <v>85</v>
      </c>
      <c r="O1112" s="6" t="s">
        <v>80</v>
      </c>
      <c r="P1112" s="8"/>
      <c r="Q1112">
        <v>6</v>
      </c>
      <c r="R1112" t="s">
        <v>213</v>
      </c>
      <c r="S1112" t="s">
        <v>177</v>
      </c>
      <c r="T1112">
        <v>6</v>
      </c>
      <c r="U1112" t="s">
        <v>28</v>
      </c>
      <c r="V1112" t="s">
        <v>28</v>
      </c>
      <c r="W1112">
        <v>20.7</v>
      </c>
      <c r="X1112">
        <v>3.5596666666666664E-5</v>
      </c>
      <c r="Y1112">
        <v>2.0556523700923993E-6</v>
      </c>
    </row>
    <row r="1113" spans="1:28" x14ac:dyDescent="0.2">
      <c r="A1113" t="s">
        <v>174</v>
      </c>
      <c r="B1113">
        <v>2014</v>
      </c>
      <c r="C1113" t="s">
        <v>826</v>
      </c>
      <c r="D1113" t="s">
        <v>812</v>
      </c>
      <c r="E1113" t="s">
        <v>175</v>
      </c>
      <c r="F1113" t="s">
        <v>191</v>
      </c>
      <c r="G1113">
        <v>-35.579301000000001</v>
      </c>
      <c r="H1113">
        <v>138.607066</v>
      </c>
      <c r="I1113" t="s">
        <v>772</v>
      </c>
      <c r="J1113" t="s">
        <v>14</v>
      </c>
      <c r="K1113" t="s">
        <v>3</v>
      </c>
      <c r="L1113" t="s">
        <v>3</v>
      </c>
      <c r="M1113" t="s">
        <v>26</v>
      </c>
      <c r="N1113" t="s">
        <v>85</v>
      </c>
      <c r="O1113" s="6" t="s">
        <v>80</v>
      </c>
      <c r="P1113" s="8"/>
      <c r="Q1113">
        <v>6</v>
      </c>
      <c r="R1113" t="s">
        <v>213</v>
      </c>
      <c r="S1113" t="s">
        <v>178</v>
      </c>
      <c r="T1113">
        <v>6</v>
      </c>
      <c r="U1113" t="s">
        <v>28</v>
      </c>
      <c r="V1113" t="s">
        <v>28</v>
      </c>
      <c r="W1113">
        <v>22.15</v>
      </c>
      <c r="X1113">
        <v>5.3175000000000005E-5</v>
      </c>
      <c r="Y1113">
        <v>8.8747478837429166E-6</v>
      </c>
    </row>
    <row r="1114" spans="1:28" x14ac:dyDescent="0.2">
      <c r="A1114" t="s">
        <v>174</v>
      </c>
      <c r="B1114">
        <v>2014</v>
      </c>
      <c r="C1114" t="s">
        <v>826</v>
      </c>
      <c r="D1114" t="s">
        <v>812</v>
      </c>
      <c r="E1114" t="s">
        <v>175</v>
      </c>
      <c r="F1114" t="s">
        <v>191</v>
      </c>
      <c r="G1114">
        <v>-35.579301000000001</v>
      </c>
      <c r="H1114">
        <v>138.607066</v>
      </c>
      <c r="I1114" t="s">
        <v>772</v>
      </c>
      <c r="J1114" t="s">
        <v>14</v>
      </c>
      <c r="K1114" t="s">
        <v>3</v>
      </c>
      <c r="L1114" t="s">
        <v>3</v>
      </c>
      <c r="M1114" t="s">
        <v>26</v>
      </c>
      <c r="N1114" t="s">
        <v>85</v>
      </c>
      <c r="O1114" s="6" t="s">
        <v>80</v>
      </c>
      <c r="P1114" s="8"/>
      <c r="Q1114">
        <v>6</v>
      </c>
      <c r="R1114" t="s">
        <v>213</v>
      </c>
      <c r="S1114" t="s">
        <v>179</v>
      </c>
      <c r="T1114">
        <v>6</v>
      </c>
      <c r="U1114" t="s">
        <v>28</v>
      </c>
      <c r="V1114" t="s">
        <v>28</v>
      </c>
      <c r="W1114">
        <v>22.22</v>
      </c>
      <c r="X1114">
        <v>4.4896666666666667E-5</v>
      </c>
      <c r="Y1114">
        <v>7.9395054421964193E-6</v>
      </c>
    </row>
    <row r="1115" spans="1:28" x14ac:dyDescent="0.2">
      <c r="A1115" t="s">
        <v>174</v>
      </c>
      <c r="B1115">
        <v>2014</v>
      </c>
      <c r="C1115" t="s">
        <v>826</v>
      </c>
      <c r="D1115" t="s">
        <v>812</v>
      </c>
      <c r="E1115" t="s">
        <v>175</v>
      </c>
      <c r="F1115" t="s">
        <v>191</v>
      </c>
      <c r="G1115">
        <v>-35.579301000000001</v>
      </c>
      <c r="H1115">
        <v>138.607066</v>
      </c>
      <c r="I1115" t="s">
        <v>772</v>
      </c>
      <c r="J1115" t="s">
        <v>14</v>
      </c>
      <c r="K1115" t="s">
        <v>3</v>
      </c>
      <c r="L1115" t="s">
        <v>3</v>
      </c>
      <c r="M1115" t="s">
        <v>26</v>
      </c>
      <c r="N1115" t="s">
        <v>85</v>
      </c>
      <c r="O1115" s="6" t="s">
        <v>80</v>
      </c>
      <c r="P1115" s="8"/>
      <c r="Q1115">
        <v>6</v>
      </c>
      <c r="R1115" t="s">
        <v>213</v>
      </c>
      <c r="S1115" t="s">
        <v>180</v>
      </c>
      <c r="T1115">
        <v>6</v>
      </c>
      <c r="U1115" t="s">
        <v>28</v>
      </c>
      <c r="V1115" t="s">
        <v>28</v>
      </c>
      <c r="W1115">
        <v>22.5</v>
      </c>
      <c r="X1115">
        <v>3.8570000000000005E-5</v>
      </c>
      <c r="Y1115">
        <v>3.7542988692962936E-6</v>
      </c>
    </row>
    <row r="1116" spans="1:28" x14ac:dyDescent="0.2">
      <c r="A1116" t="s">
        <v>174</v>
      </c>
      <c r="B1116">
        <v>2014</v>
      </c>
      <c r="C1116" t="s">
        <v>826</v>
      </c>
      <c r="D1116" t="s">
        <v>812</v>
      </c>
      <c r="E1116" t="s">
        <v>175</v>
      </c>
      <c r="F1116" t="s">
        <v>191</v>
      </c>
      <c r="G1116">
        <v>-35.579301000000001</v>
      </c>
      <c r="H1116">
        <v>138.607066</v>
      </c>
      <c r="I1116" t="s">
        <v>772</v>
      </c>
      <c r="J1116" t="s">
        <v>14</v>
      </c>
      <c r="K1116" t="s">
        <v>3</v>
      </c>
      <c r="L1116" t="s">
        <v>3</v>
      </c>
      <c r="M1116" t="s">
        <v>26</v>
      </c>
      <c r="N1116" t="s">
        <v>85</v>
      </c>
      <c r="O1116" s="6" t="s">
        <v>80</v>
      </c>
      <c r="P1116" s="8"/>
      <c r="Q1116">
        <v>6</v>
      </c>
      <c r="R1116" t="s">
        <v>213</v>
      </c>
      <c r="S1116" t="s">
        <v>181</v>
      </c>
      <c r="T1116">
        <v>6</v>
      </c>
      <c r="U1116" t="s">
        <v>28</v>
      </c>
      <c r="V1116" t="s">
        <v>28</v>
      </c>
      <c r="W1116">
        <v>22.839999999999996</v>
      </c>
      <c r="X1116">
        <v>4.2839999999999996E-5</v>
      </c>
      <c r="Y1116">
        <v>6.5821880860394663E-6</v>
      </c>
    </row>
    <row r="1117" spans="1:28" x14ac:dyDescent="0.2">
      <c r="A1117" t="s">
        <v>174</v>
      </c>
      <c r="B1117">
        <v>2014</v>
      </c>
      <c r="C1117" t="s">
        <v>826</v>
      </c>
      <c r="D1117" t="s">
        <v>812</v>
      </c>
      <c r="E1117" t="s">
        <v>175</v>
      </c>
      <c r="F1117" t="s">
        <v>191</v>
      </c>
      <c r="G1117">
        <v>-35.579301000000001</v>
      </c>
      <c r="H1117">
        <v>138.607066</v>
      </c>
      <c r="I1117" t="s">
        <v>772</v>
      </c>
      <c r="J1117" t="s">
        <v>14</v>
      </c>
      <c r="K1117" t="s">
        <v>3</v>
      </c>
      <c r="L1117" t="s">
        <v>3</v>
      </c>
      <c r="M1117" t="s">
        <v>26</v>
      </c>
      <c r="N1117" t="s">
        <v>85</v>
      </c>
      <c r="O1117" s="6" t="s">
        <v>80</v>
      </c>
      <c r="P1117" s="8"/>
      <c r="Q1117">
        <v>6</v>
      </c>
      <c r="R1117" t="s">
        <v>213</v>
      </c>
      <c r="S1117" t="s">
        <v>182</v>
      </c>
      <c r="T1117">
        <v>6</v>
      </c>
      <c r="U1117" t="s">
        <v>28</v>
      </c>
      <c r="V1117" t="s">
        <v>28</v>
      </c>
      <c r="W1117">
        <v>24.5</v>
      </c>
      <c r="X1117">
        <v>4.5406666666666667E-5</v>
      </c>
      <c r="Y1117">
        <v>6.5581237154133331E-6</v>
      </c>
    </row>
    <row r="1118" spans="1:28" x14ac:dyDescent="0.2">
      <c r="A1118" t="s">
        <v>174</v>
      </c>
      <c r="B1118">
        <v>2014</v>
      </c>
      <c r="C1118" t="s">
        <v>826</v>
      </c>
      <c r="D1118" t="s">
        <v>812</v>
      </c>
      <c r="E1118" t="s">
        <v>175</v>
      </c>
      <c r="F1118" t="s">
        <v>191</v>
      </c>
      <c r="G1118">
        <v>-35.579301000000001</v>
      </c>
      <c r="H1118">
        <v>138.607066</v>
      </c>
      <c r="I1118" t="s">
        <v>772</v>
      </c>
      <c r="J1118" t="s">
        <v>14</v>
      </c>
      <c r="K1118" t="s">
        <v>3</v>
      </c>
      <c r="L1118" t="s">
        <v>3</v>
      </c>
      <c r="M1118" t="s">
        <v>26</v>
      </c>
      <c r="N1118" t="s">
        <v>85</v>
      </c>
      <c r="O1118" s="6" t="s">
        <v>80</v>
      </c>
      <c r="P1118" s="8"/>
      <c r="Q1118">
        <v>6</v>
      </c>
      <c r="R1118" t="s">
        <v>213</v>
      </c>
      <c r="S1118" t="s">
        <v>183</v>
      </c>
      <c r="T1118">
        <v>6</v>
      </c>
      <c r="U1118" t="s">
        <v>28</v>
      </c>
      <c r="V1118" t="s">
        <v>28</v>
      </c>
      <c r="W1118">
        <v>24.88</v>
      </c>
      <c r="X1118">
        <v>5.2834999999999998E-5</v>
      </c>
      <c r="Y1118">
        <v>1.1995251977345054E-5</v>
      </c>
    </row>
    <row r="1119" spans="1:28" x14ac:dyDescent="0.2">
      <c r="A1119" t="s">
        <v>174</v>
      </c>
      <c r="B1119">
        <v>2014</v>
      </c>
      <c r="C1119" t="s">
        <v>826</v>
      </c>
      <c r="D1119" t="s">
        <v>812</v>
      </c>
      <c r="E1119" t="s">
        <v>175</v>
      </c>
      <c r="F1119" t="s">
        <v>191</v>
      </c>
      <c r="G1119">
        <v>-35.579301000000001</v>
      </c>
      <c r="H1119">
        <v>138.607066</v>
      </c>
      <c r="I1119" t="s">
        <v>772</v>
      </c>
      <c r="J1119" t="s">
        <v>14</v>
      </c>
      <c r="K1119" t="s">
        <v>3</v>
      </c>
      <c r="L1119" t="s">
        <v>3</v>
      </c>
      <c r="M1119" t="s">
        <v>26</v>
      </c>
      <c r="N1119" t="s">
        <v>85</v>
      </c>
      <c r="O1119" s="6" t="s">
        <v>80</v>
      </c>
      <c r="P1119" s="8"/>
      <c r="Q1119">
        <v>6</v>
      </c>
      <c r="R1119" t="s">
        <v>213</v>
      </c>
      <c r="S1119" t="s">
        <v>184</v>
      </c>
      <c r="T1119">
        <v>6</v>
      </c>
      <c r="U1119" t="s">
        <v>28</v>
      </c>
      <c r="V1119" t="s">
        <v>28</v>
      </c>
      <c r="W1119">
        <v>27.38</v>
      </c>
      <c r="X1119">
        <v>4.1158333333333329E-5</v>
      </c>
      <c r="Y1119">
        <v>1.2650058366136779E-5</v>
      </c>
    </row>
    <row r="1120" spans="1:28" x14ac:dyDescent="0.2">
      <c r="A1120" t="s">
        <v>193</v>
      </c>
      <c r="B1120">
        <v>2019</v>
      </c>
      <c r="C1120" t="s">
        <v>816</v>
      </c>
      <c r="D1120" t="s">
        <v>817</v>
      </c>
      <c r="E1120" t="s">
        <v>31</v>
      </c>
      <c r="F1120" t="s">
        <v>310</v>
      </c>
      <c r="G1120">
        <v>50.363838000000001</v>
      </c>
      <c r="H1120">
        <v>-4.1440489999999999</v>
      </c>
      <c r="I1120" t="s">
        <v>764</v>
      </c>
      <c r="J1120" t="s">
        <v>7</v>
      </c>
      <c r="K1120" t="s">
        <v>194</v>
      </c>
      <c r="L1120" t="s">
        <v>144</v>
      </c>
      <c r="M1120" t="s">
        <v>73</v>
      </c>
      <c r="N1120" t="s">
        <v>85</v>
      </c>
      <c r="O1120" s="6" t="s">
        <v>146</v>
      </c>
      <c r="P1120" t="s">
        <v>195</v>
      </c>
      <c r="Q1120">
        <v>1</v>
      </c>
      <c r="R1120" t="s">
        <v>214</v>
      </c>
      <c r="S1120" t="s">
        <v>7</v>
      </c>
      <c r="T1120">
        <v>4</v>
      </c>
      <c r="U1120" t="s">
        <v>28</v>
      </c>
      <c r="V1120" t="s">
        <v>28</v>
      </c>
      <c r="W1120">
        <v>15.7</v>
      </c>
      <c r="X1120">
        <v>404</v>
      </c>
      <c r="Y1120" s="6">
        <f t="shared" ref="Y1120:Y1151" si="18">Z1120*SQRT(T1120)</f>
        <v>440</v>
      </c>
      <c r="Z1120">
        <f>624-X1120</f>
        <v>220</v>
      </c>
      <c r="AA1120" s="6"/>
      <c r="AB1120" s="6"/>
    </row>
    <row r="1121" spans="1:28" x14ac:dyDescent="0.2">
      <c r="A1121" t="s">
        <v>193</v>
      </c>
      <c r="B1121">
        <v>2019</v>
      </c>
      <c r="C1121" t="s">
        <v>816</v>
      </c>
      <c r="D1121" t="s">
        <v>817</v>
      </c>
      <c r="E1121" t="s">
        <v>31</v>
      </c>
      <c r="F1121" t="s">
        <v>310</v>
      </c>
      <c r="G1121">
        <v>50.363838000000001</v>
      </c>
      <c r="H1121">
        <v>-4.1440489999999999</v>
      </c>
      <c r="I1121" t="s">
        <v>764</v>
      </c>
      <c r="J1121" t="s">
        <v>7</v>
      </c>
      <c r="K1121" t="s">
        <v>194</v>
      </c>
      <c r="L1121" t="s">
        <v>144</v>
      </c>
      <c r="M1121" t="s">
        <v>73</v>
      </c>
      <c r="N1121" t="s">
        <v>85</v>
      </c>
      <c r="O1121" s="6" t="s">
        <v>146</v>
      </c>
      <c r="P1121" t="s">
        <v>195</v>
      </c>
      <c r="Q1121">
        <v>2</v>
      </c>
      <c r="R1121" t="s">
        <v>214</v>
      </c>
      <c r="S1121" t="s">
        <v>7</v>
      </c>
      <c r="T1121">
        <v>4</v>
      </c>
      <c r="U1121" t="s">
        <v>28</v>
      </c>
      <c r="V1121" t="s">
        <v>28</v>
      </c>
      <c r="W1121">
        <v>15.7</v>
      </c>
      <c r="X1121">
        <v>1218</v>
      </c>
      <c r="Y1121" s="6">
        <f t="shared" si="18"/>
        <v>980</v>
      </c>
      <c r="Z1121">
        <f>1708-X1121</f>
        <v>490</v>
      </c>
      <c r="AA1121" s="6"/>
      <c r="AB1121" s="6"/>
    </row>
    <row r="1122" spans="1:28" x14ac:dyDescent="0.2">
      <c r="A1122" t="s">
        <v>193</v>
      </c>
      <c r="B1122">
        <v>2019</v>
      </c>
      <c r="C1122" t="s">
        <v>816</v>
      </c>
      <c r="D1122" t="s">
        <v>817</v>
      </c>
      <c r="E1122" t="s">
        <v>31</v>
      </c>
      <c r="F1122" t="s">
        <v>310</v>
      </c>
      <c r="G1122">
        <v>50.363838000000001</v>
      </c>
      <c r="H1122">
        <v>-4.1440489999999999</v>
      </c>
      <c r="I1122" t="s">
        <v>764</v>
      </c>
      <c r="J1122" t="s">
        <v>7</v>
      </c>
      <c r="K1122" t="s">
        <v>194</v>
      </c>
      <c r="L1122" t="s">
        <v>144</v>
      </c>
      <c r="M1122" t="s">
        <v>73</v>
      </c>
      <c r="N1122" t="s">
        <v>85</v>
      </c>
      <c r="O1122" s="6" t="s">
        <v>146</v>
      </c>
      <c r="P1122" t="s">
        <v>195</v>
      </c>
      <c r="Q1122">
        <v>3</v>
      </c>
      <c r="R1122" t="s">
        <v>213</v>
      </c>
      <c r="S1122" t="s">
        <v>7</v>
      </c>
      <c r="T1122">
        <v>4</v>
      </c>
      <c r="U1122" t="s">
        <v>28</v>
      </c>
      <c r="V1122" t="s">
        <v>28</v>
      </c>
      <c r="W1122">
        <v>15.7</v>
      </c>
      <c r="X1122">
        <v>863</v>
      </c>
      <c r="Y1122" s="6">
        <f t="shared" si="18"/>
        <v>1004</v>
      </c>
      <c r="Z1122">
        <f>1365-X1122</f>
        <v>502</v>
      </c>
      <c r="AA1122" s="6"/>
      <c r="AB1122" s="6"/>
    </row>
    <row r="1123" spans="1:28" x14ac:dyDescent="0.2">
      <c r="A1123" t="s">
        <v>193</v>
      </c>
      <c r="B1123">
        <v>2019</v>
      </c>
      <c r="C1123" t="s">
        <v>816</v>
      </c>
      <c r="D1123" t="s">
        <v>817</v>
      </c>
      <c r="E1123" t="s">
        <v>31</v>
      </c>
      <c r="F1123" t="s">
        <v>310</v>
      </c>
      <c r="G1123">
        <v>50.363838000000001</v>
      </c>
      <c r="H1123">
        <v>-4.1440489999999999</v>
      </c>
      <c r="I1123" t="s">
        <v>764</v>
      </c>
      <c r="J1123" t="s">
        <v>14</v>
      </c>
      <c r="K1123" t="s">
        <v>194</v>
      </c>
      <c r="L1123" t="s">
        <v>144</v>
      </c>
      <c r="M1123" t="s">
        <v>73</v>
      </c>
      <c r="N1123" t="s">
        <v>85</v>
      </c>
      <c r="O1123" s="6" t="s">
        <v>146</v>
      </c>
      <c r="P1123" t="s">
        <v>195</v>
      </c>
      <c r="Q1123">
        <v>1</v>
      </c>
      <c r="R1123" t="s">
        <v>214</v>
      </c>
      <c r="S1123" t="s">
        <v>9</v>
      </c>
      <c r="T1123">
        <v>4</v>
      </c>
      <c r="U1123" t="s">
        <v>28</v>
      </c>
      <c r="V1123" t="s">
        <v>28</v>
      </c>
      <c r="W1123">
        <v>18.399999999999999</v>
      </c>
      <c r="X1123">
        <v>949</v>
      </c>
      <c r="Y1123" s="6">
        <f t="shared" si="18"/>
        <v>1458</v>
      </c>
      <c r="Z1123">
        <f>1678-X1123</f>
        <v>729</v>
      </c>
      <c r="AA1123" s="6"/>
      <c r="AB1123" s="6"/>
    </row>
    <row r="1124" spans="1:28" x14ac:dyDescent="0.2">
      <c r="A1124" t="s">
        <v>193</v>
      </c>
      <c r="B1124">
        <v>2019</v>
      </c>
      <c r="C1124" t="s">
        <v>816</v>
      </c>
      <c r="D1124" t="s">
        <v>817</v>
      </c>
      <c r="E1124" t="s">
        <v>31</v>
      </c>
      <c r="F1124" t="s">
        <v>310</v>
      </c>
      <c r="G1124">
        <v>50.363838000000001</v>
      </c>
      <c r="H1124">
        <v>-4.1440489999999999</v>
      </c>
      <c r="I1124" t="s">
        <v>764</v>
      </c>
      <c r="J1124" t="s">
        <v>14</v>
      </c>
      <c r="K1124" t="s">
        <v>194</v>
      </c>
      <c r="L1124" t="s">
        <v>144</v>
      </c>
      <c r="M1124" t="s">
        <v>73</v>
      </c>
      <c r="N1124" t="s">
        <v>85</v>
      </c>
      <c r="O1124" s="6" t="s">
        <v>146</v>
      </c>
      <c r="P1124" t="s">
        <v>195</v>
      </c>
      <c r="Q1124">
        <v>2</v>
      </c>
      <c r="R1124" t="s">
        <v>214</v>
      </c>
      <c r="S1124" t="s">
        <v>9</v>
      </c>
      <c r="T1124">
        <v>4</v>
      </c>
      <c r="U1124" t="s">
        <v>28</v>
      </c>
      <c r="V1124" t="s">
        <v>28</v>
      </c>
      <c r="W1124">
        <v>18.399999999999999</v>
      </c>
      <c r="X1124">
        <v>1108</v>
      </c>
      <c r="Y1124" s="6">
        <f t="shared" si="18"/>
        <v>846</v>
      </c>
      <c r="Z1124">
        <f>1531-X1124</f>
        <v>423</v>
      </c>
      <c r="AA1124" s="6"/>
      <c r="AB1124" s="6"/>
    </row>
    <row r="1125" spans="1:28" x14ac:dyDescent="0.2">
      <c r="A1125" t="s">
        <v>193</v>
      </c>
      <c r="B1125">
        <v>2019</v>
      </c>
      <c r="C1125" t="s">
        <v>816</v>
      </c>
      <c r="D1125" t="s">
        <v>817</v>
      </c>
      <c r="E1125" t="s">
        <v>31</v>
      </c>
      <c r="F1125" t="s">
        <v>310</v>
      </c>
      <c r="G1125">
        <v>50.363838000000001</v>
      </c>
      <c r="H1125">
        <v>-4.1440489999999999</v>
      </c>
      <c r="I1125" t="s">
        <v>764</v>
      </c>
      <c r="J1125" t="s">
        <v>14</v>
      </c>
      <c r="K1125" t="s">
        <v>194</v>
      </c>
      <c r="L1125" t="s">
        <v>144</v>
      </c>
      <c r="M1125" t="s">
        <v>73</v>
      </c>
      <c r="N1125" t="s">
        <v>85</v>
      </c>
      <c r="O1125" s="6" t="s">
        <v>146</v>
      </c>
      <c r="P1125" t="s">
        <v>195</v>
      </c>
      <c r="Q1125">
        <v>3</v>
      </c>
      <c r="R1125" t="s">
        <v>213</v>
      </c>
      <c r="S1125" t="s">
        <v>9</v>
      </c>
      <c r="T1125">
        <v>4</v>
      </c>
      <c r="U1125" t="s">
        <v>28</v>
      </c>
      <c r="V1125" t="s">
        <v>28</v>
      </c>
      <c r="W1125">
        <v>18.399999999999999</v>
      </c>
      <c r="X1125">
        <v>2241</v>
      </c>
      <c r="Y1125" s="6">
        <f t="shared" si="18"/>
        <v>2032</v>
      </c>
      <c r="Z1125">
        <f>3257-X1125</f>
        <v>1016</v>
      </c>
      <c r="AA1125" s="6"/>
      <c r="AB1125" s="6"/>
    </row>
    <row r="1126" spans="1:28" x14ac:dyDescent="0.2">
      <c r="A1126" t="s">
        <v>193</v>
      </c>
      <c r="B1126">
        <v>2019</v>
      </c>
      <c r="C1126" t="s">
        <v>816</v>
      </c>
      <c r="D1126" t="s">
        <v>817</v>
      </c>
      <c r="E1126" t="s">
        <v>31</v>
      </c>
      <c r="F1126" t="s">
        <v>310</v>
      </c>
      <c r="G1126">
        <v>50.363838000000001</v>
      </c>
      <c r="H1126">
        <v>-4.1440489999999999</v>
      </c>
      <c r="I1126" t="s">
        <v>764</v>
      </c>
      <c r="J1126" t="s">
        <v>14</v>
      </c>
      <c r="K1126" t="s">
        <v>194</v>
      </c>
      <c r="L1126" t="s">
        <v>144</v>
      </c>
      <c r="M1126" t="s">
        <v>73</v>
      </c>
      <c r="N1126" t="s">
        <v>85</v>
      </c>
      <c r="O1126" s="6" t="s">
        <v>146</v>
      </c>
      <c r="P1126" t="s">
        <v>195</v>
      </c>
      <c r="Q1126">
        <v>1</v>
      </c>
      <c r="R1126" t="s">
        <v>214</v>
      </c>
      <c r="S1126" t="s">
        <v>27</v>
      </c>
      <c r="T1126">
        <v>4</v>
      </c>
      <c r="U1126" t="s">
        <v>28</v>
      </c>
      <c r="V1126" t="s">
        <v>28</v>
      </c>
      <c r="W1126">
        <v>19.899999999999999</v>
      </c>
      <c r="X1126">
        <v>1200</v>
      </c>
      <c r="Y1126" s="6">
        <f t="shared" si="18"/>
        <v>1200</v>
      </c>
      <c r="Z1126">
        <f>1800-X1126</f>
        <v>600</v>
      </c>
      <c r="AA1126" s="6"/>
      <c r="AB1126" s="6"/>
    </row>
    <row r="1127" spans="1:28" x14ac:dyDescent="0.2">
      <c r="A1127" t="s">
        <v>193</v>
      </c>
      <c r="B1127">
        <v>2019</v>
      </c>
      <c r="C1127" t="s">
        <v>816</v>
      </c>
      <c r="D1127" t="s">
        <v>817</v>
      </c>
      <c r="E1127" t="s">
        <v>31</v>
      </c>
      <c r="F1127" t="s">
        <v>310</v>
      </c>
      <c r="G1127">
        <v>50.363838000000001</v>
      </c>
      <c r="H1127">
        <v>-4.1440489999999999</v>
      </c>
      <c r="I1127" t="s">
        <v>764</v>
      </c>
      <c r="J1127" t="s">
        <v>14</v>
      </c>
      <c r="K1127" t="s">
        <v>194</v>
      </c>
      <c r="L1127" t="s">
        <v>144</v>
      </c>
      <c r="M1127" t="s">
        <v>73</v>
      </c>
      <c r="N1127" t="s">
        <v>85</v>
      </c>
      <c r="O1127" s="6" t="s">
        <v>146</v>
      </c>
      <c r="P1127" t="s">
        <v>195</v>
      </c>
      <c r="Q1127">
        <v>2</v>
      </c>
      <c r="R1127" t="s">
        <v>214</v>
      </c>
      <c r="S1127" t="s">
        <v>27</v>
      </c>
      <c r="T1127">
        <v>4</v>
      </c>
      <c r="U1127" t="s">
        <v>28</v>
      </c>
      <c r="V1127" t="s">
        <v>28</v>
      </c>
      <c r="W1127">
        <v>19.899999999999999</v>
      </c>
      <c r="X1127">
        <v>2571</v>
      </c>
      <c r="Y1127" s="6">
        <f t="shared" si="18"/>
        <v>1090</v>
      </c>
      <c r="Z1127">
        <f>3116-X1127</f>
        <v>545</v>
      </c>
      <c r="AA1127" s="6"/>
      <c r="AB1127" s="6"/>
    </row>
    <row r="1128" spans="1:28" x14ac:dyDescent="0.2">
      <c r="A1128" t="s">
        <v>193</v>
      </c>
      <c r="B1128">
        <v>2019</v>
      </c>
      <c r="C1128" t="s">
        <v>816</v>
      </c>
      <c r="D1128" t="s">
        <v>817</v>
      </c>
      <c r="E1128" t="s">
        <v>31</v>
      </c>
      <c r="F1128" t="s">
        <v>310</v>
      </c>
      <c r="G1128">
        <v>50.363838000000001</v>
      </c>
      <c r="H1128">
        <v>-4.1440489999999999</v>
      </c>
      <c r="I1128" t="s">
        <v>764</v>
      </c>
      <c r="J1128" t="s">
        <v>14</v>
      </c>
      <c r="K1128" t="s">
        <v>194</v>
      </c>
      <c r="L1128" t="s">
        <v>144</v>
      </c>
      <c r="M1128" t="s">
        <v>73</v>
      </c>
      <c r="N1128" t="s">
        <v>85</v>
      </c>
      <c r="O1128" s="6" t="s">
        <v>146</v>
      </c>
      <c r="P1128" t="s">
        <v>195</v>
      </c>
      <c r="Q1128">
        <v>3</v>
      </c>
      <c r="R1128" t="s">
        <v>213</v>
      </c>
      <c r="S1128" t="s">
        <v>27</v>
      </c>
      <c r="T1128">
        <v>4</v>
      </c>
      <c r="U1128" t="s">
        <v>28</v>
      </c>
      <c r="V1128" t="s">
        <v>28</v>
      </c>
      <c r="W1128">
        <v>19.899999999999999</v>
      </c>
      <c r="X1128">
        <v>3386</v>
      </c>
      <c r="Y1128" s="6">
        <f t="shared" si="18"/>
        <v>1788</v>
      </c>
      <c r="Z1128">
        <f>4280-X1128</f>
        <v>894</v>
      </c>
      <c r="AA1128" s="6"/>
      <c r="AB1128" s="6"/>
    </row>
    <row r="1129" spans="1:28" x14ac:dyDescent="0.2">
      <c r="A1129" t="s">
        <v>193</v>
      </c>
      <c r="B1129">
        <v>2019</v>
      </c>
      <c r="C1129" t="s">
        <v>816</v>
      </c>
      <c r="D1129" t="s">
        <v>817</v>
      </c>
      <c r="E1129" t="s">
        <v>32</v>
      </c>
      <c r="F1129" t="s">
        <v>310</v>
      </c>
      <c r="G1129">
        <v>50.363838000000001</v>
      </c>
      <c r="H1129">
        <v>-4.1440489999999999</v>
      </c>
      <c r="I1129" t="s">
        <v>764</v>
      </c>
      <c r="J1129" t="s">
        <v>7</v>
      </c>
      <c r="K1129" t="s">
        <v>194</v>
      </c>
      <c r="L1129" t="s">
        <v>144</v>
      </c>
      <c r="M1129" t="s">
        <v>73</v>
      </c>
      <c r="N1129" t="s">
        <v>85</v>
      </c>
      <c r="O1129" s="6" t="s">
        <v>146</v>
      </c>
      <c r="P1129" t="s">
        <v>195</v>
      </c>
      <c r="Q1129">
        <v>1</v>
      </c>
      <c r="R1129" t="s">
        <v>214</v>
      </c>
      <c r="S1129" t="s">
        <v>7</v>
      </c>
      <c r="T1129">
        <v>4</v>
      </c>
      <c r="U1129" t="s">
        <v>28</v>
      </c>
      <c r="V1129" t="s">
        <v>28</v>
      </c>
      <c r="W1129">
        <v>15.6</v>
      </c>
      <c r="X1129">
        <v>642</v>
      </c>
      <c r="Y1129" s="6">
        <f t="shared" si="18"/>
        <v>1112</v>
      </c>
      <c r="Z1129">
        <f>1198-X1129</f>
        <v>556</v>
      </c>
      <c r="AA1129" s="6"/>
      <c r="AB1129" s="6"/>
    </row>
    <row r="1130" spans="1:28" x14ac:dyDescent="0.2">
      <c r="A1130" t="s">
        <v>193</v>
      </c>
      <c r="B1130">
        <v>2019</v>
      </c>
      <c r="C1130" t="s">
        <v>816</v>
      </c>
      <c r="D1130" t="s">
        <v>817</v>
      </c>
      <c r="E1130" t="s">
        <v>32</v>
      </c>
      <c r="F1130" t="s">
        <v>310</v>
      </c>
      <c r="G1130">
        <v>50.363838000000001</v>
      </c>
      <c r="H1130">
        <v>-4.1440489999999999</v>
      </c>
      <c r="I1130" t="s">
        <v>764</v>
      </c>
      <c r="J1130" t="s">
        <v>7</v>
      </c>
      <c r="K1130" t="s">
        <v>194</v>
      </c>
      <c r="L1130" t="s">
        <v>144</v>
      </c>
      <c r="M1130" t="s">
        <v>73</v>
      </c>
      <c r="N1130" t="s">
        <v>85</v>
      </c>
      <c r="O1130" s="6" t="s">
        <v>146</v>
      </c>
      <c r="P1130" t="s">
        <v>195</v>
      </c>
      <c r="Q1130">
        <v>2</v>
      </c>
      <c r="R1130" t="s">
        <v>214</v>
      </c>
      <c r="S1130" t="s">
        <v>7</v>
      </c>
      <c r="T1130">
        <v>4</v>
      </c>
      <c r="U1130" t="s">
        <v>28</v>
      </c>
      <c r="V1130" t="s">
        <v>28</v>
      </c>
      <c r="W1130">
        <v>15.6</v>
      </c>
      <c r="X1130">
        <v>556</v>
      </c>
      <c r="Y1130" s="6">
        <f t="shared" si="18"/>
        <v>728</v>
      </c>
      <c r="Z1130">
        <f>920-X1130</f>
        <v>364</v>
      </c>
      <c r="AA1130" s="6"/>
      <c r="AB1130" s="6"/>
    </row>
    <row r="1131" spans="1:28" x14ac:dyDescent="0.2">
      <c r="A1131" t="s">
        <v>193</v>
      </c>
      <c r="B1131">
        <v>2019</v>
      </c>
      <c r="C1131" t="s">
        <v>816</v>
      </c>
      <c r="D1131" t="s">
        <v>817</v>
      </c>
      <c r="E1131" t="s">
        <v>32</v>
      </c>
      <c r="F1131" t="s">
        <v>310</v>
      </c>
      <c r="G1131">
        <v>50.363838000000001</v>
      </c>
      <c r="H1131">
        <v>-4.1440489999999999</v>
      </c>
      <c r="I1131" t="s">
        <v>764</v>
      </c>
      <c r="J1131" t="s">
        <v>7</v>
      </c>
      <c r="K1131" t="s">
        <v>194</v>
      </c>
      <c r="L1131" t="s">
        <v>144</v>
      </c>
      <c r="M1131" t="s">
        <v>73</v>
      </c>
      <c r="N1131" t="s">
        <v>85</v>
      </c>
      <c r="O1131" s="6" t="s">
        <v>146</v>
      </c>
      <c r="P1131" t="s">
        <v>195</v>
      </c>
      <c r="Q1131">
        <v>3</v>
      </c>
      <c r="R1131" t="s">
        <v>213</v>
      </c>
      <c r="S1131" t="s">
        <v>7</v>
      </c>
      <c r="T1131">
        <v>4</v>
      </c>
      <c r="U1131" t="s">
        <v>28</v>
      </c>
      <c r="V1131" t="s">
        <v>28</v>
      </c>
      <c r="W1131">
        <v>15.6</v>
      </c>
      <c r="X1131">
        <v>543</v>
      </c>
      <c r="Y1131" s="6">
        <f t="shared" si="18"/>
        <v>630</v>
      </c>
      <c r="Z1131">
        <f>858-X1131</f>
        <v>315</v>
      </c>
      <c r="AA1131" s="6"/>
      <c r="AB1131" s="6"/>
    </row>
    <row r="1132" spans="1:28" x14ac:dyDescent="0.2">
      <c r="A1132" t="s">
        <v>193</v>
      </c>
      <c r="B1132">
        <v>2019</v>
      </c>
      <c r="C1132" t="s">
        <v>816</v>
      </c>
      <c r="D1132" t="s">
        <v>817</v>
      </c>
      <c r="E1132" t="s">
        <v>32</v>
      </c>
      <c r="F1132" t="s">
        <v>310</v>
      </c>
      <c r="G1132">
        <v>50.363838000000001</v>
      </c>
      <c r="H1132">
        <v>-4.1440489999999999</v>
      </c>
      <c r="I1132" t="s">
        <v>764</v>
      </c>
      <c r="J1132" t="s">
        <v>14</v>
      </c>
      <c r="K1132" t="s">
        <v>194</v>
      </c>
      <c r="L1132" t="s">
        <v>144</v>
      </c>
      <c r="M1132" t="s">
        <v>73</v>
      </c>
      <c r="N1132" t="s">
        <v>85</v>
      </c>
      <c r="O1132" s="6" t="s">
        <v>146</v>
      </c>
      <c r="P1132" t="s">
        <v>195</v>
      </c>
      <c r="Q1132">
        <v>1</v>
      </c>
      <c r="R1132" t="s">
        <v>214</v>
      </c>
      <c r="S1132" t="s">
        <v>9</v>
      </c>
      <c r="T1132">
        <v>4</v>
      </c>
      <c r="U1132" t="s">
        <v>28</v>
      </c>
      <c r="V1132" t="s">
        <v>28</v>
      </c>
      <c r="W1132">
        <v>18.3</v>
      </c>
      <c r="X1132">
        <v>-37</v>
      </c>
      <c r="Y1132" s="6">
        <f t="shared" si="18"/>
        <v>976</v>
      </c>
      <c r="Z1132">
        <f>451-X1132</f>
        <v>488</v>
      </c>
      <c r="AA1132" s="6"/>
      <c r="AB1132" s="6"/>
    </row>
    <row r="1133" spans="1:28" x14ac:dyDescent="0.2">
      <c r="A1133" t="s">
        <v>193</v>
      </c>
      <c r="B1133">
        <v>2019</v>
      </c>
      <c r="C1133" t="s">
        <v>816</v>
      </c>
      <c r="D1133" t="s">
        <v>817</v>
      </c>
      <c r="E1133" t="s">
        <v>32</v>
      </c>
      <c r="F1133" t="s">
        <v>310</v>
      </c>
      <c r="G1133">
        <v>50.363838000000001</v>
      </c>
      <c r="H1133">
        <v>-4.1440489999999999</v>
      </c>
      <c r="I1133" t="s">
        <v>764</v>
      </c>
      <c r="J1133" t="s">
        <v>14</v>
      </c>
      <c r="K1133" t="s">
        <v>194</v>
      </c>
      <c r="L1133" t="s">
        <v>144</v>
      </c>
      <c r="M1133" t="s">
        <v>73</v>
      </c>
      <c r="N1133" t="s">
        <v>85</v>
      </c>
      <c r="O1133" s="6" t="s">
        <v>146</v>
      </c>
      <c r="P1133" t="s">
        <v>195</v>
      </c>
      <c r="Q1133">
        <v>2</v>
      </c>
      <c r="R1133" t="s">
        <v>214</v>
      </c>
      <c r="S1133" t="s">
        <v>9</v>
      </c>
      <c r="T1133">
        <v>4</v>
      </c>
      <c r="U1133" t="s">
        <v>28</v>
      </c>
      <c r="V1133" t="s">
        <v>28</v>
      </c>
      <c r="W1133">
        <v>18.3</v>
      </c>
      <c r="X1133">
        <v>488</v>
      </c>
      <c r="Y1133" s="6">
        <f t="shared" si="18"/>
        <v>406</v>
      </c>
      <c r="Z1133">
        <f>691-X1133</f>
        <v>203</v>
      </c>
      <c r="AA1133" s="6"/>
      <c r="AB1133" s="6"/>
    </row>
    <row r="1134" spans="1:28" x14ac:dyDescent="0.2">
      <c r="A1134" t="s">
        <v>193</v>
      </c>
      <c r="B1134">
        <v>2019</v>
      </c>
      <c r="C1134" t="s">
        <v>816</v>
      </c>
      <c r="D1134" t="s">
        <v>817</v>
      </c>
      <c r="E1134" t="s">
        <v>32</v>
      </c>
      <c r="F1134" t="s">
        <v>310</v>
      </c>
      <c r="G1134">
        <v>50.363838000000001</v>
      </c>
      <c r="H1134">
        <v>-4.1440489999999999</v>
      </c>
      <c r="I1134" t="s">
        <v>764</v>
      </c>
      <c r="J1134" t="s">
        <v>14</v>
      </c>
      <c r="K1134" t="s">
        <v>194</v>
      </c>
      <c r="L1134" t="s">
        <v>144</v>
      </c>
      <c r="M1134" t="s">
        <v>73</v>
      </c>
      <c r="N1134" t="s">
        <v>85</v>
      </c>
      <c r="O1134" s="6" t="s">
        <v>146</v>
      </c>
      <c r="P1134" t="s">
        <v>195</v>
      </c>
      <c r="Q1134">
        <v>3</v>
      </c>
      <c r="R1134" t="s">
        <v>213</v>
      </c>
      <c r="S1134" t="s">
        <v>9</v>
      </c>
      <c r="T1134">
        <v>4</v>
      </c>
      <c r="U1134" t="s">
        <v>28</v>
      </c>
      <c r="V1134" t="s">
        <v>28</v>
      </c>
      <c r="W1134">
        <v>18.3</v>
      </c>
      <c r="X1134">
        <v>1241</v>
      </c>
      <c r="Y1134" s="6">
        <f t="shared" si="18"/>
        <v>580</v>
      </c>
      <c r="Z1134">
        <f>1531-X1134</f>
        <v>290</v>
      </c>
      <c r="AA1134" s="6"/>
      <c r="AB1134" s="6"/>
    </row>
    <row r="1135" spans="1:28" x14ac:dyDescent="0.2">
      <c r="A1135" t="s">
        <v>193</v>
      </c>
      <c r="B1135">
        <v>2019</v>
      </c>
      <c r="C1135" t="s">
        <v>816</v>
      </c>
      <c r="D1135" t="s">
        <v>817</v>
      </c>
      <c r="E1135" t="s">
        <v>32</v>
      </c>
      <c r="F1135" t="s">
        <v>310</v>
      </c>
      <c r="G1135">
        <v>50.363838000000001</v>
      </c>
      <c r="H1135">
        <v>-4.1440489999999999</v>
      </c>
      <c r="I1135" t="s">
        <v>764</v>
      </c>
      <c r="J1135" t="s">
        <v>14</v>
      </c>
      <c r="K1135" t="s">
        <v>194</v>
      </c>
      <c r="L1135" t="s">
        <v>144</v>
      </c>
      <c r="M1135" t="s">
        <v>73</v>
      </c>
      <c r="N1135" t="s">
        <v>85</v>
      </c>
      <c r="O1135" s="6" t="s">
        <v>146</v>
      </c>
      <c r="P1135" t="s">
        <v>195</v>
      </c>
      <c r="Q1135">
        <v>1</v>
      </c>
      <c r="R1135" t="s">
        <v>214</v>
      </c>
      <c r="S1135" t="s">
        <v>27</v>
      </c>
      <c r="T1135">
        <v>4</v>
      </c>
      <c r="U1135" t="s">
        <v>28</v>
      </c>
      <c r="V1135" t="s">
        <v>28</v>
      </c>
      <c r="W1135">
        <v>20.100000000000001</v>
      </c>
      <c r="X1135">
        <v>1895</v>
      </c>
      <c r="Y1135" s="6">
        <f t="shared" si="18"/>
        <v>1172</v>
      </c>
      <c r="Z1135">
        <f>2481-X1135</f>
        <v>586</v>
      </c>
      <c r="AA1135" s="6"/>
      <c r="AB1135" s="6"/>
    </row>
    <row r="1136" spans="1:28" x14ac:dyDescent="0.2">
      <c r="A1136" t="s">
        <v>193</v>
      </c>
      <c r="B1136">
        <v>2019</v>
      </c>
      <c r="C1136" t="s">
        <v>816</v>
      </c>
      <c r="D1136" t="s">
        <v>817</v>
      </c>
      <c r="E1136" t="s">
        <v>32</v>
      </c>
      <c r="F1136" t="s">
        <v>310</v>
      </c>
      <c r="G1136">
        <v>50.363838000000001</v>
      </c>
      <c r="H1136">
        <v>-4.1440489999999999</v>
      </c>
      <c r="I1136" t="s">
        <v>764</v>
      </c>
      <c r="J1136" t="s">
        <v>14</v>
      </c>
      <c r="K1136" t="s">
        <v>194</v>
      </c>
      <c r="L1136" t="s">
        <v>144</v>
      </c>
      <c r="M1136" t="s">
        <v>73</v>
      </c>
      <c r="N1136" t="s">
        <v>85</v>
      </c>
      <c r="O1136" s="6" t="s">
        <v>146</v>
      </c>
      <c r="P1136" t="s">
        <v>195</v>
      </c>
      <c r="Q1136">
        <v>2</v>
      </c>
      <c r="R1136" t="s">
        <v>214</v>
      </c>
      <c r="S1136" t="s">
        <v>27</v>
      </c>
      <c r="T1136">
        <v>4</v>
      </c>
      <c r="U1136" t="s">
        <v>28</v>
      </c>
      <c r="V1136" t="s">
        <v>28</v>
      </c>
      <c r="W1136">
        <v>20.100000000000001</v>
      </c>
      <c r="X1136">
        <v>494</v>
      </c>
      <c r="Y1136" s="6">
        <f t="shared" si="18"/>
        <v>766</v>
      </c>
      <c r="Z1136">
        <f>877-X1136</f>
        <v>383</v>
      </c>
      <c r="AA1136" s="6"/>
      <c r="AB1136" s="6"/>
    </row>
    <row r="1137" spans="1:28" x14ac:dyDescent="0.2">
      <c r="A1137" t="s">
        <v>193</v>
      </c>
      <c r="B1137">
        <v>2019</v>
      </c>
      <c r="C1137" t="s">
        <v>816</v>
      </c>
      <c r="D1137" t="s">
        <v>817</v>
      </c>
      <c r="E1137" t="s">
        <v>32</v>
      </c>
      <c r="F1137" t="s">
        <v>310</v>
      </c>
      <c r="G1137">
        <v>50.363838000000001</v>
      </c>
      <c r="H1137">
        <v>-4.1440489999999999</v>
      </c>
      <c r="I1137" t="s">
        <v>764</v>
      </c>
      <c r="J1137" t="s">
        <v>14</v>
      </c>
      <c r="K1137" t="s">
        <v>194</v>
      </c>
      <c r="L1137" t="s">
        <v>144</v>
      </c>
      <c r="M1137" t="s">
        <v>73</v>
      </c>
      <c r="N1137" t="s">
        <v>85</v>
      </c>
      <c r="O1137" s="6" t="s">
        <v>146</v>
      </c>
      <c r="P1137" t="s">
        <v>195</v>
      </c>
      <c r="Q1137">
        <v>3</v>
      </c>
      <c r="R1137" t="s">
        <v>213</v>
      </c>
      <c r="S1137" t="s">
        <v>27</v>
      </c>
      <c r="T1137">
        <v>4</v>
      </c>
      <c r="U1137" t="s">
        <v>28</v>
      </c>
      <c r="V1137" t="s">
        <v>28</v>
      </c>
      <c r="W1137">
        <v>20.100000000000001</v>
      </c>
      <c r="X1137">
        <v>1222</v>
      </c>
      <c r="Y1137" s="6">
        <f t="shared" si="18"/>
        <v>1222</v>
      </c>
      <c r="Z1137">
        <f>1833-X1137</f>
        <v>611</v>
      </c>
      <c r="AA1137" s="6"/>
      <c r="AB1137" s="6"/>
    </row>
    <row r="1138" spans="1:28" x14ac:dyDescent="0.2">
      <c r="A1138" t="s">
        <v>193</v>
      </c>
      <c r="B1138">
        <v>2019</v>
      </c>
      <c r="C1138" t="s">
        <v>816</v>
      </c>
      <c r="D1138" t="s">
        <v>817</v>
      </c>
      <c r="E1138" t="s">
        <v>31</v>
      </c>
      <c r="F1138" t="s">
        <v>310</v>
      </c>
      <c r="G1138">
        <v>50.363838000000001</v>
      </c>
      <c r="H1138">
        <v>-4.1440489999999999</v>
      </c>
      <c r="I1138" t="s">
        <v>764</v>
      </c>
      <c r="J1138" t="s">
        <v>7</v>
      </c>
      <c r="K1138" t="s">
        <v>194</v>
      </c>
      <c r="L1138" t="s">
        <v>144</v>
      </c>
      <c r="M1138" t="s">
        <v>726</v>
      </c>
      <c r="N1138" t="s">
        <v>85</v>
      </c>
      <c r="O1138" s="6" t="s">
        <v>84</v>
      </c>
      <c r="Q1138">
        <v>1</v>
      </c>
      <c r="R1138" t="s">
        <v>214</v>
      </c>
      <c r="S1138" s="2" t="s">
        <v>7</v>
      </c>
      <c r="T1138" s="2">
        <v>4</v>
      </c>
      <c r="U1138" s="2" t="s">
        <v>28</v>
      </c>
      <c r="V1138" s="2" t="s">
        <v>28</v>
      </c>
      <c r="W1138" s="2">
        <v>15.7</v>
      </c>
      <c r="X1138">
        <f>AVERAGE(0.741,0.7255)</f>
        <v>0.73324999999999996</v>
      </c>
      <c r="Y1138" s="6">
        <f t="shared" si="18"/>
        <v>2.079999999999993E-2</v>
      </c>
      <c r="Z1138">
        <f>0.7514-0.741</f>
        <v>1.0399999999999965E-2</v>
      </c>
      <c r="AA1138" s="6"/>
      <c r="AB1138" s="6"/>
    </row>
    <row r="1139" spans="1:28" x14ac:dyDescent="0.2">
      <c r="A1139" t="s">
        <v>193</v>
      </c>
      <c r="B1139">
        <v>2019</v>
      </c>
      <c r="C1139" t="s">
        <v>816</v>
      </c>
      <c r="D1139" t="s">
        <v>817</v>
      </c>
      <c r="E1139" t="s">
        <v>31</v>
      </c>
      <c r="F1139" t="s">
        <v>310</v>
      </c>
      <c r="G1139">
        <v>50.363838000000001</v>
      </c>
      <c r="H1139">
        <v>-4.1440489999999999</v>
      </c>
      <c r="I1139" t="s">
        <v>764</v>
      </c>
      <c r="J1139" t="s">
        <v>7</v>
      </c>
      <c r="K1139" t="s">
        <v>194</v>
      </c>
      <c r="L1139" t="s">
        <v>144</v>
      </c>
      <c r="M1139" t="s">
        <v>726</v>
      </c>
      <c r="N1139" t="s">
        <v>85</v>
      </c>
      <c r="O1139" s="6" t="s">
        <v>84</v>
      </c>
      <c r="Q1139">
        <v>2</v>
      </c>
      <c r="R1139" t="s">
        <v>213</v>
      </c>
      <c r="S1139" s="2" t="s">
        <v>7</v>
      </c>
      <c r="T1139" s="2">
        <v>4</v>
      </c>
      <c r="U1139" s="2" t="s">
        <v>28</v>
      </c>
      <c r="V1139" s="2" t="s">
        <v>28</v>
      </c>
      <c r="W1139" s="2">
        <v>15.7</v>
      </c>
      <c r="X1139">
        <v>0.73150000000000004</v>
      </c>
      <c r="Y1139" s="6">
        <f t="shared" si="18"/>
        <v>2.2199999999999998E-2</v>
      </c>
      <c r="Z1139">
        <f>0.7426-0.7315</f>
        <v>1.1099999999999999E-2</v>
      </c>
      <c r="AA1139" s="6"/>
      <c r="AB1139" s="6"/>
    </row>
    <row r="1140" spans="1:28" x14ac:dyDescent="0.2">
      <c r="A1140" t="s">
        <v>193</v>
      </c>
      <c r="B1140">
        <v>2019</v>
      </c>
      <c r="C1140" t="s">
        <v>816</v>
      </c>
      <c r="D1140" t="s">
        <v>817</v>
      </c>
      <c r="E1140" t="s">
        <v>31</v>
      </c>
      <c r="F1140" t="s">
        <v>310</v>
      </c>
      <c r="G1140">
        <v>50.363838000000001</v>
      </c>
      <c r="H1140">
        <v>-4.1440489999999999</v>
      </c>
      <c r="I1140" t="s">
        <v>764</v>
      </c>
      <c r="J1140" t="s">
        <v>14</v>
      </c>
      <c r="K1140" t="s">
        <v>194</v>
      </c>
      <c r="L1140" t="s">
        <v>144</v>
      </c>
      <c r="M1140" t="s">
        <v>726</v>
      </c>
      <c r="N1140" t="s">
        <v>85</v>
      </c>
      <c r="O1140" s="6" t="s">
        <v>84</v>
      </c>
      <c r="Q1140">
        <v>1</v>
      </c>
      <c r="R1140" t="s">
        <v>214</v>
      </c>
      <c r="S1140" s="2" t="s">
        <v>9</v>
      </c>
      <c r="T1140" s="2">
        <v>4</v>
      </c>
      <c r="U1140" s="2" t="s">
        <v>28</v>
      </c>
      <c r="V1140" s="2" t="s">
        <v>28</v>
      </c>
      <c r="W1140" s="2">
        <v>18.399999999999999</v>
      </c>
      <c r="X1140">
        <v>0.74580000000000002</v>
      </c>
      <c r="Y1140" s="6">
        <f t="shared" si="18"/>
        <v>1.0999999999999899E-2</v>
      </c>
      <c r="Z1140">
        <f>0.7513-0.7458</f>
        <v>5.4999999999999494E-3</v>
      </c>
      <c r="AA1140" s="6"/>
      <c r="AB1140" s="6"/>
    </row>
    <row r="1141" spans="1:28" x14ac:dyDescent="0.2">
      <c r="A1141" t="s">
        <v>193</v>
      </c>
      <c r="B1141">
        <v>2019</v>
      </c>
      <c r="C1141" t="s">
        <v>816</v>
      </c>
      <c r="D1141" t="s">
        <v>817</v>
      </c>
      <c r="E1141" t="s">
        <v>31</v>
      </c>
      <c r="F1141" t="s">
        <v>310</v>
      </c>
      <c r="G1141">
        <v>50.363838000000001</v>
      </c>
      <c r="H1141">
        <v>-4.1440489999999999</v>
      </c>
      <c r="I1141" t="s">
        <v>764</v>
      </c>
      <c r="J1141" t="s">
        <v>14</v>
      </c>
      <c r="K1141" t="s">
        <v>194</v>
      </c>
      <c r="L1141" t="s">
        <v>144</v>
      </c>
      <c r="M1141" t="s">
        <v>726</v>
      </c>
      <c r="N1141" t="s">
        <v>85</v>
      </c>
      <c r="O1141" s="6" t="s">
        <v>84</v>
      </c>
      <c r="Q1141">
        <v>2</v>
      </c>
      <c r="R1141" t="s">
        <v>213</v>
      </c>
      <c r="S1141" s="2" t="s">
        <v>9</v>
      </c>
      <c r="T1141" s="2">
        <v>4</v>
      </c>
      <c r="U1141" s="2" t="s">
        <v>28</v>
      </c>
      <c r="V1141" s="2" t="s">
        <v>28</v>
      </c>
      <c r="W1141" s="2">
        <v>18.399999999999999</v>
      </c>
      <c r="X1141">
        <v>0.71930000000000005</v>
      </c>
      <c r="Y1141" s="6">
        <f t="shared" si="18"/>
        <v>2.079999999999993E-2</v>
      </c>
      <c r="Z1141">
        <f>0.7297-0.7193</f>
        <v>1.0399999999999965E-2</v>
      </c>
      <c r="AA1141" s="6"/>
      <c r="AB1141" s="6"/>
    </row>
    <row r="1142" spans="1:28" x14ac:dyDescent="0.2">
      <c r="A1142" t="s">
        <v>193</v>
      </c>
      <c r="B1142">
        <v>2019</v>
      </c>
      <c r="C1142" t="s">
        <v>816</v>
      </c>
      <c r="D1142" t="s">
        <v>817</v>
      </c>
      <c r="E1142" t="s">
        <v>31</v>
      </c>
      <c r="F1142" t="s">
        <v>310</v>
      </c>
      <c r="G1142">
        <v>50.363838000000001</v>
      </c>
      <c r="H1142">
        <v>-4.1440489999999999</v>
      </c>
      <c r="I1142" t="s">
        <v>764</v>
      </c>
      <c r="J1142" t="s">
        <v>14</v>
      </c>
      <c r="K1142" t="s">
        <v>194</v>
      </c>
      <c r="L1142" t="s">
        <v>144</v>
      </c>
      <c r="M1142" t="s">
        <v>726</v>
      </c>
      <c r="N1142" t="s">
        <v>85</v>
      </c>
      <c r="O1142" s="6" t="s">
        <v>84</v>
      </c>
      <c r="Q1142">
        <v>1</v>
      </c>
      <c r="R1142" t="s">
        <v>214</v>
      </c>
      <c r="S1142" s="2" t="s">
        <v>27</v>
      </c>
      <c r="T1142" s="2">
        <v>4</v>
      </c>
      <c r="U1142" s="2" t="s">
        <v>28</v>
      </c>
      <c r="V1142" s="2" t="s">
        <v>28</v>
      </c>
      <c r="W1142" s="2">
        <v>19.899999999999999</v>
      </c>
      <c r="X1142">
        <v>0.73229999999999995</v>
      </c>
      <c r="Y1142" s="6">
        <f t="shared" si="18"/>
        <v>2.8400000000000203E-2</v>
      </c>
      <c r="Z1142">
        <f>0.7465-0.7323</f>
        <v>1.4200000000000101E-2</v>
      </c>
      <c r="AA1142" s="6"/>
      <c r="AB1142" s="6"/>
    </row>
    <row r="1143" spans="1:28" x14ac:dyDescent="0.2">
      <c r="A1143" t="s">
        <v>193</v>
      </c>
      <c r="B1143">
        <v>2019</v>
      </c>
      <c r="C1143" t="s">
        <v>816</v>
      </c>
      <c r="D1143" t="s">
        <v>817</v>
      </c>
      <c r="E1143" t="s">
        <v>31</v>
      </c>
      <c r="F1143" t="s">
        <v>310</v>
      </c>
      <c r="G1143">
        <v>50.363838000000001</v>
      </c>
      <c r="H1143">
        <v>-4.1440489999999999</v>
      </c>
      <c r="I1143" t="s">
        <v>764</v>
      </c>
      <c r="J1143" t="s">
        <v>14</v>
      </c>
      <c r="K1143" t="s">
        <v>194</v>
      </c>
      <c r="L1143" t="s">
        <v>144</v>
      </c>
      <c r="M1143" t="s">
        <v>726</v>
      </c>
      <c r="N1143" t="s">
        <v>85</v>
      </c>
      <c r="O1143" s="6" t="s">
        <v>84</v>
      </c>
      <c r="Q1143">
        <v>2</v>
      </c>
      <c r="R1143" t="s">
        <v>213</v>
      </c>
      <c r="S1143" s="2" t="s">
        <v>27</v>
      </c>
      <c r="T1143" s="2">
        <v>4</v>
      </c>
      <c r="U1143" s="2" t="s">
        <v>28</v>
      </c>
      <c r="V1143" s="2" t="s">
        <v>28</v>
      </c>
      <c r="W1143" s="2">
        <v>19.899999999999999</v>
      </c>
      <c r="X1143">
        <v>0.7258</v>
      </c>
      <c r="Y1143" s="6">
        <f t="shared" si="18"/>
        <v>1.3600000000000056E-2</v>
      </c>
      <c r="Z1143">
        <f>0.7326-0.7258</f>
        <v>6.8000000000000282E-3</v>
      </c>
      <c r="AA1143" s="6"/>
      <c r="AB1143" s="6"/>
    </row>
    <row r="1144" spans="1:28" x14ac:dyDescent="0.2">
      <c r="A1144" t="s">
        <v>193</v>
      </c>
      <c r="B1144">
        <v>2019</v>
      </c>
      <c r="C1144" t="s">
        <v>816</v>
      </c>
      <c r="D1144" t="s">
        <v>817</v>
      </c>
      <c r="E1144" t="s">
        <v>31</v>
      </c>
      <c r="F1144" t="s">
        <v>310</v>
      </c>
      <c r="G1144">
        <v>50.363838000000001</v>
      </c>
      <c r="H1144">
        <v>-4.1440489999999999</v>
      </c>
      <c r="I1144" t="s">
        <v>764</v>
      </c>
      <c r="J1144" t="s">
        <v>7</v>
      </c>
      <c r="K1144" t="s">
        <v>194</v>
      </c>
      <c r="L1144" t="s">
        <v>144</v>
      </c>
      <c r="M1144" t="s">
        <v>726</v>
      </c>
      <c r="N1144" t="s">
        <v>85</v>
      </c>
      <c r="O1144" s="6" t="s">
        <v>84</v>
      </c>
      <c r="Q1144">
        <v>1</v>
      </c>
      <c r="R1144" t="s">
        <v>214</v>
      </c>
      <c r="S1144" s="2" t="s">
        <v>7</v>
      </c>
      <c r="T1144" s="2">
        <v>4</v>
      </c>
      <c r="U1144" s="2" t="s">
        <v>28</v>
      </c>
      <c r="V1144" s="2" t="s">
        <v>28</v>
      </c>
      <c r="W1144" s="2">
        <v>15.6</v>
      </c>
      <c r="X1144">
        <v>0.76229999999999998</v>
      </c>
      <c r="Y1144" s="6">
        <f t="shared" si="18"/>
        <v>2.2399999999999975E-2</v>
      </c>
      <c r="Z1144">
        <f>0.7735-X1144</f>
        <v>1.1199999999999988E-2</v>
      </c>
      <c r="AA1144" s="6"/>
      <c r="AB1144" s="6"/>
    </row>
    <row r="1145" spans="1:28" x14ac:dyDescent="0.2">
      <c r="A1145" t="s">
        <v>193</v>
      </c>
      <c r="B1145">
        <v>2019</v>
      </c>
      <c r="C1145" t="s">
        <v>816</v>
      </c>
      <c r="D1145" t="s">
        <v>817</v>
      </c>
      <c r="E1145" t="s">
        <v>31</v>
      </c>
      <c r="F1145" t="s">
        <v>310</v>
      </c>
      <c r="G1145">
        <v>50.363838000000001</v>
      </c>
      <c r="H1145">
        <v>-4.1440489999999999</v>
      </c>
      <c r="I1145" t="s">
        <v>764</v>
      </c>
      <c r="J1145" t="s">
        <v>7</v>
      </c>
      <c r="K1145" t="s">
        <v>194</v>
      </c>
      <c r="L1145" t="s">
        <v>144</v>
      </c>
      <c r="M1145" t="s">
        <v>726</v>
      </c>
      <c r="N1145" t="s">
        <v>85</v>
      </c>
      <c r="O1145" s="6" t="s">
        <v>84</v>
      </c>
      <c r="Q1145">
        <v>2</v>
      </c>
      <c r="R1145" t="s">
        <v>213</v>
      </c>
      <c r="S1145" s="2" t="s">
        <v>7</v>
      </c>
      <c r="T1145" s="2">
        <v>4</v>
      </c>
      <c r="U1145" s="2" t="s">
        <v>28</v>
      </c>
      <c r="V1145" s="2" t="s">
        <v>28</v>
      </c>
      <c r="W1145" s="2">
        <v>15.6</v>
      </c>
      <c r="X1145">
        <v>0.752</v>
      </c>
      <c r="Y1145" s="6">
        <f t="shared" si="18"/>
        <v>3.180000000000005E-2</v>
      </c>
      <c r="Z1145">
        <f>0.7679-X1145</f>
        <v>1.5900000000000025E-2</v>
      </c>
      <c r="AA1145" s="6"/>
      <c r="AB1145" s="6"/>
    </row>
    <row r="1146" spans="1:28" x14ac:dyDescent="0.2">
      <c r="A1146" t="s">
        <v>193</v>
      </c>
      <c r="B1146">
        <v>2019</v>
      </c>
      <c r="C1146" t="s">
        <v>816</v>
      </c>
      <c r="D1146" t="s">
        <v>817</v>
      </c>
      <c r="E1146" t="s">
        <v>31</v>
      </c>
      <c r="F1146" t="s">
        <v>310</v>
      </c>
      <c r="G1146">
        <v>50.363838000000001</v>
      </c>
      <c r="H1146">
        <v>-4.1440489999999999</v>
      </c>
      <c r="I1146" t="s">
        <v>764</v>
      </c>
      <c r="J1146" t="s">
        <v>14</v>
      </c>
      <c r="K1146" t="s">
        <v>194</v>
      </c>
      <c r="L1146" t="s">
        <v>144</v>
      </c>
      <c r="M1146" t="s">
        <v>726</v>
      </c>
      <c r="N1146" t="s">
        <v>85</v>
      </c>
      <c r="O1146" s="6" t="s">
        <v>84</v>
      </c>
      <c r="Q1146">
        <v>1</v>
      </c>
      <c r="R1146" t="s">
        <v>214</v>
      </c>
      <c r="S1146" s="2" t="s">
        <v>9</v>
      </c>
      <c r="T1146" s="2">
        <v>4</v>
      </c>
      <c r="U1146" s="2" t="s">
        <v>28</v>
      </c>
      <c r="V1146" s="2" t="s">
        <v>28</v>
      </c>
      <c r="W1146" s="2">
        <v>18.3</v>
      </c>
      <c r="X1146">
        <v>0.76060000000000005</v>
      </c>
      <c r="Y1146" s="6">
        <f t="shared" si="18"/>
        <v>1.6999999999999904E-2</v>
      </c>
      <c r="Z1146">
        <f>0.7691-X1146</f>
        <v>8.499999999999952E-3</v>
      </c>
      <c r="AA1146" s="6"/>
      <c r="AB1146" s="6"/>
    </row>
    <row r="1147" spans="1:28" x14ac:dyDescent="0.2">
      <c r="A1147" t="s">
        <v>193</v>
      </c>
      <c r="B1147">
        <v>2019</v>
      </c>
      <c r="C1147" t="s">
        <v>816</v>
      </c>
      <c r="D1147" t="s">
        <v>817</v>
      </c>
      <c r="E1147" t="s">
        <v>31</v>
      </c>
      <c r="F1147" t="s">
        <v>310</v>
      </c>
      <c r="G1147">
        <v>50.363838000000001</v>
      </c>
      <c r="H1147">
        <v>-4.1440489999999999</v>
      </c>
      <c r="I1147" t="s">
        <v>764</v>
      </c>
      <c r="J1147" t="s">
        <v>14</v>
      </c>
      <c r="K1147" t="s">
        <v>194</v>
      </c>
      <c r="L1147" t="s">
        <v>144</v>
      </c>
      <c r="M1147" t="s">
        <v>726</v>
      </c>
      <c r="N1147" t="s">
        <v>85</v>
      </c>
      <c r="O1147" s="6" t="s">
        <v>84</v>
      </c>
      <c r="Q1147">
        <v>2</v>
      </c>
      <c r="R1147" t="s">
        <v>213</v>
      </c>
      <c r="S1147" s="2" t="s">
        <v>9</v>
      </c>
      <c r="T1147" s="2">
        <v>4</v>
      </c>
      <c r="U1147" s="2" t="s">
        <v>28</v>
      </c>
      <c r="V1147" s="2" t="s">
        <v>28</v>
      </c>
      <c r="W1147" s="2">
        <v>18.3</v>
      </c>
      <c r="X1147">
        <v>0.74009999999999998</v>
      </c>
      <c r="Y1147" s="6">
        <f t="shared" si="18"/>
        <v>1.7200000000000104E-2</v>
      </c>
      <c r="Z1147">
        <f>0.7487-X1147</f>
        <v>8.600000000000052E-3</v>
      </c>
      <c r="AA1147" s="6"/>
      <c r="AB1147" s="6"/>
    </row>
    <row r="1148" spans="1:28" x14ac:dyDescent="0.2">
      <c r="A1148" t="s">
        <v>193</v>
      </c>
      <c r="B1148">
        <v>2019</v>
      </c>
      <c r="C1148" t="s">
        <v>816</v>
      </c>
      <c r="D1148" t="s">
        <v>817</v>
      </c>
      <c r="E1148" t="s">
        <v>31</v>
      </c>
      <c r="F1148" t="s">
        <v>310</v>
      </c>
      <c r="G1148">
        <v>50.363838000000001</v>
      </c>
      <c r="H1148">
        <v>-4.1440489999999999</v>
      </c>
      <c r="I1148" t="s">
        <v>764</v>
      </c>
      <c r="J1148" t="s">
        <v>14</v>
      </c>
      <c r="K1148" t="s">
        <v>194</v>
      </c>
      <c r="L1148" t="s">
        <v>144</v>
      </c>
      <c r="M1148" t="s">
        <v>726</v>
      </c>
      <c r="N1148" t="s">
        <v>85</v>
      </c>
      <c r="O1148" s="6" t="s">
        <v>84</v>
      </c>
      <c r="Q1148">
        <v>1</v>
      </c>
      <c r="R1148" t="s">
        <v>214</v>
      </c>
      <c r="S1148" s="2" t="s">
        <v>27</v>
      </c>
      <c r="T1148" s="2">
        <v>4</v>
      </c>
      <c r="U1148" s="2" t="s">
        <v>28</v>
      </c>
      <c r="V1148" s="2" t="s">
        <v>28</v>
      </c>
      <c r="W1148" s="2">
        <v>20.100000000000001</v>
      </c>
      <c r="X1148">
        <v>0.75549999999999995</v>
      </c>
      <c r="Y1148" s="6">
        <f t="shared" si="18"/>
        <v>2.4600000000000177E-2</v>
      </c>
      <c r="Z1148">
        <f>0.7678-X1148</f>
        <v>1.2300000000000089E-2</v>
      </c>
      <c r="AA1148" s="6"/>
      <c r="AB1148" s="6"/>
    </row>
    <row r="1149" spans="1:28" x14ac:dyDescent="0.2">
      <c r="A1149" t="s">
        <v>193</v>
      </c>
      <c r="B1149">
        <v>2019</v>
      </c>
      <c r="C1149" t="s">
        <v>816</v>
      </c>
      <c r="D1149" t="s">
        <v>817</v>
      </c>
      <c r="E1149" t="s">
        <v>31</v>
      </c>
      <c r="F1149" t="s">
        <v>310</v>
      </c>
      <c r="G1149">
        <v>50.363838000000001</v>
      </c>
      <c r="H1149">
        <v>-4.1440489999999999</v>
      </c>
      <c r="I1149" t="s">
        <v>764</v>
      </c>
      <c r="J1149" t="s">
        <v>14</v>
      </c>
      <c r="K1149" t="s">
        <v>194</v>
      </c>
      <c r="L1149" t="s">
        <v>144</v>
      </c>
      <c r="M1149" t="s">
        <v>726</v>
      </c>
      <c r="N1149" t="s">
        <v>85</v>
      </c>
      <c r="O1149" s="6" t="s">
        <v>84</v>
      </c>
      <c r="Q1149">
        <v>2</v>
      </c>
      <c r="R1149" t="s">
        <v>213</v>
      </c>
      <c r="S1149" s="2" t="s">
        <v>27</v>
      </c>
      <c r="T1149" s="2">
        <v>4</v>
      </c>
      <c r="U1149" s="2" t="s">
        <v>28</v>
      </c>
      <c r="V1149" s="2" t="s">
        <v>28</v>
      </c>
      <c r="W1149" s="2">
        <v>20.100000000000001</v>
      </c>
      <c r="X1149">
        <v>0.75729999999999997</v>
      </c>
      <c r="Y1149" s="6">
        <f t="shared" si="18"/>
        <v>9.200000000000097E-3</v>
      </c>
      <c r="Z1149">
        <f>0.7619-X1149</f>
        <v>4.6000000000000485E-3</v>
      </c>
      <c r="AA1149" s="6"/>
      <c r="AB1149" s="6"/>
    </row>
    <row r="1150" spans="1:28" x14ac:dyDescent="0.2">
      <c r="A1150" t="s">
        <v>193</v>
      </c>
      <c r="B1150">
        <v>2019</v>
      </c>
      <c r="C1150" t="s">
        <v>816</v>
      </c>
      <c r="D1150" t="s">
        <v>817</v>
      </c>
      <c r="E1150" t="s">
        <v>31</v>
      </c>
      <c r="F1150" t="s">
        <v>310</v>
      </c>
      <c r="G1150">
        <v>50.363838000000001</v>
      </c>
      <c r="H1150">
        <v>-4.1440489999999999</v>
      </c>
      <c r="I1150" t="s">
        <v>764</v>
      </c>
      <c r="J1150" t="s">
        <v>7</v>
      </c>
      <c r="K1150" t="s">
        <v>194</v>
      </c>
      <c r="L1150" t="s">
        <v>144</v>
      </c>
      <c r="M1150" t="s">
        <v>726</v>
      </c>
      <c r="N1150" t="s">
        <v>85</v>
      </c>
      <c r="O1150" s="6" t="s">
        <v>196</v>
      </c>
      <c r="P1150" t="s">
        <v>83</v>
      </c>
      <c r="Q1150">
        <v>1</v>
      </c>
      <c r="R1150" t="s">
        <v>214</v>
      </c>
      <c r="S1150" s="2" t="s">
        <v>7</v>
      </c>
      <c r="T1150" s="2">
        <v>4</v>
      </c>
      <c r="U1150" s="2" t="s">
        <v>28</v>
      </c>
      <c r="V1150" s="2" t="s">
        <v>28</v>
      </c>
      <c r="W1150" s="2">
        <v>15.7</v>
      </c>
      <c r="X1150">
        <v>27.72</v>
      </c>
      <c r="Y1150" s="6">
        <f t="shared" si="18"/>
        <v>10.700000000000003</v>
      </c>
      <c r="Z1150">
        <f>33.07-X1150</f>
        <v>5.3500000000000014</v>
      </c>
      <c r="AA1150" s="6"/>
      <c r="AB1150" s="6"/>
    </row>
    <row r="1151" spans="1:28" x14ac:dyDescent="0.2">
      <c r="A1151" t="s">
        <v>193</v>
      </c>
      <c r="B1151">
        <v>2019</v>
      </c>
      <c r="C1151" t="s">
        <v>816</v>
      </c>
      <c r="D1151" t="s">
        <v>817</v>
      </c>
      <c r="E1151" t="s">
        <v>31</v>
      </c>
      <c r="F1151" t="s">
        <v>310</v>
      </c>
      <c r="G1151">
        <v>50.363838000000001</v>
      </c>
      <c r="H1151">
        <v>-4.1440489999999999</v>
      </c>
      <c r="I1151" t="s">
        <v>764</v>
      </c>
      <c r="J1151" t="s">
        <v>7</v>
      </c>
      <c r="K1151" t="s">
        <v>194</v>
      </c>
      <c r="L1151" t="s">
        <v>144</v>
      </c>
      <c r="M1151" t="s">
        <v>726</v>
      </c>
      <c r="N1151" t="s">
        <v>85</v>
      </c>
      <c r="O1151" s="6" t="s">
        <v>196</v>
      </c>
      <c r="P1151" t="s">
        <v>83</v>
      </c>
      <c r="Q1151">
        <v>2</v>
      </c>
      <c r="R1151" t="s">
        <v>213</v>
      </c>
      <c r="S1151" s="2" t="s">
        <v>7</v>
      </c>
      <c r="T1151" s="2">
        <v>4</v>
      </c>
      <c r="U1151" s="2" t="s">
        <v>28</v>
      </c>
      <c r="V1151" s="2" t="s">
        <v>28</v>
      </c>
      <c r="W1151" s="2">
        <v>15.7</v>
      </c>
      <c r="X1151">
        <v>43.26</v>
      </c>
      <c r="Y1151" s="6">
        <f t="shared" si="18"/>
        <v>22.040000000000006</v>
      </c>
      <c r="Z1151">
        <f>54.28-X1151</f>
        <v>11.020000000000003</v>
      </c>
      <c r="AA1151" s="6"/>
      <c r="AB1151" s="6"/>
    </row>
    <row r="1152" spans="1:28" x14ac:dyDescent="0.2">
      <c r="A1152" t="s">
        <v>193</v>
      </c>
      <c r="B1152">
        <v>2019</v>
      </c>
      <c r="C1152" t="s">
        <v>816</v>
      </c>
      <c r="D1152" t="s">
        <v>817</v>
      </c>
      <c r="E1152" t="s">
        <v>31</v>
      </c>
      <c r="F1152" t="s">
        <v>310</v>
      </c>
      <c r="G1152">
        <v>50.363838000000001</v>
      </c>
      <c r="H1152">
        <v>-4.1440489999999999</v>
      </c>
      <c r="I1152" t="s">
        <v>764</v>
      </c>
      <c r="J1152" t="s">
        <v>14</v>
      </c>
      <c r="K1152" t="s">
        <v>194</v>
      </c>
      <c r="L1152" t="s">
        <v>144</v>
      </c>
      <c r="M1152" t="s">
        <v>726</v>
      </c>
      <c r="N1152" t="s">
        <v>85</v>
      </c>
      <c r="O1152" s="6" t="s">
        <v>196</v>
      </c>
      <c r="P1152" t="s">
        <v>83</v>
      </c>
      <c r="Q1152">
        <v>1</v>
      </c>
      <c r="R1152" t="s">
        <v>214</v>
      </c>
      <c r="S1152" s="2" t="s">
        <v>9</v>
      </c>
      <c r="T1152" s="2">
        <v>4</v>
      </c>
      <c r="U1152" s="2" t="s">
        <v>28</v>
      </c>
      <c r="V1152" s="2" t="s">
        <v>28</v>
      </c>
      <c r="W1152" s="2">
        <v>18.399999999999999</v>
      </c>
      <c r="X1152">
        <v>36.08</v>
      </c>
      <c r="Y1152" s="6">
        <f t="shared" ref="Y1152:Y1183" si="19">Z1152*SQRT(T1152)</f>
        <v>10.02000000000001</v>
      </c>
      <c r="Z1152">
        <f>41.09-X1152</f>
        <v>5.0100000000000051</v>
      </c>
      <c r="AA1152" s="6"/>
      <c r="AB1152" s="6"/>
    </row>
    <row r="1153" spans="1:28" x14ac:dyDescent="0.2">
      <c r="A1153" t="s">
        <v>193</v>
      </c>
      <c r="B1153">
        <v>2019</v>
      </c>
      <c r="C1153" t="s">
        <v>816</v>
      </c>
      <c r="D1153" t="s">
        <v>817</v>
      </c>
      <c r="E1153" t="s">
        <v>31</v>
      </c>
      <c r="F1153" t="s">
        <v>310</v>
      </c>
      <c r="G1153">
        <v>50.363838000000001</v>
      </c>
      <c r="H1153">
        <v>-4.1440489999999999</v>
      </c>
      <c r="I1153" t="s">
        <v>764</v>
      </c>
      <c r="J1153" t="s">
        <v>14</v>
      </c>
      <c r="K1153" t="s">
        <v>194</v>
      </c>
      <c r="L1153" t="s">
        <v>144</v>
      </c>
      <c r="M1153" t="s">
        <v>726</v>
      </c>
      <c r="N1153" t="s">
        <v>85</v>
      </c>
      <c r="O1153" s="6" t="s">
        <v>196</v>
      </c>
      <c r="P1153" t="s">
        <v>83</v>
      </c>
      <c r="Q1153">
        <v>2</v>
      </c>
      <c r="R1153" t="s">
        <v>213</v>
      </c>
      <c r="S1153" s="2" t="s">
        <v>9</v>
      </c>
      <c r="T1153" s="2">
        <v>4</v>
      </c>
      <c r="U1153" s="2" t="s">
        <v>28</v>
      </c>
      <c r="V1153" s="2" t="s">
        <v>28</v>
      </c>
      <c r="W1153" s="2">
        <v>18.399999999999999</v>
      </c>
      <c r="X1153">
        <v>49.27</v>
      </c>
      <c r="Y1153" s="6">
        <f t="shared" si="19"/>
        <v>14.019999999999996</v>
      </c>
      <c r="Z1153">
        <f>56.28-X1153</f>
        <v>7.009999999999998</v>
      </c>
      <c r="AA1153" s="6"/>
      <c r="AB1153" s="6"/>
    </row>
    <row r="1154" spans="1:28" x14ac:dyDescent="0.2">
      <c r="A1154" t="s">
        <v>193</v>
      </c>
      <c r="B1154">
        <v>2019</v>
      </c>
      <c r="C1154" t="s">
        <v>816</v>
      </c>
      <c r="D1154" t="s">
        <v>817</v>
      </c>
      <c r="E1154" t="s">
        <v>31</v>
      </c>
      <c r="F1154" t="s">
        <v>310</v>
      </c>
      <c r="G1154">
        <v>50.363838000000001</v>
      </c>
      <c r="H1154">
        <v>-4.1440489999999999</v>
      </c>
      <c r="I1154" t="s">
        <v>764</v>
      </c>
      <c r="J1154" t="s">
        <v>14</v>
      </c>
      <c r="K1154" t="s">
        <v>194</v>
      </c>
      <c r="L1154" t="s">
        <v>144</v>
      </c>
      <c r="M1154" t="s">
        <v>726</v>
      </c>
      <c r="N1154" t="s">
        <v>85</v>
      </c>
      <c r="O1154" s="6" t="s">
        <v>196</v>
      </c>
      <c r="P1154" t="s">
        <v>83</v>
      </c>
      <c r="Q1154">
        <v>1</v>
      </c>
      <c r="R1154" t="s">
        <v>214</v>
      </c>
      <c r="S1154" s="2" t="s">
        <v>27</v>
      </c>
      <c r="T1154" s="2">
        <v>4</v>
      </c>
      <c r="U1154" s="2" t="s">
        <v>28</v>
      </c>
      <c r="V1154" s="2" t="s">
        <v>28</v>
      </c>
      <c r="W1154" s="2">
        <v>19.899999999999999</v>
      </c>
      <c r="X1154">
        <v>37.08</v>
      </c>
      <c r="Y1154" s="6">
        <f t="shared" si="19"/>
        <v>9.6800000000000068</v>
      </c>
      <c r="Z1154">
        <f>41.92-X1154</f>
        <v>4.8400000000000034</v>
      </c>
      <c r="AA1154" s="6"/>
      <c r="AB1154" s="6"/>
    </row>
    <row r="1155" spans="1:28" x14ac:dyDescent="0.2">
      <c r="A1155" t="s">
        <v>193</v>
      </c>
      <c r="B1155">
        <v>2019</v>
      </c>
      <c r="C1155" t="s">
        <v>816</v>
      </c>
      <c r="D1155" t="s">
        <v>817</v>
      </c>
      <c r="E1155" t="s">
        <v>31</v>
      </c>
      <c r="F1155" t="s">
        <v>310</v>
      </c>
      <c r="G1155">
        <v>50.363838000000001</v>
      </c>
      <c r="H1155">
        <v>-4.1440489999999999</v>
      </c>
      <c r="I1155" t="s">
        <v>764</v>
      </c>
      <c r="J1155" t="s">
        <v>14</v>
      </c>
      <c r="K1155" t="s">
        <v>194</v>
      </c>
      <c r="L1155" t="s">
        <v>144</v>
      </c>
      <c r="M1155" t="s">
        <v>726</v>
      </c>
      <c r="N1155" t="s">
        <v>85</v>
      </c>
      <c r="O1155" s="6" t="s">
        <v>196</v>
      </c>
      <c r="P1155" t="s">
        <v>83</v>
      </c>
      <c r="Q1155">
        <v>2</v>
      </c>
      <c r="R1155" t="s">
        <v>213</v>
      </c>
      <c r="S1155" s="2" t="s">
        <v>27</v>
      </c>
      <c r="T1155" s="2">
        <v>4</v>
      </c>
      <c r="U1155" s="2" t="s">
        <v>28</v>
      </c>
      <c r="V1155" s="2" t="s">
        <v>28</v>
      </c>
      <c r="W1155" s="2">
        <v>19.899999999999999</v>
      </c>
      <c r="X1155">
        <v>45.76</v>
      </c>
      <c r="Y1155" s="6">
        <f t="shared" si="19"/>
        <v>8.0200000000000102</v>
      </c>
      <c r="Z1155">
        <f>49.77-X1155</f>
        <v>4.0100000000000051</v>
      </c>
      <c r="AA1155" s="6"/>
      <c r="AB1155" s="6"/>
    </row>
    <row r="1156" spans="1:28" x14ac:dyDescent="0.2">
      <c r="A1156" t="s">
        <v>193</v>
      </c>
      <c r="B1156">
        <v>2019</v>
      </c>
      <c r="C1156" t="s">
        <v>816</v>
      </c>
      <c r="D1156" t="s">
        <v>817</v>
      </c>
      <c r="E1156" t="s">
        <v>31</v>
      </c>
      <c r="F1156" t="s">
        <v>310</v>
      </c>
      <c r="G1156">
        <v>50.363838000000001</v>
      </c>
      <c r="H1156">
        <v>-4.1440489999999999</v>
      </c>
      <c r="I1156" t="s">
        <v>764</v>
      </c>
      <c r="J1156" t="s">
        <v>7</v>
      </c>
      <c r="K1156" t="s">
        <v>194</v>
      </c>
      <c r="L1156" t="s">
        <v>144</v>
      </c>
      <c r="M1156" t="s">
        <v>726</v>
      </c>
      <c r="N1156" t="s">
        <v>85</v>
      </c>
      <c r="O1156" s="6" t="s">
        <v>196</v>
      </c>
      <c r="P1156" t="s">
        <v>83</v>
      </c>
      <c r="Q1156">
        <v>1</v>
      </c>
      <c r="R1156" t="s">
        <v>214</v>
      </c>
      <c r="S1156" s="2" t="s">
        <v>7</v>
      </c>
      <c r="T1156" s="2">
        <v>4</v>
      </c>
      <c r="U1156" s="2" t="s">
        <v>28</v>
      </c>
      <c r="V1156" s="2" t="s">
        <v>28</v>
      </c>
      <c r="W1156" s="2">
        <v>15.6</v>
      </c>
      <c r="X1156">
        <v>34.74</v>
      </c>
      <c r="Y1156" s="6">
        <f t="shared" si="19"/>
        <v>16.039999999999992</v>
      </c>
      <c r="Z1156">
        <f>42.76-X1156</f>
        <v>8.019999999999996</v>
      </c>
      <c r="AA1156" s="6"/>
      <c r="AB1156" s="6"/>
    </row>
    <row r="1157" spans="1:28" x14ac:dyDescent="0.2">
      <c r="A1157" t="s">
        <v>193</v>
      </c>
      <c r="B1157">
        <v>2019</v>
      </c>
      <c r="C1157" t="s">
        <v>816</v>
      </c>
      <c r="D1157" t="s">
        <v>817</v>
      </c>
      <c r="E1157" t="s">
        <v>31</v>
      </c>
      <c r="F1157" t="s">
        <v>310</v>
      </c>
      <c r="G1157">
        <v>50.363838000000001</v>
      </c>
      <c r="H1157">
        <v>-4.1440489999999999</v>
      </c>
      <c r="I1157" t="s">
        <v>764</v>
      </c>
      <c r="J1157" t="s">
        <v>7</v>
      </c>
      <c r="K1157" t="s">
        <v>194</v>
      </c>
      <c r="L1157" t="s">
        <v>144</v>
      </c>
      <c r="M1157" t="s">
        <v>726</v>
      </c>
      <c r="N1157" t="s">
        <v>85</v>
      </c>
      <c r="O1157" s="6" t="s">
        <v>196</v>
      </c>
      <c r="P1157" t="s">
        <v>83</v>
      </c>
      <c r="Q1157">
        <v>2</v>
      </c>
      <c r="R1157" t="s">
        <v>213</v>
      </c>
      <c r="S1157" s="2" t="s">
        <v>7</v>
      </c>
      <c r="T1157" s="2">
        <v>4</v>
      </c>
      <c r="U1157" s="2" t="s">
        <v>28</v>
      </c>
      <c r="V1157" s="2" t="s">
        <v>28</v>
      </c>
      <c r="W1157" s="2">
        <v>15.6</v>
      </c>
      <c r="X1157">
        <v>31.73</v>
      </c>
      <c r="Y1157" s="6">
        <f t="shared" si="19"/>
        <v>15.699999999999996</v>
      </c>
      <c r="Z1157">
        <f>39.58-X1157</f>
        <v>7.8499999999999979</v>
      </c>
      <c r="AA1157" s="6"/>
      <c r="AB1157" s="6"/>
    </row>
    <row r="1158" spans="1:28" x14ac:dyDescent="0.2">
      <c r="A1158" t="s">
        <v>193</v>
      </c>
      <c r="B1158">
        <v>2019</v>
      </c>
      <c r="C1158" t="s">
        <v>816</v>
      </c>
      <c r="D1158" t="s">
        <v>817</v>
      </c>
      <c r="E1158" t="s">
        <v>31</v>
      </c>
      <c r="F1158" t="s">
        <v>310</v>
      </c>
      <c r="G1158">
        <v>50.363838000000001</v>
      </c>
      <c r="H1158">
        <v>-4.1440489999999999</v>
      </c>
      <c r="I1158" t="s">
        <v>764</v>
      </c>
      <c r="J1158" t="s">
        <v>14</v>
      </c>
      <c r="K1158" t="s">
        <v>194</v>
      </c>
      <c r="L1158" t="s">
        <v>144</v>
      </c>
      <c r="M1158" t="s">
        <v>726</v>
      </c>
      <c r="N1158" t="s">
        <v>85</v>
      </c>
      <c r="O1158" s="6" t="s">
        <v>196</v>
      </c>
      <c r="P1158" t="s">
        <v>83</v>
      </c>
      <c r="Q1158">
        <v>1</v>
      </c>
      <c r="R1158" t="s">
        <v>214</v>
      </c>
      <c r="S1158" s="2" t="s">
        <v>9</v>
      </c>
      <c r="T1158" s="2">
        <v>4</v>
      </c>
      <c r="U1158" s="2" t="s">
        <v>28</v>
      </c>
      <c r="V1158" s="2" t="s">
        <v>28</v>
      </c>
      <c r="W1158" s="2">
        <v>18.3</v>
      </c>
      <c r="X1158">
        <v>41.09</v>
      </c>
      <c r="Y1158" s="6">
        <f t="shared" si="19"/>
        <v>14.019999999999996</v>
      </c>
      <c r="Z1158">
        <f>48.1-X1158</f>
        <v>7.009999999999998</v>
      </c>
      <c r="AA1158" s="6"/>
      <c r="AB1158" s="6"/>
    </row>
    <row r="1159" spans="1:28" x14ac:dyDescent="0.2">
      <c r="A1159" t="s">
        <v>193</v>
      </c>
      <c r="B1159">
        <v>2019</v>
      </c>
      <c r="C1159" t="s">
        <v>816</v>
      </c>
      <c r="D1159" t="s">
        <v>817</v>
      </c>
      <c r="E1159" t="s">
        <v>31</v>
      </c>
      <c r="F1159" t="s">
        <v>310</v>
      </c>
      <c r="G1159">
        <v>50.363838000000001</v>
      </c>
      <c r="H1159">
        <v>-4.1440489999999999</v>
      </c>
      <c r="I1159" t="s">
        <v>764</v>
      </c>
      <c r="J1159" t="s">
        <v>14</v>
      </c>
      <c r="K1159" t="s">
        <v>194</v>
      </c>
      <c r="L1159" t="s">
        <v>144</v>
      </c>
      <c r="M1159" t="s">
        <v>726</v>
      </c>
      <c r="N1159" t="s">
        <v>85</v>
      </c>
      <c r="O1159" s="6" t="s">
        <v>196</v>
      </c>
      <c r="P1159" t="s">
        <v>83</v>
      </c>
      <c r="Q1159">
        <v>2</v>
      </c>
      <c r="R1159" t="s">
        <v>213</v>
      </c>
      <c r="S1159" s="2" t="s">
        <v>9</v>
      </c>
      <c r="T1159" s="2">
        <v>4</v>
      </c>
      <c r="U1159" s="2" t="s">
        <v>28</v>
      </c>
      <c r="V1159" s="2" t="s">
        <v>28</v>
      </c>
      <c r="W1159" s="2">
        <v>18.3</v>
      </c>
      <c r="X1159">
        <v>39.92</v>
      </c>
      <c r="Y1159" s="6">
        <f t="shared" si="19"/>
        <v>8.3400000000000034</v>
      </c>
      <c r="Z1159">
        <f>44.09-X1159</f>
        <v>4.1700000000000017</v>
      </c>
      <c r="AA1159" s="6"/>
      <c r="AB1159" s="6"/>
    </row>
    <row r="1160" spans="1:28" x14ac:dyDescent="0.2">
      <c r="A1160" t="s">
        <v>193</v>
      </c>
      <c r="B1160">
        <v>2019</v>
      </c>
      <c r="C1160" t="s">
        <v>816</v>
      </c>
      <c r="D1160" t="s">
        <v>817</v>
      </c>
      <c r="E1160" t="s">
        <v>31</v>
      </c>
      <c r="F1160" t="s">
        <v>310</v>
      </c>
      <c r="G1160">
        <v>50.363838000000001</v>
      </c>
      <c r="H1160">
        <v>-4.1440489999999999</v>
      </c>
      <c r="I1160" t="s">
        <v>764</v>
      </c>
      <c r="J1160" t="s">
        <v>14</v>
      </c>
      <c r="K1160" t="s">
        <v>194</v>
      </c>
      <c r="L1160" t="s">
        <v>144</v>
      </c>
      <c r="M1160" t="s">
        <v>726</v>
      </c>
      <c r="N1160" t="s">
        <v>85</v>
      </c>
      <c r="O1160" s="6" t="s">
        <v>196</v>
      </c>
      <c r="P1160" t="s">
        <v>83</v>
      </c>
      <c r="Q1160">
        <v>1</v>
      </c>
      <c r="R1160" t="s">
        <v>214</v>
      </c>
      <c r="S1160" s="2" t="s">
        <v>27</v>
      </c>
      <c r="T1160" s="2">
        <v>4</v>
      </c>
      <c r="U1160" s="2" t="s">
        <v>28</v>
      </c>
      <c r="V1160" s="2" t="s">
        <v>28</v>
      </c>
      <c r="W1160" s="2">
        <v>20.100000000000001</v>
      </c>
      <c r="X1160">
        <v>34.24</v>
      </c>
      <c r="Y1160" s="6">
        <f t="shared" si="19"/>
        <v>12.019999999999996</v>
      </c>
      <c r="Z1160">
        <f>40.25-X1160</f>
        <v>6.009999999999998</v>
      </c>
      <c r="AA1160" s="6"/>
      <c r="AB1160" s="6"/>
    </row>
    <row r="1161" spans="1:28" x14ac:dyDescent="0.2">
      <c r="A1161" t="s">
        <v>193</v>
      </c>
      <c r="B1161">
        <v>2019</v>
      </c>
      <c r="C1161" t="s">
        <v>816</v>
      </c>
      <c r="D1161" t="s">
        <v>817</v>
      </c>
      <c r="E1161" t="s">
        <v>31</v>
      </c>
      <c r="F1161" t="s">
        <v>310</v>
      </c>
      <c r="G1161">
        <v>50.363838000000001</v>
      </c>
      <c r="H1161">
        <v>-4.1440489999999999</v>
      </c>
      <c r="I1161" t="s">
        <v>764</v>
      </c>
      <c r="J1161" t="s">
        <v>14</v>
      </c>
      <c r="K1161" t="s">
        <v>194</v>
      </c>
      <c r="L1161" t="s">
        <v>144</v>
      </c>
      <c r="M1161" t="s">
        <v>726</v>
      </c>
      <c r="N1161" t="s">
        <v>85</v>
      </c>
      <c r="O1161" s="6" t="s">
        <v>196</v>
      </c>
      <c r="P1161" t="s">
        <v>83</v>
      </c>
      <c r="Q1161">
        <v>2</v>
      </c>
      <c r="R1161" t="s">
        <v>213</v>
      </c>
      <c r="S1161" s="2" t="s">
        <v>27</v>
      </c>
      <c r="T1161" s="2">
        <v>4</v>
      </c>
      <c r="U1161" s="2" t="s">
        <v>28</v>
      </c>
      <c r="V1161" s="2" t="s">
        <v>28</v>
      </c>
      <c r="W1161" s="2">
        <v>20.100000000000001</v>
      </c>
      <c r="X1161">
        <v>38.25</v>
      </c>
      <c r="Y1161" s="6">
        <f t="shared" si="19"/>
        <v>13.36</v>
      </c>
      <c r="Z1161">
        <f>44.93-X1161</f>
        <v>6.68</v>
      </c>
      <c r="AA1161" s="6"/>
      <c r="AB1161" s="6"/>
    </row>
    <row r="1162" spans="1:28" x14ac:dyDescent="0.2">
      <c r="A1162" t="s">
        <v>193</v>
      </c>
      <c r="B1162">
        <v>2019</v>
      </c>
      <c r="C1162" t="s">
        <v>816</v>
      </c>
      <c r="D1162" t="s">
        <v>817</v>
      </c>
      <c r="E1162" t="s">
        <v>31</v>
      </c>
      <c r="F1162" t="s">
        <v>310</v>
      </c>
      <c r="G1162">
        <v>50.363838000000001</v>
      </c>
      <c r="H1162">
        <v>-4.1440489999999999</v>
      </c>
      <c r="I1162" t="s">
        <v>764</v>
      </c>
      <c r="J1162" t="s">
        <v>7</v>
      </c>
      <c r="K1162" t="s">
        <v>194</v>
      </c>
      <c r="L1162" t="s">
        <v>144</v>
      </c>
      <c r="M1162" t="s">
        <v>726</v>
      </c>
      <c r="N1162" t="s">
        <v>85</v>
      </c>
      <c r="O1162" s="6" t="s">
        <v>58</v>
      </c>
      <c r="Q1162">
        <v>1</v>
      </c>
      <c r="R1162" t="s">
        <v>214</v>
      </c>
      <c r="S1162" s="2" t="s">
        <v>7</v>
      </c>
      <c r="T1162" s="2">
        <v>4</v>
      </c>
      <c r="U1162" s="2" t="s">
        <v>28</v>
      </c>
      <c r="V1162" s="2" t="s">
        <v>28</v>
      </c>
      <c r="W1162" s="2">
        <v>15.7</v>
      </c>
      <c r="X1162">
        <v>0.73440000000000005</v>
      </c>
      <c r="Y1162" s="6">
        <f t="shared" si="19"/>
        <v>2.5599999999999845E-2</v>
      </c>
      <c r="Z1162">
        <f>0.7472-X1162</f>
        <v>1.2799999999999923E-2</v>
      </c>
      <c r="AA1162" s="6"/>
      <c r="AB1162" s="6"/>
    </row>
    <row r="1163" spans="1:28" x14ac:dyDescent="0.2">
      <c r="A1163" t="s">
        <v>193</v>
      </c>
      <c r="B1163">
        <v>2019</v>
      </c>
      <c r="C1163" t="s">
        <v>816</v>
      </c>
      <c r="D1163" t="s">
        <v>817</v>
      </c>
      <c r="E1163" t="s">
        <v>31</v>
      </c>
      <c r="F1163" t="s">
        <v>310</v>
      </c>
      <c r="G1163">
        <v>50.363838000000001</v>
      </c>
      <c r="H1163">
        <v>-4.1440489999999999</v>
      </c>
      <c r="I1163" t="s">
        <v>764</v>
      </c>
      <c r="J1163" t="s">
        <v>7</v>
      </c>
      <c r="K1163" t="s">
        <v>194</v>
      </c>
      <c r="L1163" t="s">
        <v>144</v>
      </c>
      <c r="M1163" t="s">
        <v>726</v>
      </c>
      <c r="N1163" t="s">
        <v>85</v>
      </c>
      <c r="O1163" s="6" t="s">
        <v>58</v>
      </c>
      <c r="Q1163">
        <v>2</v>
      </c>
      <c r="R1163" t="s">
        <v>213</v>
      </c>
      <c r="S1163" s="2" t="s">
        <v>7</v>
      </c>
      <c r="T1163" s="2">
        <v>4</v>
      </c>
      <c r="U1163" s="2" t="s">
        <v>28</v>
      </c>
      <c r="V1163" s="2" t="s">
        <v>28</v>
      </c>
      <c r="W1163" s="2">
        <v>15.7</v>
      </c>
      <c r="X1163">
        <v>0.72089999999999999</v>
      </c>
      <c r="Y1163" s="6">
        <f t="shared" si="19"/>
        <v>2.2199999999999998E-2</v>
      </c>
      <c r="Z1163">
        <f>0.732-X1163</f>
        <v>1.1099999999999999E-2</v>
      </c>
      <c r="AA1163" s="6"/>
      <c r="AB1163" s="6"/>
    </row>
    <row r="1164" spans="1:28" x14ac:dyDescent="0.2">
      <c r="A1164" t="s">
        <v>193</v>
      </c>
      <c r="B1164">
        <v>2019</v>
      </c>
      <c r="C1164" t="s">
        <v>816</v>
      </c>
      <c r="D1164" t="s">
        <v>817</v>
      </c>
      <c r="E1164" t="s">
        <v>31</v>
      </c>
      <c r="F1164" t="s">
        <v>310</v>
      </c>
      <c r="G1164">
        <v>50.363838000000001</v>
      </c>
      <c r="H1164">
        <v>-4.1440489999999999</v>
      </c>
      <c r="I1164" t="s">
        <v>764</v>
      </c>
      <c r="J1164" t="s">
        <v>14</v>
      </c>
      <c r="K1164" t="s">
        <v>194</v>
      </c>
      <c r="L1164" t="s">
        <v>144</v>
      </c>
      <c r="M1164" t="s">
        <v>726</v>
      </c>
      <c r="N1164" t="s">
        <v>85</v>
      </c>
      <c r="O1164" s="6" t="s">
        <v>58</v>
      </c>
      <c r="Q1164">
        <v>1</v>
      </c>
      <c r="R1164" t="s">
        <v>214</v>
      </c>
      <c r="S1164" s="2" t="s">
        <v>9</v>
      </c>
      <c r="T1164" s="2">
        <v>4</v>
      </c>
      <c r="U1164" s="2" t="s">
        <v>28</v>
      </c>
      <c r="V1164" s="2" t="s">
        <v>28</v>
      </c>
      <c r="W1164" s="2">
        <v>18.399999999999999</v>
      </c>
      <c r="X1164">
        <v>0.7339</v>
      </c>
      <c r="Y1164" s="6">
        <f t="shared" si="19"/>
        <v>1.4799999999999924E-2</v>
      </c>
      <c r="Z1164">
        <f>0.7413-X1164</f>
        <v>7.3999999999999622E-3</v>
      </c>
      <c r="AA1164" s="6"/>
      <c r="AB1164" s="6"/>
    </row>
    <row r="1165" spans="1:28" x14ac:dyDescent="0.2">
      <c r="A1165" t="s">
        <v>193</v>
      </c>
      <c r="B1165">
        <v>2019</v>
      </c>
      <c r="C1165" t="s">
        <v>816</v>
      </c>
      <c r="D1165" t="s">
        <v>817</v>
      </c>
      <c r="E1165" t="s">
        <v>31</v>
      </c>
      <c r="F1165" t="s">
        <v>310</v>
      </c>
      <c r="G1165">
        <v>50.363838000000001</v>
      </c>
      <c r="H1165">
        <v>-4.1440489999999999</v>
      </c>
      <c r="I1165" t="s">
        <v>764</v>
      </c>
      <c r="J1165" t="s">
        <v>14</v>
      </c>
      <c r="K1165" t="s">
        <v>194</v>
      </c>
      <c r="L1165" t="s">
        <v>144</v>
      </c>
      <c r="M1165" t="s">
        <v>726</v>
      </c>
      <c r="N1165" t="s">
        <v>85</v>
      </c>
      <c r="O1165" s="6" t="s">
        <v>58</v>
      </c>
      <c r="Q1165">
        <v>2</v>
      </c>
      <c r="R1165" t="s">
        <v>213</v>
      </c>
      <c r="S1165" s="2" t="s">
        <v>9</v>
      </c>
      <c r="T1165" s="2">
        <v>4</v>
      </c>
      <c r="U1165" s="2" t="s">
        <v>28</v>
      </c>
      <c r="V1165" s="2" t="s">
        <v>28</v>
      </c>
      <c r="W1165" s="2">
        <v>18.399999999999999</v>
      </c>
      <c r="X1165">
        <v>0.7097</v>
      </c>
      <c r="Y1165" s="6">
        <f t="shared" si="19"/>
        <v>1.7200000000000104E-2</v>
      </c>
      <c r="Z1165">
        <f>0.7183-X1165</f>
        <v>8.600000000000052E-3</v>
      </c>
      <c r="AA1165" s="6"/>
      <c r="AB1165" s="6"/>
    </row>
    <row r="1166" spans="1:28" x14ac:dyDescent="0.2">
      <c r="A1166" t="s">
        <v>193</v>
      </c>
      <c r="B1166">
        <v>2019</v>
      </c>
      <c r="C1166" t="s">
        <v>816</v>
      </c>
      <c r="D1166" t="s">
        <v>817</v>
      </c>
      <c r="E1166" t="s">
        <v>31</v>
      </c>
      <c r="F1166" t="s">
        <v>310</v>
      </c>
      <c r="G1166">
        <v>50.363838000000001</v>
      </c>
      <c r="H1166">
        <v>-4.1440489999999999</v>
      </c>
      <c r="I1166" t="s">
        <v>764</v>
      </c>
      <c r="J1166" t="s">
        <v>14</v>
      </c>
      <c r="K1166" t="s">
        <v>194</v>
      </c>
      <c r="L1166" t="s">
        <v>144</v>
      </c>
      <c r="M1166" t="s">
        <v>726</v>
      </c>
      <c r="N1166" t="s">
        <v>85</v>
      </c>
      <c r="O1166" s="6" t="s">
        <v>58</v>
      </c>
      <c r="Q1166">
        <v>1</v>
      </c>
      <c r="R1166" t="s">
        <v>214</v>
      </c>
      <c r="S1166" s="2" t="s">
        <v>27</v>
      </c>
      <c r="T1166" s="2">
        <v>4</v>
      </c>
      <c r="U1166" s="2" t="s">
        <v>28</v>
      </c>
      <c r="V1166" s="2" t="s">
        <v>28</v>
      </c>
      <c r="W1166" s="2">
        <v>19.899999999999999</v>
      </c>
      <c r="X1166">
        <v>0.71989999999999998</v>
      </c>
      <c r="Y1166" s="6">
        <f t="shared" si="19"/>
        <v>2.3800000000000043E-2</v>
      </c>
      <c r="Z1166">
        <f>0.7318-X1166</f>
        <v>1.1900000000000022E-2</v>
      </c>
      <c r="AA1166" s="6"/>
      <c r="AB1166" s="6"/>
    </row>
    <row r="1167" spans="1:28" x14ac:dyDescent="0.2">
      <c r="A1167" t="s">
        <v>193</v>
      </c>
      <c r="B1167">
        <v>2019</v>
      </c>
      <c r="C1167" t="s">
        <v>816</v>
      </c>
      <c r="D1167" t="s">
        <v>817</v>
      </c>
      <c r="E1167" t="s">
        <v>31</v>
      </c>
      <c r="F1167" t="s">
        <v>310</v>
      </c>
      <c r="G1167">
        <v>50.363838000000001</v>
      </c>
      <c r="H1167">
        <v>-4.1440489999999999</v>
      </c>
      <c r="I1167" t="s">
        <v>764</v>
      </c>
      <c r="J1167" t="s">
        <v>14</v>
      </c>
      <c r="K1167" t="s">
        <v>194</v>
      </c>
      <c r="L1167" t="s">
        <v>144</v>
      </c>
      <c r="M1167" t="s">
        <v>726</v>
      </c>
      <c r="N1167" t="s">
        <v>85</v>
      </c>
      <c r="O1167" s="6" t="s">
        <v>58</v>
      </c>
      <c r="Q1167">
        <v>2</v>
      </c>
      <c r="R1167" t="s">
        <v>213</v>
      </c>
      <c r="S1167" s="2" t="s">
        <v>27</v>
      </c>
      <c r="T1167" s="2">
        <v>4</v>
      </c>
      <c r="U1167" s="2" t="s">
        <v>28</v>
      </c>
      <c r="V1167" s="2" t="s">
        <v>28</v>
      </c>
      <c r="W1167" s="2">
        <v>19.899999999999999</v>
      </c>
      <c r="X1167">
        <v>0.70420000000000005</v>
      </c>
      <c r="Y1167" s="6">
        <f t="shared" si="19"/>
        <v>2.5799999999999823E-2</v>
      </c>
      <c r="Z1167">
        <f>0.7171-X1167</f>
        <v>1.2899999999999912E-2</v>
      </c>
      <c r="AA1167" s="6"/>
      <c r="AB1167" s="6"/>
    </row>
    <row r="1168" spans="1:28" x14ac:dyDescent="0.2">
      <c r="A1168" t="s">
        <v>193</v>
      </c>
      <c r="B1168">
        <v>2019</v>
      </c>
      <c r="C1168" t="s">
        <v>816</v>
      </c>
      <c r="D1168" t="s">
        <v>817</v>
      </c>
      <c r="E1168" t="s">
        <v>31</v>
      </c>
      <c r="F1168" t="s">
        <v>310</v>
      </c>
      <c r="G1168">
        <v>50.363838000000001</v>
      </c>
      <c r="H1168">
        <v>-4.1440489999999999</v>
      </c>
      <c r="I1168" t="s">
        <v>764</v>
      </c>
      <c r="J1168" t="s">
        <v>7</v>
      </c>
      <c r="K1168" t="s">
        <v>194</v>
      </c>
      <c r="L1168" t="s">
        <v>144</v>
      </c>
      <c r="M1168" t="s">
        <v>726</v>
      </c>
      <c r="N1168" t="s">
        <v>85</v>
      </c>
      <c r="O1168" s="6" t="s">
        <v>58</v>
      </c>
      <c r="Q1168">
        <v>1</v>
      </c>
      <c r="R1168" t="s">
        <v>214</v>
      </c>
      <c r="S1168" s="2" t="s">
        <v>7</v>
      </c>
      <c r="T1168" s="2">
        <v>4</v>
      </c>
      <c r="U1168" s="2" t="s">
        <v>28</v>
      </c>
      <c r="V1168" s="2" t="s">
        <v>28</v>
      </c>
      <c r="W1168" s="2">
        <v>15.6</v>
      </c>
      <c r="X1168">
        <v>0.74850000000000005</v>
      </c>
      <c r="Y1168" s="6">
        <f t="shared" si="19"/>
        <v>2.7599999999999847E-2</v>
      </c>
      <c r="Z1168">
        <f>0.7623-X1168</f>
        <v>1.3799999999999923E-2</v>
      </c>
      <c r="AA1168" s="6"/>
      <c r="AB1168" s="6"/>
    </row>
    <row r="1169" spans="1:28" x14ac:dyDescent="0.2">
      <c r="A1169" t="s">
        <v>193</v>
      </c>
      <c r="B1169">
        <v>2019</v>
      </c>
      <c r="C1169" t="s">
        <v>816</v>
      </c>
      <c r="D1169" t="s">
        <v>817</v>
      </c>
      <c r="E1169" t="s">
        <v>31</v>
      </c>
      <c r="F1169" t="s">
        <v>310</v>
      </c>
      <c r="G1169">
        <v>50.363838000000001</v>
      </c>
      <c r="H1169">
        <v>-4.1440489999999999</v>
      </c>
      <c r="I1169" t="s">
        <v>764</v>
      </c>
      <c r="J1169" t="s">
        <v>7</v>
      </c>
      <c r="K1169" t="s">
        <v>194</v>
      </c>
      <c r="L1169" t="s">
        <v>144</v>
      </c>
      <c r="M1169" t="s">
        <v>726</v>
      </c>
      <c r="N1169" t="s">
        <v>85</v>
      </c>
      <c r="O1169" s="6" t="s">
        <v>58</v>
      </c>
      <c r="Q1169">
        <v>2</v>
      </c>
      <c r="R1169" t="s">
        <v>213</v>
      </c>
      <c r="S1169" s="2" t="s">
        <v>7</v>
      </c>
      <c r="T1169" s="2">
        <v>4</v>
      </c>
      <c r="U1169" s="2" t="s">
        <v>28</v>
      </c>
      <c r="V1169" s="2" t="s">
        <v>28</v>
      </c>
      <c r="W1169" s="2">
        <v>15.6</v>
      </c>
      <c r="X1169">
        <v>0.74309999999999998</v>
      </c>
      <c r="Y1169" s="6">
        <f t="shared" si="19"/>
        <v>3.0799999999999939E-2</v>
      </c>
      <c r="Z1169">
        <f>0.7585-X1169</f>
        <v>1.5399999999999969E-2</v>
      </c>
      <c r="AA1169" s="6"/>
      <c r="AB1169" s="6"/>
    </row>
    <row r="1170" spans="1:28" x14ac:dyDescent="0.2">
      <c r="A1170" t="s">
        <v>193</v>
      </c>
      <c r="B1170">
        <v>2019</v>
      </c>
      <c r="C1170" t="s">
        <v>816</v>
      </c>
      <c r="D1170" t="s">
        <v>817</v>
      </c>
      <c r="E1170" t="s">
        <v>31</v>
      </c>
      <c r="F1170" t="s">
        <v>310</v>
      </c>
      <c r="G1170">
        <v>50.363838000000001</v>
      </c>
      <c r="H1170">
        <v>-4.1440489999999999</v>
      </c>
      <c r="I1170" t="s">
        <v>764</v>
      </c>
      <c r="J1170" t="s">
        <v>14</v>
      </c>
      <c r="K1170" t="s">
        <v>194</v>
      </c>
      <c r="L1170" t="s">
        <v>144</v>
      </c>
      <c r="M1170" t="s">
        <v>726</v>
      </c>
      <c r="N1170" t="s">
        <v>85</v>
      </c>
      <c r="O1170" s="6" t="s">
        <v>58</v>
      </c>
      <c r="Q1170">
        <v>1</v>
      </c>
      <c r="R1170" t="s">
        <v>214</v>
      </c>
      <c r="S1170" s="2" t="s">
        <v>9</v>
      </c>
      <c r="T1170" s="2">
        <v>4</v>
      </c>
      <c r="U1170" s="2" t="s">
        <v>28</v>
      </c>
      <c r="V1170" s="2" t="s">
        <v>28</v>
      </c>
      <c r="W1170" s="2">
        <v>18.3</v>
      </c>
      <c r="X1170">
        <v>0.73599999999999999</v>
      </c>
      <c r="Y1170" s="6">
        <f t="shared" si="19"/>
        <v>3.2200000000000006E-2</v>
      </c>
      <c r="Z1170">
        <f>0.7521-X1170</f>
        <v>1.6100000000000003E-2</v>
      </c>
      <c r="AA1170" s="6"/>
      <c r="AB1170" s="6"/>
    </row>
    <row r="1171" spans="1:28" x14ac:dyDescent="0.2">
      <c r="A1171" t="s">
        <v>193</v>
      </c>
      <c r="B1171">
        <v>2019</v>
      </c>
      <c r="C1171" t="s">
        <v>816</v>
      </c>
      <c r="D1171" t="s">
        <v>817</v>
      </c>
      <c r="E1171" t="s">
        <v>31</v>
      </c>
      <c r="F1171" t="s">
        <v>310</v>
      </c>
      <c r="G1171">
        <v>50.363838000000001</v>
      </c>
      <c r="H1171">
        <v>-4.1440489999999999</v>
      </c>
      <c r="I1171" t="s">
        <v>764</v>
      </c>
      <c r="J1171" t="s">
        <v>14</v>
      </c>
      <c r="K1171" t="s">
        <v>194</v>
      </c>
      <c r="L1171" t="s">
        <v>144</v>
      </c>
      <c r="M1171" t="s">
        <v>726</v>
      </c>
      <c r="N1171" t="s">
        <v>85</v>
      </c>
      <c r="O1171" s="6" t="s">
        <v>58</v>
      </c>
      <c r="Q1171">
        <v>2</v>
      </c>
      <c r="R1171" t="s">
        <v>213</v>
      </c>
      <c r="S1171" s="2" t="s">
        <v>9</v>
      </c>
      <c r="T1171" s="2">
        <v>4</v>
      </c>
      <c r="U1171" s="2" t="s">
        <v>28</v>
      </c>
      <c r="V1171" s="2" t="s">
        <v>28</v>
      </c>
      <c r="W1171" s="2">
        <v>18.3</v>
      </c>
      <c r="X1171">
        <v>0.73119999999999996</v>
      </c>
      <c r="Y1171" s="6">
        <f t="shared" si="19"/>
        <v>2.0399999999999974E-2</v>
      </c>
      <c r="Z1171">
        <f>0.7414-X1171</f>
        <v>1.0199999999999987E-2</v>
      </c>
      <c r="AA1171" s="6"/>
      <c r="AB1171" s="6"/>
    </row>
    <row r="1172" spans="1:28" x14ac:dyDescent="0.2">
      <c r="A1172" t="s">
        <v>193</v>
      </c>
      <c r="B1172">
        <v>2019</v>
      </c>
      <c r="C1172" t="s">
        <v>816</v>
      </c>
      <c r="D1172" t="s">
        <v>817</v>
      </c>
      <c r="E1172" t="s">
        <v>31</v>
      </c>
      <c r="F1172" t="s">
        <v>310</v>
      </c>
      <c r="G1172">
        <v>50.363838000000001</v>
      </c>
      <c r="H1172">
        <v>-4.1440489999999999</v>
      </c>
      <c r="I1172" t="s">
        <v>764</v>
      </c>
      <c r="J1172" t="s">
        <v>14</v>
      </c>
      <c r="K1172" t="s">
        <v>194</v>
      </c>
      <c r="L1172" t="s">
        <v>144</v>
      </c>
      <c r="M1172" t="s">
        <v>726</v>
      </c>
      <c r="N1172" t="s">
        <v>85</v>
      </c>
      <c r="O1172" s="6" t="s">
        <v>58</v>
      </c>
      <c r="Q1172">
        <v>1</v>
      </c>
      <c r="R1172" t="s">
        <v>214</v>
      </c>
      <c r="S1172" s="2" t="s">
        <v>27</v>
      </c>
      <c r="T1172" s="2">
        <v>4</v>
      </c>
      <c r="U1172" s="2" t="s">
        <v>28</v>
      </c>
      <c r="V1172" s="2" t="s">
        <v>28</v>
      </c>
      <c r="W1172" s="2">
        <v>20.100000000000001</v>
      </c>
      <c r="X1172">
        <v>0.73409999999999997</v>
      </c>
      <c r="Y1172" s="6">
        <f t="shared" si="19"/>
        <v>1.7000000000000126E-2</v>
      </c>
      <c r="Z1172">
        <f>0.7426-X1172</f>
        <v>8.5000000000000631E-3</v>
      </c>
      <c r="AA1172" s="6"/>
      <c r="AB1172" s="6"/>
    </row>
    <row r="1173" spans="1:28" x14ac:dyDescent="0.2">
      <c r="A1173" t="s">
        <v>193</v>
      </c>
      <c r="B1173">
        <v>2019</v>
      </c>
      <c r="C1173" t="s">
        <v>816</v>
      </c>
      <c r="D1173" t="s">
        <v>817</v>
      </c>
      <c r="E1173" t="s">
        <v>31</v>
      </c>
      <c r="F1173" t="s">
        <v>310</v>
      </c>
      <c r="G1173">
        <v>50.363838000000001</v>
      </c>
      <c r="H1173">
        <v>-4.1440489999999999</v>
      </c>
      <c r="I1173" t="s">
        <v>764</v>
      </c>
      <c r="J1173" t="s">
        <v>14</v>
      </c>
      <c r="K1173" t="s">
        <v>194</v>
      </c>
      <c r="L1173" t="s">
        <v>144</v>
      </c>
      <c r="M1173" t="s">
        <v>726</v>
      </c>
      <c r="N1173" t="s">
        <v>85</v>
      </c>
      <c r="O1173" s="6" t="s">
        <v>58</v>
      </c>
      <c r="Q1173">
        <v>2</v>
      </c>
      <c r="R1173" t="s">
        <v>213</v>
      </c>
      <c r="S1173" s="2" t="s">
        <v>27</v>
      </c>
      <c r="T1173" s="2">
        <v>4</v>
      </c>
      <c r="U1173" s="2" t="s">
        <v>28</v>
      </c>
      <c r="V1173" s="2" t="s">
        <v>28</v>
      </c>
      <c r="W1173" s="2">
        <v>20.100000000000001</v>
      </c>
      <c r="X1173">
        <v>0.73360000000000003</v>
      </c>
      <c r="Y1173" s="6">
        <f t="shared" si="19"/>
        <v>8.999999999999897E-3</v>
      </c>
      <c r="Z1173">
        <f>0.7381-X1173</f>
        <v>4.4999999999999485E-3</v>
      </c>
      <c r="AA1173" s="6"/>
      <c r="AB1173" s="6"/>
    </row>
    <row r="1174" spans="1:28" x14ac:dyDescent="0.2">
      <c r="A1174" t="s">
        <v>193</v>
      </c>
      <c r="B1174">
        <v>2019</v>
      </c>
      <c r="C1174" t="s">
        <v>816</v>
      </c>
      <c r="D1174" t="s">
        <v>817</v>
      </c>
      <c r="E1174" t="s">
        <v>31</v>
      </c>
      <c r="F1174" t="s">
        <v>310</v>
      </c>
      <c r="G1174">
        <v>50.363838000000001</v>
      </c>
      <c r="H1174">
        <v>-4.1440489999999999</v>
      </c>
      <c r="I1174" t="s">
        <v>764</v>
      </c>
      <c r="J1174" t="s">
        <v>7</v>
      </c>
      <c r="K1174" t="s">
        <v>194</v>
      </c>
      <c r="L1174" t="s">
        <v>144</v>
      </c>
      <c r="M1174" t="s">
        <v>726</v>
      </c>
      <c r="N1174" t="s">
        <v>85</v>
      </c>
      <c r="O1174" s="6" t="s">
        <v>112</v>
      </c>
      <c r="P1174" t="s">
        <v>83</v>
      </c>
      <c r="Q1174">
        <v>1</v>
      </c>
      <c r="R1174" t="s">
        <v>214</v>
      </c>
      <c r="S1174" s="2" t="s">
        <v>7</v>
      </c>
      <c r="T1174" s="2">
        <v>4</v>
      </c>
      <c r="U1174" s="2" t="s">
        <v>28</v>
      </c>
      <c r="V1174" s="2" t="s">
        <v>28</v>
      </c>
      <c r="W1174" s="2">
        <v>15.7</v>
      </c>
      <c r="X1174">
        <v>20.37</v>
      </c>
      <c r="Y1174" s="6">
        <f t="shared" si="19"/>
        <v>8.0799999999999983</v>
      </c>
      <c r="Z1174">
        <f>24.41-X1174</f>
        <v>4.0399999999999991</v>
      </c>
      <c r="AA1174" s="6"/>
      <c r="AB1174" s="6"/>
    </row>
    <row r="1175" spans="1:28" x14ac:dyDescent="0.2">
      <c r="A1175" t="s">
        <v>193</v>
      </c>
      <c r="B1175">
        <v>2019</v>
      </c>
      <c r="C1175" t="s">
        <v>816</v>
      </c>
      <c r="D1175" t="s">
        <v>817</v>
      </c>
      <c r="E1175" t="s">
        <v>31</v>
      </c>
      <c r="F1175" t="s">
        <v>310</v>
      </c>
      <c r="G1175">
        <v>50.363838000000001</v>
      </c>
      <c r="H1175">
        <v>-4.1440489999999999</v>
      </c>
      <c r="I1175" t="s">
        <v>764</v>
      </c>
      <c r="J1175" t="s">
        <v>7</v>
      </c>
      <c r="K1175" t="s">
        <v>194</v>
      </c>
      <c r="L1175" t="s">
        <v>144</v>
      </c>
      <c r="M1175" t="s">
        <v>726</v>
      </c>
      <c r="N1175" t="s">
        <v>85</v>
      </c>
      <c r="O1175" s="6" t="s">
        <v>112</v>
      </c>
      <c r="P1175" t="s">
        <v>83</v>
      </c>
      <c r="Q1175">
        <v>2</v>
      </c>
      <c r="R1175" t="s">
        <v>213</v>
      </c>
      <c r="S1175" s="2" t="s">
        <v>7</v>
      </c>
      <c r="T1175" s="2">
        <v>4</v>
      </c>
      <c r="U1175" s="2" t="s">
        <v>28</v>
      </c>
      <c r="V1175" s="2" t="s">
        <v>28</v>
      </c>
      <c r="W1175" s="2">
        <v>15.7</v>
      </c>
      <c r="X1175">
        <v>31.1</v>
      </c>
      <c r="Y1175" s="6">
        <f t="shared" si="19"/>
        <v>16.14</v>
      </c>
      <c r="Z1175">
        <f>39.17-X1175</f>
        <v>8.07</v>
      </c>
      <c r="AA1175" s="6"/>
      <c r="AB1175" s="6"/>
    </row>
    <row r="1176" spans="1:28" x14ac:dyDescent="0.2">
      <c r="A1176" t="s">
        <v>193</v>
      </c>
      <c r="B1176">
        <v>2019</v>
      </c>
      <c r="C1176" t="s">
        <v>816</v>
      </c>
      <c r="D1176" t="s">
        <v>817</v>
      </c>
      <c r="E1176" t="s">
        <v>31</v>
      </c>
      <c r="F1176" t="s">
        <v>310</v>
      </c>
      <c r="G1176">
        <v>50.363838000000001</v>
      </c>
      <c r="H1176">
        <v>-4.1440489999999999</v>
      </c>
      <c r="I1176" t="s">
        <v>764</v>
      </c>
      <c r="J1176" t="s">
        <v>14</v>
      </c>
      <c r="K1176" t="s">
        <v>194</v>
      </c>
      <c r="L1176" t="s">
        <v>144</v>
      </c>
      <c r="M1176" t="s">
        <v>726</v>
      </c>
      <c r="N1176" t="s">
        <v>85</v>
      </c>
      <c r="O1176" s="6" t="s">
        <v>112</v>
      </c>
      <c r="P1176" t="s">
        <v>83</v>
      </c>
      <c r="Q1176">
        <v>1</v>
      </c>
      <c r="R1176" t="s">
        <v>214</v>
      </c>
      <c r="S1176" s="2" t="s">
        <v>9</v>
      </c>
      <c r="T1176" s="2">
        <v>4</v>
      </c>
      <c r="U1176" s="2" t="s">
        <v>28</v>
      </c>
      <c r="V1176" s="2" t="s">
        <v>28</v>
      </c>
      <c r="W1176" s="2">
        <v>18.399999999999999</v>
      </c>
      <c r="X1176">
        <v>26.48</v>
      </c>
      <c r="Y1176" s="6">
        <f t="shared" si="19"/>
        <v>7.4799999999999969</v>
      </c>
      <c r="Z1176">
        <f>30.22-X1176</f>
        <v>3.7399999999999984</v>
      </c>
      <c r="AA1176" s="6"/>
      <c r="AB1176" s="6"/>
    </row>
    <row r="1177" spans="1:28" x14ac:dyDescent="0.2">
      <c r="A1177" t="s">
        <v>193</v>
      </c>
      <c r="B1177">
        <v>2019</v>
      </c>
      <c r="C1177" t="s">
        <v>816</v>
      </c>
      <c r="D1177" t="s">
        <v>817</v>
      </c>
      <c r="E1177" t="s">
        <v>31</v>
      </c>
      <c r="F1177" t="s">
        <v>310</v>
      </c>
      <c r="G1177">
        <v>50.363838000000001</v>
      </c>
      <c r="H1177">
        <v>-4.1440489999999999</v>
      </c>
      <c r="I1177" t="s">
        <v>764</v>
      </c>
      <c r="J1177" t="s">
        <v>14</v>
      </c>
      <c r="K1177" t="s">
        <v>194</v>
      </c>
      <c r="L1177" t="s">
        <v>144</v>
      </c>
      <c r="M1177" t="s">
        <v>726</v>
      </c>
      <c r="N1177" t="s">
        <v>85</v>
      </c>
      <c r="O1177" s="6" t="s">
        <v>112</v>
      </c>
      <c r="P1177" t="s">
        <v>83</v>
      </c>
      <c r="Q1177">
        <v>2</v>
      </c>
      <c r="R1177" t="s">
        <v>213</v>
      </c>
      <c r="S1177" s="2" t="s">
        <v>9</v>
      </c>
      <c r="T1177" s="2">
        <v>4</v>
      </c>
      <c r="U1177" s="2" t="s">
        <v>28</v>
      </c>
      <c r="V1177" s="2" t="s">
        <v>28</v>
      </c>
      <c r="W1177" s="2">
        <v>18.399999999999999</v>
      </c>
      <c r="X1177">
        <v>34.94</v>
      </c>
      <c r="Y1177" s="6">
        <f t="shared" si="19"/>
        <v>10.040000000000006</v>
      </c>
      <c r="Z1177">
        <f>39.96-X1177</f>
        <v>5.0200000000000031</v>
      </c>
      <c r="AA1177" s="6"/>
      <c r="AB1177" s="6"/>
    </row>
    <row r="1178" spans="1:28" x14ac:dyDescent="0.2">
      <c r="A1178" t="s">
        <v>193</v>
      </c>
      <c r="B1178">
        <v>2019</v>
      </c>
      <c r="C1178" t="s">
        <v>816</v>
      </c>
      <c r="D1178" t="s">
        <v>817</v>
      </c>
      <c r="E1178" t="s">
        <v>31</v>
      </c>
      <c r="F1178" t="s">
        <v>310</v>
      </c>
      <c r="G1178">
        <v>50.363838000000001</v>
      </c>
      <c r="H1178">
        <v>-4.1440489999999999</v>
      </c>
      <c r="I1178" t="s">
        <v>764</v>
      </c>
      <c r="J1178" t="s">
        <v>14</v>
      </c>
      <c r="K1178" t="s">
        <v>194</v>
      </c>
      <c r="L1178" t="s">
        <v>144</v>
      </c>
      <c r="M1178" t="s">
        <v>726</v>
      </c>
      <c r="N1178" t="s">
        <v>85</v>
      </c>
      <c r="O1178" s="6" t="s">
        <v>112</v>
      </c>
      <c r="P1178" t="s">
        <v>83</v>
      </c>
      <c r="Q1178">
        <v>1</v>
      </c>
      <c r="R1178" t="s">
        <v>214</v>
      </c>
      <c r="S1178" s="2" t="s">
        <v>27</v>
      </c>
      <c r="T1178" s="2">
        <v>4</v>
      </c>
      <c r="U1178" s="2" t="s">
        <v>28</v>
      </c>
      <c r="V1178" s="2" t="s">
        <v>28</v>
      </c>
      <c r="W1178" s="2">
        <v>19.899999999999999</v>
      </c>
      <c r="X1178">
        <v>26.67</v>
      </c>
      <c r="Y1178" s="6">
        <f t="shared" si="19"/>
        <v>6.8999999999999986</v>
      </c>
      <c r="Z1178">
        <f>30.12-X1178</f>
        <v>3.4499999999999993</v>
      </c>
      <c r="AA1178" s="6"/>
      <c r="AB1178" s="6"/>
    </row>
    <row r="1179" spans="1:28" x14ac:dyDescent="0.2">
      <c r="A1179" t="s">
        <v>193</v>
      </c>
      <c r="B1179">
        <v>2019</v>
      </c>
      <c r="C1179" t="s">
        <v>816</v>
      </c>
      <c r="D1179" t="s">
        <v>817</v>
      </c>
      <c r="E1179" t="s">
        <v>31</v>
      </c>
      <c r="F1179" t="s">
        <v>310</v>
      </c>
      <c r="G1179">
        <v>50.363838000000001</v>
      </c>
      <c r="H1179">
        <v>-4.1440489999999999</v>
      </c>
      <c r="I1179" t="s">
        <v>764</v>
      </c>
      <c r="J1179" t="s">
        <v>14</v>
      </c>
      <c r="K1179" t="s">
        <v>194</v>
      </c>
      <c r="L1179" t="s">
        <v>144</v>
      </c>
      <c r="M1179" t="s">
        <v>726</v>
      </c>
      <c r="N1179" t="s">
        <v>85</v>
      </c>
      <c r="O1179" s="6" t="s">
        <v>112</v>
      </c>
      <c r="P1179" t="s">
        <v>83</v>
      </c>
      <c r="Q1179">
        <v>2</v>
      </c>
      <c r="R1179" t="s">
        <v>213</v>
      </c>
      <c r="S1179" s="2" t="s">
        <v>27</v>
      </c>
      <c r="T1179" s="2">
        <v>4</v>
      </c>
      <c r="U1179" s="2" t="s">
        <v>28</v>
      </c>
      <c r="V1179" s="2" t="s">
        <v>28</v>
      </c>
      <c r="W1179" s="2">
        <v>19.899999999999999</v>
      </c>
      <c r="X1179">
        <v>32.19</v>
      </c>
      <c r="Y1179" s="6">
        <f t="shared" si="19"/>
        <v>5.5</v>
      </c>
      <c r="Z1179">
        <f>34.94-X1179</f>
        <v>2.75</v>
      </c>
      <c r="AA1179" s="6"/>
      <c r="AB1179" s="6"/>
    </row>
    <row r="1180" spans="1:28" x14ac:dyDescent="0.2">
      <c r="A1180" t="s">
        <v>193</v>
      </c>
      <c r="B1180">
        <v>2019</v>
      </c>
      <c r="C1180" t="s">
        <v>816</v>
      </c>
      <c r="D1180" t="s">
        <v>817</v>
      </c>
      <c r="E1180" t="s">
        <v>31</v>
      </c>
      <c r="F1180" t="s">
        <v>310</v>
      </c>
      <c r="G1180">
        <v>50.363838000000001</v>
      </c>
      <c r="H1180">
        <v>-4.1440489999999999</v>
      </c>
      <c r="I1180" t="s">
        <v>764</v>
      </c>
      <c r="J1180" t="s">
        <v>7</v>
      </c>
      <c r="K1180" t="s">
        <v>194</v>
      </c>
      <c r="L1180" t="s">
        <v>144</v>
      </c>
      <c r="M1180" t="s">
        <v>726</v>
      </c>
      <c r="N1180" t="s">
        <v>85</v>
      </c>
      <c r="O1180" s="6" t="s">
        <v>112</v>
      </c>
      <c r="P1180" t="s">
        <v>83</v>
      </c>
      <c r="Q1180">
        <v>1</v>
      </c>
      <c r="R1180" t="s">
        <v>214</v>
      </c>
      <c r="S1180" s="2" t="s">
        <v>7</v>
      </c>
      <c r="T1180" s="2">
        <v>4</v>
      </c>
      <c r="U1180" s="2" t="s">
        <v>28</v>
      </c>
      <c r="V1180" s="2" t="s">
        <v>28</v>
      </c>
      <c r="W1180" s="2">
        <v>15.6</v>
      </c>
      <c r="X1180">
        <v>25.89</v>
      </c>
      <c r="Y1180" s="6">
        <f t="shared" si="19"/>
        <v>11.799999999999997</v>
      </c>
      <c r="Z1180">
        <f>31.79-X1180</f>
        <v>5.8999999999999986</v>
      </c>
      <c r="AA1180" s="6"/>
      <c r="AB1180" s="6"/>
    </row>
    <row r="1181" spans="1:28" x14ac:dyDescent="0.2">
      <c r="A1181" t="s">
        <v>193</v>
      </c>
      <c r="B1181">
        <v>2019</v>
      </c>
      <c r="C1181" t="s">
        <v>816</v>
      </c>
      <c r="D1181" t="s">
        <v>817</v>
      </c>
      <c r="E1181" t="s">
        <v>31</v>
      </c>
      <c r="F1181" t="s">
        <v>310</v>
      </c>
      <c r="G1181">
        <v>50.363838000000001</v>
      </c>
      <c r="H1181">
        <v>-4.1440489999999999</v>
      </c>
      <c r="I1181" t="s">
        <v>764</v>
      </c>
      <c r="J1181" t="s">
        <v>7</v>
      </c>
      <c r="K1181" t="s">
        <v>194</v>
      </c>
      <c r="L1181" t="s">
        <v>144</v>
      </c>
      <c r="M1181" t="s">
        <v>726</v>
      </c>
      <c r="N1181" t="s">
        <v>85</v>
      </c>
      <c r="O1181" s="6" t="s">
        <v>112</v>
      </c>
      <c r="P1181" t="s">
        <v>83</v>
      </c>
      <c r="Q1181">
        <v>2</v>
      </c>
      <c r="R1181" t="s">
        <v>213</v>
      </c>
      <c r="S1181" s="2" t="s">
        <v>7</v>
      </c>
      <c r="T1181" s="2">
        <v>4</v>
      </c>
      <c r="U1181" s="2" t="s">
        <v>28</v>
      </c>
      <c r="V1181" s="2" t="s">
        <v>28</v>
      </c>
      <c r="W1181" s="2">
        <v>15.6</v>
      </c>
      <c r="X1181">
        <v>23.13</v>
      </c>
      <c r="Y1181" s="6">
        <f t="shared" si="19"/>
        <v>10.440000000000005</v>
      </c>
      <c r="Z1181">
        <f>28.35-X1181</f>
        <v>5.2200000000000024</v>
      </c>
      <c r="AA1181" s="6"/>
      <c r="AB1181" s="6"/>
    </row>
    <row r="1182" spans="1:28" x14ac:dyDescent="0.2">
      <c r="A1182" t="s">
        <v>193</v>
      </c>
      <c r="B1182">
        <v>2019</v>
      </c>
      <c r="C1182" t="s">
        <v>816</v>
      </c>
      <c r="D1182" t="s">
        <v>817</v>
      </c>
      <c r="E1182" t="s">
        <v>31</v>
      </c>
      <c r="F1182" t="s">
        <v>310</v>
      </c>
      <c r="G1182">
        <v>50.363838000000001</v>
      </c>
      <c r="H1182">
        <v>-4.1440489999999999</v>
      </c>
      <c r="I1182" t="s">
        <v>764</v>
      </c>
      <c r="J1182" t="s">
        <v>14</v>
      </c>
      <c r="K1182" t="s">
        <v>194</v>
      </c>
      <c r="L1182" t="s">
        <v>144</v>
      </c>
      <c r="M1182" t="s">
        <v>726</v>
      </c>
      <c r="N1182" t="s">
        <v>85</v>
      </c>
      <c r="O1182" s="6" t="s">
        <v>112</v>
      </c>
      <c r="P1182" t="s">
        <v>83</v>
      </c>
      <c r="Q1182">
        <v>1</v>
      </c>
      <c r="R1182" t="s">
        <v>214</v>
      </c>
      <c r="S1182" s="2" t="s">
        <v>9</v>
      </c>
      <c r="T1182" s="2">
        <v>4</v>
      </c>
      <c r="U1182" s="2" t="s">
        <v>28</v>
      </c>
      <c r="V1182" s="2" t="s">
        <v>28</v>
      </c>
      <c r="W1182" s="2">
        <v>18.3</v>
      </c>
      <c r="X1182">
        <v>30.12</v>
      </c>
      <c r="Y1182" s="6">
        <f t="shared" si="19"/>
        <v>9.6399999999999935</v>
      </c>
      <c r="Z1182">
        <f>34.94-X1182</f>
        <v>4.8199999999999967</v>
      </c>
      <c r="AA1182" s="6"/>
      <c r="AB1182" s="6"/>
    </row>
    <row r="1183" spans="1:28" x14ac:dyDescent="0.2">
      <c r="A1183" t="s">
        <v>193</v>
      </c>
      <c r="B1183">
        <v>2019</v>
      </c>
      <c r="C1183" t="s">
        <v>816</v>
      </c>
      <c r="D1183" t="s">
        <v>817</v>
      </c>
      <c r="E1183" t="s">
        <v>31</v>
      </c>
      <c r="F1183" t="s">
        <v>310</v>
      </c>
      <c r="G1183">
        <v>50.363838000000001</v>
      </c>
      <c r="H1183">
        <v>-4.1440489999999999</v>
      </c>
      <c r="I1183" t="s">
        <v>764</v>
      </c>
      <c r="J1183" t="s">
        <v>14</v>
      </c>
      <c r="K1183" t="s">
        <v>194</v>
      </c>
      <c r="L1183" t="s">
        <v>144</v>
      </c>
      <c r="M1183" t="s">
        <v>726</v>
      </c>
      <c r="N1183" t="s">
        <v>85</v>
      </c>
      <c r="O1183" s="6" t="s">
        <v>112</v>
      </c>
      <c r="P1183" t="s">
        <v>83</v>
      </c>
      <c r="Q1183">
        <v>2</v>
      </c>
      <c r="R1183" t="s">
        <v>213</v>
      </c>
      <c r="S1183" s="2" t="s">
        <v>9</v>
      </c>
      <c r="T1183" s="2">
        <v>4</v>
      </c>
      <c r="U1183" s="2" t="s">
        <v>28</v>
      </c>
      <c r="V1183" s="2" t="s">
        <v>28</v>
      </c>
      <c r="W1183" s="2">
        <v>18.3</v>
      </c>
      <c r="X1183">
        <v>29.13</v>
      </c>
      <c r="Y1183" s="6">
        <f t="shared" si="19"/>
        <v>6.1199999999999974</v>
      </c>
      <c r="Z1183">
        <f>32.19-X1183</f>
        <v>3.0599999999999987</v>
      </c>
      <c r="AA1183" s="6"/>
      <c r="AB1183" s="6"/>
    </row>
    <row r="1184" spans="1:28" x14ac:dyDescent="0.2">
      <c r="A1184" t="s">
        <v>193</v>
      </c>
      <c r="B1184">
        <v>2019</v>
      </c>
      <c r="C1184" t="s">
        <v>816</v>
      </c>
      <c r="D1184" t="s">
        <v>817</v>
      </c>
      <c r="E1184" t="s">
        <v>31</v>
      </c>
      <c r="F1184" t="s">
        <v>310</v>
      </c>
      <c r="G1184">
        <v>50.363838000000001</v>
      </c>
      <c r="H1184">
        <v>-4.1440489999999999</v>
      </c>
      <c r="I1184" t="s">
        <v>764</v>
      </c>
      <c r="J1184" t="s">
        <v>14</v>
      </c>
      <c r="K1184" t="s">
        <v>194</v>
      </c>
      <c r="L1184" t="s">
        <v>144</v>
      </c>
      <c r="M1184" t="s">
        <v>726</v>
      </c>
      <c r="N1184" t="s">
        <v>85</v>
      </c>
      <c r="O1184" s="6" t="s">
        <v>112</v>
      </c>
      <c r="P1184" t="s">
        <v>83</v>
      </c>
      <c r="Q1184">
        <v>1</v>
      </c>
      <c r="R1184" t="s">
        <v>214</v>
      </c>
      <c r="S1184" s="2" t="s">
        <v>27</v>
      </c>
      <c r="T1184" s="2">
        <v>4</v>
      </c>
      <c r="U1184" s="2" t="s">
        <v>28</v>
      </c>
      <c r="V1184" s="2" t="s">
        <v>28</v>
      </c>
      <c r="W1184" s="2">
        <v>20.100000000000001</v>
      </c>
      <c r="X1184">
        <v>25</v>
      </c>
      <c r="Y1184" s="6">
        <f t="shared" ref="Y1184:Y1185" si="20">Z1184*SQRT(T1184)</f>
        <v>8.259999999999998</v>
      </c>
      <c r="Z1184">
        <f>29.13-X1184</f>
        <v>4.129999999999999</v>
      </c>
      <c r="AA1184" s="6"/>
      <c r="AB1184" s="6"/>
    </row>
    <row r="1185" spans="1:28" x14ac:dyDescent="0.2">
      <c r="A1185" t="s">
        <v>193</v>
      </c>
      <c r="B1185">
        <v>2019</v>
      </c>
      <c r="C1185" t="s">
        <v>816</v>
      </c>
      <c r="D1185" t="s">
        <v>817</v>
      </c>
      <c r="E1185" t="s">
        <v>31</v>
      </c>
      <c r="F1185" t="s">
        <v>310</v>
      </c>
      <c r="G1185">
        <v>50.363838000000001</v>
      </c>
      <c r="H1185">
        <v>-4.1440489999999999</v>
      </c>
      <c r="I1185" t="s">
        <v>764</v>
      </c>
      <c r="J1185" t="s">
        <v>14</v>
      </c>
      <c r="K1185" t="s">
        <v>194</v>
      </c>
      <c r="L1185" t="s">
        <v>144</v>
      </c>
      <c r="M1185" t="s">
        <v>726</v>
      </c>
      <c r="N1185" t="s">
        <v>85</v>
      </c>
      <c r="O1185" s="6" t="s">
        <v>112</v>
      </c>
      <c r="P1185" t="s">
        <v>83</v>
      </c>
      <c r="Q1185">
        <v>2</v>
      </c>
      <c r="R1185" t="s">
        <v>213</v>
      </c>
      <c r="S1185" s="2" t="s">
        <v>27</v>
      </c>
      <c r="T1185" s="2">
        <v>4</v>
      </c>
      <c r="U1185" s="2" t="s">
        <v>28</v>
      </c>
      <c r="V1185" s="2" t="s">
        <v>28</v>
      </c>
      <c r="W1185" s="2">
        <v>20.100000000000001</v>
      </c>
      <c r="X1185">
        <v>28.05</v>
      </c>
      <c r="Y1185" s="6">
        <f t="shared" si="20"/>
        <v>10.039999999999999</v>
      </c>
      <c r="Z1185">
        <f>33.07-X1185</f>
        <v>5.0199999999999996</v>
      </c>
      <c r="AA1185" s="6"/>
      <c r="AB1185" s="6"/>
    </row>
    <row r="1186" spans="1:28" x14ac:dyDescent="0.2">
      <c r="A1186" t="s">
        <v>197</v>
      </c>
      <c r="B1186">
        <v>2013</v>
      </c>
      <c r="C1186" t="s">
        <v>826</v>
      </c>
      <c r="D1186" t="s">
        <v>824</v>
      </c>
      <c r="E1186" t="s">
        <v>114</v>
      </c>
      <c r="F1186" t="s">
        <v>198</v>
      </c>
      <c r="G1186">
        <v>37.016666999999998</v>
      </c>
      <c r="H1186">
        <v>122.55</v>
      </c>
      <c r="I1186" t="s">
        <v>764</v>
      </c>
      <c r="J1186" t="s">
        <v>7</v>
      </c>
      <c r="K1186" t="s">
        <v>92</v>
      </c>
      <c r="L1186" t="s">
        <v>300</v>
      </c>
      <c r="M1186" t="s">
        <v>727</v>
      </c>
      <c r="N1186" t="s">
        <v>85</v>
      </c>
      <c r="O1186" s="6" t="s">
        <v>71</v>
      </c>
      <c r="P1186" t="s">
        <v>70</v>
      </c>
      <c r="Q1186">
        <v>8</v>
      </c>
      <c r="R1186" t="s">
        <v>213</v>
      </c>
      <c r="S1186" s="2" t="s">
        <v>7</v>
      </c>
      <c r="T1186" s="2">
        <v>3</v>
      </c>
      <c r="U1186" s="2" t="s">
        <v>28</v>
      </c>
      <c r="V1186" s="2" t="s">
        <v>28</v>
      </c>
      <c r="W1186" s="2">
        <v>10</v>
      </c>
      <c r="X1186">
        <v>91.1</v>
      </c>
      <c r="Y1186">
        <v>1.6</v>
      </c>
      <c r="AA1186" s="6"/>
      <c r="AB1186" s="6"/>
    </row>
    <row r="1187" spans="1:28" x14ac:dyDescent="0.2">
      <c r="A1187" t="s">
        <v>197</v>
      </c>
      <c r="B1187">
        <v>2013</v>
      </c>
      <c r="C1187" t="s">
        <v>826</v>
      </c>
      <c r="D1187" t="s">
        <v>824</v>
      </c>
      <c r="E1187" t="s">
        <v>114</v>
      </c>
      <c r="F1187" t="s">
        <v>198</v>
      </c>
      <c r="G1187">
        <v>37.016666999999998</v>
      </c>
      <c r="H1187">
        <v>122.55</v>
      </c>
      <c r="I1187" t="s">
        <v>764</v>
      </c>
      <c r="J1187" t="s">
        <v>14</v>
      </c>
      <c r="K1187" t="s">
        <v>92</v>
      </c>
      <c r="L1187" t="s">
        <v>300</v>
      </c>
      <c r="M1187" t="s">
        <v>727</v>
      </c>
      <c r="N1187" t="s">
        <v>85</v>
      </c>
      <c r="O1187" s="6" t="s">
        <v>71</v>
      </c>
      <c r="P1187" t="s">
        <v>70</v>
      </c>
      <c r="Q1187">
        <v>8</v>
      </c>
      <c r="R1187" t="s">
        <v>213</v>
      </c>
      <c r="S1187" s="2" t="s">
        <v>9</v>
      </c>
      <c r="T1187" s="2">
        <v>3</v>
      </c>
      <c r="U1187" s="2" t="s">
        <v>28</v>
      </c>
      <c r="V1187" s="2" t="s">
        <v>28</v>
      </c>
      <c r="W1187" s="2">
        <v>15</v>
      </c>
      <c r="X1187">
        <v>89.73</v>
      </c>
      <c r="Y1187" s="6">
        <f>91.03-X1187</f>
        <v>1.2999999999999972</v>
      </c>
      <c r="AA1187" s="6"/>
      <c r="AB1187" s="6"/>
    </row>
    <row r="1188" spans="1:28" x14ac:dyDescent="0.2">
      <c r="A1188" t="s">
        <v>197</v>
      </c>
      <c r="B1188">
        <v>2013</v>
      </c>
      <c r="C1188" t="s">
        <v>826</v>
      </c>
      <c r="D1188" t="s">
        <v>824</v>
      </c>
      <c r="E1188" t="s">
        <v>114</v>
      </c>
      <c r="F1188" t="s">
        <v>198</v>
      </c>
      <c r="G1188">
        <v>37.016666999999998</v>
      </c>
      <c r="H1188">
        <v>122.55</v>
      </c>
      <c r="I1188" t="s">
        <v>764</v>
      </c>
      <c r="J1188" t="s">
        <v>14</v>
      </c>
      <c r="K1188" t="s">
        <v>92</v>
      </c>
      <c r="L1188" t="s">
        <v>300</v>
      </c>
      <c r="M1188" t="s">
        <v>727</v>
      </c>
      <c r="N1188" t="s">
        <v>85</v>
      </c>
      <c r="O1188" s="6" t="s">
        <v>71</v>
      </c>
      <c r="P1188" t="s">
        <v>70</v>
      </c>
      <c r="Q1188">
        <v>8</v>
      </c>
      <c r="R1188" t="s">
        <v>213</v>
      </c>
      <c r="S1188" s="2" t="s">
        <v>27</v>
      </c>
      <c r="T1188" s="2">
        <v>3</v>
      </c>
      <c r="U1188" s="2" t="s">
        <v>28</v>
      </c>
      <c r="V1188" s="2" t="s">
        <v>28</v>
      </c>
      <c r="W1188" s="2">
        <v>19</v>
      </c>
      <c r="X1188">
        <v>68.709999999999994</v>
      </c>
      <c r="Y1188">
        <f>70.01-X1188</f>
        <v>1.3000000000000114</v>
      </c>
      <c r="AA1188" s="6"/>
      <c r="AB1188" s="6"/>
    </row>
    <row r="1189" spans="1:28" x14ac:dyDescent="0.2">
      <c r="A1189" t="s">
        <v>197</v>
      </c>
      <c r="B1189">
        <v>2013</v>
      </c>
      <c r="C1189" t="s">
        <v>826</v>
      </c>
      <c r="D1189" t="s">
        <v>824</v>
      </c>
      <c r="E1189" t="s">
        <v>114</v>
      </c>
      <c r="F1189" t="s">
        <v>198</v>
      </c>
      <c r="G1189">
        <v>37.016666999999998</v>
      </c>
      <c r="H1189">
        <v>122.55</v>
      </c>
      <c r="I1189" t="s">
        <v>764</v>
      </c>
      <c r="J1189" t="s">
        <v>14</v>
      </c>
      <c r="K1189" t="s">
        <v>92</v>
      </c>
      <c r="L1189" t="s">
        <v>300</v>
      </c>
      <c r="M1189" t="s">
        <v>727</v>
      </c>
      <c r="N1189" t="s">
        <v>85</v>
      </c>
      <c r="O1189" s="6" t="s">
        <v>71</v>
      </c>
      <c r="P1189" t="s">
        <v>70</v>
      </c>
      <c r="Q1189">
        <v>8</v>
      </c>
      <c r="R1189" t="s">
        <v>213</v>
      </c>
      <c r="S1189" s="2" t="s">
        <v>13</v>
      </c>
      <c r="T1189" s="2">
        <v>3</v>
      </c>
      <c r="U1189" s="2" t="s">
        <v>28</v>
      </c>
      <c r="V1189" s="2" t="s">
        <v>28</v>
      </c>
      <c r="W1189" s="2">
        <v>23</v>
      </c>
      <c r="X1189">
        <v>19.600000000000001</v>
      </c>
      <c r="Y1189">
        <f>24.32-X1189</f>
        <v>4.7199999999999989</v>
      </c>
      <c r="AA1189" s="6"/>
      <c r="AB1189" s="6"/>
    </row>
    <row r="1190" spans="1:28" x14ac:dyDescent="0.2">
      <c r="A1190" t="s">
        <v>197</v>
      </c>
      <c r="B1190">
        <v>2013</v>
      </c>
      <c r="C1190" t="s">
        <v>826</v>
      </c>
      <c r="D1190" t="s">
        <v>824</v>
      </c>
      <c r="E1190" t="s">
        <v>114</v>
      </c>
      <c r="F1190" t="s">
        <v>198</v>
      </c>
      <c r="G1190">
        <v>37.016666999999998</v>
      </c>
      <c r="H1190">
        <v>122.55</v>
      </c>
      <c r="I1190" t="s">
        <v>764</v>
      </c>
      <c r="J1190" t="s">
        <v>7</v>
      </c>
      <c r="K1190" t="s">
        <v>3</v>
      </c>
      <c r="L1190" t="s">
        <v>3</v>
      </c>
      <c r="M1190" t="s">
        <v>26</v>
      </c>
      <c r="N1190" t="s">
        <v>85</v>
      </c>
      <c r="O1190" s="6" t="s">
        <v>356</v>
      </c>
      <c r="P1190" t="s">
        <v>65</v>
      </c>
      <c r="Q1190">
        <v>8</v>
      </c>
      <c r="R1190" t="s">
        <v>213</v>
      </c>
      <c r="S1190" s="2" t="s">
        <v>7</v>
      </c>
      <c r="T1190" s="2">
        <v>3</v>
      </c>
      <c r="U1190" s="2" t="s">
        <v>28</v>
      </c>
      <c r="V1190" s="2" t="s">
        <v>28</v>
      </c>
      <c r="W1190" s="2">
        <v>10</v>
      </c>
      <c r="X1190">
        <f>44.7</f>
        <v>44.7</v>
      </c>
      <c r="Y1190">
        <f>2.3</f>
        <v>2.2999999999999998</v>
      </c>
      <c r="AA1190" s="6"/>
      <c r="AB1190" s="6"/>
    </row>
    <row r="1191" spans="1:28" x14ac:dyDescent="0.2">
      <c r="A1191" t="s">
        <v>197</v>
      </c>
      <c r="B1191">
        <v>2013</v>
      </c>
      <c r="C1191" t="s">
        <v>826</v>
      </c>
      <c r="D1191" t="s">
        <v>824</v>
      </c>
      <c r="E1191" t="s">
        <v>114</v>
      </c>
      <c r="F1191" t="s">
        <v>198</v>
      </c>
      <c r="G1191">
        <v>37.016666999999998</v>
      </c>
      <c r="H1191">
        <v>122.55</v>
      </c>
      <c r="I1191" t="s">
        <v>764</v>
      </c>
      <c r="J1191" t="s">
        <v>14</v>
      </c>
      <c r="K1191" t="s">
        <v>3</v>
      </c>
      <c r="L1191" t="s">
        <v>3</v>
      </c>
      <c r="M1191" t="s">
        <v>26</v>
      </c>
      <c r="N1191" t="s">
        <v>85</v>
      </c>
      <c r="O1191" s="6" t="s">
        <v>356</v>
      </c>
      <c r="P1191" t="s">
        <v>65</v>
      </c>
      <c r="Q1191">
        <v>8</v>
      </c>
      <c r="R1191" t="s">
        <v>213</v>
      </c>
      <c r="S1191" s="2" t="s">
        <v>9</v>
      </c>
      <c r="T1191" s="2">
        <v>3</v>
      </c>
      <c r="U1191" s="2" t="s">
        <v>28</v>
      </c>
      <c r="V1191" s="2" t="s">
        <v>28</v>
      </c>
      <c r="W1191" s="2">
        <v>15</v>
      </c>
      <c r="X1191">
        <f>42.6</f>
        <v>42.6</v>
      </c>
      <c r="Y1191">
        <f>(44.9-42.6)</f>
        <v>2.2999999999999972</v>
      </c>
      <c r="AA1191" s="6"/>
      <c r="AB1191" s="6"/>
    </row>
    <row r="1192" spans="1:28" x14ac:dyDescent="0.2">
      <c r="A1192" t="s">
        <v>197</v>
      </c>
      <c r="B1192">
        <v>2013</v>
      </c>
      <c r="C1192" t="s">
        <v>826</v>
      </c>
      <c r="D1192" t="s">
        <v>824</v>
      </c>
      <c r="E1192" t="s">
        <v>114</v>
      </c>
      <c r="F1192" t="s">
        <v>198</v>
      </c>
      <c r="G1192">
        <v>37.016666999999998</v>
      </c>
      <c r="H1192">
        <v>122.55</v>
      </c>
      <c r="I1192" t="s">
        <v>764</v>
      </c>
      <c r="J1192" t="s">
        <v>14</v>
      </c>
      <c r="K1192" t="s">
        <v>3</v>
      </c>
      <c r="L1192" t="s">
        <v>3</v>
      </c>
      <c r="M1192" t="s">
        <v>26</v>
      </c>
      <c r="N1192" t="s">
        <v>85</v>
      </c>
      <c r="O1192" s="6" t="s">
        <v>356</v>
      </c>
      <c r="P1192" t="s">
        <v>65</v>
      </c>
      <c r="Q1192">
        <v>8</v>
      </c>
      <c r="R1192" t="s">
        <v>213</v>
      </c>
      <c r="S1192" s="2" t="s">
        <v>27</v>
      </c>
      <c r="T1192" s="2">
        <v>3</v>
      </c>
      <c r="U1192" s="2" t="s">
        <v>28</v>
      </c>
      <c r="V1192" s="2" t="s">
        <v>28</v>
      </c>
      <c r="W1192" s="2">
        <v>19</v>
      </c>
      <c r="X1192">
        <f>30.3</f>
        <v>30.3</v>
      </c>
      <c r="Y1192">
        <f>(34.4-30.3)</f>
        <v>4.0999999999999979</v>
      </c>
      <c r="AA1192" s="6"/>
      <c r="AB1192" s="6"/>
    </row>
    <row r="1193" spans="1:28" x14ac:dyDescent="0.2">
      <c r="A1193" t="s">
        <v>197</v>
      </c>
      <c r="B1193">
        <v>2013</v>
      </c>
      <c r="C1193" t="s">
        <v>826</v>
      </c>
      <c r="D1193" t="s">
        <v>824</v>
      </c>
      <c r="E1193" t="s">
        <v>114</v>
      </c>
      <c r="F1193" t="s">
        <v>198</v>
      </c>
      <c r="G1193">
        <v>37.016666999999998</v>
      </c>
      <c r="H1193">
        <v>122.55</v>
      </c>
      <c r="I1193" t="s">
        <v>764</v>
      </c>
      <c r="J1193" t="s">
        <v>14</v>
      </c>
      <c r="K1193" t="s">
        <v>3</v>
      </c>
      <c r="L1193" t="s">
        <v>3</v>
      </c>
      <c r="M1193" t="s">
        <v>26</v>
      </c>
      <c r="N1193" t="s">
        <v>85</v>
      </c>
      <c r="O1193" s="6" t="s">
        <v>356</v>
      </c>
      <c r="P1193" t="s">
        <v>65</v>
      </c>
      <c r="Q1193">
        <v>8</v>
      </c>
      <c r="R1193" t="s">
        <v>213</v>
      </c>
      <c r="S1193" s="2" t="s">
        <v>13</v>
      </c>
      <c r="T1193" s="2">
        <v>3</v>
      </c>
      <c r="U1193" s="2" t="s">
        <v>28</v>
      </c>
      <c r="V1193" s="2" t="s">
        <v>28</v>
      </c>
      <c r="W1193" s="2">
        <v>23</v>
      </c>
      <c r="X1193">
        <f>11.65</f>
        <v>11.65</v>
      </c>
      <c r="Y1193">
        <f>(13.6-11.65)</f>
        <v>1.9499999999999993</v>
      </c>
      <c r="AA1193" s="6"/>
      <c r="AB1193" s="6"/>
    </row>
    <row r="1194" spans="1:28" x14ac:dyDescent="0.2">
      <c r="A1194" t="s">
        <v>197</v>
      </c>
      <c r="B1194">
        <v>2013</v>
      </c>
      <c r="C1194" t="s">
        <v>826</v>
      </c>
      <c r="D1194" t="s">
        <v>824</v>
      </c>
      <c r="E1194" t="s">
        <v>114</v>
      </c>
      <c r="F1194" t="s">
        <v>198</v>
      </c>
      <c r="G1194">
        <v>37.016666999999998</v>
      </c>
      <c r="H1194">
        <v>122.55</v>
      </c>
      <c r="I1194" t="s">
        <v>764</v>
      </c>
      <c r="J1194" t="s">
        <v>7</v>
      </c>
      <c r="K1194" t="s">
        <v>3</v>
      </c>
      <c r="L1194" t="s">
        <v>3</v>
      </c>
      <c r="M1194" t="s">
        <v>26</v>
      </c>
      <c r="N1194" t="s">
        <v>85</v>
      </c>
      <c r="O1194" s="6" t="s">
        <v>80</v>
      </c>
      <c r="P1194" t="s">
        <v>79</v>
      </c>
      <c r="Q1194">
        <v>8</v>
      </c>
      <c r="R1194" t="s">
        <v>213</v>
      </c>
      <c r="S1194" s="2" t="s">
        <v>7</v>
      </c>
      <c r="T1194" s="2">
        <v>3</v>
      </c>
      <c r="U1194" s="2" t="s">
        <v>28</v>
      </c>
      <c r="V1194" s="2" t="s">
        <v>28</v>
      </c>
      <c r="W1194" s="2">
        <v>10</v>
      </c>
      <c r="X1194">
        <v>1861</v>
      </c>
      <c r="Y1194">
        <v>76.3</v>
      </c>
      <c r="AA1194" s="6"/>
      <c r="AB1194" s="6"/>
    </row>
    <row r="1195" spans="1:28" x14ac:dyDescent="0.2">
      <c r="A1195" t="s">
        <v>197</v>
      </c>
      <c r="B1195">
        <v>2013</v>
      </c>
      <c r="C1195" t="s">
        <v>826</v>
      </c>
      <c r="D1195" t="s">
        <v>824</v>
      </c>
      <c r="E1195" t="s">
        <v>114</v>
      </c>
      <c r="F1195" t="s">
        <v>198</v>
      </c>
      <c r="G1195">
        <v>37.016666999999998</v>
      </c>
      <c r="H1195">
        <v>122.55</v>
      </c>
      <c r="I1195" t="s">
        <v>764</v>
      </c>
      <c r="J1195" t="s">
        <v>14</v>
      </c>
      <c r="K1195" t="s">
        <v>3</v>
      </c>
      <c r="L1195" t="s">
        <v>3</v>
      </c>
      <c r="M1195" t="s">
        <v>26</v>
      </c>
      <c r="N1195" t="s">
        <v>85</v>
      </c>
      <c r="O1195" s="6" t="s">
        <v>80</v>
      </c>
      <c r="P1195" t="s">
        <v>79</v>
      </c>
      <c r="Q1195">
        <v>8</v>
      </c>
      <c r="R1195" t="s">
        <v>213</v>
      </c>
      <c r="S1195" s="2" t="s">
        <v>9</v>
      </c>
      <c r="T1195" s="2">
        <v>3</v>
      </c>
      <c r="U1195" s="2" t="s">
        <v>28</v>
      </c>
      <c r="V1195" s="2" t="s">
        <v>28</v>
      </c>
      <c r="W1195" s="2">
        <v>15</v>
      </c>
      <c r="X1195">
        <v>1859</v>
      </c>
      <c r="Y1195">
        <f>1990-X1195</f>
        <v>131</v>
      </c>
      <c r="AA1195" s="6"/>
      <c r="AB1195" s="6"/>
    </row>
    <row r="1196" spans="1:28" x14ac:dyDescent="0.2">
      <c r="A1196" t="s">
        <v>197</v>
      </c>
      <c r="B1196">
        <v>2013</v>
      </c>
      <c r="C1196" t="s">
        <v>826</v>
      </c>
      <c r="D1196" t="s">
        <v>824</v>
      </c>
      <c r="E1196" t="s">
        <v>114</v>
      </c>
      <c r="F1196" t="s">
        <v>198</v>
      </c>
      <c r="G1196">
        <v>37.016666999999998</v>
      </c>
      <c r="H1196">
        <v>122.55</v>
      </c>
      <c r="I1196" t="s">
        <v>764</v>
      </c>
      <c r="J1196" t="s">
        <v>14</v>
      </c>
      <c r="K1196" t="s">
        <v>3</v>
      </c>
      <c r="L1196" t="s">
        <v>3</v>
      </c>
      <c r="M1196" t="s">
        <v>26</v>
      </c>
      <c r="N1196" t="s">
        <v>85</v>
      </c>
      <c r="O1196" s="6" t="s">
        <v>80</v>
      </c>
      <c r="P1196" t="s">
        <v>79</v>
      </c>
      <c r="Q1196">
        <v>8</v>
      </c>
      <c r="R1196" t="s">
        <v>213</v>
      </c>
      <c r="S1196" s="2" t="s">
        <v>27</v>
      </c>
      <c r="T1196" s="2">
        <v>3</v>
      </c>
      <c r="U1196" s="2" t="s">
        <v>28</v>
      </c>
      <c r="V1196" s="2" t="s">
        <v>28</v>
      </c>
      <c r="W1196" s="2">
        <v>19</v>
      </c>
      <c r="X1196">
        <v>1499</v>
      </c>
      <c r="Y1196">
        <f>1550-X1196</f>
        <v>51</v>
      </c>
      <c r="AA1196" s="6"/>
      <c r="AB1196" s="6"/>
    </row>
    <row r="1197" spans="1:28" x14ac:dyDescent="0.2">
      <c r="A1197" t="s">
        <v>197</v>
      </c>
      <c r="B1197">
        <v>2013</v>
      </c>
      <c r="C1197" t="s">
        <v>826</v>
      </c>
      <c r="D1197" t="s">
        <v>824</v>
      </c>
      <c r="E1197" t="s">
        <v>114</v>
      </c>
      <c r="F1197" t="s">
        <v>198</v>
      </c>
      <c r="G1197">
        <v>37.016666999999998</v>
      </c>
      <c r="H1197">
        <v>122.55</v>
      </c>
      <c r="I1197" t="s">
        <v>764</v>
      </c>
      <c r="J1197" t="s">
        <v>14</v>
      </c>
      <c r="K1197" t="s">
        <v>3</v>
      </c>
      <c r="L1197" t="s">
        <v>3</v>
      </c>
      <c r="M1197" t="s">
        <v>26</v>
      </c>
      <c r="N1197" t="s">
        <v>85</v>
      </c>
      <c r="O1197" s="6" t="s">
        <v>80</v>
      </c>
      <c r="P1197" t="s">
        <v>79</v>
      </c>
      <c r="Q1197">
        <v>8</v>
      </c>
      <c r="R1197" t="s">
        <v>213</v>
      </c>
      <c r="S1197" s="2" t="s">
        <v>13</v>
      </c>
      <c r="T1197" s="2">
        <v>3</v>
      </c>
      <c r="U1197" s="2" t="s">
        <v>28</v>
      </c>
      <c r="V1197" s="2" t="s">
        <v>28</v>
      </c>
      <c r="W1197" s="2">
        <v>23</v>
      </c>
      <c r="X1197">
        <v>915</v>
      </c>
      <c r="Y1197">
        <f>940-X1197</f>
        <v>25</v>
      </c>
      <c r="AA1197" s="6"/>
      <c r="AB1197" s="6"/>
    </row>
    <row r="1198" spans="1:28" x14ac:dyDescent="0.2">
      <c r="A1198" t="s">
        <v>197</v>
      </c>
      <c r="B1198">
        <v>2013</v>
      </c>
      <c r="C1198" t="s">
        <v>826</v>
      </c>
      <c r="D1198" t="s">
        <v>824</v>
      </c>
      <c r="E1198" t="s">
        <v>114</v>
      </c>
      <c r="F1198" t="s">
        <v>198</v>
      </c>
      <c r="G1198">
        <v>37.016666999999998</v>
      </c>
      <c r="H1198">
        <v>122.55</v>
      </c>
      <c r="I1198" t="s">
        <v>764</v>
      </c>
      <c r="J1198" t="s">
        <v>7</v>
      </c>
      <c r="K1198" t="s">
        <v>3</v>
      </c>
      <c r="L1198" t="s">
        <v>3</v>
      </c>
      <c r="M1198" t="s">
        <v>12</v>
      </c>
      <c r="N1198" t="s">
        <v>85</v>
      </c>
      <c r="O1198" s="6" t="s">
        <v>12</v>
      </c>
      <c r="P1198" t="s">
        <v>70</v>
      </c>
      <c r="Q1198">
        <v>8</v>
      </c>
      <c r="R1198" t="s">
        <v>213</v>
      </c>
      <c r="S1198" s="2" t="s">
        <v>7</v>
      </c>
      <c r="T1198" s="2">
        <v>3</v>
      </c>
      <c r="U1198" s="2" t="s">
        <v>28</v>
      </c>
      <c r="V1198" s="2" t="s">
        <v>28</v>
      </c>
      <c r="W1198" s="2">
        <v>10</v>
      </c>
      <c r="X1198">
        <v>72.400000000000006</v>
      </c>
      <c r="Y1198">
        <v>2.1</v>
      </c>
      <c r="AA1198" s="6"/>
      <c r="AB1198" s="6"/>
    </row>
    <row r="1199" spans="1:28" x14ac:dyDescent="0.2">
      <c r="A1199" t="s">
        <v>197</v>
      </c>
      <c r="B1199">
        <v>2013</v>
      </c>
      <c r="C1199" t="s">
        <v>826</v>
      </c>
      <c r="D1199" t="s">
        <v>824</v>
      </c>
      <c r="E1199" t="s">
        <v>114</v>
      </c>
      <c r="F1199" t="s">
        <v>198</v>
      </c>
      <c r="G1199">
        <v>37.016666999999998</v>
      </c>
      <c r="H1199">
        <v>122.55</v>
      </c>
      <c r="I1199" t="s">
        <v>764</v>
      </c>
      <c r="J1199" t="s">
        <v>14</v>
      </c>
      <c r="K1199" t="s">
        <v>3</v>
      </c>
      <c r="L1199" t="s">
        <v>3</v>
      </c>
      <c r="M1199" t="s">
        <v>12</v>
      </c>
      <c r="N1199" t="s">
        <v>85</v>
      </c>
      <c r="O1199" s="6" t="s">
        <v>12</v>
      </c>
      <c r="P1199" t="s">
        <v>70</v>
      </c>
      <c r="Q1199">
        <v>8</v>
      </c>
      <c r="R1199" t="s">
        <v>213</v>
      </c>
      <c r="S1199" s="2" t="s">
        <v>9</v>
      </c>
      <c r="T1199" s="2">
        <v>3</v>
      </c>
      <c r="U1199" s="2" t="s">
        <v>28</v>
      </c>
      <c r="V1199" s="2" t="s">
        <v>28</v>
      </c>
      <c r="W1199" s="2">
        <v>15</v>
      </c>
      <c r="X1199">
        <v>65.569999999999993</v>
      </c>
      <c r="Y1199">
        <f>67.33-X1199</f>
        <v>1.7600000000000051</v>
      </c>
      <c r="AA1199" s="6"/>
      <c r="AB1199" s="6"/>
    </row>
    <row r="1200" spans="1:28" x14ac:dyDescent="0.2">
      <c r="A1200" t="s">
        <v>197</v>
      </c>
      <c r="B1200">
        <v>2013</v>
      </c>
      <c r="C1200" t="s">
        <v>826</v>
      </c>
      <c r="D1200" t="s">
        <v>824</v>
      </c>
      <c r="E1200" t="s">
        <v>114</v>
      </c>
      <c r="F1200" t="s">
        <v>198</v>
      </c>
      <c r="G1200">
        <v>37.016666999999998</v>
      </c>
      <c r="H1200">
        <v>122.55</v>
      </c>
      <c r="I1200" t="s">
        <v>764</v>
      </c>
      <c r="J1200" t="s">
        <v>14</v>
      </c>
      <c r="K1200" t="s">
        <v>3</v>
      </c>
      <c r="L1200" t="s">
        <v>3</v>
      </c>
      <c r="M1200" t="s">
        <v>12</v>
      </c>
      <c r="N1200" t="s">
        <v>85</v>
      </c>
      <c r="O1200" s="6" t="s">
        <v>12</v>
      </c>
      <c r="P1200" t="s">
        <v>70</v>
      </c>
      <c r="Q1200">
        <v>8</v>
      </c>
      <c r="R1200" t="s">
        <v>213</v>
      </c>
      <c r="S1200" s="2" t="s">
        <v>27</v>
      </c>
      <c r="T1200" s="2">
        <v>3</v>
      </c>
      <c r="U1200" s="2" t="s">
        <v>28</v>
      </c>
      <c r="V1200" s="2" t="s">
        <v>28</v>
      </c>
      <c r="W1200" s="2">
        <v>19</v>
      </c>
      <c r="X1200">
        <v>63.49</v>
      </c>
      <c r="Y1200">
        <f>65.11-X1200</f>
        <v>1.6199999999999974</v>
      </c>
      <c r="AA1200" s="6"/>
      <c r="AB1200" s="6"/>
    </row>
    <row r="1201" spans="1:28" x14ac:dyDescent="0.2">
      <c r="A1201" t="s">
        <v>197</v>
      </c>
      <c r="B1201">
        <v>2013</v>
      </c>
      <c r="C1201" t="s">
        <v>826</v>
      </c>
      <c r="D1201" t="s">
        <v>824</v>
      </c>
      <c r="E1201" t="s">
        <v>114</v>
      </c>
      <c r="F1201" t="s">
        <v>198</v>
      </c>
      <c r="G1201">
        <v>37.016666999999998</v>
      </c>
      <c r="H1201">
        <v>122.55</v>
      </c>
      <c r="I1201" t="s">
        <v>764</v>
      </c>
      <c r="J1201" t="s">
        <v>14</v>
      </c>
      <c r="K1201" t="s">
        <v>3</v>
      </c>
      <c r="L1201" t="s">
        <v>3</v>
      </c>
      <c r="M1201" t="s">
        <v>12</v>
      </c>
      <c r="N1201" t="s">
        <v>85</v>
      </c>
      <c r="O1201" s="6" t="s">
        <v>12</v>
      </c>
      <c r="P1201" t="s">
        <v>70</v>
      </c>
      <c r="Q1201">
        <v>8</v>
      </c>
      <c r="R1201" t="s">
        <v>213</v>
      </c>
      <c r="S1201" s="2" t="s">
        <v>13</v>
      </c>
      <c r="T1201" s="2">
        <v>3</v>
      </c>
      <c r="U1201" s="2" t="s">
        <v>28</v>
      </c>
      <c r="V1201" s="2" t="s">
        <v>28</v>
      </c>
      <c r="W1201" s="2">
        <v>23</v>
      </c>
      <c r="X1201">
        <v>54.66</v>
      </c>
      <c r="Y1201">
        <f>57.2-X1201</f>
        <v>2.5400000000000063</v>
      </c>
      <c r="AA1201" s="6"/>
      <c r="AB1201" s="6"/>
    </row>
    <row r="1202" spans="1:28" x14ac:dyDescent="0.2">
      <c r="A1202" t="s">
        <v>199</v>
      </c>
      <c r="B1202">
        <v>2015</v>
      </c>
      <c r="C1202" t="s">
        <v>826</v>
      </c>
      <c r="D1202" t="s">
        <v>812</v>
      </c>
      <c r="E1202" t="s">
        <v>175</v>
      </c>
      <c r="F1202" t="s">
        <v>188</v>
      </c>
      <c r="G1202">
        <v>-31.85</v>
      </c>
      <c r="H1202">
        <v>115.7</v>
      </c>
      <c r="I1202" t="s">
        <v>766</v>
      </c>
      <c r="J1202" t="s">
        <v>7</v>
      </c>
      <c r="K1202" t="s">
        <v>200</v>
      </c>
      <c r="L1202" t="s">
        <v>143</v>
      </c>
      <c r="M1202" t="s">
        <v>26</v>
      </c>
      <c r="N1202" t="s">
        <v>85</v>
      </c>
      <c r="O1202" s="6" t="s">
        <v>462</v>
      </c>
      <c r="P1202" t="s">
        <v>72</v>
      </c>
      <c r="Q1202">
        <v>14</v>
      </c>
      <c r="R1202" t="s">
        <v>213</v>
      </c>
      <c r="S1202" s="2" t="s">
        <v>7</v>
      </c>
      <c r="T1202" s="2">
        <v>2</v>
      </c>
      <c r="U1202" s="2" t="s">
        <v>28</v>
      </c>
      <c r="V1202" s="2" t="s">
        <v>28</v>
      </c>
      <c r="W1202" s="9">
        <v>16</v>
      </c>
      <c r="X1202" s="10">
        <v>3.7112992240919538</v>
      </c>
      <c r="Y1202" s="6">
        <f t="shared" ref="Y1202:Y1221" si="21">Z1202*SQRT(T1202)</f>
        <v>3.0391084352018378</v>
      </c>
      <c r="Z1202" s="10">
        <v>2.1489741832924567</v>
      </c>
      <c r="AA1202" s="6"/>
      <c r="AB1202" s="6"/>
    </row>
    <row r="1203" spans="1:28" x14ac:dyDescent="0.2">
      <c r="A1203" t="s">
        <v>199</v>
      </c>
      <c r="B1203">
        <v>2015</v>
      </c>
      <c r="C1203" t="s">
        <v>826</v>
      </c>
      <c r="D1203" t="s">
        <v>812</v>
      </c>
      <c r="E1203" t="s">
        <v>175</v>
      </c>
      <c r="F1203" t="s">
        <v>188</v>
      </c>
      <c r="G1203">
        <v>-31.85</v>
      </c>
      <c r="H1203">
        <v>115.7</v>
      </c>
      <c r="I1203" t="s">
        <v>766</v>
      </c>
      <c r="J1203" t="s">
        <v>14</v>
      </c>
      <c r="K1203" t="s">
        <v>200</v>
      </c>
      <c r="L1203" t="s">
        <v>143</v>
      </c>
      <c r="M1203" t="s">
        <v>26</v>
      </c>
      <c r="N1203" t="s">
        <v>85</v>
      </c>
      <c r="O1203" s="6" t="s">
        <v>462</v>
      </c>
      <c r="P1203" t="s">
        <v>72</v>
      </c>
      <c r="Q1203">
        <v>14</v>
      </c>
      <c r="R1203" t="s">
        <v>213</v>
      </c>
      <c r="S1203" s="2" t="s">
        <v>9</v>
      </c>
      <c r="T1203" s="2">
        <v>2</v>
      </c>
      <c r="U1203" s="2" t="s">
        <v>28</v>
      </c>
      <c r="V1203" s="2" t="s">
        <v>28</v>
      </c>
      <c r="W1203" s="9">
        <v>18</v>
      </c>
      <c r="X1203" s="10">
        <v>2.8852650596821574</v>
      </c>
      <c r="Y1203" s="6">
        <f t="shared" si="21"/>
        <v>1.7200597178224784</v>
      </c>
      <c r="Z1203" s="10">
        <v>1.2162658905180939</v>
      </c>
      <c r="AA1203" s="6"/>
      <c r="AB1203" s="6"/>
    </row>
    <row r="1204" spans="1:28" x14ac:dyDescent="0.2">
      <c r="A1204" t="s">
        <v>199</v>
      </c>
      <c r="B1204">
        <v>2015</v>
      </c>
      <c r="C1204" t="s">
        <v>826</v>
      </c>
      <c r="D1204" t="s">
        <v>812</v>
      </c>
      <c r="E1204" t="s">
        <v>175</v>
      </c>
      <c r="F1204" t="s">
        <v>188</v>
      </c>
      <c r="G1204">
        <v>-31.85</v>
      </c>
      <c r="H1204">
        <v>115.7</v>
      </c>
      <c r="I1204" t="s">
        <v>766</v>
      </c>
      <c r="J1204" t="s">
        <v>14</v>
      </c>
      <c r="K1204" t="s">
        <v>200</v>
      </c>
      <c r="L1204" t="s">
        <v>143</v>
      </c>
      <c r="M1204" t="s">
        <v>26</v>
      </c>
      <c r="N1204" t="s">
        <v>85</v>
      </c>
      <c r="O1204" s="6" t="s">
        <v>462</v>
      </c>
      <c r="P1204" t="s">
        <v>72</v>
      </c>
      <c r="Q1204">
        <v>14</v>
      </c>
      <c r="R1204" t="s">
        <v>213</v>
      </c>
      <c r="S1204" s="2" t="s">
        <v>27</v>
      </c>
      <c r="T1204" s="2">
        <v>2</v>
      </c>
      <c r="U1204" s="2" t="s">
        <v>28</v>
      </c>
      <c r="V1204" s="2" t="s">
        <v>28</v>
      </c>
      <c r="W1204" s="9">
        <v>19</v>
      </c>
      <c r="X1204" s="10">
        <v>4.1404989401840266</v>
      </c>
      <c r="Y1204" s="6">
        <f t="shared" si="21"/>
        <v>2.976361978998626</v>
      </c>
      <c r="Z1204" s="10">
        <v>2.1046057386157409</v>
      </c>
      <c r="AA1204" s="6"/>
      <c r="AB1204" s="6"/>
    </row>
    <row r="1205" spans="1:28" x14ac:dyDescent="0.2">
      <c r="A1205" t="s">
        <v>199</v>
      </c>
      <c r="B1205">
        <v>2015</v>
      </c>
      <c r="C1205" t="s">
        <v>826</v>
      </c>
      <c r="D1205" t="s">
        <v>812</v>
      </c>
      <c r="E1205" t="s">
        <v>175</v>
      </c>
      <c r="F1205" t="s">
        <v>188</v>
      </c>
      <c r="G1205">
        <v>-31.85</v>
      </c>
      <c r="H1205">
        <v>115.7</v>
      </c>
      <c r="I1205" t="s">
        <v>766</v>
      </c>
      <c r="J1205" t="s">
        <v>14</v>
      </c>
      <c r="K1205" t="s">
        <v>200</v>
      </c>
      <c r="L1205" t="s">
        <v>143</v>
      </c>
      <c r="M1205" t="s">
        <v>26</v>
      </c>
      <c r="N1205" t="s">
        <v>85</v>
      </c>
      <c r="O1205" s="6" t="s">
        <v>462</v>
      </c>
      <c r="P1205" t="s">
        <v>72</v>
      </c>
      <c r="Q1205">
        <v>14</v>
      </c>
      <c r="R1205" t="s">
        <v>213</v>
      </c>
      <c r="S1205" s="2" t="s">
        <v>13</v>
      </c>
      <c r="T1205" s="2">
        <v>2</v>
      </c>
      <c r="U1205" s="2" t="s">
        <v>28</v>
      </c>
      <c r="V1205" s="2" t="s">
        <v>28</v>
      </c>
      <c r="W1205" s="9">
        <v>21</v>
      </c>
      <c r="X1205" s="10">
        <v>3.1009215033975366</v>
      </c>
      <c r="Y1205" s="6">
        <f t="shared" si="21"/>
        <v>1.7278114056286098</v>
      </c>
      <c r="Z1205" s="10">
        <v>1.2217471615314504</v>
      </c>
      <c r="AA1205" s="6"/>
      <c r="AB1205" s="6"/>
    </row>
    <row r="1206" spans="1:28" x14ac:dyDescent="0.2">
      <c r="A1206" t="s">
        <v>199</v>
      </c>
      <c r="B1206">
        <v>2015</v>
      </c>
      <c r="C1206" t="s">
        <v>826</v>
      </c>
      <c r="D1206" t="s">
        <v>812</v>
      </c>
      <c r="E1206" t="s">
        <v>175</v>
      </c>
      <c r="F1206" t="s">
        <v>188</v>
      </c>
      <c r="G1206">
        <v>-31.85</v>
      </c>
      <c r="H1206">
        <v>115.7</v>
      </c>
      <c r="I1206" t="s">
        <v>766</v>
      </c>
      <c r="J1206" t="s">
        <v>14</v>
      </c>
      <c r="K1206" t="s">
        <v>200</v>
      </c>
      <c r="L1206" t="s">
        <v>143</v>
      </c>
      <c r="M1206" t="s">
        <v>26</v>
      </c>
      <c r="N1206" t="s">
        <v>85</v>
      </c>
      <c r="O1206" s="6" t="s">
        <v>462</v>
      </c>
      <c r="P1206" t="s">
        <v>72</v>
      </c>
      <c r="Q1206">
        <v>14</v>
      </c>
      <c r="R1206" t="s">
        <v>213</v>
      </c>
      <c r="S1206" s="2" t="s">
        <v>15</v>
      </c>
      <c r="T1206" s="2">
        <v>2</v>
      </c>
      <c r="U1206" s="2" t="s">
        <v>28</v>
      </c>
      <c r="V1206" s="2" t="s">
        <v>28</v>
      </c>
      <c r="W1206" s="9">
        <v>22</v>
      </c>
      <c r="X1206" s="10">
        <v>1.1434672524790908</v>
      </c>
      <c r="Y1206" s="6">
        <f t="shared" si="21"/>
        <v>1.591545837422973</v>
      </c>
      <c r="Z1206" s="10">
        <v>1.1253928542110065</v>
      </c>
      <c r="AA1206" s="6"/>
      <c r="AB1206" s="6"/>
    </row>
    <row r="1207" spans="1:28" x14ac:dyDescent="0.2">
      <c r="A1207" t="s">
        <v>199</v>
      </c>
      <c r="B1207">
        <v>2015</v>
      </c>
      <c r="C1207" t="s">
        <v>826</v>
      </c>
      <c r="D1207" t="s">
        <v>812</v>
      </c>
      <c r="E1207" t="s">
        <v>175</v>
      </c>
      <c r="F1207" t="s">
        <v>188</v>
      </c>
      <c r="G1207">
        <v>-31.85</v>
      </c>
      <c r="H1207">
        <v>115.7</v>
      </c>
      <c r="I1207" t="s">
        <v>766</v>
      </c>
      <c r="J1207" t="s">
        <v>14</v>
      </c>
      <c r="K1207" t="s">
        <v>200</v>
      </c>
      <c r="L1207" t="s">
        <v>143</v>
      </c>
      <c r="M1207" t="s">
        <v>26</v>
      </c>
      <c r="N1207" t="s">
        <v>85</v>
      </c>
      <c r="O1207" s="6" t="s">
        <v>462</v>
      </c>
      <c r="P1207" t="s">
        <v>72</v>
      </c>
      <c r="Q1207">
        <v>14</v>
      </c>
      <c r="R1207" t="s">
        <v>213</v>
      </c>
      <c r="S1207" s="2" t="s">
        <v>37</v>
      </c>
      <c r="T1207" s="2">
        <v>2</v>
      </c>
      <c r="U1207" s="2" t="s">
        <v>28</v>
      </c>
      <c r="V1207" s="2" t="s">
        <v>28</v>
      </c>
      <c r="W1207" s="9">
        <v>24</v>
      </c>
      <c r="X1207" s="10">
        <v>2.2021525689608334</v>
      </c>
      <c r="Y1207" s="6">
        <f t="shared" si="21"/>
        <v>3.0234205767040963</v>
      </c>
      <c r="Z1207" s="10">
        <v>2.1378811921664087</v>
      </c>
      <c r="AA1207" s="6"/>
      <c r="AB1207" s="6"/>
    </row>
    <row r="1208" spans="1:28" x14ac:dyDescent="0.2">
      <c r="A1208" t="s">
        <v>199</v>
      </c>
      <c r="B1208">
        <v>2015</v>
      </c>
      <c r="C1208" t="s">
        <v>826</v>
      </c>
      <c r="D1208" t="s">
        <v>812</v>
      </c>
      <c r="E1208" t="s">
        <v>175</v>
      </c>
      <c r="F1208" t="s">
        <v>188</v>
      </c>
      <c r="G1208">
        <v>-31.85</v>
      </c>
      <c r="H1208">
        <v>115.7</v>
      </c>
      <c r="I1208" t="s">
        <v>766</v>
      </c>
      <c r="J1208" t="s">
        <v>14</v>
      </c>
      <c r="K1208" t="s">
        <v>200</v>
      </c>
      <c r="L1208" t="s">
        <v>143</v>
      </c>
      <c r="M1208" t="s">
        <v>26</v>
      </c>
      <c r="N1208" t="s">
        <v>85</v>
      </c>
      <c r="O1208" s="6" t="s">
        <v>462</v>
      </c>
      <c r="P1208" t="s">
        <v>72</v>
      </c>
      <c r="Q1208">
        <v>14</v>
      </c>
      <c r="R1208" t="s">
        <v>213</v>
      </c>
      <c r="S1208" s="2" t="s">
        <v>116</v>
      </c>
      <c r="T1208" s="2">
        <v>2</v>
      </c>
      <c r="U1208" s="2" t="s">
        <v>28</v>
      </c>
      <c r="V1208" s="2" t="s">
        <v>28</v>
      </c>
      <c r="W1208" s="9">
        <v>25</v>
      </c>
      <c r="X1208" s="10">
        <v>1.1434672524790908</v>
      </c>
      <c r="Y1208" s="6">
        <f t="shared" si="21"/>
        <v>0.71820931050979442</v>
      </c>
      <c r="Z1208" s="10">
        <v>0.50785067377279036</v>
      </c>
      <c r="AA1208" s="6"/>
      <c r="AB1208" s="6"/>
    </row>
    <row r="1209" spans="1:28" x14ac:dyDescent="0.2">
      <c r="A1209" t="s">
        <v>199</v>
      </c>
      <c r="B1209">
        <v>2015</v>
      </c>
      <c r="C1209" t="s">
        <v>826</v>
      </c>
      <c r="D1209" t="s">
        <v>812</v>
      </c>
      <c r="E1209" t="s">
        <v>175</v>
      </c>
      <c r="F1209" t="s">
        <v>188</v>
      </c>
      <c r="G1209">
        <v>-31.85</v>
      </c>
      <c r="H1209">
        <v>115.7</v>
      </c>
      <c r="I1209" t="s">
        <v>766</v>
      </c>
      <c r="J1209" t="s">
        <v>14</v>
      </c>
      <c r="K1209" t="s">
        <v>200</v>
      </c>
      <c r="L1209" t="s">
        <v>143</v>
      </c>
      <c r="M1209" t="s">
        <v>26</v>
      </c>
      <c r="N1209" t="s">
        <v>85</v>
      </c>
      <c r="O1209" s="6" t="s">
        <v>462</v>
      </c>
      <c r="P1209" t="s">
        <v>72</v>
      </c>
      <c r="Q1209">
        <v>14</v>
      </c>
      <c r="R1209" t="s">
        <v>213</v>
      </c>
      <c r="S1209" s="2" t="s">
        <v>117</v>
      </c>
      <c r="T1209" s="2">
        <v>2</v>
      </c>
      <c r="U1209" s="2" t="s">
        <v>28</v>
      </c>
      <c r="V1209" s="2" t="s">
        <v>28</v>
      </c>
      <c r="W1209" s="9">
        <v>27</v>
      </c>
      <c r="X1209" s="10">
        <v>1.7485997358953991</v>
      </c>
      <c r="Y1209" s="6">
        <f t="shared" si="21"/>
        <v>0.71820931050979442</v>
      </c>
      <c r="Z1209" s="10">
        <v>0.50785067377279036</v>
      </c>
      <c r="AA1209" s="6"/>
      <c r="AB1209" s="6"/>
    </row>
    <row r="1210" spans="1:28" x14ac:dyDescent="0.2">
      <c r="A1210" t="s">
        <v>199</v>
      </c>
      <c r="B1210">
        <v>2015</v>
      </c>
      <c r="C1210" t="s">
        <v>826</v>
      </c>
      <c r="D1210" t="s">
        <v>812</v>
      </c>
      <c r="E1210" t="s">
        <v>175</v>
      </c>
      <c r="F1210" t="s">
        <v>188</v>
      </c>
      <c r="G1210">
        <v>-31.85</v>
      </c>
      <c r="H1210">
        <v>115.7</v>
      </c>
      <c r="I1210" t="s">
        <v>766</v>
      </c>
      <c r="J1210" t="s">
        <v>14</v>
      </c>
      <c r="K1210" t="s">
        <v>200</v>
      </c>
      <c r="L1210" t="s">
        <v>143</v>
      </c>
      <c r="M1210" t="s">
        <v>26</v>
      </c>
      <c r="N1210" t="s">
        <v>85</v>
      </c>
      <c r="O1210" s="6" t="s">
        <v>462</v>
      </c>
      <c r="P1210" t="s">
        <v>72</v>
      </c>
      <c r="Q1210">
        <v>14</v>
      </c>
      <c r="R1210" t="s">
        <v>213</v>
      </c>
      <c r="S1210" s="2" t="s">
        <v>118</v>
      </c>
      <c r="T1210" s="2">
        <v>2</v>
      </c>
      <c r="U1210" s="2" t="s">
        <v>28</v>
      </c>
      <c r="V1210" s="2" t="s">
        <v>28</v>
      </c>
      <c r="W1210" s="9">
        <v>28</v>
      </c>
      <c r="X1210" s="10">
        <v>0.45355283306543248</v>
      </c>
      <c r="Y1210" s="6">
        <f t="shared" si="21"/>
        <v>0.63728303304894551</v>
      </c>
      <c r="Z1210" s="10">
        <v>0.45062715420404004</v>
      </c>
      <c r="AA1210" s="6"/>
      <c r="AB1210" s="6"/>
    </row>
    <row r="1211" spans="1:28" x14ac:dyDescent="0.2">
      <c r="A1211" t="s">
        <v>199</v>
      </c>
      <c r="B1211">
        <v>2015</v>
      </c>
      <c r="C1211" t="s">
        <v>826</v>
      </c>
      <c r="D1211" t="s">
        <v>812</v>
      </c>
      <c r="E1211" t="s">
        <v>175</v>
      </c>
      <c r="F1211" t="s">
        <v>188</v>
      </c>
      <c r="G1211">
        <v>-31.85</v>
      </c>
      <c r="H1211">
        <v>115.7</v>
      </c>
      <c r="I1211" t="s">
        <v>766</v>
      </c>
      <c r="J1211" t="s">
        <v>14</v>
      </c>
      <c r="K1211" t="s">
        <v>200</v>
      </c>
      <c r="L1211" t="s">
        <v>143</v>
      </c>
      <c r="M1211" t="s">
        <v>26</v>
      </c>
      <c r="N1211" t="s">
        <v>85</v>
      </c>
      <c r="O1211" s="6" t="s">
        <v>462</v>
      </c>
      <c r="P1211" t="s">
        <v>72</v>
      </c>
      <c r="Q1211">
        <v>14</v>
      </c>
      <c r="R1211" t="s">
        <v>213</v>
      </c>
      <c r="S1211" s="2" t="s">
        <v>177</v>
      </c>
      <c r="T1211" s="2">
        <v>2</v>
      </c>
      <c r="U1211" s="2" t="s">
        <v>28</v>
      </c>
      <c r="V1211" s="2" t="s">
        <v>28</v>
      </c>
      <c r="W1211" s="9">
        <v>30</v>
      </c>
      <c r="X1211" s="10">
        <v>2.3810991378062663</v>
      </c>
      <c r="Y1211" s="6">
        <f t="shared" si="21"/>
        <v>2.7809412312075956</v>
      </c>
      <c r="Z1211" s="10">
        <v>1.9664224026681572</v>
      </c>
      <c r="AA1211" s="6"/>
      <c r="AB1211" s="6"/>
    </row>
    <row r="1212" spans="1:28" x14ac:dyDescent="0.2">
      <c r="A1212" t="s">
        <v>199</v>
      </c>
      <c r="B1212">
        <v>2015</v>
      </c>
      <c r="C1212" t="s">
        <v>826</v>
      </c>
      <c r="D1212" t="s">
        <v>812</v>
      </c>
      <c r="E1212" t="s">
        <v>175</v>
      </c>
      <c r="F1212" t="s">
        <v>188</v>
      </c>
      <c r="G1212">
        <v>-31.85</v>
      </c>
      <c r="H1212">
        <v>115.7</v>
      </c>
      <c r="I1212" t="s">
        <v>766</v>
      </c>
      <c r="J1212" t="s">
        <v>7</v>
      </c>
      <c r="K1212" t="s">
        <v>200</v>
      </c>
      <c r="L1212" t="s">
        <v>143</v>
      </c>
      <c r="M1212" t="s">
        <v>26</v>
      </c>
      <c r="N1212" t="s">
        <v>85</v>
      </c>
      <c r="O1212" t="s">
        <v>839</v>
      </c>
      <c r="P1212" t="s">
        <v>72</v>
      </c>
      <c r="Q1212">
        <v>14</v>
      </c>
      <c r="R1212" t="s">
        <v>213</v>
      </c>
      <c r="S1212" s="2" t="s">
        <v>7</v>
      </c>
      <c r="T1212" s="2">
        <v>2</v>
      </c>
      <c r="U1212" s="2" t="s">
        <v>28</v>
      </c>
      <c r="V1212" s="2" t="s">
        <v>28</v>
      </c>
      <c r="W1212" s="9">
        <v>16</v>
      </c>
      <c r="X1212" s="10">
        <v>-0.12904978710954046</v>
      </c>
      <c r="Y1212" s="6">
        <f t="shared" si="21"/>
        <v>0.18056378853942415</v>
      </c>
      <c r="Z1212" s="10">
        <v>0.12767787931296062</v>
      </c>
      <c r="AA1212" s="6"/>
      <c r="AB1212" s="6"/>
    </row>
    <row r="1213" spans="1:28" x14ac:dyDescent="0.2">
      <c r="A1213" t="s">
        <v>199</v>
      </c>
      <c r="B1213">
        <v>2015</v>
      </c>
      <c r="C1213" t="s">
        <v>826</v>
      </c>
      <c r="D1213" t="s">
        <v>812</v>
      </c>
      <c r="E1213" t="s">
        <v>175</v>
      </c>
      <c r="F1213" t="s">
        <v>188</v>
      </c>
      <c r="G1213">
        <v>-31.85</v>
      </c>
      <c r="H1213">
        <v>115.7</v>
      </c>
      <c r="I1213" t="s">
        <v>766</v>
      </c>
      <c r="J1213" t="s">
        <v>14</v>
      </c>
      <c r="K1213" t="s">
        <v>200</v>
      </c>
      <c r="L1213" t="s">
        <v>143</v>
      </c>
      <c r="M1213" t="s">
        <v>26</v>
      </c>
      <c r="N1213" t="s">
        <v>85</v>
      </c>
      <c r="O1213" t="s">
        <v>839</v>
      </c>
      <c r="P1213" t="s">
        <v>72</v>
      </c>
      <c r="Q1213">
        <v>14</v>
      </c>
      <c r="R1213" t="s">
        <v>213</v>
      </c>
      <c r="S1213" s="2" t="s">
        <v>9</v>
      </c>
      <c r="T1213" s="2">
        <v>2</v>
      </c>
      <c r="U1213" s="2" t="s">
        <v>28</v>
      </c>
      <c r="V1213" s="2" t="s">
        <v>28</v>
      </c>
      <c r="W1213" s="9">
        <v>18</v>
      </c>
      <c r="X1213" s="10">
        <v>-0.22387686587677269</v>
      </c>
      <c r="Y1213" s="6">
        <f t="shared" si="21"/>
        <v>0.21006828569412542</v>
      </c>
      <c r="Z1213" s="10">
        <v>0.14854070932654909</v>
      </c>
      <c r="AA1213" s="6"/>
      <c r="AB1213" s="6"/>
    </row>
    <row r="1214" spans="1:28" x14ac:dyDescent="0.2">
      <c r="A1214" t="s">
        <v>199</v>
      </c>
      <c r="B1214">
        <v>2015</v>
      </c>
      <c r="C1214" t="s">
        <v>826</v>
      </c>
      <c r="D1214" t="s">
        <v>812</v>
      </c>
      <c r="E1214" t="s">
        <v>175</v>
      </c>
      <c r="F1214" t="s">
        <v>188</v>
      </c>
      <c r="G1214">
        <v>-31.85</v>
      </c>
      <c r="H1214">
        <v>115.7</v>
      </c>
      <c r="I1214" t="s">
        <v>766</v>
      </c>
      <c r="J1214" t="s">
        <v>14</v>
      </c>
      <c r="K1214" t="s">
        <v>200</v>
      </c>
      <c r="L1214" t="s">
        <v>143</v>
      </c>
      <c r="M1214" t="s">
        <v>26</v>
      </c>
      <c r="N1214" t="s">
        <v>85</v>
      </c>
      <c r="O1214" t="s">
        <v>839</v>
      </c>
      <c r="P1214" t="s">
        <v>72</v>
      </c>
      <c r="Q1214">
        <v>14</v>
      </c>
      <c r="R1214" t="s">
        <v>213</v>
      </c>
      <c r="S1214" s="2" t="s">
        <v>27</v>
      </c>
      <c r="T1214" s="2">
        <v>2</v>
      </c>
      <c r="U1214" s="2" t="s">
        <v>28</v>
      </c>
      <c r="V1214" s="2" t="s">
        <v>28</v>
      </c>
      <c r="W1214" s="9">
        <v>19</v>
      </c>
      <c r="X1214" s="10">
        <v>0.13670305401231841</v>
      </c>
      <c r="Y1214" s="6">
        <f t="shared" si="21"/>
        <v>8.4810222822242279E-2</v>
      </c>
      <c r="Z1214" s="10">
        <v>5.9969883671549609E-2</v>
      </c>
      <c r="AA1214" s="6"/>
      <c r="AB1214" s="6"/>
    </row>
    <row r="1215" spans="1:28" x14ac:dyDescent="0.2">
      <c r="A1215" t="s">
        <v>199</v>
      </c>
      <c r="B1215">
        <v>2015</v>
      </c>
      <c r="C1215" t="s">
        <v>826</v>
      </c>
      <c r="D1215" t="s">
        <v>812</v>
      </c>
      <c r="E1215" t="s">
        <v>175</v>
      </c>
      <c r="F1215" t="s">
        <v>188</v>
      </c>
      <c r="G1215">
        <v>-31.85</v>
      </c>
      <c r="H1215">
        <v>115.7</v>
      </c>
      <c r="I1215" t="s">
        <v>766</v>
      </c>
      <c r="J1215" t="s">
        <v>14</v>
      </c>
      <c r="K1215" t="s">
        <v>200</v>
      </c>
      <c r="L1215" t="s">
        <v>143</v>
      </c>
      <c r="M1215" t="s">
        <v>26</v>
      </c>
      <c r="N1215" t="s">
        <v>85</v>
      </c>
      <c r="O1215" t="s">
        <v>839</v>
      </c>
      <c r="P1215" t="s">
        <v>72</v>
      </c>
      <c r="Q1215">
        <v>14</v>
      </c>
      <c r="R1215" t="s">
        <v>213</v>
      </c>
      <c r="S1215" s="2" t="s">
        <v>13</v>
      </c>
      <c r="T1215" s="2">
        <v>2</v>
      </c>
      <c r="U1215" s="2" t="s">
        <v>28</v>
      </c>
      <c r="V1215" s="2" t="s">
        <v>28</v>
      </c>
      <c r="W1215" s="9">
        <v>21</v>
      </c>
      <c r="X1215" s="10">
        <v>-0.39487927462052708</v>
      </c>
      <c r="Y1215" s="6">
        <f t="shared" si="21"/>
        <v>0.20303947584093796</v>
      </c>
      <c r="Z1215" s="10">
        <v>0.14357059021568941</v>
      </c>
      <c r="AA1215" s="6"/>
      <c r="AB1215" s="6"/>
    </row>
    <row r="1216" spans="1:28" x14ac:dyDescent="0.2">
      <c r="A1216" t="s">
        <v>199</v>
      </c>
      <c r="B1216">
        <v>2015</v>
      </c>
      <c r="C1216" t="s">
        <v>826</v>
      </c>
      <c r="D1216" t="s">
        <v>812</v>
      </c>
      <c r="E1216" t="s">
        <v>175</v>
      </c>
      <c r="F1216" t="s">
        <v>188</v>
      </c>
      <c r="G1216">
        <v>-31.85</v>
      </c>
      <c r="H1216">
        <v>115.7</v>
      </c>
      <c r="I1216" t="s">
        <v>766</v>
      </c>
      <c r="J1216" t="s">
        <v>14</v>
      </c>
      <c r="K1216" t="s">
        <v>200</v>
      </c>
      <c r="L1216" t="s">
        <v>143</v>
      </c>
      <c r="M1216" t="s">
        <v>26</v>
      </c>
      <c r="N1216" t="s">
        <v>85</v>
      </c>
      <c r="O1216" t="s">
        <v>839</v>
      </c>
      <c r="P1216" t="s">
        <v>72</v>
      </c>
      <c r="Q1216">
        <v>14</v>
      </c>
      <c r="R1216" t="s">
        <v>213</v>
      </c>
      <c r="S1216" s="2" t="s">
        <v>15</v>
      </c>
      <c r="T1216" s="2">
        <v>2</v>
      </c>
      <c r="U1216" s="2" t="s">
        <v>28</v>
      </c>
      <c r="V1216" s="2" t="s">
        <v>28</v>
      </c>
      <c r="W1216" s="9">
        <v>22</v>
      </c>
      <c r="X1216" s="10">
        <v>-0.37965543225171311</v>
      </c>
      <c r="Y1216" s="6">
        <f t="shared" si="21"/>
        <v>0.2984654443452685</v>
      </c>
      <c r="Z1216" s="10">
        <v>0.21104693964639543</v>
      </c>
      <c r="AA1216" s="6"/>
      <c r="AB1216" s="6"/>
    </row>
    <row r="1217" spans="1:28" x14ac:dyDescent="0.2">
      <c r="A1217" t="s">
        <v>199</v>
      </c>
      <c r="B1217">
        <v>2015</v>
      </c>
      <c r="C1217" t="s">
        <v>826</v>
      </c>
      <c r="D1217" t="s">
        <v>812</v>
      </c>
      <c r="E1217" t="s">
        <v>175</v>
      </c>
      <c r="F1217" t="s">
        <v>188</v>
      </c>
      <c r="G1217">
        <v>-31.85</v>
      </c>
      <c r="H1217">
        <v>115.7</v>
      </c>
      <c r="I1217" t="s">
        <v>766</v>
      </c>
      <c r="J1217" t="s">
        <v>14</v>
      </c>
      <c r="K1217" t="s">
        <v>200</v>
      </c>
      <c r="L1217" t="s">
        <v>143</v>
      </c>
      <c r="M1217" t="s">
        <v>26</v>
      </c>
      <c r="N1217" t="s">
        <v>85</v>
      </c>
      <c r="O1217" t="s">
        <v>839</v>
      </c>
      <c r="P1217" t="s">
        <v>72</v>
      </c>
      <c r="Q1217">
        <v>14</v>
      </c>
      <c r="R1217" t="s">
        <v>213</v>
      </c>
      <c r="S1217" s="2" t="s">
        <v>37</v>
      </c>
      <c r="T1217" s="2">
        <v>2</v>
      </c>
      <c r="U1217" s="2" t="s">
        <v>28</v>
      </c>
      <c r="V1217" s="2" t="s">
        <v>28</v>
      </c>
      <c r="W1217" s="9">
        <v>24</v>
      </c>
      <c r="X1217" s="10">
        <v>-0.65945773947374986</v>
      </c>
      <c r="Y1217" s="6">
        <f t="shared" si="21"/>
        <v>0.88365579773846159</v>
      </c>
      <c r="Z1217" s="10">
        <v>0.62483900681567439</v>
      </c>
      <c r="AA1217" s="6"/>
      <c r="AB1217" s="6"/>
    </row>
    <row r="1218" spans="1:28" x14ac:dyDescent="0.2">
      <c r="A1218" t="s">
        <v>199</v>
      </c>
      <c r="B1218">
        <v>2015</v>
      </c>
      <c r="C1218" t="s">
        <v>826</v>
      </c>
      <c r="D1218" t="s">
        <v>812</v>
      </c>
      <c r="E1218" t="s">
        <v>175</v>
      </c>
      <c r="F1218" t="s">
        <v>188</v>
      </c>
      <c r="G1218">
        <v>-31.85</v>
      </c>
      <c r="H1218">
        <v>115.7</v>
      </c>
      <c r="I1218" t="s">
        <v>766</v>
      </c>
      <c r="J1218" t="s">
        <v>14</v>
      </c>
      <c r="K1218" t="s">
        <v>200</v>
      </c>
      <c r="L1218" t="s">
        <v>143</v>
      </c>
      <c r="M1218" t="s">
        <v>26</v>
      </c>
      <c r="N1218" t="s">
        <v>85</v>
      </c>
      <c r="O1218" t="s">
        <v>839</v>
      </c>
      <c r="P1218" t="s">
        <v>72</v>
      </c>
      <c r="Q1218">
        <v>14</v>
      </c>
      <c r="R1218" t="s">
        <v>213</v>
      </c>
      <c r="S1218" s="2" t="s">
        <v>116</v>
      </c>
      <c r="T1218" s="2">
        <v>2</v>
      </c>
      <c r="U1218" s="2" t="s">
        <v>28</v>
      </c>
      <c r="V1218" s="2" t="s">
        <v>28</v>
      </c>
      <c r="W1218" s="9">
        <v>25</v>
      </c>
      <c r="X1218" s="10">
        <v>-0.51703123172618859</v>
      </c>
      <c r="Y1218" s="6">
        <f t="shared" si="21"/>
        <v>0.13265439138288848</v>
      </c>
      <c r="Z1218" s="10">
        <v>9.3800819701014754E-2</v>
      </c>
      <c r="AA1218" s="6"/>
      <c r="AB1218" s="6"/>
    </row>
    <row r="1219" spans="1:28" x14ac:dyDescent="0.2">
      <c r="A1219" t="s">
        <v>199</v>
      </c>
      <c r="B1219">
        <v>2015</v>
      </c>
      <c r="C1219" t="s">
        <v>826</v>
      </c>
      <c r="D1219" t="s">
        <v>812</v>
      </c>
      <c r="E1219" t="s">
        <v>175</v>
      </c>
      <c r="F1219" t="s">
        <v>188</v>
      </c>
      <c r="G1219">
        <v>-31.85</v>
      </c>
      <c r="H1219">
        <v>115.7</v>
      </c>
      <c r="I1219" t="s">
        <v>766</v>
      </c>
      <c r="J1219" t="s">
        <v>14</v>
      </c>
      <c r="K1219" t="s">
        <v>200</v>
      </c>
      <c r="L1219" t="s">
        <v>143</v>
      </c>
      <c r="M1219" t="s">
        <v>26</v>
      </c>
      <c r="N1219" t="s">
        <v>85</v>
      </c>
      <c r="O1219" t="s">
        <v>839</v>
      </c>
      <c r="P1219" t="s">
        <v>72</v>
      </c>
      <c r="Q1219">
        <v>14</v>
      </c>
      <c r="R1219" t="s">
        <v>213</v>
      </c>
      <c r="S1219" s="2" t="s">
        <v>117</v>
      </c>
      <c r="T1219" s="2">
        <v>2</v>
      </c>
      <c r="U1219" s="2" t="s">
        <v>28</v>
      </c>
      <c r="V1219" s="2" t="s">
        <v>28</v>
      </c>
      <c r="W1219" s="9">
        <v>27</v>
      </c>
      <c r="X1219" s="10">
        <v>-0.63733153243727236</v>
      </c>
      <c r="Y1219" s="6">
        <f t="shared" si="21"/>
        <v>0.13265439138288848</v>
      </c>
      <c r="Z1219" s="10">
        <v>9.3800819701014754E-2</v>
      </c>
      <c r="AA1219" s="6"/>
      <c r="AB1219" s="6"/>
    </row>
    <row r="1220" spans="1:28" x14ac:dyDescent="0.2">
      <c r="A1220" t="s">
        <v>199</v>
      </c>
      <c r="B1220">
        <v>2015</v>
      </c>
      <c r="C1220" t="s">
        <v>826</v>
      </c>
      <c r="D1220" t="s">
        <v>812</v>
      </c>
      <c r="E1220" t="s">
        <v>175</v>
      </c>
      <c r="F1220" t="s">
        <v>188</v>
      </c>
      <c r="G1220">
        <v>-31.85</v>
      </c>
      <c r="H1220">
        <v>115.7</v>
      </c>
      <c r="I1220" t="s">
        <v>766</v>
      </c>
      <c r="J1220" t="s">
        <v>14</v>
      </c>
      <c r="K1220" t="s">
        <v>200</v>
      </c>
      <c r="L1220" t="s">
        <v>143</v>
      </c>
      <c r="M1220" t="s">
        <v>26</v>
      </c>
      <c r="N1220" t="s">
        <v>85</v>
      </c>
      <c r="O1220" t="s">
        <v>839</v>
      </c>
      <c r="P1220" t="s">
        <v>72</v>
      </c>
      <c r="Q1220">
        <v>14</v>
      </c>
      <c r="R1220" t="s">
        <v>213</v>
      </c>
      <c r="S1220" s="2" t="s">
        <v>118</v>
      </c>
      <c r="T1220" s="2">
        <v>2</v>
      </c>
      <c r="U1220" s="2" t="s">
        <v>28</v>
      </c>
      <c r="V1220" s="2" t="s">
        <v>28</v>
      </c>
      <c r="W1220" s="9">
        <v>28</v>
      </c>
      <c r="X1220" s="10">
        <v>-1.1765702125939395</v>
      </c>
      <c r="Y1220" s="6">
        <f t="shared" si="21"/>
        <v>0.8734716232720493</v>
      </c>
      <c r="Z1220" s="10">
        <v>0.61763770798968742</v>
      </c>
      <c r="AA1220" s="6"/>
      <c r="AB1220" s="6"/>
    </row>
    <row r="1221" spans="1:28" x14ac:dyDescent="0.2">
      <c r="A1221" t="s">
        <v>199</v>
      </c>
      <c r="B1221">
        <v>2015</v>
      </c>
      <c r="C1221" t="s">
        <v>826</v>
      </c>
      <c r="D1221" t="s">
        <v>812</v>
      </c>
      <c r="E1221" t="s">
        <v>175</v>
      </c>
      <c r="F1221" t="s">
        <v>188</v>
      </c>
      <c r="G1221">
        <v>-31.85</v>
      </c>
      <c r="H1221">
        <v>115.7</v>
      </c>
      <c r="I1221" t="s">
        <v>766</v>
      </c>
      <c r="J1221" t="s">
        <v>14</v>
      </c>
      <c r="K1221" t="s">
        <v>200</v>
      </c>
      <c r="L1221" t="s">
        <v>143</v>
      </c>
      <c r="M1221" t="s">
        <v>26</v>
      </c>
      <c r="N1221" t="s">
        <v>85</v>
      </c>
      <c r="O1221" t="s">
        <v>839</v>
      </c>
      <c r="P1221" t="s">
        <v>72</v>
      </c>
      <c r="Q1221">
        <v>14</v>
      </c>
      <c r="R1221" t="s">
        <v>213</v>
      </c>
      <c r="S1221" s="2" t="s">
        <v>177</v>
      </c>
      <c r="T1221" s="2">
        <v>2</v>
      </c>
      <c r="U1221" s="2" t="s">
        <v>28</v>
      </c>
      <c r="V1221" s="2" t="s">
        <v>28</v>
      </c>
      <c r="W1221" s="9">
        <v>30</v>
      </c>
      <c r="X1221" s="10">
        <v>-0.87847672323254611</v>
      </c>
      <c r="Y1221" s="6">
        <f t="shared" si="21"/>
        <v>0.5896067725343016</v>
      </c>
      <c r="Z1221" s="10">
        <v>0.41691494709251886</v>
      </c>
      <c r="AA1221" s="6"/>
      <c r="AB1221" s="6"/>
    </row>
    <row r="1222" spans="1:28" x14ac:dyDescent="0.2">
      <c r="A1222" t="s">
        <v>199</v>
      </c>
      <c r="B1222">
        <v>2015</v>
      </c>
      <c r="C1222" t="s">
        <v>826</v>
      </c>
      <c r="D1222" t="s">
        <v>812</v>
      </c>
      <c r="E1222" t="s">
        <v>175</v>
      </c>
      <c r="F1222" t="s">
        <v>188</v>
      </c>
      <c r="G1222">
        <v>-31.85</v>
      </c>
      <c r="H1222">
        <v>115.7</v>
      </c>
      <c r="I1222" t="s">
        <v>766</v>
      </c>
      <c r="J1222" t="s">
        <v>7</v>
      </c>
      <c r="K1222" t="s">
        <v>200</v>
      </c>
      <c r="L1222" t="s">
        <v>143</v>
      </c>
      <c r="M1222" t="s">
        <v>726</v>
      </c>
      <c r="N1222" t="s">
        <v>85</v>
      </c>
      <c r="O1222" s="6" t="s">
        <v>84</v>
      </c>
      <c r="Q1222">
        <v>2</v>
      </c>
      <c r="R1222" t="s">
        <v>214</v>
      </c>
      <c r="S1222" s="2" t="s">
        <v>7</v>
      </c>
      <c r="T1222" s="2">
        <v>2</v>
      </c>
      <c r="U1222" s="2" t="s">
        <v>28</v>
      </c>
      <c r="V1222" s="2" t="s">
        <v>28</v>
      </c>
      <c r="W1222" s="12">
        <v>16</v>
      </c>
      <c r="X1222" s="11">
        <v>0.80099999999999993</v>
      </c>
      <c r="Y1222" s="11">
        <v>2.1003171718412265E-2</v>
      </c>
      <c r="AA1222" s="6"/>
      <c r="AB1222" s="6"/>
    </row>
    <row r="1223" spans="1:28" x14ac:dyDescent="0.2">
      <c r="A1223" t="s">
        <v>199</v>
      </c>
      <c r="B1223">
        <v>2015</v>
      </c>
      <c r="C1223" t="s">
        <v>826</v>
      </c>
      <c r="D1223" t="s">
        <v>812</v>
      </c>
      <c r="E1223" t="s">
        <v>175</v>
      </c>
      <c r="F1223" t="s">
        <v>188</v>
      </c>
      <c r="G1223">
        <v>-31.85</v>
      </c>
      <c r="H1223">
        <v>115.7</v>
      </c>
      <c r="I1223" t="s">
        <v>766</v>
      </c>
      <c r="J1223" t="s">
        <v>14</v>
      </c>
      <c r="K1223" t="s">
        <v>200</v>
      </c>
      <c r="L1223" t="s">
        <v>143</v>
      </c>
      <c r="M1223" t="s">
        <v>726</v>
      </c>
      <c r="N1223" t="s">
        <v>85</v>
      </c>
      <c r="O1223" s="6" t="s">
        <v>84</v>
      </c>
      <c r="Q1223">
        <v>2</v>
      </c>
      <c r="R1223" t="s">
        <v>214</v>
      </c>
      <c r="S1223" s="2" t="s">
        <v>9</v>
      </c>
      <c r="T1223" s="2">
        <v>2</v>
      </c>
      <c r="U1223" s="2" t="s">
        <v>28</v>
      </c>
      <c r="V1223" s="2" t="s">
        <v>28</v>
      </c>
      <c r="W1223" s="12">
        <v>18</v>
      </c>
      <c r="X1223" s="11">
        <v>0.72399999999999998</v>
      </c>
      <c r="Y1223" s="11">
        <v>8.0012082736809223E-2</v>
      </c>
      <c r="AA1223" s="6"/>
      <c r="AB1223" s="6"/>
    </row>
    <row r="1224" spans="1:28" x14ac:dyDescent="0.2">
      <c r="A1224" t="s">
        <v>199</v>
      </c>
      <c r="B1224">
        <v>2015</v>
      </c>
      <c r="C1224" t="s">
        <v>826</v>
      </c>
      <c r="D1224" t="s">
        <v>812</v>
      </c>
      <c r="E1224" t="s">
        <v>175</v>
      </c>
      <c r="F1224" t="s">
        <v>188</v>
      </c>
      <c r="G1224">
        <v>-31.85</v>
      </c>
      <c r="H1224">
        <v>115.7</v>
      </c>
      <c r="I1224" t="s">
        <v>766</v>
      </c>
      <c r="J1224" t="s">
        <v>14</v>
      </c>
      <c r="K1224" t="s">
        <v>200</v>
      </c>
      <c r="L1224" t="s">
        <v>143</v>
      </c>
      <c r="M1224" t="s">
        <v>726</v>
      </c>
      <c r="N1224" t="s">
        <v>85</v>
      </c>
      <c r="O1224" s="6" t="s">
        <v>84</v>
      </c>
      <c r="Q1224">
        <v>2</v>
      </c>
      <c r="R1224" t="s">
        <v>214</v>
      </c>
      <c r="S1224" s="2" t="s">
        <v>27</v>
      </c>
      <c r="T1224" s="2">
        <v>2</v>
      </c>
      <c r="U1224" s="2" t="s">
        <v>28</v>
      </c>
      <c r="V1224" s="2" t="s">
        <v>28</v>
      </c>
      <c r="W1224" s="12">
        <v>19</v>
      </c>
      <c r="X1224" s="11">
        <v>0.747</v>
      </c>
      <c r="Y1224" s="11">
        <v>4.3006494471034759E-2</v>
      </c>
      <c r="AA1224" s="6"/>
      <c r="AB1224" s="6"/>
    </row>
    <row r="1225" spans="1:28" x14ac:dyDescent="0.2">
      <c r="A1225" t="s">
        <v>199</v>
      </c>
      <c r="B1225">
        <v>2015</v>
      </c>
      <c r="C1225" t="s">
        <v>826</v>
      </c>
      <c r="D1225" t="s">
        <v>812</v>
      </c>
      <c r="E1225" t="s">
        <v>175</v>
      </c>
      <c r="F1225" t="s">
        <v>188</v>
      </c>
      <c r="G1225">
        <v>-31.85</v>
      </c>
      <c r="H1225">
        <v>115.7</v>
      </c>
      <c r="I1225" t="s">
        <v>766</v>
      </c>
      <c r="J1225" t="s">
        <v>14</v>
      </c>
      <c r="K1225" t="s">
        <v>200</v>
      </c>
      <c r="L1225" t="s">
        <v>143</v>
      </c>
      <c r="M1225" t="s">
        <v>726</v>
      </c>
      <c r="N1225" t="s">
        <v>85</v>
      </c>
      <c r="O1225" s="6" t="s">
        <v>84</v>
      </c>
      <c r="Q1225">
        <v>2</v>
      </c>
      <c r="R1225" t="s">
        <v>214</v>
      </c>
      <c r="S1225" s="2" t="s">
        <v>13</v>
      </c>
      <c r="T1225" s="2">
        <v>2</v>
      </c>
      <c r="U1225" s="2" t="s">
        <v>28</v>
      </c>
      <c r="V1225" s="2" t="s">
        <v>28</v>
      </c>
      <c r="W1225" s="12">
        <v>21</v>
      </c>
      <c r="X1225" s="11">
        <v>0.73150000000000004</v>
      </c>
      <c r="Y1225" s="11">
        <v>6.1509288603921748E-2</v>
      </c>
      <c r="AA1225" s="6"/>
      <c r="AB1225" s="6"/>
    </row>
    <row r="1226" spans="1:28" x14ac:dyDescent="0.2">
      <c r="A1226" t="s">
        <v>199</v>
      </c>
      <c r="B1226">
        <v>2015</v>
      </c>
      <c r="C1226" t="s">
        <v>826</v>
      </c>
      <c r="D1226" t="s">
        <v>812</v>
      </c>
      <c r="E1226" t="s">
        <v>175</v>
      </c>
      <c r="F1226" t="s">
        <v>188</v>
      </c>
      <c r="G1226">
        <v>-31.85</v>
      </c>
      <c r="H1226">
        <v>115.7</v>
      </c>
      <c r="I1226" t="s">
        <v>766</v>
      </c>
      <c r="J1226" t="s">
        <v>14</v>
      </c>
      <c r="K1226" t="s">
        <v>200</v>
      </c>
      <c r="L1226" t="s">
        <v>143</v>
      </c>
      <c r="M1226" t="s">
        <v>726</v>
      </c>
      <c r="N1226" t="s">
        <v>85</v>
      </c>
      <c r="O1226" s="6" t="s">
        <v>84</v>
      </c>
      <c r="Q1226">
        <v>2</v>
      </c>
      <c r="R1226" t="s">
        <v>214</v>
      </c>
      <c r="S1226" s="2" t="s">
        <v>15</v>
      </c>
      <c r="T1226" s="2">
        <v>2</v>
      </c>
      <c r="U1226" s="2" t="s">
        <v>28</v>
      </c>
      <c r="V1226" s="2" t="s">
        <v>28</v>
      </c>
      <c r="W1226" s="12">
        <v>22</v>
      </c>
      <c r="X1226" s="11">
        <v>0.70050000000000001</v>
      </c>
      <c r="Y1226" s="11">
        <v>3.6505512748668985E-2</v>
      </c>
      <c r="AA1226" s="6"/>
      <c r="AB1226" s="6"/>
    </row>
    <row r="1227" spans="1:28" x14ac:dyDescent="0.2">
      <c r="A1227" t="s">
        <v>199</v>
      </c>
      <c r="B1227">
        <v>2015</v>
      </c>
      <c r="C1227" t="s">
        <v>826</v>
      </c>
      <c r="D1227" t="s">
        <v>812</v>
      </c>
      <c r="E1227" t="s">
        <v>175</v>
      </c>
      <c r="F1227" t="s">
        <v>188</v>
      </c>
      <c r="G1227">
        <v>-31.85</v>
      </c>
      <c r="H1227">
        <v>115.7</v>
      </c>
      <c r="I1227" t="s">
        <v>766</v>
      </c>
      <c r="J1227" t="s">
        <v>14</v>
      </c>
      <c r="K1227" t="s">
        <v>200</v>
      </c>
      <c r="L1227" t="s">
        <v>143</v>
      </c>
      <c r="M1227" t="s">
        <v>726</v>
      </c>
      <c r="N1227" t="s">
        <v>85</v>
      </c>
      <c r="O1227" s="6" t="s">
        <v>84</v>
      </c>
      <c r="Q1227">
        <v>2</v>
      </c>
      <c r="R1227" t="s">
        <v>214</v>
      </c>
      <c r="S1227" s="2" t="s">
        <v>37</v>
      </c>
      <c r="T1227" s="2">
        <v>2</v>
      </c>
      <c r="U1227" s="2" t="s">
        <v>28</v>
      </c>
      <c r="V1227" s="2" t="s">
        <v>28</v>
      </c>
      <c r="W1227" s="12">
        <v>24</v>
      </c>
      <c r="X1227" s="11">
        <v>0.62749999999999995</v>
      </c>
      <c r="Y1227" s="11">
        <v>2.0503096201307268E-2</v>
      </c>
      <c r="AA1227" s="6"/>
      <c r="AB1227" s="6"/>
    </row>
    <row r="1228" spans="1:28" x14ac:dyDescent="0.2">
      <c r="A1228" t="s">
        <v>199</v>
      </c>
      <c r="B1228">
        <v>2015</v>
      </c>
      <c r="C1228" t="s">
        <v>826</v>
      </c>
      <c r="D1228" t="s">
        <v>812</v>
      </c>
      <c r="E1228" t="s">
        <v>175</v>
      </c>
      <c r="F1228" t="s">
        <v>188</v>
      </c>
      <c r="G1228">
        <v>-31.85</v>
      </c>
      <c r="H1228">
        <v>115.7</v>
      </c>
      <c r="I1228" t="s">
        <v>766</v>
      </c>
      <c r="J1228" t="s">
        <v>14</v>
      </c>
      <c r="K1228" t="s">
        <v>200</v>
      </c>
      <c r="L1228" t="s">
        <v>143</v>
      </c>
      <c r="M1228" t="s">
        <v>726</v>
      </c>
      <c r="N1228" t="s">
        <v>85</v>
      </c>
      <c r="O1228" s="6" t="s">
        <v>84</v>
      </c>
      <c r="Q1228">
        <v>2</v>
      </c>
      <c r="R1228" t="s">
        <v>214</v>
      </c>
      <c r="S1228" s="2" t="s">
        <v>116</v>
      </c>
      <c r="T1228" s="2">
        <v>2</v>
      </c>
      <c r="U1228" s="2" t="s">
        <v>28</v>
      </c>
      <c r="V1228" s="2" t="s">
        <v>28</v>
      </c>
      <c r="W1228" s="12">
        <v>25</v>
      </c>
      <c r="X1228" s="11">
        <v>0.57999999999999996</v>
      </c>
      <c r="Y1228" s="11">
        <v>1.3001963444731439E-2</v>
      </c>
      <c r="AA1228" s="6"/>
      <c r="AB1228" s="6"/>
    </row>
    <row r="1229" spans="1:28" x14ac:dyDescent="0.2">
      <c r="A1229" t="s">
        <v>199</v>
      </c>
      <c r="B1229">
        <v>2015</v>
      </c>
      <c r="C1229" t="s">
        <v>826</v>
      </c>
      <c r="D1229" t="s">
        <v>812</v>
      </c>
      <c r="E1229" t="s">
        <v>175</v>
      </c>
      <c r="F1229" t="s">
        <v>188</v>
      </c>
      <c r="G1229">
        <v>-31.85</v>
      </c>
      <c r="H1229">
        <v>115.7</v>
      </c>
      <c r="I1229" t="s">
        <v>766</v>
      </c>
      <c r="J1229" t="s">
        <v>14</v>
      </c>
      <c r="K1229" t="s">
        <v>200</v>
      </c>
      <c r="L1229" t="s">
        <v>143</v>
      </c>
      <c r="M1229" t="s">
        <v>726</v>
      </c>
      <c r="N1229" t="s">
        <v>85</v>
      </c>
      <c r="O1229" s="6" t="s">
        <v>84</v>
      </c>
      <c r="Q1229">
        <v>2</v>
      </c>
      <c r="R1229" t="s">
        <v>214</v>
      </c>
      <c r="S1229" s="2" t="s">
        <v>117</v>
      </c>
      <c r="T1229" s="2">
        <v>2</v>
      </c>
      <c r="U1229" s="2" t="s">
        <v>28</v>
      </c>
      <c r="V1229" s="2" t="s">
        <v>28</v>
      </c>
      <c r="W1229" s="12">
        <v>27</v>
      </c>
      <c r="X1229" s="11">
        <v>0.68200000000000005</v>
      </c>
      <c r="Y1229" s="11">
        <v>0</v>
      </c>
      <c r="AA1229" s="6"/>
      <c r="AB1229" s="6"/>
    </row>
    <row r="1230" spans="1:28" x14ac:dyDescent="0.2">
      <c r="A1230" t="s">
        <v>199</v>
      </c>
      <c r="B1230">
        <v>2015</v>
      </c>
      <c r="C1230" t="s">
        <v>826</v>
      </c>
      <c r="D1230" t="s">
        <v>812</v>
      </c>
      <c r="E1230" t="s">
        <v>175</v>
      </c>
      <c r="F1230" t="s">
        <v>188</v>
      </c>
      <c r="G1230">
        <v>-31.85</v>
      </c>
      <c r="H1230">
        <v>115.7</v>
      </c>
      <c r="I1230" t="s">
        <v>766</v>
      </c>
      <c r="J1230" t="s">
        <v>14</v>
      </c>
      <c r="K1230" t="s">
        <v>200</v>
      </c>
      <c r="L1230" t="s">
        <v>143</v>
      </c>
      <c r="M1230" t="s">
        <v>726</v>
      </c>
      <c r="N1230" t="s">
        <v>85</v>
      </c>
      <c r="O1230" s="6" t="s">
        <v>84</v>
      </c>
      <c r="Q1230">
        <v>2</v>
      </c>
      <c r="R1230" t="s">
        <v>214</v>
      </c>
      <c r="S1230" s="2" t="s">
        <v>118</v>
      </c>
      <c r="T1230" s="2">
        <v>2</v>
      </c>
      <c r="U1230" s="2" t="s">
        <v>28</v>
      </c>
      <c r="V1230" s="2" t="s">
        <v>28</v>
      </c>
      <c r="W1230" s="12">
        <v>28</v>
      </c>
      <c r="X1230" s="11">
        <v>0.30599999999999999</v>
      </c>
      <c r="Y1230" s="11">
        <v>0</v>
      </c>
      <c r="AA1230" s="6"/>
      <c r="AB1230" s="6"/>
    </row>
    <row r="1231" spans="1:28" x14ac:dyDescent="0.2">
      <c r="A1231" t="s">
        <v>199</v>
      </c>
      <c r="B1231">
        <v>2015</v>
      </c>
      <c r="C1231" t="s">
        <v>826</v>
      </c>
      <c r="D1231" t="s">
        <v>812</v>
      </c>
      <c r="E1231" t="s">
        <v>175</v>
      </c>
      <c r="F1231" t="s">
        <v>188</v>
      </c>
      <c r="G1231">
        <v>-31.85</v>
      </c>
      <c r="H1231">
        <v>115.7</v>
      </c>
      <c r="I1231" t="s">
        <v>766</v>
      </c>
      <c r="J1231" t="s">
        <v>14</v>
      </c>
      <c r="K1231" t="s">
        <v>200</v>
      </c>
      <c r="L1231" t="s">
        <v>143</v>
      </c>
      <c r="M1231" t="s">
        <v>726</v>
      </c>
      <c r="N1231" t="s">
        <v>85</v>
      </c>
      <c r="O1231" s="6" t="s">
        <v>84</v>
      </c>
      <c r="Q1231">
        <v>2</v>
      </c>
      <c r="R1231" t="s">
        <v>214</v>
      </c>
      <c r="S1231" s="2" t="s">
        <v>177</v>
      </c>
      <c r="T1231" s="2">
        <v>2</v>
      </c>
      <c r="U1231" s="2" t="s">
        <v>28</v>
      </c>
      <c r="V1231" s="2" t="s">
        <v>28</v>
      </c>
      <c r="W1231" s="12">
        <v>30</v>
      </c>
      <c r="X1231" s="11">
        <v>0</v>
      </c>
      <c r="Y1231" s="11">
        <v>0</v>
      </c>
      <c r="AA1231" s="6"/>
      <c r="AB1231" s="6"/>
    </row>
    <row r="1232" spans="1:28" x14ac:dyDescent="0.2">
      <c r="A1232" t="s">
        <v>199</v>
      </c>
      <c r="B1232">
        <v>2015</v>
      </c>
      <c r="C1232" t="s">
        <v>826</v>
      </c>
      <c r="D1232" t="s">
        <v>812</v>
      </c>
      <c r="E1232" t="s">
        <v>175</v>
      </c>
      <c r="F1232" t="s">
        <v>188</v>
      </c>
      <c r="G1232">
        <v>-31.85</v>
      </c>
      <c r="H1232">
        <v>115.7</v>
      </c>
      <c r="I1232" t="s">
        <v>766</v>
      </c>
      <c r="J1232" t="s">
        <v>7</v>
      </c>
      <c r="K1232" t="s">
        <v>200</v>
      </c>
      <c r="L1232" t="s">
        <v>143</v>
      </c>
      <c r="M1232" t="s">
        <v>726</v>
      </c>
      <c r="N1232" t="s">
        <v>85</v>
      </c>
      <c r="O1232" s="6" t="s">
        <v>84</v>
      </c>
      <c r="Q1232">
        <v>7</v>
      </c>
      <c r="R1232" t="s">
        <v>214</v>
      </c>
      <c r="S1232" s="2" t="s">
        <v>7</v>
      </c>
      <c r="T1232" s="2">
        <v>2</v>
      </c>
      <c r="U1232" s="2" t="s">
        <v>28</v>
      </c>
      <c r="V1232" s="2" t="s">
        <v>28</v>
      </c>
      <c r="W1232" s="12">
        <v>16</v>
      </c>
      <c r="X1232" s="13">
        <v>0.75800000000000001</v>
      </c>
      <c r="Y1232" s="13">
        <v>1E-3</v>
      </c>
      <c r="AA1232" s="6"/>
      <c r="AB1232" s="6"/>
    </row>
    <row r="1233" spans="1:28" x14ac:dyDescent="0.2">
      <c r="A1233" t="s">
        <v>199</v>
      </c>
      <c r="B1233">
        <v>2015</v>
      </c>
      <c r="C1233" t="s">
        <v>826</v>
      </c>
      <c r="D1233" t="s">
        <v>812</v>
      </c>
      <c r="E1233" t="s">
        <v>175</v>
      </c>
      <c r="F1233" t="s">
        <v>188</v>
      </c>
      <c r="G1233">
        <v>-31.85</v>
      </c>
      <c r="H1233">
        <v>115.7</v>
      </c>
      <c r="I1233" t="s">
        <v>766</v>
      </c>
      <c r="J1233" t="s">
        <v>14</v>
      </c>
      <c r="K1233" t="s">
        <v>200</v>
      </c>
      <c r="L1233" t="s">
        <v>143</v>
      </c>
      <c r="M1233" t="s">
        <v>726</v>
      </c>
      <c r="N1233" t="s">
        <v>85</v>
      </c>
      <c r="O1233" s="6" t="s">
        <v>84</v>
      </c>
      <c r="Q1233">
        <v>7</v>
      </c>
      <c r="R1233" t="s">
        <v>214</v>
      </c>
      <c r="S1233" s="2" t="s">
        <v>9</v>
      </c>
      <c r="T1233" s="2">
        <v>2</v>
      </c>
      <c r="U1233" s="2" t="s">
        <v>28</v>
      </c>
      <c r="V1233" s="2" t="s">
        <v>28</v>
      </c>
      <c r="W1233" s="12">
        <v>18</v>
      </c>
      <c r="X1233" s="13">
        <v>0.65100000000000002</v>
      </c>
      <c r="Y1233" s="13">
        <v>0.111</v>
      </c>
      <c r="AA1233" s="6"/>
      <c r="AB1233" s="6"/>
    </row>
    <row r="1234" spans="1:28" x14ac:dyDescent="0.2">
      <c r="A1234" t="s">
        <v>199</v>
      </c>
      <c r="B1234">
        <v>2015</v>
      </c>
      <c r="C1234" t="s">
        <v>826</v>
      </c>
      <c r="D1234" t="s">
        <v>812</v>
      </c>
      <c r="E1234" t="s">
        <v>175</v>
      </c>
      <c r="F1234" t="s">
        <v>188</v>
      </c>
      <c r="G1234">
        <v>-31.85</v>
      </c>
      <c r="H1234">
        <v>115.7</v>
      </c>
      <c r="I1234" t="s">
        <v>766</v>
      </c>
      <c r="J1234" t="s">
        <v>14</v>
      </c>
      <c r="K1234" t="s">
        <v>200</v>
      </c>
      <c r="L1234" t="s">
        <v>143</v>
      </c>
      <c r="M1234" t="s">
        <v>726</v>
      </c>
      <c r="N1234" t="s">
        <v>85</v>
      </c>
      <c r="O1234" s="6" t="s">
        <v>84</v>
      </c>
      <c r="Q1234">
        <v>7</v>
      </c>
      <c r="R1234" t="s">
        <v>214</v>
      </c>
      <c r="S1234" s="2" t="s">
        <v>27</v>
      </c>
      <c r="T1234" s="2">
        <v>2</v>
      </c>
      <c r="U1234" s="2" t="s">
        <v>28</v>
      </c>
      <c r="V1234" s="2" t="s">
        <v>28</v>
      </c>
      <c r="W1234" s="12">
        <v>19</v>
      </c>
      <c r="X1234" s="13">
        <v>0.76100000000000001</v>
      </c>
      <c r="Y1234" s="13">
        <v>0</v>
      </c>
      <c r="AA1234" s="6"/>
      <c r="AB1234" s="6"/>
    </row>
    <row r="1235" spans="1:28" x14ac:dyDescent="0.2">
      <c r="A1235" t="s">
        <v>199</v>
      </c>
      <c r="B1235">
        <v>2015</v>
      </c>
      <c r="C1235" t="s">
        <v>826</v>
      </c>
      <c r="D1235" t="s">
        <v>812</v>
      </c>
      <c r="E1235" t="s">
        <v>175</v>
      </c>
      <c r="F1235" t="s">
        <v>188</v>
      </c>
      <c r="G1235">
        <v>-31.85</v>
      </c>
      <c r="H1235">
        <v>115.7</v>
      </c>
      <c r="I1235" t="s">
        <v>766</v>
      </c>
      <c r="J1235" t="s">
        <v>14</v>
      </c>
      <c r="K1235" t="s">
        <v>200</v>
      </c>
      <c r="L1235" t="s">
        <v>143</v>
      </c>
      <c r="M1235" t="s">
        <v>726</v>
      </c>
      <c r="N1235" t="s">
        <v>85</v>
      </c>
      <c r="O1235" s="6" t="s">
        <v>84</v>
      </c>
      <c r="Q1235">
        <v>7</v>
      </c>
      <c r="R1235" t="s">
        <v>214</v>
      </c>
      <c r="S1235" s="2" t="s">
        <v>13</v>
      </c>
      <c r="T1235" s="2">
        <v>2</v>
      </c>
      <c r="U1235" s="2" t="s">
        <v>28</v>
      </c>
      <c r="V1235" s="2" t="s">
        <v>28</v>
      </c>
      <c r="W1235" s="12">
        <v>21</v>
      </c>
      <c r="X1235" s="13">
        <v>0.69299999999999995</v>
      </c>
      <c r="Y1235" s="13">
        <v>4.2999999999999997E-2</v>
      </c>
      <c r="AA1235" s="6"/>
      <c r="AB1235" s="6"/>
    </row>
    <row r="1236" spans="1:28" x14ac:dyDescent="0.2">
      <c r="A1236" t="s">
        <v>199</v>
      </c>
      <c r="B1236">
        <v>2015</v>
      </c>
      <c r="C1236" t="s">
        <v>826</v>
      </c>
      <c r="D1236" t="s">
        <v>812</v>
      </c>
      <c r="E1236" t="s">
        <v>175</v>
      </c>
      <c r="F1236" t="s">
        <v>188</v>
      </c>
      <c r="G1236">
        <v>-31.85</v>
      </c>
      <c r="H1236">
        <v>115.7</v>
      </c>
      <c r="I1236" t="s">
        <v>766</v>
      </c>
      <c r="J1236" t="s">
        <v>14</v>
      </c>
      <c r="K1236" t="s">
        <v>200</v>
      </c>
      <c r="L1236" t="s">
        <v>143</v>
      </c>
      <c r="M1236" t="s">
        <v>726</v>
      </c>
      <c r="N1236" t="s">
        <v>85</v>
      </c>
      <c r="O1236" s="6" t="s">
        <v>84</v>
      </c>
      <c r="Q1236">
        <v>7</v>
      </c>
      <c r="R1236" t="s">
        <v>214</v>
      </c>
      <c r="S1236" s="2" t="s">
        <v>15</v>
      </c>
      <c r="T1236" s="2">
        <v>2</v>
      </c>
      <c r="U1236" s="2" t="s">
        <v>28</v>
      </c>
      <c r="V1236" s="2" t="s">
        <v>28</v>
      </c>
      <c r="W1236" s="12">
        <v>22</v>
      </c>
      <c r="X1236" s="13">
        <v>0.69699999999999995</v>
      </c>
      <c r="Y1236" s="13">
        <v>1E-3</v>
      </c>
      <c r="AA1236" s="6"/>
      <c r="AB1236" s="6"/>
    </row>
    <row r="1237" spans="1:28" x14ac:dyDescent="0.2">
      <c r="A1237" t="s">
        <v>199</v>
      </c>
      <c r="B1237">
        <v>2015</v>
      </c>
      <c r="C1237" t="s">
        <v>826</v>
      </c>
      <c r="D1237" t="s">
        <v>812</v>
      </c>
      <c r="E1237" t="s">
        <v>175</v>
      </c>
      <c r="F1237" t="s">
        <v>188</v>
      </c>
      <c r="G1237">
        <v>-31.85</v>
      </c>
      <c r="H1237">
        <v>115.7</v>
      </c>
      <c r="I1237" t="s">
        <v>766</v>
      </c>
      <c r="J1237" t="s">
        <v>14</v>
      </c>
      <c r="K1237" t="s">
        <v>200</v>
      </c>
      <c r="L1237" t="s">
        <v>143</v>
      </c>
      <c r="M1237" t="s">
        <v>726</v>
      </c>
      <c r="N1237" t="s">
        <v>85</v>
      </c>
      <c r="O1237" s="6" t="s">
        <v>84</v>
      </c>
      <c r="Q1237">
        <v>7</v>
      </c>
      <c r="R1237" t="s">
        <v>214</v>
      </c>
      <c r="S1237" s="2" t="s">
        <v>37</v>
      </c>
      <c r="T1237" s="2">
        <v>2</v>
      </c>
      <c r="U1237" s="2" t="s">
        <v>28</v>
      </c>
      <c r="V1237" s="2" t="s">
        <v>28</v>
      </c>
      <c r="W1237" s="12">
        <v>24</v>
      </c>
      <c r="X1237" s="13">
        <v>0.55300000000000005</v>
      </c>
      <c r="Y1237" s="13">
        <v>0.02</v>
      </c>
      <c r="AA1237" s="6"/>
      <c r="AB1237" s="6"/>
    </row>
    <row r="1238" spans="1:28" x14ac:dyDescent="0.2">
      <c r="A1238" t="s">
        <v>199</v>
      </c>
      <c r="B1238">
        <v>2015</v>
      </c>
      <c r="C1238" t="s">
        <v>826</v>
      </c>
      <c r="D1238" t="s">
        <v>812</v>
      </c>
      <c r="E1238" t="s">
        <v>175</v>
      </c>
      <c r="F1238" t="s">
        <v>188</v>
      </c>
      <c r="G1238">
        <v>-31.85</v>
      </c>
      <c r="H1238">
        <v>115.7</v>
      </c>
      <c r="I1238" t="s">
        <v>766</v>
      </c>
      <c r="J1238" t="s">
        <v>14</v>
      </c>
      <c r="K1238" t="s">
        <v>200</v>
      </c>
      <c r="L1238" t="s">
        <v>143</v>
      </c>
      <c r="M1238" t="s">
        <v>726</v>
      </c>
      <c r="N1238" t="s">
        <v>85</v>
      </c>
      <c r="O1238" s="6" t="s">
        <v>84</v>
      </c>
      <c r="Q1238">
        <v>7</v>
      </c>
      <c r="R1238" t="s">
        <v>214</v>
      </c>
      <c r="S1238" s="2" t="s">
        <v>116</v>
      </c>
      <c r="T1238" s="2">
        <v>2</v>
      </c>
      <c r="U1238" s="2" t="s">
        <v>28</v>
      </c>
      <c r="V1238" s="2" t="s">
        <v>28</v>
      </c>
      <c r="W1238" s="12">
        <v>25</v>
      </c>
      <c r="X1238" s="13">
        <v>0</v>
      </c>
      <c r="Y1238" s="13">
        <v>0</v>
      </c>
      <c r="AA1238" s="6"/>
      <c r="AB1238" s="6"/>
    </row>
    <row r="1239" spans="1:28" x14ac:dyDescent="0.2">
      <c r="A1239" t="s">
        <v>199</v>
      </c>
      <c r="B1239">
        <v>2015</v>
      </c>
      <c r="C1239" t="s">
        <v>826</v>
      </c>
      <c r="D1239" t="s">
        <v>812</v>
      </c>
      <c r="E1239" t="s">
        <v>175</v>
      </c>
      <c r="F1239" t="s">
        <v>188</v>
      </c>
      <c r="G1239">
        <v>-31.85</v>
      </c>
      <c r="H1239">
        <v>115.7</v>
      </c>
      <c r="I1239" t="s">
        <v>766</v>
      </c>
      <c r="J1239" t="s">
        <v>7</v>
      </c>
      <c r="K1239" t="s">
        <v>200</v>
      </c>
      <c r="L1239" t="s">
        <v>143</v>
      </c>
      <c r="M1239" t="s">
        <v>726</v>
      </c>
      <c r="N1239" t="s">
        <v>85</v>
      </c>
      <c r="O1239" s="6" t="s">
        <v>84</v>
      </c>
      <c r="Q1239">
        <v>10</v>
      </c>
      <c r="R1239" t="s">
        <v>214</v>
      </c>
      <c r="S1239" s="2" t="s">
        <v>7</v>
      </c>
      <c r="T1239" s="2">
        <v>2</v>
      </c>
      <c r="U1239" s="2" t="s">
        <v>28</v>
      </c>
      <c r="V1239" s="2" t="s">
        <v>28</v>
      </c>
      <c r="W1239" s="12">
        <v>16</v>
      </c>
      <c r="X1239" s="13">
        <v>0.75900000000000001</v>
      </c>
      <c r="Y1239" s="13">
        <v>1.6E-2</v>
      </c>
      <c r="AA1239" s="6"/>
      <c r="AB1239" s="6"/>
    </row>
    <row r="1240" spans="1:28" x14ac:dyDescent="0.2">
      <c r="A1240" t="s">
        <v>199</v>
      </c>
      <c r="B1240">
        <v>2015</v>
      </c>
      <c r="C1240" t="s">
        <v>826</v>
      </c>
      <c r="D1240" t="s">
        <v>812</v>
      </c>
      <c r="E1240" t="s">
        <v>175</v>
      </c>
      <c r="F1240" t="s">
        <v>188</v>
      </c>
      <c r="G1240">
        <v>-31.85</v>
      </c>
      <c r="H1240">
        <v>115.7</v>
      </c>
      <c r="I1240" t="s">
        <v>766</v>
      </c>
      <c r="J1240" t="s">
        <v>14</v>
      </c>
      <c r="K1240" t="s">
        <v>200</v>
      </c>
      <c r="L1240" t="s">
        <v>143</v>
      </c>
      <c r="M1240" t="s">
        <v>726</v>
      </c>
      <c r="N1240" t="s">
        <v>85</v>
      </c>
      <c r="O1240" s="6" t="s">
        <v>84</v>
      </c>
      <c r="Q1240">
        <v>10</v>
      </c>
      <c r="R1240" t="s">
        <v>214</v>
      </c>
      <c r="S1240" s="2" t="s">
        <v>9</v>
      </c>
      <c r="T1240" s="2">
        <v>2</v>
      </c>
      <c r="U1240" s="2" t="s">
        <v>28</v>
      </c>
      <c r="V1240" s="2" t="s">
        <v>28</v>
      </c>
      <c r="W1240" s="12">
        <v>18</v>
      </c>
      <c r="X1240" s="13">
        <v>0.60299999999999998</v>
      </c>
      <c r="Y1240" s="13">
        <v>1.2E-2</v>
      </c>
      <c r="AA1240" s="6"/>
      <c r="AB1240" s="6"/>
    </row>
    <row r="1241" spans="1:28" x14ac:dyDescent="0.2">
      <c r="A1241" t="s">
        <v>199</v>
      </c>
      <c r="B1241">
        <v>2015</v>
      </c>
      <c r="C1241" t="s">
        <v>826</v>
      </c>
      <c r="D1241" t="s">
        <v>812</v>
      </c>
      <c r="E1241" t="s">
        <v>175</v>
      </c>
      <c r="F1241" t="s">
        <v>188</v>
      </c>
      <c r="G1241">
        <v>-31.85</v>
      </c>
      <c r="H1241">
        <v>115.7</v>
      </c>
      <c r="I1241" t="s">
        <v>766</v>
      </c>
      <c r="J1241" t="s">
        <v>14</v>
      </c>
      <c r="K1241" t="s">
        <v>200</v>
      </c>
      <c r="L1241" t="s">
        <v>143</v>
      </c>
      <c r="M1241" t="s">
        <v>726</v>
      </c>
      <c r="N1241" t="s">
        <v>85</v>
      </c>
      <c r="O1241" s="6" t="s">
        <v>84</v>
      </c>
      <c r="Q1241">
        <v>10</v>
      </c>
      <c r="R1241" t="s">
        <v>214</v>
      </c>
      <c r="S1241" s="2" t="s">
        <v>27</v>
      </c>
      <c r="T1241" s="2">
        <v>2</v>
      </c>
      <c r="U1241" s="2" t="s">
        <v>28</v>
      </c>
      <c r="V1241" s="2" t="s">
        <v>28</v>
      </c>
      <c r="W1241" s="12">
        <v>19</v>
      </c>
      <c r="X1241" s="13">
        <v>0.57799999999999996</v>
      </c>
      <c r="Y1241" s="13">
        <v>1.4999999999999999E-2</v>
      </c>
      <c r="AA1241" s="6"/>
      <c r="AB1241" s="6"/>
    </row>
    <row r="1242" spans="1:28" x14ac:dyDescent="0.2">
      <c r="A1242" t="s">
        <v>199</v>
      </c>
      <c r="B1242">
        <v>2015</v>
      </c>
      <c r="C1242" t="s">
        <v>826</v>
      </c>
      <c r="D1242" t="s">
        <v>812</v>
      </c>
      <c r="E1242" t="s">
        <v>175</v>
      </c>
      <c r="F1242" t="s">
        <v>188</v>
      </c>
      <c r="G1242">
        <v>-31.85</v>
      </c>
      <c r="H1242">
        <v>115.7</v>
      </c>
      <c r="I1242" t="s">
        <v>766</v>
      </c>
      <c r="J1242" t="s">
        <v>14</v>
      </c>
      <c r="K1242" t="s">
        <v>200</v>
      </c>
      <c r="L1242" t="s">
        <v>143</v>
      </c>
      <c r="M1242" t="s">
        <v>726</v>
      </c>
      <c r="N1242" t="s">
        <v>85</v>
      </c>
      <c r="O1242" s="6" t="s">
        <v>84</v>
      </c>
      <c r="Q1242">
        <v>10</v>
      </c>
      <c r="R1242" t="s">
        <v>214</v>
      </c>
      <c r="S1242" s="2" t="s">
        <v>13</v>
      </c>
      <c r="T1242" s="2">
        <v>2</v>
      </c>
      <c r="U1242" s="2" t="s">
        <v>28</v>
      </c>
      <c r="V1242" s="2" t="s">
        <v>28</v>
      </c>
      <c r="W1242" s="12">
        <v>21</v>
      </c>
      <c r="X1242" s="13">
        <v>0.51600000000000001</v>
      </c>
      <c r="Y1242" s="13">
        <v>1.6E-2</v>
      </c>
      <c r="AA1242" s="6"/>
      <c r="AB1242" s="6"/>
    </row>
    <row r="1243" spans="1:28" x14ac:dyDescent="0.2">
      <c r="A1243" t="s">
        <v>199</v>
      </c>
      <c r="B1243">
        <v>2015</v>
      </c>
      <c r="C1243" t="s">
        <v>826</v>
      </c>
      <c r="D1243" t="s">
        <v>812</v>
      </c>
      <c r="E1243" t="s">
        <v>175</v>
      </c>
      <c r="F1243" t="s">
        <v>188</v>
      </c>
      <c r="G1243">
        <v>-31.85</v>
      </c>
      <c r="H1243">
        <v>115.7</v>
      </c>
      <c r="I1243" t="s">
        <v>766</v>
      </c>
      <c r="J1243" t="s">
        <v>14</v>
      </c>
      <c r="K1243" t="s">
        <v>200</v>
      </c>
      <c r="L1243" t="s">
        <v>143</v>
      </c>
      <c r="M1243" t="s">
        <v>726</v>
      </c>
      <c r="N1243" t="s">
        <v>85</v>
      </c>
      <c r="O1243" s="6" t="s">
        <v>84</v>
      </c>
      <c r="Q1243">
        <v>10</v>
      </c>
      <c r="R1243" t="s">
        <v>214</v>
      </c>
      <c r="S1243" s="2" t="s">
        <v>15</v>
      </c>
      <c r="T1243" s="2">
        <v>2</v>
      </c>
      <c r="U1243" s="2" t="s">
        <v>28</v>
      </c>
      <c r="V1243" s="2" t="s">
        <v>28</v>
      </c>
      <c r="W1243" s="12">
        <v>22</v>
      </c>
      <c r="X1243" s="13">
        <v>0.55800000000000005</v>
      </c>
      <c r="Y1243" s="13">
        <v>8.0000000000000002E-3</v>
      </c>
      <c r="AA1243" s="6"/>
      <c r="AB1243" s="6"/>
    </row>
    <row r="1244" spans="1:28" x14ac:dyDescent="0.2">
      <c r="A1244" t="s">
        <v>199</v>
      </c>
      <c r="B1244">
        <v>2015</v>
      </c>
      <c r="C1244" t="s">
        <v>826</v>
      </c>
      <c r="D1244" t="s">
        <v>812</v>
      </c>
      <c r="E1244" t="s">
        <v>175</v>
      </c>
      <c r="F1244" t="s">
        <v>188</v>
      </c>
      <c r="G1244">
        <v>-31.85</v>
      </c>
      <c r="H1244">
        <v>115.7</v>
      </c>
      <c r="I1244" t="s">
        <v>766</v>
      </c>
      <c r="J1244" t="s">
        <v>14</v>
      </c>
      <c r="K1244" t="s">
        <v>200</v>
      </c>
      <c r="L1244" t="s">
        <v>143</v>
      </c>
      <c r="M1244" t="s">
        <v>726</v>
      </c>
      <c r="N1244" t="s">
        <v>85</v>
      </c>
      <c r="O1244" s="6" t="s">
        <v>84</v>
      </c>
      <c r="Q1244">
        <v>10</v>
      </c>
      <c r="R1244" t="s">
        <v>214</v>
      </c>
      <c r="S1244" s="2" t="s">
        <v>37</v>
      </c>
      <c r="T1244" s="2">
        <v>2</v>
      </c>
      <c r="U1244" s="2" t="s">
        <v>28</v>
      </c>
      <c r="V1244" s="2" t="s">
        <v>28</v>
      </c>
      <c r="W1244" s="12">
        <v>24</v>
      </c>
      <c r="X1244" s="13">
        <v>5.5E-2</v>
      </c>
      <c r="Y1244" s="13">
        <v>0</v>
      </c>
      <c r="AA1244" s="6"/>
      <c r="AB1244" s="6"/>
    </row>
    <row r="1245" spans="1:28" x14ac:dyDescent="0.2">
      <c r="A1245" t="s">
        <v>199</v>
      </c>
      <c r="B1245">
        <v>2015</v>
      </c>
      <c r="C1245" t="s">
        <v>826</v>
      </c>
      <c r="D1245" t="s">
        <v>812</v>
      </c>
      <c r="E1245" t="s">
        <v>175</v>
      </c>
      <c r="F1245" t="s">
        <v>188</v>
      </c>
      <c r="G1245">
        <v>-31.85</v>
      </c>
      <c r="H1245">
        <v>115.7</v>
      </c>
      <c r="I1245" t="s">
        <v>766</v>
      </c>
      <c r="J1245" t="s">
        <v>7</v>
      </c>
      <c r="K1245" t="s">
        <v>200</v>
      </c>
      <c r="L1245" t="s">
        <v>143</v>
      </c>
      <c r="M1245" t="s">
        <v>726</v>
      </c>
      <c r="N1245" t="s">
        <v>85</v>
      </c>
      <c r="O1245" s="6" t="s">
        <v>84</v>
      </c>
      <c r="Q1245">
        <v>14</v>
      </c>
      <c r="R1245" t="s">
        <v>213</v>
      </c>
      <c r="S1245" s="2" t="s">
        <v>7</v>
      </c>
      <c r="T1245" s="2">
        <v>2</v>
      </c>
      <c r="U1245" s="2" t="s">
        <v>28</v>
      </c>
      <c r="V1245" s="2" t="s">
        <v>28</v>
      </c>
      <c r="W1245" s="12">
        <v>16</v>
      </c>
      <c r="X1245" s="11">
        <v>0.73150000000000004</v>
      </c>
      <c r="Y1245" s="11">
        <v>4.0506116885509473E-2</v>
      </c>
      <c r="AA1245" s="6"/>
      <c r="AB1245" s="6"/>
    </row>
    <row r="1246" spans="1:28" x14ac:dyDescent="0.2">
      <c r="A1246" t="s">
        <v>199</v>
      </c>
      <c r="B1246">
        <v>2015</v>
      </c>
      <c r="C1246" t="s">
        <v>826</v>
      </c>
      <c r="D1246" t="s">
        <v>812</v>
      </c>
      <c r="E1246" t="s">
        <v>175</v>
      </c>
      <c r="F1246" t="s">
        <v>188</v>
      </c>
      <c r="G1246">
        <v>-31.85</v>
      </c>
      <c r="H1246">
        <v>115.7</v>
      </c>
      <c r="I1246" t="s">
        <v>766</v>
      </c>
      <c r="J1246" t="s">
        <v>14</v>
      </c>
      <c r="K1246" t="s">
        <v>200</v>
      </c>
      <c r="L1246" t="s">
        <v>143</v>
      </c>
      <c r="M1246" t="s">
        <v>726</v>
      </c>
      <c r="N1246" t="s">
        <v>85</v>
      </c>
      <c r="O1246" s="6" t="s">
        <v>84</v>
      </c>
      <c r="Q1246">
        <v>14</v>
      </c>
      <c r="R1246" t="s">
        <v>213</v>
      </c>
      <c r="S1246" s="2" t="s">
        <v>9</v>
      </c>
      <c r="T1246" s="2">
        <v>2</v>
      </c>
      <c r="U1246" s="2" t="s">
        <v>28</v>
      </c>
      <c r="V1246" s="2" t="s">
        <v>28</v>
      </c>
      <c r="W1246" s="12">
        <v>18</v>
      </c>
      <c r="X1246" s="11">
        <v>0.52849999999999997</v>
      </c>
      <c r="Y1246" s="11">
        <v>1.7452635546966407E-2</v>
      </c>
      <c r="AA1246" s="6"/>
      <c r="AB1246" s="6"/>
    </row>
    <row r="1247" spans="1:28" x14ac:dyDescent="0.2">
      <c r="A1247" t="s">
        <v>199</v>
      </c>
      <c r="B1247">
        <v>2015</v>
      </c>
      <c r="C1247" t="s">
        <v>826</v>
      </c>
      <c r="D1247" t="s">
        <v>812</v>
      </c>
      <c r="E1247" t="s">
        <v>175</v>
      </c>
      <c r="F1247" t="s">
        <v>188</v>
      </c>
      <c r="G1247">
        <v>-31.85</v>
      </c>
      <c r="H1247">
        <v>115.7</v>
      </c>
      <c r="I1247" t="s">
        <v>766</v>
      </c>
      <c r="J1247" t="s">
        <v>14</v>
      </c>
      <c r="K1247" t="s">
        <v>200</v>
      </c>
      <c r="L1247" t="s">
        <v>143</v>
      </c>
      <c r="M1247" t="s">
        <v>726</v>
      </c>
      <c r="N1247" t="s">
        <v>85</v>
      </c>
      <c r="O1247" s="6" t="s">
        <v>84</v>
      </c>
      <c r="Q1247">
        <v>14</v>
      </c>
      <c r="R1247" t="s">
        <v>213</v>
      </c>
      <c r="S1247" s="2" t="s">
        <v>27</v>
      </c>
      <c r="T1247" s="2">
        <v>2</v>
      </c>
      <c r="U1247" s="2" t="s">
        <v>28</v>
      </c>
      <c r="V1247" s="2" t="s">
        <v>28</v>
      </c>
      <c r="W1247" s="12">
        <v>19</v>
      </c>
      <c r="X1247" s="11">
        <v>0.70799999999999996</v>
      </c>
      <c r="Y1247" s="11">
        <v>0</v>
      </c>
      <c r="AA1247" s="6"/>
      <c r="AB1247" s="6"/>
    </row>
    <row r="1248" spans="1:28" x14ac:dyDescent="0.2">
      <c r="A1248" t="s">
        <v>199</v>
      </c>
      <c r="B1248">
        <v>2015</v>
      </c>
      <c r="C1248" t="s">
        <v>826</v>
      </c>
      <c r="D1248" t="s">
        <v>812</v>
      </c>
      <c r="E1248" t="s">
        <v>175</v>
      </c>
      <c r="F1248" t="s">
        <v>188</v>
      </c>
      <c r="G1248">
        <v>-31.85</v>
      </c>
      <c r="H1248">
        <v>115.7</v>
      </c>
      <c r="I1248" t="s">
        <v>766</v>
      </c>
      <c r="J1248" t="s">
        <v>14</v>
      </c>
      <c r="K1248" t="s">
        <v>200</v>
      </c>
      <c r="L1248" t="s">
        <v>143</v>
      </c>
      <c r="M1248" t="s">
        <v>726</v>
      </c>
      <c r="N1248" t="s">
        <v>85</v>
      </c>
      <c r="O1248" s="6" t="s">
        <v>84</v>
      </c>
      <c r="Q1248">
        <v>14</v>
      </c>
      <c r="R1248" t="s">
        <v>213</v>
      </c>
      <c r="S1248" s="2" t="s">
        <v>13</v>
      </c>
      <c r="T1248" s="2">
        <v>2</v>
      </c>
      <c r="U1248" s="2" t="s">
        <v>28</v>
      </c>
      <c r="V1248" s="2" t="s">
        <v>28</v>
      </c>
      <c r="W1248" s="12">
        <v>21</v>
      </c>
      <c r="X1248" s="11">
        <v>0.67</v>
      </c>
      <c r="Y1248" s="11">
        <v>0</v>
      </c>
      <c r="AA1248" s="6"/>
      <c r="AB1248" s="6"/>
    </row>
    <row r="1249" spans="1:28" x14ac:dyDescent="0.2">
      <c r="A1249" t="s">
        <v>199</v>
      </c>
      <c r="B1249">
        <v>2015</v>
      </c>
      <c r="C1249" t="s">
        <v>826</v>
      </c>
      <c r="D1249" t="s">
        <v>812</v>
      </c>
      <c r="E1249" t="s">
        <v>175</v>
      </c>
      <c r="F1249" t="s">
        <v>188</v>
      </c>
      <c r="G1249">
        <v>-31.85</v>
      </c>
      <c r="H1249">
        <v>115.7</v>
      </c>
      <c r="I1249" t="s">
        <v>766</v>
      </c>
      <c r="J1249" t="s">
        <v>14</v>
      </c>
      <c r="K1249" t="s">
        <v>200</v>
      </c>
      <c r="L1249" t="s">
        <v>143</v>
      </c>
      <c r="M1249" t="s">
        <v>726</v>
      </c>
      <c r="N1249" t="s">
        <v>85</v>
      </c>
      <c r="O1249" s="6" t="s">
        <v>84</v>
      </c>
      <c r="Q1249">
        <v>14</v>
      </c>
      <c r="R1249" t="s">
        <v>213</v>
      </c>
      <c r="S1249" s="2" t="s">
        <v>15</v>
      </c>
      <c r="T1249" s="2">
        <v>2</v>
      </c>
      <c r="U1249" s="2" t="s">
        <v>28</v>
      </c>
      <c r="V1249" s="2" t="s">
        <v>28</v>
      </c>
      <c r="W1249" s="12">
        <v>22</v>
      </c>
      <c r="X1249" s="11">
        <v>0.621</v>
      </c>
      <c r="Y1249" s="11">
        <v>1.0001510342101106E-2</v>
      </c>
      <c r="AA1249" s="6"/>
      <c r="AB1249" s="6"/>
    </row>
    <row r="1250" spans="1:28" x14ac:dyDescent="0.2">
      <c r="A1250" t="s">
        <v>199</v>
      </c>
      <c r="B1250">
        <v>2015</v>
      </c>
      <c r="C1250" t="s">
        <v>826</v>
      </c>
      <c r="D1250" t="s">
        <v>812</v>
      </c>
      <c r="E1250" t="s">
        <v>175</v>
      </c>
      <c r="F1250" t="s">
        <v>188</v>
      </c>
      <c r="G1250">
        <v>-31.85</v>
      </c>
      <c r="H1250">
        <v>115.7</v>
      </c>
      <c r="I1250" t="s">
        <v>766</v>
      </c>
      <c r="J1250" t="s">
        <v>14</v>
      </c>
      <c r="K1250" t="s">
        <v>200</v>
      </c>
      <c r="L1250" t="s">
        <v>143</v>
      </c>
      <c r="M1250" t="s">
        <v>726</v>
      </c>
      <c r="N1250" t="s">
        <v>85</v>
      </c>
      <c r="O1250" s="6" t="s">
        <v>84</v>
      </c>
      <c r="Q1250">
        <v>14</v>
      </c>
      <c r="R1250" t="s">
        <v>213</v>
      </c>
      <c r="S1250" s="2" t="s">
        <v>37</v>
      </c>
      <c r="T1250" s="2">
        <v>2</v>
      </c>
      <c r="U1250" s="2" t="s">
        <v>28</v>
      </c>
      <c r="V1250" s="2" t="s">
        <v>28</v>
      </c>
      <c r="W1250" s="12">
        <v>24</v>
      </c>
      <c r="X1250" s="11">
        <v>0</v>
      </c>
      <c r="Y1250" s="11">
        <v>0</v>
      </c>
      <c r="AA1250" s="6"/>
      <c r="AB1250" s="6"/>
    </row>
    <row r="1251" spans="1:28" x14ac:dyDescent="0.2">
      <c r="A1251" t="s">
        <v>199</v>
      </c>
      <c r="B1251">
        <v>2015</v>
      </c>
      <c r="C1251" t="s">
        <v>826</v>
      </c>
      <c r="D1251" t="s">
        <v>812</v>
      </c>
      <c r="E1251" t="s">
        <v>175</v>
      </c>
      <c r="F1251" t="s">
        <v>188</v>
      </c>
      <c r="G1251">
        <v>-31.85</v>
      </c>
      <c r="H1251">
        <v>115.7</v>
      </c>
      <c r="I1251" t="s">
        <v>766</v>
      </c>
      <c r="J1251" t="s">
        <v>7</v>
      </c>
      <c r="K1251" t="s">
        <v>200</v>
      </c>
      <c r="L1251" t="s">
        <v>143</v>
      </c>
      <c r="M1251" t="s">
        <v>663</v>
      </c>
      <c r="N1251" t="s">
        <v>86</v>
      </c>
      <c r="O1251" s="6" t="s">
        <v>201</v>
      </c>
      <c r="P1251" t="s">
        <v>70</v>
      </c>
      <c r="Q1251">
        <v>7</v>
      </c>
      <c r="R1251" t="s">
        <v>214</v>
      </c>
      <c r="S1251" s="2" t="s">
        <v>7</v>
      </c>
      <c r="T1251" s="2">
        <v>1</v>
      </c>
      <c r="U1251" s="2" t="s">
        <v>28</v>
      </c>
      <c r="V1251" s="2" t="s">
        <v>28</v>
      </c>
      <c r="W1251" s="12">
        <v>16</v>
      </c>
      <c r="X1251" s="14">
        <v>7.5</v>
      </c>
      <c r="Y1251" t="s">
        <v>28</v>
      </c>
    </row>
    <row r="1252" spans="1:28" x14ac:dyDescent="0.2">
      <c r="A1252" t="s">
        <v>199</v>
      </c>
      <c r="B1252">
        <v>2015</v>
      </c>
      <c r="C1252" t="s">
        <v>826</v>
      </c>
      <c r="D1252" t="s">
        <v>812</v>
      </c>
      <c r="E1252" t="s">
        <v>175</v>
      </c>
      <c r="F1252" t="s">
        <v>188</v>
      </c>
      <c r="G1252">
        <v>-31.85</v>
      </c>
      <c r="H1252">
        <v>115.7</v>
      </c>
      <c r="I1252" t="s">
        <v>766</v>
      </c>
      <c r="J1252" t="s">
        <v>14</v>
      </c>
      <c r="K1252" t="s">
        <v>200</v>
      </c>
      <c r="L1252" t="s">
        <v>143</v>
      </c>
      <c r="M1252" t="s">
        <v>663</v>
      </c>
      <c r="N1252" t="s">
        <v>86</v>
      </c>
      <c r="O1252" s="6" t="s">
        <v>201</v>
      </c>
      <c r="P1252" t="s">
        <v>70</v>
      </c>
      <c r="Q1252">
        <v>7</v>
      </c>
      <c r="R1252" t="s">
        <v>214</v>
      </c>
      <c r="S1252" s="2" t="s">
        <v>27</v>
      </c>
      <c r="T1252" s="2">
        <v>1</v>
      </c>
      <c r="U1252" s="2" t="s">
        <v>28</v>
      </c>
      <c r="V1252" s="2" t="s">
        <v>28</v>
      </c>
      <c r="W1252" s="16">
        <v>19</v>
      </c>
      <c r="X1252" s="14">
        <v>17.5</v>
      </c>
      <c r="Y1252" t="s">
        <v>28</v>
      </c>
    </row>
    <row r="1253" spans="1:28" x14ac:dyDescent="0.2">
      <c r="A1253" t="s">
        <v>199</v>
      </c>
      <c r="B1253">
        <v>2015</v>
      </c>
      <c r="C1253" t="s">
        <v>826</v>
      </c>
      <c r="D1253" t="s">
        <v>812</v>
      </c>
      <c r="E1253" t="s">
        <v>175</v>
      </c>
      <c r="F1253" t="s">
        <v>188</v>
      </c>
      <c r="G1253">
        <v>-31.85</v>
      </c>
      <c r="H1253">
        <v>115.7</v>
      </c>
      <c r="I1253" t="s">
        <v>766</v>
      </c>
      <c r="J1253" t="s">
        <v>14</v>
      </c>
      <c r="K1253" t="s">
        <v>200</v>
      </c>
      <c r="L1253" t="s">
        <v>143</v>
      </c>
      <c r="M1253" t="s">
        <v>663</v>
      </c>
      <c r="N1253" t="s">
        <v>86</v>
      </c>
      <c r="O1253" s="6" t="s">
        <v>201</v>
      </c>
      <c r="P1253" t="s">
        <v>70</v>
      </c>
      <c r="Q1253">
        <v>7</v>
      </c>
      <c r="R1253" t="s">
        <v>214</v>
      </c>
      <c r="S1253" s="2" t="s">
        <v>13</v>
      </c>
      <c r="T1253" s="2">
        <v>1</v>
      </c>
      <c r="U1253" s="2" t="s">
        <v>28</v>
      </c>
      <c r="V1253" s="2" t="s">
        <v>28</v>
      </c>
      <c r="W1253" s="16">
        <v>21</v>
      </c>
      <c r="X1253" s="14">
        <v>30</v>
      </c>
      <c r="Y1253" t="s">
        <v>28</v>
      </c>
    </row>
    <row r="1254" spans="1:28" x14ac:dyDescent="0.2">
      <c r="A1254" t="s">
        <v>199</v>
      </c>
      <c r="B1254">
        <v>2015</v>
      </c>
      <c r="C1254" t="s">
        <v>826</v>
      </c>
      <c r="D1254" t="s">
        <v>812</v>
      </c>
      <c r="E1254" t="s">
        <v>175</v>
      </c>
      <c r="F1254" t="s">
        <v>188</v>
      </c>
      <c r="G1254">
        <v>-31.85</v>
      </c>
      <c r="H1254">
        <v>115.7</v>
      </c>
      <c r="I1254" t="s">
        <v>766</v>
      </c>
      <c r="J1254" t="s">
        <v>14</v>
      </c>
      <c r="K1254" t="s">
        <v>200</v>
      </c>
      <c r="L1254" t="s">
        <v>143</v>
      </c>
      <c r="M1254" t="s">
        <v>663</v>
      </c>
      <c r="N1254" t="s">
        <v>86</v>
      </c>
      <c r="O1254" s="6" t="s">
        <v>201</v>
      </c>
      <c r="P1254" t="s">
        <v>70</v>
      </c>
      <c r="Q1254">
        <v>7</v>
      </c>
      <c r="R1254" t="s">
        <v>214</v>
      </c>
      <c r="S1254" s="2" t="s">
        <v>15</v>
      </c>
      <c r="T1254" s="2">
        <v>1</v>
      </c>
      <c r="U1254" s="2" t="s">
        <v>28</v>
      </c>
      <c r="V1254" s="2" t="s">
        <v>28</v>
      </c>
      <c r="W1254" s="16">
        <v>22</v>
      </c>
      <c r="X1254" s="14">
        <v>25</v>
      </c>
      <c r="Y1254" t="s">
        <v>28</v>
      </c>
    </row>
    <row r="1255" spans="1:28" x14ac:dyDescent="0.2">
      <c r="A1255" t="s">
        <v>199</v>
      </c>
      <c r="B1255">
        <v>2015</v>
      </c>
      <c r="C1255" t="s">
        <v>826</v>
      </c>
      <c r="D1255" t="s">
        <v>812</v>
      </c>
      <c r="E1255" t="s">
        <v>175</v>
      </c>
      <c r="F1255" t="s">
        <v>188</v>
      </c>
      <c r="G1255">
        <v>-31.85</v>
      </c>
      <c r="H1255">
        <v>115.7</v>
      </c>
      <c r="I1255" t="s">
        <v>766</v>
      </c>
      <c r="J1255" t="s">
        <v>14</v>
      </c>
      <c r="K1255" t="s">
        <v>200</v>
      </c>
      <c r="L1255" t="s">
        <v>143</v>
      </c>
      <c r="M1255" t="s">
        <v>663</v>
      </c>
      <c r="N1255" t="s">
        <v>86</v>
      </c>
      <c r="O1255" s="6" t="s">
        <v>201</v>
      </c>
      <c r="P1255" t="s">
        <v>70</v>
      </c>
      <c r="Q1255">
        <v>7</v>
      </c>
      <c r="R1255" t="s">
        <v>214</v>
      </c>
      <c r="S1255" s="2" t="s">
        <v>37</v>
      </c>
      <c r="T1255" s="2">
        <v>1</v>
      </c>
      <c r="U1255" s="2" t="s">
        <v>28</v>
      </c>
      <c r="V1255" s="2" t="s">
        <v>28</v>
      </c>
      <c r="W1255" s="16">
        <v>24</v>
      </c>
      <c r="X1255" s="14">
        <v>70</v>
      </c>
      <c r="Y1255" t="s">
        <v>28</v>
      </c>
    </row>
    <row r="1256" spans="1:28" x14ac:dyDescent="0.2">
      <c r="A1256" t="s">
        <v>199</v>
      </c>
      <c r="B1256">
        <v>2015</v>
      </c>
      <c r="C1256" t="s">
        <v>826</v>
      </c>
      <c r="D1256" t="s">
        <v>812</v>
      </c>
      <c r="E1256" t="s">
        <v>175</v>
      </c>
      <c r="F1256" t="s">
        <v>188</v>
      </c>
      <c r="G1256">
        <v>-31.85</v>
      </c>
      <c r="H1256">
        <v>115.7</v>
      </c>
      <c r="I1256" t="s">
        <v>766</v>
      </c>
      <c r="J1256" t="s">
        <v>14</v>
      </c>
      <c r="K1256" t="s">
        <v>200</v>
      </c>
      <c r="L1256" t="s">
        <v>143</v>
      </c>
      <c r="M1256" t="s">
        <v>663</v>
      </c>
      <c r="N1256" t="s">
        <v>86</v>
      </c>
      <c r="O1256" s="6" t="s">
        <v>201</v>
      </c>
      <c r="P1256" t="s">
        <v>70</v>
      </c>
      <c r="Q1256">
        <v>7</v>
      </c>
      <c r="R1256" t="s">
        <v>214</v>
      </c>
      <c r="S1256" s="2" t="s">
        <v>116</v>
      </c>
      <c r="T1256" s="2">
        <v>1</v>
      </c>
      <c r="U1256" s="2" t="s">
        <v>28</v>
      </c>
      <c r="V1256" s="2" t="s">
        <v>28</v>
      </c>
      <c r="W1256" s="16">
        <v>25</v>
      </c>
      <c r="X1256" s="14">
        <v>70</v>
      </c>
      <c r="Y1256" t="s">
        <v>28</v>
      </c>
    </row>
    <row r="1257" spans="1:28" x14ac:dyDescent="0.2">
      <c r="A1257" t="s">
        <v>199</v>
      </c>
      <c r="B1257">
        <v>2015</v>
      </c>
      <c r="C1257" t="s">
        <v>826</v>
      </c>
      <c r="D1257" t="s">
        <v>812</v>
      </c>
      <c r="E1257" t="s">
        <v>175</v>
      </c>
      <c r="F1257" t="s">
        <v>188</v>
      </c>
      <c r="G1257">
        <v>-31.85</v>
      </c>
      <c r="H1257">
        <v>115.7</v>
      </c>
      <c r="I1257" t="s">
        <v>766</v>
      </c>
      <c r="J1257" t="s">
        <v>14</v>
      </c>
      <c r="K1257" t="s">
        <v>200</v>
      </c>
      <c r="L1257" t="s">
        <v>143</v>
      </c>
      <c r="M1257" t="s">
        <v>663</v>
      </c>
      <c r="N1257" t="s">
        <v>86</v>
      </c>
      <c r="O1257" s="6" t="s">
        <v>201</v>
      </c>
      <c r="P1257" t="s">
        <v>70</v>
      </c>
      <c r="Q1257">
        <v>7</v>
      </c>
      <c r="R1257" t="s">
        <v>214</v>
      </c>
      <c r="S1257" s="2" t="s">
        <v>117</v>
      </c>
      <c r="T1257" s="2">
        <v>1</v>
      </c>
      <c r="U1257" s="2" t="s">
        <v>28</v>
      </c>
      <c r="V1257" s="2" t="s">
        <v>28</v>
      </c>
      <c r="W1257" s="16">
        <v>27</v>
      </c>
      <c r="X1257" s="14">
        <v>75</v>
      </c>
      <c r="Y1257" t="s">
        <v>28</v>
      </c>
    </row>
    <row r="1258" spans="1:28" x14ac:dyDescent="0.2">
      <c r="A1258" t="s">
        <v>199</v>
      </c>
      <c r="B1258">
        <v>2015</v>
      </c>
      <c r="C1258" t="s">
        <v>826</v>
      </c>
      <c r="D1258" t="s">
        <v>812</v>
      </c>
      <c r="E1258" t="s">
        <v>175</v>
      </c>
      <c r="F1258" t="s">
        <v>188</v>
      </c>
      <c r="G1258">
        <v>-31.85</v>
      </c>
      <c r="H1258">
        <v>115.7</v>
      </c>
      <c r="I1258" t="s">
        <v>766</v>
      </c>
      <c r="J1258" t="s">
        <v>14</v>
      </c>
      <c r="K1258" t="s">
        <v>200</v>
      </c>
      <c r="L1258" t="s">
        <v>143</v>
      </c>
      <c r="M1258" t="s">
        <v>663</v>
      </c>
      <c r="N1258" t="s">
        <v>86</v>
      </c>
      <c r="O1258" s="6" t="s">
        <v>201</v>
      </c>
      <c r="P1258" t="s">
        <v>70</v>
      </c>
      <c r="Q1258">
        <v>7</v>
      </c>
      <c r="R1258" t="s">
        <v>214</v>
      </c>
      <c r="S1258" s="2" t="s">
        <v>118</v>
      </c>
      <c r="T1258" s="2">
        <v>1</v>
      </c>
      <c r="U1258" s="2" t="s">
        <v>28</v>
      </c>
      <c r="V1258" s="2" t="s">
        <v>28</v>
      </c>
      <c r="W1258" s="16">
        <v>28</v>
      </c>
      <c r="X1258" s="14">
        <v>82.5</v>
      </c>
      <c r="Y1258" t="s">
        <v>28</v>
      </c>
    </row>
    <row r="1259" spans="1:28" x14ac:dyDescent="0.2">
      <c r="A1259" t="s">
        <v>199</v>
      </c>
      <c r="B1259">
        <v>2015</v>
      </c>
      <c r="C1259" t="s">
        <v>826</v>
      </c>
      <c r="D1259" t="s">
        <v>812</v>
      </c>
      <c r="E1259" t="s">
        <v>175</v>
      </c>
      <c r="F1259" t="s">
        <v>188</v>
      </c>
      <c r="G1259">
        <v>-31.85</v>
      </c>
      <c r="H1259">
        <v>115.7</v>
      </c>
      <c r="I1259" t="s">
        <v>766</v>
      </c>
      <c r="J1259" t="s">
        <v>14</v>
      </c>
      <c r="K1259" t="s">
        <v>200</v>
      </c>
      <c r="L1259" t="s">
        <v>143</v>
      </c>
      <c r="M1259" t="s">
        <v>663</v>
      </c>
      <c r="N1259" t="s">
        <v>86</v>
      </c>
      <c r="O1259" s="6" t="s">
        <v>201</v>
      </c>
      <c r="P1259" t="s">
        <v>70</v>
      </c>
      <c r="Q1259">
        <v>7</v>
      </c>
      <c r="R1259" t="s">
        <v>214</v>
      </c>
      <c r="S1259" s="2" t="s">
        <v>177</v>
      </c>
      <c r="T1259" s="2">
        <v>1</v>
      </c>
      <c r="U1259" s="2" t="s">
        <v>28</v>
      </c>
      <c r="V1259" s="2" t="s">
        <v>28</v>
      </c>
      <c r="W1259" s="16">
        <v>30</v>
      </c>
      <c r="X1259" s="14">
        <v>85</v>
      </c>
      <c r="Y1259" t="s">
        <v>28</v>
      </c>
    </row>
    <row r="1260" spans="1:28" x14ac:dyDescent="0.2">
      <c r="A1260" t="s">
        <v>199</v>
      </c>
      <c r="B1260">
        <v>2015</v>
      </c>
      <c r="C1260" t="s">
        <v>826</v>
      </c>
      <c r="D1260" t="s">
        <v>812</v>
      </c>
      <c r="E1260" t="s">
        <v>175</v>
      </c>
      <c r="F1260" t="s">
        <v>188</v>
      </c>
      <c r="G1260">
        <v>-31.85</v>
      </c>
      <c r="H1260">
        <v>115.7</v>
      </c>
      <c r="I1260" t="s">
        <v>766</v>
      </c>
      <c r="J1260" t="s">
        <v>7</v>
      </c>
      <c r="K1260" t="s">
        <v>200</v>
      </c>
      <c r="L1260" t="s">
        <v>143</v>
      </c>
      <c r="M1260" t="s">
        <v>663</v>
      </c>
      <c r="N1260" t="s">
        <v>86</v>
      </c>
      <c r="O1260" s="6" t="s">
        <v>201</v>
      </c>
      <c r="P1260" t="s">
        <v>70</v>
      </c>
      <c r="Q1260">
        <v>14</v>
      </c>
      <c r="R1260" t="s">
        <v>213</v>
      </c>
      <c r="S1260" s="2" t="s">
        <v>7</v>
      </c>
      <c r="T1260" s="2">
        <v>1</v>
      </c>
      <c r="U1260" s="2" t="s">
        <v>28</v>
      </c>
      <c r="V1260" s="2" t="s">
        <v>28</v>
      </c>
      <c r="W1260" s="16">
        <v>16</v>
      </c>
      <c r="X1260" s="14">
        <v>60</v>
      </c>
      <c r="Y1260" t="s">
        <v>28</v>
      </c>
    </row>
    <row r="1261" spans="1:28" x14ac:dyDescent="0.2">
      <c r="A1261" t="s">
        <v>199</v>
      </c>
      <c r="B1261">
        <v>2015</v>
      </c>
      <c r="C1261" t="s">
        <v>826</v>
      </c>
      <c r="D1261" t="s">
        <v>812</v>
      </c>
      <c r="E1261" t="s">
        <v>175</v>
      </c>
      <c r="F1261" t="s">
        <v>188</v>
      </c>
      <c r="G1261">
        <v>-31.85</v>
      </c>
      <c r="H1261">
        <v>115.7</v>
      </c>
      <c r="I1261" t="s">
        <v>766</v>
      </c>
      <c r="J1261" t="s">
        <v>14</v>
      </c>
      <c r="K1261" t="s">
        <v>200</v>
      </c>
      <c r="L1261" t="s">
        <v>143</v>
      </c>
      <c r="M1261" t="s">
        <v>663</v>
      </c>
      <c r="N1261" t="s">
        <v>86</v>
      </c>
      <c r="O1261" s="6" t="s">
        <v>201</v>
      </c>
      <c r="P1261" t="s">
        <v>70</v>
      </c>
      <c r="Q1261">
        <v>14</v>
      </c>
      <c r="R1261" t="s">
        <v>213</v>
      </c>
      <c r="S1261" s="2" t="s">
        <v>9</v>
      </c>
      <c r="T1261" s="2">
        <v>1</v>
      </c>
      <c r="U1261" s="2" t="s">
        <v>28</v>
      </c>
      <c r="V1261" s="2" t="s">
        <v>28</v>
      </c>
      <c r="W1261" s="16">
        <v>18</v>
      </c>
      <c r="X1261" s="14">
        <v>77.5</v>
      </c>
      <c r="Y1261" t="s">
        <v>28</v>
      </c>
    </row>
    <row r="1262" spans="1:28" x14ac:dyDescent="0.2">
      <c r="A1262" t="s">
        <v>199</v>
      </c>
      <c r="B1262">
        <v>2015</v>
      </c>
      <c r="C1262" t="s">
        <v>826</v>
      </c>
      <c r="D1262" t="s">
        <v>812</v>
      </c>
      <c r="E1262" t="s">
        <v>175</v>
      </c>
      <c r="F1262" t="s">
        <v>188</v>
      </c>
      <c r="G1262">
        <v>-31.85</v>
      </c>
      <c r="H1262">
        <v>115.7</v>
      </c>
      <c r="I1262" t="s">
        <v>766</v>
      </c>
      <c r="J1262" t="s">
        <v>14</v>
      </c>
      <c r="K1262" t="s">
        <v>200</v>
      </c>
      <c r="L1262" t="s">
        <v>143</v>
      </c>
      <c r="M1262" t="s">
        <v>663</v>
      </c>
      <c r="N1262" t="s">
        <v>86</v>
      </c>
      <c r="O1262" s="6" t="s">
        <v>201</v>
      </c>
      <c r="P1262" t="s">
        <v>70</v>
      </c>
      <c r="Q1262">
        <v>14</v>
      </c>
      <c r="R1262" t="s">
        <v>213</v>
      </c>
      <c r="S1262" s="2" t="s">
        <v>27</v>
      </c>
      <c r="T1262" s="2">
        <v>1</v>
      </c>
      <c r="U1262" s="2" t="s">
        <v>28</v>
      </c>
      <c r="V1262" s="2" t="s">
        <v>28</v>
      </c>
      <c r="W1262" s="16">
        <v>19</v>
      </c>
      <c r="X1262" s="14">
        <v>72.5</v>
      </c>
      <c r="Y1262" t="s">
        <v>28</v>
      </c>
    </row>
    <row r="1263" spans="1:28" x14ac:dyDescent="0.2">
      <c r="A1263" t="s">
        <v>199</v>
      </c>
      <c r="B1263">
        <v>2015</v>
      </c>
      <c r="C1263" t="s">
        <v>826</v>
      </c>
      <c r="D1263" t="s">
        <v>812</v>
      </c>
      <c r="E1263" t="s">
        <v>175</v>
      </c>
      <c r="F1263" t="s">
        <v>188</v>
      </c>
      <c r="G1263">
        <v>-31.85</v>
      </c>
      <c r="H1263">
        <v>115.7</v>
      </c>
      <c r="I1263" t="s">
        <v>766</v>
      </c>
      <c r="J1263" t="s">
        <v>14</v>
      </c>
      <c r="K1263" t="s">
        <v>200</v>
      </c>
      <c r="L1263" t="s">
        <v>143</v>
      </c>
      <c r="M1263" t="s">
        <v>663</v>
      </c>
      <c r="N1263" t="s">
        <v>86</v>
      </c>
      <c r="O1263" s="6" t="s">
        <v>201</v>
      </c>
      <c r="P1263" t="s">
        <v>70</v>
      </c>
      <c r="Q1263">
        <v>14</v>
      </c>
      <c r="R1263" t="s">
        <v>213</v>
      </c>
      <c r="S1263" s="2" t="s">
        <v>13</v>
      </c>
      <c r="T1263" s="2">
        <v>1</v>
      </c>
      <c r="U1263" s="2" t="s">
        <v>28</v>
      </c>
      <c r="V1263" s="2" t="s">
        <v>28</v>
      </c>
      <c r="W1263" s="16">
        <v>21</v>
      </c>
      <c r="X1263" s="14">
        <v>97.5</v>
      </c>
      <c r="Y1263" t="s">
        <v>28</v>
      </c>
    </row>
    <row r="1264" spans="1:28" x14ac:dyDescent="0.2">
      <c r="A1264" t="s">
        <v>199</v>
      </c>
      <c r="B1264">
        <v>2015</v>
      </c>
      <c r="C1264" t="s">
        <v>826</v>
      </c>
      <c r="D1264" t="s">
        <v>812</v>
      </c>
      <c r="E1264" t="s">
        <v>175</v>
      </c>
      <c r="F1264" t="s">
        <v>188</v>
      </c>
      <c r="G1264">
        <v>-31.85</v>
      </c>
      <c r="H1264">
        <v>115.7</v>
      </c>
      <c r="I1264" t="s">
        <v>766</v>
      </c>
      <c r="J1264" t="s">
        <v>14</v>
      </c>
      <c r="K1264" t="s">
        <v>200</v>
      </c>
      <c r="L1264" t="s">
        <v>143</v>
      </c>
      <c r="M1264" t="s">
        <v>663</v>
      </c>
      <c r="N1264" t="s">
        <v>86</v>
      </c>
      <c r="O1264" s="6" t="s">
        <v>201</v>
      </c>
      <c r="P1264" t="s">
        <v>70</v>
      </c>
      <c r="Q1264">
        <v>14</v>
      </c>
      <c r="R1264" t="s">
        <v>213</v>
      </c>
      <c r="S1264" s="2" t="s">
        <v>15</v>
      </c>
      <c r="T1264" s="2">
        <v>1</v>
      </c>
      <c r="U1264" s="2" t="s">
        <v>28</v>
      </c>
      <c r="V1264" s="2" t="s">
        <v>28</v>
      </c>
      <c r="W1264" s="16">
        <v>22</v>
      </c>
      <c r="X1264" s="14">
        <v>90</v>
      </c>
      <c r="Y1264" t="s">
        <v>28</v>
      </c>
    </row>
    <row r="1265" spans="1:28" x14ac:dyDescent="0.2">
      <c r="A1265" t="s">
        <v>199</v>
      </c>
      <c r="B1265">
        <v>2015</v>
      </c>
      <c r="C1265" t="s">
        <v>826</v>
      </c>
      <c r="D1265" t="s">
        <v>812</v>
      </c>
      <c r="E1265" t="s">
        <v>175</v>
      </c>
      <c r="F1265" t="s">
        <v>188</v>
      </c>
      <c r="G1265">
        <v>-31.85</v>
      </c>
      <c r="H1265">
        <v>115.7</v>
      </c>
      <c r="I1265" t="s">
        <v>766</v>
      </c>
      <c r="J1265" t="s">
        <v>14</v>
      </c>
      <c r="K1265" t="s">
        <v>200</v>
      </c>
      <c r="L1265" t="s">
        <v>143</v>
      </c>
      <c r="M1265" t="s">
        <v>663</v>
      </c>
      <c r="N1265" t="s">
        <v>86</v>
      </c>
      <c r="O1265" s="6" t="s">
        <v>201</v>
      </c>
      <c r="P1265" t="s">
        <v>70</v>
      </c>
      <c r="Q1265">
        <v>14</v>
      </c>
      <c r="R1265" t="s">
        <v>213</v>
      </c>
      <c r="S1265" s="2" t="s">
        <v>37</v>
      </c>
      <c r="T1265" s="2">
        <v>1</v>
      </c>
      <c r="U1265" s="2" t="s">
        <v>28</v>
      </c>
      <c r="V1265" s="2" t="s">
        <v>28</v>
      </c>
      <c r="W1265" s="16">
        <v>24</v>
      </c>
      <c r="X1265" s="14">
        <v>97.5</v>
      </c>
      <c r="Y1265" t="s">
        <v>28</v>
      </c>
    </row>
    <row r="1266" spans="1:28" x14ac:dyDescent="0.2">
      <c r="A1266" t="s">
        <v>199</v>
      </c>
      <c r="B1266">
        <v>2015</v>
      </c>
      <c r="C1266" t="s">
        <v>826</v>
      </c>
      <c r="D1266" t="s">
        <v>812</v>
      </c>
      <c r="E1266" t="s">
        <v>175</v>
      </c>
      <c r="F1266" t="s">
        <v>188</v>
      </c>
      <c r="G1266">
        <v>-31.85</v>
      </c>
      <c r="H1266">
        <v>115.7</v>
      </c>
      <c r="I1266" t="s">
        <v>766</v>
      </c>
      <c r="J1266" t="s">
        <v>14</v>
      </c>
      <c r="K1266" t="s">
        <v>200</v>
      </c>
      <c r="L1266" t="s">
        <v>143</v>
      </c>
      <c r="M1266" t="s">
        <v>663</v>
      </c>
      <c r="N1266" t="s">
        <v>86</v>
      </c>
      <c r="O1266" s="6" t="s">
        <v>201</v>
      </c>
      <c r="P1266" t="s">
        <v>70</v>
      </c>
      <c r="Q1266">
        <v>14</v>
      </c>
      <c r="R1266" t="s">
        <v>213</v>
      </c>
      <c r="S1266" s="2" t="s">
        <v>116</v>
      </c>
      <c r="T1266" s="2">
        <v>1</v>
      </c>
      <c r="U1266" s="2" t="s">
        <v>28</v>
      </c>
      <c r="V1266" s="2" t="s">
        <v>28</v>
      </c>
      <c r="W1266" s="16">
        <v>25</v>
      </c>
      <c r="X1266" s="14">
        <v>97.5</v>
      </c>
      <c r="Y1266" t="s">
        <v>28</v>
      </c>
    </row>
    <row r="1267" spans="1:28" x14ac:dyDescent="0.2">
      <c r="A1267" t="s">
        <v>199</v>
      </c>
      <c r="B1267">
        <v>2015</v>
      </c>
      <c r="C1267" t="s">
        <v>826</v>
      </c>
      <c r="D1267" t="s">
        <v>812</v>
      </c>
      <c r="E1267" t="s">
        <v>175</v>
      </c>
      <c r="F1267" t="s">
        <v>188</v>
      </c>
      <c r="G1267">
        <v>-31.85</v>
      </c>
      <c r="H1267">
        <v>115.7</v>
      </c>
      <c r="I1267" t="s">
        <v>766</v>
      </c>
      <c r="J1267" t="s">
        <v>14</v>
      </c>
      <c r="K1267" t="s">
        <v>200</v>
      </c>
      <c r="L1267" t="s">
        <v>143</v>
      </c>
      <c r="M1267" t="s">
        <v>663</v>
      </c>
      <c r="N1267" t="s">
        <v>86</v>
      </c>
      <c r="O1267" s="6" t="s">
        <v>201</v>
      </c>
      <c r="P1267" t="s">
        <v>70</v>
      </c>
      <c r="Q1267">
        <v>14</v>
      </c>
      <c r="R1267" t="s">
        <v>213</v>
      </c>
      <c r="S1267" s="2" t="s">
        <v>117</v>
      </c>
      <c r="T1267" s="2">
        <v>1</v>
      </c>
      <c r="U1267" s="2" t="s">
        <v>28</v>
      </c>
      <c r="V1267" s="2" t="s">
        <v>28</v>
      </c>
      <c r="W1267" s="16">
        <v>27</v>
      </c>
      <c r="X1267" s="14">
        <v>100</v>
      </c>
      <c r="Y1267" t="s">
        <v>28</v>
      </c>
    </row>
    <row r="1268" spans="1:28" x14ac:dyDescent="0.2">
      <c r="A1268" t="s">
        <v>199</v>
      </c>
      <c r="B1268">
        <v>2015</v>
      </c>
      <c r="C1268" t="s">
        <v>826</v>
      </c>
      <c r="D1268" t="s">
        <v>812</v>
      </c>
      <c r="E1268" t="s">
        <v>175</v>
      </c>
      <c r="F1268" t="s">
        <v>188</v>
      </c>
      <c r="G1268">
        <v>-31.85</v>
      </c>
      <c r="H1268">
        <v>115.7</v>
      </c>
      <c r="I1268" t="s">
        <v>766</v>
      </c>
      <c r="J1268" t="s">
        <v>14</v>
      </c>
      <c r="K1268" t="s">
        <v>200</v>
      </c>
      <c r="L1268" t="s">
        <v>143</v>
      </c>
      <c r="M1268" t="s">
        <v>663</v>
      </c>
      <c r="N1268" t="s">
        <v>86</v>
      </c>
      <c r="O1268" s="6" t="s">
        <v>201</v>
      </c>
      <c r="P1268" t="s">
        <v>70</v>
      </c>
      <c r="Q1268">
        <v>14</v>
      </c>
      <c r="R1268" t="s">
        <v>213</v>
      </c>
      <c r="S1268" s="2" t="s">
        <v>118</v>
      </c>
      <c r="T1268" s="2">
        <v>1</v>
      </c>
      <c r="U1268" s="2" t="s">
        <v>28</v>
      </c>
      <c r="V1268" s="2" t="s">
        <v>28</v>
      </c>
      <c r="W1268" s="16">
        <v>28</v>
      </c>
      <c r="X1268" s="15">
        <v>100</v>
      </c>
      <c r="Y1268" t="s">
        <v>28</v>
      </c>
    </row>
    <row r="1269" spans="1:28" x14ac:dyDescent="0.2">
      <c r="A1269" t="s">
        <v>199</v>
      </c>
      <c r="B1269">
        <v>2015</v>
      </c>
      <c r="C1269" t="s">
        <v>826</v>
      </c>
      <c r="D1269" t="s">
        <v>812</v>
      </c>
      <c r="E1269" t="s">
        <v>175</v>
      </c>
      <c r="F1269" t="s">
        <v>188</v>
      </c>
      <c r="G1269">
        <v>-31.85</v>
      </c>
      <c r="H1269">
        <v>115.7</v>
      </c>
      <c r="I1269" t="s">
        <v>766</v>
      </c>
      <c r="J1269" t="s">
        <v>14</v>
      </c>
      <c r="K1269" t="s">
        <v>200</v>
      </c>
      <c r="L1269" t="s">
        <v>143</v>
      </c>
      <c r="M1269" t="s">
        <v>663</v>
      </c>
      <c r="N1269" t="s">
        <v>86</v>
      </c>
      <c r="O1269" s="6" t="s">
        <v>201</v>
      </c>
      <c r="P1269" t="s">
        <v>70</v>
      </c>
      <c r="Q1269">
        <v>14</v>
      </c>
      <c r="R1269" t="s">
        <v>213</v>
      </c>
      <c r="S1269" s="2" t="s">
        <v>177</v>
      </c>
      <c r="T1269" s="2">
        <v>1</v>
      </c>
      <c r="U1269" s="2" t="s">
        <v>28</v>
      </c>
      <c r="V1269" s="2" t="s">
        <v>28</v>
      </c>
      <c r="W1269" s="16">
        <v>30</v>
      </c>
      <c r="X1269" s="14">
        <v>97.5</v>
      </c>
      <c r="Y1269" t="s">
        <v>28</v>
      </c>
    </row>
    <row r="1270" spans="1:28" x14ac:dyDescent="0.2">
      <c r="A1270" t="s">
        <v>202</v>
      </c>
      <c r="B1270">
        <v>2008</v>
      </c>
      <c r="C1270" t="s">
        <v>816</v>
      </c>
      <c r="D1270" t="s">
        <v>817</v>
      </c>
      <c r="E1270" t="s">
        <v>32</v>
      </c>
      <c r="F1270" t="s">
        <v>307</v>
      </c>
      <c r="G1270">
        <v>54.178156999999999</v>
      </c>
      <c r="H1270">
        <v>7.8956109999999997</v>
      </c>
      <c r="I1270" t="s">
        <v>768</v>
      </c>
      <c r="J1270" t="s">
        <v>7</v>
      </c>
      <c r="K1270" t="s">
        <v>203</v>
      </c>
      <c r="L1270" t="s">
        <v>300</v>
      </c>
      <c r="M1270" t="s">
        <v>727</v>
      </c>
      <c r="N1270" t="s">
        <v>85</v>
      </c>
      <c r="O1270" s="6" t="s">
        <v>71</v>
      </c>
      <c r="P1270" t="s">
        <v>70</v>
      </c>
      <c r="Q1270">
        <v>6.33</v>
      </c>
      <c r="R1270" t="s">
        <v>213</v>
      </c>
      <c r="S1270" s="2" t="s">
        <v>7</v>
      </c>
      <c r="T1270" s="2">
        <v>5</v>
      </c>
      <c r="U1270" s="2" t="s">
        <v>28</v>
      </c>
      <c r="V1270" s="2" t="s">
        <v>28</v>
      </c>
      <c r="W1270" s="16">
        <v>7</v>
      </c>
      <c r="X1270">
        <v>83.8</v>
      </c>
      <c r="Y1270">
        <f>96.24-X1270</f>
        <v>12.439999999999998</v>
      </c>
      <c r="AA1270" s="6"/>
      <c r="AB1270" s="6"/>
    </row>
    <row r="1271" spans="1:28" x14ac:dyDescent="0.2">
      <c r="A1271" t="s">
        <v>202</v>
      </c>
      <c r="B1271">
        <v>2008</v>
      </c>
      <c r="C1271" t="s">
        <v>816</v>
      </c>
      <c r="D1271" t="s">
        <v>817</v>
      </c>
      <c r="E1271" t="s">
        <v>32</v>
      </c>
      <c r="F1271" t="s">
        <v>307</v>
      </c>
      <c r="G1271">
        <v>54.178156999999999</v>
      </c>
      <c r="H1271">
        <v>7.8956109999999997</v>
      </c>
      <c r="I1271" t="s">
        <v>768</v>
      </c>
      <c r="J1271" t="s">
        <v>14</v>
      </c>
      <c r="K1271" t="s">
        <v>203</v>
      </c>
      <c r="L1271" t="s">
        <v>300</v>
      </c>
      <c r="M1271" t="s">
        <v>727</v>
      </c>
      <c r="N1271" t="s">
        <v>85</v>
      </c>
      <c r="O1271" s="6" t="s">
        <v>71</v>
      </c>
      <c r="P1271" t="s">
        <v>70</v>
      </c>
      <c r="Q1271">
        <v>6.33</v>
      </c>
      <c r="R1271" t="s">
        <v>213</v>
      </c>
      <c r="S1271" s="2" t="s">
        <v>9</v>
      </c>
      <c r="T1271" s="2">
        <v>5</v>
      </c>
      <c r="U1271" s="2" t="s">
        <v>28</v>
      </c>
      <c r="V1271" s="2" t="s">
        <v>28</v>
      </c>
      <c r="W1271" s="16">
        <v>12</v>
      </c>
      <c r="X1271">
        <v>76.38</v>
      </c>
      <c r="Y1271">
        <f>92.06-X1271</f>
        <v>15.680000000000007</v>
      </c>
      <c r="AA1271" s="6"/>
      <c r="AB1271" s="6"/>
    </row>
    <row r="1272" spans="1:28" x14ac:dyDescent="0.2">
      <c r="A1272" t="s">
        <v>202</v>
      </c>
      <c r="B1272">
        <v>2008</v>
      </c>
      <c r="C1272" t="s">
        <v>816</v>
      </c>
      <c r="D1272" t="s">
        <v>817</v>
      </c>
      <c r="E1272" t="s">
        <v>32</v>
      </c>
      <c r="F1272" t="s">
        <v>307</v>
      </c>
      <c r="G1272">
        <v>54.178156999999999</v>
      </c>
      <c r="H1272">
        <v>7.8956109999999997</v>
      </c>
      <c r="I1272" t="s">
        <v>768</v>
      </c>
      <c r="J1272" t="s">
        <v>14</v>
      </c>
      <c r="K1272" t="s">
        <v>203</v>
      </c>
      <c r="L1272" t="s">
        <v>300</v>
      </c>
      <c r="M1272" t="s">
        <v>727</v>
      </c>
      <c r="N1272" t="s">
        <v>85</v>
      </c>
      <c r="O1272" s="6" t="s">
        <v>71</v>
      </c>
      <c r="P1272" t="s">
        <v>70</v>
      </c>
      <c r="Q1272">
        <v>6.33</v>
      </c>
      <c r="R1272" t="s">
        <v>213</v>
      </c>
      <c r="S1272" s="2" t="s">
        <v>27</v>
      </c>
      <c r="T1272" s="2">
        <v>5</v>
      </c>
      <c r="U1272" s="2" t="s">
        <v>28</v>
      </c>
      <c r="V1272" s="2" t="s">
        <v>28</v>
      </c>
      <c r="W1272" s="16">
        <v>17</v>
      </c>
      <c r="X1272">
        <v>35.21</v>
      </c>
      <c r="Y1272">
        <f>63.43-X1272</f>
        <v>28.22</v>
      </c>
      <c r="AA1272" s="6"/>
      <c r="AB1272" s="6"/>
    </row>
    <row r="1273" spans="1:28" x14ac:dyDescent="0.2">
      <c r="A1273" t="s">
        <v>204</v>
      </c>
      <c r="B1273">
        <v>2017</v>
      </c>
      <c r="C1273" t="s">
        <v>807</v>
      </c>
      <c r="D1273" t="s">
        <v>808</v>
      </c>
      <c r="E1273" t="s">
        <v>205</v>
      </c>
      <c r="F1273" t="s">
        <v>341</v>
      </c>
      <c r="G1273">
        <v>78.931168999999997</v>
      </c>
      <c r="H1273">
        <v>11.976254000000001</v>
      </c>
      <c r="I1273" t="s">
        <v>17</v>
      </c>
      <c r="J1273" t="s">
        <v>7</v>
      </c>
      <c r="K1273" t="s">
        <v>41</v>
      </c>
      <c r="L1273" t="s">
        <v>3</v>
      </c>
      <c r="M1273" t="s">
        <v>26</v>
      </c>
      <c r="N1273" t="s">
        <v>85</v>
      </c>
      <c r="O1273" s="6" t="s">
        <v>356</v>
      </c>
      <c r="P1273" t="s">
        <v>65</v>
      </c>
      <c r="Q1273">
        <v>24</v>
      </c>
      <c r="R1273" t="s">
        <v>213</v>
      </c>
      <c r="S1273" s="2" t="s">
        <v>7</v>
      </c>
      <c r="T1273" s="2">
        <v>30</v>
      </c>
      <c r="U1273" s="2" t="s">
        <v>28</v>
      </c>
      <c r="V1273" s="2" t="s">
        <v>28</v>
      </c>
      <c r="W1273" s="16">
        <v>5</v>
      </c>
      <c r="X1273">
        <v>96.57</v>
      </c>
      <c r="Y1273">
        <f t="shared" ref="Y1273:Y1304" si="22">SQRT(T1273) * (AB1273-AA1273)/3.92</f>
        <v>45.704094020392809</v>
      </c>
      <c r="AA1273">
        <v>81</v>
      </c>
      <c r="AB1273">
        <v>113.71</v>
      </c>
    </row>
    <row r="1274" spans="1:28" x14ac:dyDescent="0.2">
      <c r="A1274" t="s">
        <v>204</v>
      </c>
      <c r="B1274">
        <v>2017</v>
      </c>
      <c r="C1274" t="s">
        <v>807</v>
      </c>
      <c r="D1274" t="s">
        <v>808</v>
      </c>
      <c r="E1274" t="s">
        <v>205</v>
      </c>
      <c r="F1274" t="s">
        <v>341</v>
      </c>
      <c r="G1274">
        <v>78.931168999999997</v>
      </c>
      <c r="H1274">
        <v>11.976254000000001</v>
      </c>
      <c r="I1274" t="s">
        <v>17</v>
      </c>
      <c r="J1274" t="s">
        <v>14</v>
      </c>
      <c r="K1274" t="s">
        <v>41</v>
      </c>
      <c r="L1274" t="s">
        <v>3</v>
      </c>
      <c r="M1274" t="s">
        <v>26</v>
      </c>
      <c r="N1274" t="s">
        <v>85</v>
      </c>
      <c r="O1274" s="6" t="s">
        <v>356</v>
      </c>
      <c r="P1274" t="s">
        <v>65</v>
      </c>
      <c r="Q1274">
        <v>24</v>
      </c>
      <c r="R1274" t="s">
        <v>213</v>
      </c>
      <c r="S1274" s="2" t="s">
        <v>9</v>
      </c>
      <c r="T1274" s="2">
        <v>30</v>
      </c>
      <c r="U1274" s="2" t="s">
        <v>28</v>
      </c>
      <c r="V1274" s="2" t="s">
        <v>28</v>
      </c>
      <c r="W1274" s="16">
        <v>10</v>
      </c>
      <c r="X1274">
        <v>182.24</v>
      </c>
      <c r="Y1274">
        <f t="shared" si="22"/>
        <v>132.76683013811453</v>
      </c>
      <c r="AA1274">
        <v>135.51</v>
      </c>
      <c r="AB1274">
        <v>230.53</v>
      </c>
    </row>
    <row r="1275" spans="1:28" x14ac:dyDescent="0.2">
      <c r="A1275" t="s">
        <v>204</v>
      </c>
      <c r="B1275">
        <v>2017</v>
      </c>
      <c r="C1275" t="s">
        <v>807</v>
      </c>
      <c r="D1275" t="s">
        <v>808</v>
      </c>
      <c r="E1275" t="s">
        <v>205</v>
      </c>
      <c r="F1275" t="s">
        <v>341</v>
      </c>
      <c r="G1275">
        <v>78.931168999999997</v>
      </c>
      <c r="H1275">
        <v>11.976254000000001</v>
      </c>
      <c r="I1275" t="s">
        <v>17</v>
      </c>
      <c r="J1275" t="s">
        <v>14</v>
      </c>
      <c r="K1275" t="s">
        <v>41</v>
      </c>
      <c r="L1275" t="s">
        <v>3</v>
      </c>
      <c r="M1275" t="s">
        <v>26</v>
      </c>
      <c r="N1275" t="s">
        <v>85</v>
      </c>
      <c r="O1275" s="6" t="s">
        <v>356</v>
      </c>
      <c r="P1275" t="s">
        <v>65</v>
      </c>
      <c r="Q1275">
        <v>24</v>
      </c>
      <c r="R1275" t="s">
        <v>213</v>
      </c>
      <c r="S1275" s="2" t="s">
        <v>27</v>
      </c>
      <c r="T1275" s="2">
        <v>30</v>
      </c>
      <c r="U1275" s="2" t="s">
        <v>28</v>
      </c>
      <c r="V1275" s="2" t="s">
        <v>28</v>
      </c>
      <c r="W1275" s="16">
        <v>15</v>
      </c>
      <c r="X1275">
        <v>166.67</v>
      </c>
      <c r="Y1275">
        <f t="shared" si="22"/>
        <v>15.244013016278982</v>
      </c>
      <c r="AA1275">
        <v>161.99</v>
      </c>
      <c r="AB1275">
        <v>172.9</v>
      </c>
    </row>
    <row r="1276" spans="1:28" x14ac:dyDescent="0.2">
      <c r="A1276" t="s">
        <v>204</v>
      </c>
      <c r="B1276">
        <v>2017</v>
      </c>
      <c r="C1276" t="s">
        <v>807</v>
      </c>
      <c r="D1276" t="s">
        <v>808</v>
      </c>
      <c r="E1276" t="s">
        <v>205</v>
      </c>
      <c r="F1276" t="s">
        <v>341</v>
      </c>
      <c r="G1276">
        <v>78.931168999999997</v>
      </c>
      <c r="H1276">
        <v>11.976254000000001</v>
      </c>
      <c r="I1276" t="s">
        <v>17</v>
      </c>
      <c r="J1276" t="s">
        <v>14</v>
      </c>
      <c r="K1276" t="s">
        <v>41</v>
      </c>
      <c r="L1276" t="s">
        <v>3</v>
      </c>
      <c r="M1276" t="s">
        <v>26</v>
      </c>
      <c r="N1276" t="s">
        <v>85</v>
      </c>
      <c r="O1276" s="6" t="s">
        <v>356</v>
      </c>
      <c r="P1276" t="s">
        <v>65</v>
      </c>
      <c r="Q1276">
        <v>24</v>
      </c>
      <c r="R1276" t="s">
        <v>213</v>
      </c>
      <c r="S1276" s="2" t="s">
        <v>13</v>
      </c>
      <c r="T1276" s="2">
        <v>30</v>
      </c>
      <c r="U1276" s="2" t="s">
        <v>28</v>
      </c>
      <c r="V1276" s="2" t="s">
        <v>28</v>
      </c>
      <c r="W1276" s="16">
        <v>20</v>
      </c>
      <c r="X1276">
        <v>0</v>
      </c>
      <c r="Y1276">
        <f t="shared" si="22"/>
        <v>0</v>
      </c>
      <c r="AA1276" s="2">
        <v>0</v>
      </c>
      <c r="AB1276" s="2">
        <v>0</v>
      </c>
    </row>
    <row r="1277" spans="1:28" x14ac:dyDescent="0.2">
      <c r="A1277" t="s">
        <v>204</v>
      </c>
      <c r="B1277">
        <v>2017</v>
      </c>
      <c r="C1277" t="s">
        <v>807</v>
      </c>
      <c r="D1277" t="s">
        <v>808</v>
      </c>
      <c r="E1277" t="s">
        <v>205</v>
      </c>
      <c r="F1277" t="s">
        <v>341</v>
      </c>
      <c r="G1277">
        <v>78.931168999999997</v>
      </c>
      <c r="H1277">
        <v>11.976254000000001</v>
      </c>
      <c r="I1277" t="s">
        <v>17</v>
      </c>
      <c r="J1277" t="s">
        <v>7</v>
      </c>
      <c r="K1277" t="s">
        <v>40</v>
      </c>
      <c r="L1277" t="s">
        <v>3</v>
      </c>
      <c r="M1277" t="s">
        <v>26</v>
      </c>
      <c r="N1277" t="s">
        <v>85</v>
      </c>
      <c r="O1277" s="6" t="s">
        <v>356</v>
      </c>
      <c r="P1277" t="s">
        <v>65</v>
      </c>
      <c r="Q1277">
        <v>24</v>
      </c>
      <c r="R1277" t="s">
        <v>213</v>
      </c>
      <c r="S1277" s="2" t="s">
        <v>7</v>
      </c>
      <c r="T1277" s="2">
        <v>30</v>
      </c>
      <c r="U1277" s="2" t="s">
        <v>28</v>
      </c>
      <c r="V1277" s="2" t="s">
        <v>28</v>
      </c>
      <c r="W1277" s="16">
        <v>5</v>
      </c>
      <c r="X1277">
        <v>37.380000000000003</v>
      </c>
      <c r="Y1277">
        <f t="shared" si="22"/>
        <v>19.575492425120856</v>
      </c>
      <c r="AA1277">
        <v>29.6</v>
      </c>
      <c r="AB1277">
        <v>43.61</v>
      </c>
    </row>
    <row r="1278" spans="1:28" x14ac:dyDescent="0.2">
      <c r="A1278" t="s">
        <v>204</v>
      </c>
      <c r="B1278">
        <v>2017</v>
      </c>
      <c r="C1278" t="s">
        <v>807</v>
      </c>
      <c r="D1278" t="s">
        <v>808</v>
      </c>
      <c r="E1278" t="s">
        <v>205</v>
      </c>
      <c r="F1278" t="s">
        <v>341</v>
      </c>
      <c r="G1278">
        <v>78.931168999999997</v>
      </c>
      <c r="H1278">
        <v>11.976254000000001</v>
      </c>
      <c r="I1278" t="s">
        <v>17</v>
      </c>
      <c r="J1278" t="s">
        <v>14</v>
      </c>
      <c r="K1278" t="s">
        <v>40</v>
      </c>
      <c r="L1278" t="s">
        <v>3</v>
      </c>
      <c r="M1278" t="s">
        <v>26</v>
      </c>
      <c r="N1278" t="s">
        <v>85</v>
      </c>
      <c r="O1278" s="6" t="s">
        <v>356</v>
      </c>
      <c r="P1278" t="s">
        <v>65</v>
      </c>
      <c r="Q1278">
        <v>24</v>
      </c>
      <c r="R1278" t="s">
        <v>213</v>
      </c>
      <c r="S1278" s="2" t="s">
        <v>9</v>
      </c>
      <c r="T1278" s="2">
        <v>30</v>
      </c>
      <c r="U1278" s="2" t="s">
        <v>28</v>
      </c>
      <c r="V1278" s="2" t="s">
        <v>28</v>
      </c>
      <c r="W1278" s="16">
        <v>10</v>
      </c>
      <c r="X1278">
        <v>74.77</v>
      </c>
      <c r="Y1278">
        <f t="shared" si="22"/>
        <v>50.063518457678832</v>
      </c>
      <c r="AA1278">
        <v>59.19</v>
      </c>
      <c r="AB1278">
        <v>95.02</v>
      </c>
    </row>
    <row r="1279" spans="1:28" x14ac:dyDescent="0.2">
      <c r="A1279" t="s">
        <v>204</v>
      </c>
      <c r="B1279">
        <v>2017</v>
      </c>
      <c r="C1279" t="s">
        <v>807</v>
      </c>
      <c r="D1279" t="s">
        <v>808</v>
      </c>
      <c r="E1279" t="s">
        <v>205</v>
      </c>
      <c r="F1279" t="s">
        <v>341</v>
      </c>
      <c r="G1279">
        <v>78.931168999999997</v>
      </c>
      <c r="H1279">
        <v>11.976254000000001</v>
      </c>
      <c r="I1279" t="s">
        <v>17</v>
      </c>
      <c r="J1279" t="s">
        <v>14</v>
      </c>
      <c r="K1279" t="s">
        <v>40</v>
      </c>
      <c r="L1279" t="s">
        <v>3</v>
      </c>
      <c r="M1279" t="s">
        <v>26</v>
      </c>
      <c r="N1279" t="s">
        <v>85</v>
      </c>
      <c r="O1279" s="6" t="s">
        <v>356</v>
      </c>
      <c r="P1279" t="s">
        <v>65</v>
      </c>
      <c r="Q1279">
        <v>24</v>
      </c>
      <c r="R1279" t="s">
        <v>213</v>
      </c>
      <c r="S1279" s="2" t="s">
        <v>27</v>
      </c>
      <c r="T1279" s="2">
        <v>30</v>
      </c>
      <c r="U1279" s="2" t="s">
        <v>28</v>
      </c>
      <c r="V1279" s="2" t="s">
        <v>28</v>
      </c>
      <c r="W1279" s="16">
        <v>15</v>
      </c>
      <c r="X1279">
        <v>151.09</v>
      </c>
      <c r="Y1279">
        <f t="shared" si="22"/>
        <v>65.293558959735734</v>
      </c>
      <c r="AA1279">
        <v>129.28</v>
      </c>
      <c r="AB1279">
        <v>176.01</v>
      </c>
    </row>
    <row r="1280" spans="1:28" x14ac:dyDescent="0.2">
      <c r="A1280" t="s">
        <v>204</v>
      </c>
      <c r="B1280">
        <v>2017</v>
      </c>
      <c r="C1280" t="s">
        <v>807</v>
      </c>
      <c r="D1280" t="s">
        <v>808</v>
      </c>
      <c r="E1280" t="s">
        <v>205</v>
      </c>
      <c r="F1280" t="s">
        <v>341</v>
      </c>
      <c r="G1280">
        <v>78.931168999999997</v>
      </c>
      <c r="H1280">
        <v>11.976254000000001</v>
      </c>
      <c r="I1280" t="s">
        <v>17</v>
      </c>
      <c r="J1280" t="s">
        <v>14</v>
      </c>
      <c r="K1280" t="s">
        <v>40</v>
      </c>
      <c r="L1280" t="s">
        <v>3</v>
      </c>
      <c r="M1280" t="s">
        <v>26</v>
      </c>
      <c r="N1280" t="s">
        <v>85</v>
      </c>
      <c r="O1280" s="6" t="s">
        <v>356</v>
      </c>
      <c r="P1280" t="s">
        <v>65</v>
      </c>
      <c r="Q1280">
        <v>24</v>
      </c>
      <c r="R1280" t="s">
        <v>213</v>
      </c>
      <c r="S1280" s="2" t="s">
        <v>13</v>
      </c>
      <c r="T1280" s="2">
        <v>30</v>
      </c>
      <c r="U1280" s="2" t="s">
        <v>28</v>
      </c>
      <c r="V1280" s="2" t="s">
        <v>28</v>
      </c>
      <c r="W1280" s="16">
        <v>20</v>
      </c>
      <c r="X1280">
        <v>0</v>
      </c>
      <c r="Y1280">
        <f t="shared" si="22"/>
        <v>0</v>
      </c>
      <c r="AA1280" s="2">
        <v>0</v>
      </c>
      <c r="AB1280" s="2">
        <v>0</v>
      </c>
    </row>
    <row r="1281" spans="1:28" x14ac:dyDescent="0.2">
      <c r="A1281" t="s">
        <v>204</v>
      </c>
      <c r="B1281">
        <v>2017</v>
      </c>
      <c r="C1281" t="s">
        <v>807</v>
      </c>
      <c r="D1281" t="s">
        <v>808</v>
      </c>
      <c r="E1281" t="s">
        <v>205</v>
      </c>
      <c r="F1281" t="s">
        <v>341</v>
      </c>
      <c r="G1281">
        <v>78.931168999999997</v>
      </c>
      <c r="H1281">
        <v>11.976254000000001</v>
      </c>
      <c r="I1281" t="s">
        <v>17</v>
      </c>
      <c r="J1281" t="s">
        <v>7</v>
      </c>
      <c r="K1281" t="s">
        <v>41</v>
      </c>
      <c r="L1281" t="s">
        <v>3</v>
      </c>
      <c r="M1281" t="s">
        <v>26</v>
      </c>
      <c r="N1281" t="s">
        <v>85</v>
      </c>
      <c r="O1281" s="6" t="s">
        <v>66</v>
      </c>
      <c r="P1281" t="s">
        <v>65</v>
      </c>
      <c r="Q1281">
        <v>24</v>
      </c>
      <c r="R1281" t="s">
        <v>213</v>
      </c>
      <c r="S1281" s="2" t="s">
        <v>7</v>
      </c>
      <c r="T1281" s="2">
        <v>30</v>
      </c>
      <c r="U1281" s="2" t="s">
        <v>28</v>
      </c>
      <c r="V1281" s="2" t="s">
        <v>28</v>
      </c>
      <c r="W1281" s="16">
        <v>5</v>
      </c>
      <c r="X1281">
        <v>15.02</v>
      </c>
      <c r="Y1281">
        <f t="shared" si="22"/>
        <v>1.7884818204250315</v>
      </c>
      <c r="AA1281">
        <v>14.4</v>
      </c>
      <c r="AB1281">
        <v>15.68</v>
      </c>
    </row>
    <row r="1282" spans="1:28" x14ac:dyDescent="0.2">
      <c r="A1282" t="s">
        <v>204</v>
      </c>
      <c r="B1282">
        <v>2017</v>
      </c>
      <c r="C1282" t="s">
        <v>807</v>
      </c>
      <c r="D1282" t="s">
        <v>808</v>
      </c>
      <c r="E1282" t="s">
        <v>205</v>
      </c>
      <c r="F1282" t="s">
        <v>341</v>
      </c>
      <c r="G1282">
        <v>78.931168999999997</v>
      </c>
      <c r="H1282">
        <v>11.976254000000001</v>
      </c>
      <c r="I1282" t="s">
        <v>17</v>
      </c>
      <c r="J1282" t="s">
        <v>14</v>
      </c>
      <c r="K1282" t="s">
        <v>41</v>
      </c>
      <c r="L1282" t="s">
        <v>3</v>
      </c>
      <c r="M1282" t="s">
        <v>26</v>
      </c>
      <c r="N1282" t="s">
        <v>85</v>
      </c>
      <c r="O1282" s="6" t="s">
        <v>66</v>
      </c>
      <c r="P1282" t="s">
        <v>65</v>
      </c>
      <c r="Q1282">
        <v>24</v>
      </c>
      <c r="R1282" t="s">
        <v>213</v>
      </c>
      <c r="S1282" s="2" t="s">
        <v>9</v>
      </c>
      <c r="T1282" s="2">
        <v>30</v>
      </c>
      <c r="U1282" s="2" t="s">
        <v>28</v>
      </c>
      <c r="V1282" s="2" t="s">
        <v>28</v>
      </c>
      <c r="W1282" s="16">
        <v>10</v>
      </c>
      <c r="X1282">
        <v>13.59</v>
      </c>
      <c r="Y1282">
        <f t="shared" si="22"/>
        <v>1.7325917635367503</v>
      </c>
      <c r="AA1282">
        <v>12.97</v>
      </c>
      <c r="AB1282">
        <v>14.21</v>
      </c>
    </row>
    <row r="1283" spans="1:28" x14ac:dyDescent="0.2">
      <c r="A1283" t="s">
        <v>204</v>
      </c>
      <c r="B1283">
        <v>2017</v>
      </c>
      <c r="C1283" t="s">
        <v>807</v>
      </c>
      <c r="D1283" t="s">
        <v>808</v>
      </c>
      <c r="E1283" t="s">
        <v>205</v>
      </c>
      <c r="F1283" t="s">
        <v>341</v>
      </c>
      <c r="G1283">
        <v>78.931168999999997</v>
      </c>
      <c r="H1283">
        <v>11.976254000000001</v>
      </c>
      <c r="I1283" t="s">
        <v>17</v>
      </c>
      <c r="J1283" t="s">
        <v>14</v>
      </c>
      <c r="K1283" t="s">
        <v>41</v>
      </c>
      <c r="L1283" t="s">
        <v>3</v>
      </c>
      <c r="M1283" t="s">
        <v>26</v>
      </c>
      <c r="N1283" t="s">
        <v>85</v>
      </c>
      <c r="O1283" s="6" t="s">
        <v>66</v>
      </c>
      <c r="P1283" t="s">
        <v>65</v>
      </c>
      <c r="Q1283">
        <v>24</v>
      </c>
      <c r="R1283" t="s">
        <v>213</v>
      </c>
      <c r="S1283" s="2" t="s">
        <v>27</v>
      </c>
      <c r="T1283" s="2">
        <v>30</v>
      </c>
      <c r="U1283" s="2" t="s">
        <v>28</v>
      </c>
      <c r="V1283" s="2" t="s">
        <v>28</v>
      </c>
      <c r="W1283" s="16">
        <v>15</v>
      </c>
      <c r="X1283">
        <v>13.74</v>
      </c>
      <c r="Y1283">
        <f t="shared" si="22"/>
        <v>6.5111916274848802</v>
      </c>
      <c r="AA1283">
        <v>11.49</v>
      </c>
      <c r="AB1283">
        <v>16.149999999999999</v>
      </c>
    </row>
    <row r="1284" spans="1:28" x14ac:dyDescent="0.2">
      <c r="A1284" t="s">
        <v>204</v>
      </c>
      <c r="B1284">
        <v>2017</v>
      </c>
      <c r="C1284" t="s">
        <v>807</v>
      </c>
      <c r="D1284" t="s">
        <v>808</v>
      </c>
      <c r="E1284" t="s">
        <v>205</v>
      </c>
      <c r="F1284" t="s">
        <v>341</v>
      </c>
      <c r="G1284">
        <v>78.931168999999997</v>
      </c>
      <c r="H1284">
        <v>11.976254000000001</v>
      </c>
      <c r="I1284" t="s">
        <v>17</v>
      </c>
      <c r="J1284" t="s">
        <v>14</v>
      </c>
      <c r="K1284" t="s">
        <v>41</v>
      </c>
      <c r="L1284" t="s">
        <v>3</v>
      </c>
      <c r="M1284" t="s">
        <v>26</v>
      </c>
      <c r="N1284" t="s">
        <v>85</v>
      </c>
      <c r="O1284" s="6" t="s">
        <v>66</v>
      </c>
      <c r="P1284" t="s">
        <v>65</v>
      </c>
      <c r="Q1284">
        <v>24</v>
      </c>
      <c r="R1284" t="s">
        <v>213</v>
      </c>
      <c r="S1284" s="2" t="s">
        <v>13</v>
      </c>
      <c r="T1284" s="2">
        <v>30</v>
      </c>
      <c r="U1284" s="2" t="s">
        <v>28</v>
      </c>
      <c r="V1284" s="2" t="s">
        <v>28</v>
      </c>
      <c r="W1284" s="16">
        <v>20</v>
      </c>
      <c r="X1284">
        <v>0</v>
      </c>
      <c r="Y1284">
        <f t="shared" si="22"/>
        <v>0</v>
      </c>
      <c r="AA1284" s="2">
        <v>0</v>
      </c>
      <c r="AB1284" s="2">
        <v>0</v>
      </c>
    </row>
    <row r="1285" spans="1:28" x14ac:dyDescent="0.2">
      <c r="A1285" t="s">
        <v>204</v>
      </c>
      <c r="B1285">
        <v>2017</v>
      </c>
      <c r="C1285" t="s">
        <v>807</v>
      </c>
      <c r="D1285" t="s">
        <v>808</v>
      </c>
      <c r="E1285" t="s">
        <v>205</v>
      </c>
      <c r="F1285" t="s">
        <v>341</v>
      </c>
      <c r="G1285">
        <v>78.931168999999997</v>
      </c>
      <c r="H1285">
        <v>11.976254000000001</v>
      </c>
      <c r="I1285" t="s">
        <v>17</v>
      </c>
      <c r="J1285" t="s">
        <v>7</v>
      </c>
      <c r="K1285" t="s">
        <v>40</v>
      </c>
      <c r="L1285" t="s">
        <v>3</v>
      </c>
      <c r="M1285" t="s">
        <v>26</v>
      </c>
      <c r="N1285" t="s">
        <v>85</v>
      </c>
      <c r="O1285" s="6" t="s">
        <v>66</v>
      </c>
      <c r="P1285" t="s">
        <v>65</v>
      </c>
      <c r="Q1285">
        <v>24</v>
      </c>
      <c r="R1285" t="s">
        <v>213</v>
      </c>
      <c r="S1285" s="2" t="s">
        <v>7</v>
      </c>
      <c r="T1285" s="2">
        <v>30</v>
      </c>
      <c r="U1285" s="2" t="s">
        <v>28</v>
      </c>
      <c r="V1285" s="2" t="s">
        <v>28</v>
      </c>
      <c r="W1285" s="16">
        <v>5</v>
      </c>
      <c r="X1285">
        <v>7.34</v>
      </c>
      <c r="Y1285">
        <f t="shared" si="22"/>
        <v>1.3553338795408443</v>
      </c>
      <c r="AA1285">
        <v>6.87</v>
      </c>
      <c r="AB1285">
        <v>7.84</v>
      </c>
    </row>
    <row r="1286" spans="1:28" x14ac:dyDescent="0.2">
      <c r="A1286" t="s">
        <v>204</v>
      </c>
      <c r="B1286">
        <v>2017</v>
      </c>
      <c r="C1286" t="s">
        <v>807</v>
      </c>
      <c r="D1286" t="s">
        <v>808</v>
      </c>
      <c r="E1286" t="s">
        <v>205</v>
      </c>
      <c r="F1286" t="s">
        <v>341</v>
      </c>
      <c r="G1286">
        <v>78.931168999999997</v>
      </c>
      <c r="H1286">
        <v>11.976254000000001</v>
      </c>
      <c r="I1286" t="s">
        <v>17</v>
      </c>
      <c r="J1286" t="s">
        <v>14</v>
      </c>
      <c r="K1286" t="s">
        <v>40</v>
      </c>
      <c r="L1286" t="s">
        <v>3</v>
      </c>
      <c r="M1286" t="s">
        <v>26</v>
      </c>
      <c r="N1286" t="s">
        <v>85</v>
      </c>
      <c r="O1286" s="6" t="s">
        <v>66</v>
      </c>
      <c r="P1286" t="s">
        <v>65</v>
      </c>
      <c r="Q1286">
        <v>24</v>
      </c>
      <c r="R1286" t="s">
        <v>213</v>
      </c>
      <c r="S1286" s="2" t="s">
        <v>9</v>
      </c>
      <c r="T1286" s="2">
        <v>30</v>
      </c>
      <c r="U1286" s="2" t="s">
        <v>28</v>
      </c>
      <c r="V1286" s="2" t="s">
        <v>28</v>
      </c>
      <c r="W1286" s="16">
        <v>10</v>
      </c>
      <c r="X1286">
        <v>5.59</v>
      </c>
      <c r="Y1286">
        <f t="shared" si="22"/>
        <v>1.5230040502056912</v>
      </c>
      <c r="AA1286">
        <v>4.97</v>
      </c>
      <c r="AB1286">
        <v>6.06</v>
      </c>
    </row>
    <row r="1287" spans="1:28" x14ac:dyDescent="0.2">
      <c r="A1287" t="s">
        <v>204</v>
      </c>
      <c r="B1287">
        <v>2017</v>
      </c>
      <c r="C1287" t="s">
        <v>807</v>
      </c>
      <c r="D1287" t="s">
        <v>808</v>
      </c>
      <c r="E1287" t="s">
        <v>205</v>
      </c>
      <c r="F1287" t="s">
        <v>341</v>
      </c>
      <c r="G1287">
        <v>78.931168999999997</v>
      </c>
      <c r="H1287">
        <v>11.976254000000001</v>
      </c>
      <c r="I1287" t="s">
        <v>17</v>
      </c>
      <c r="J1287" t="s">
        <v>14</v>
      </c>
      <c r="K1287" t="s">
        <v>40</v>
      </c>
      <c r="L1287" t="s">
        <v>3</v>
      </c>
      <c r="M1287" t="s">
        <v>26</v>
      </c>
      <c r="N1287" t="s">
        <v>85</v>
      </c>
      <c r="O1287" s="6" t="s">
        <v>66</v>
      </c>
      <c r="P1287" t="s">
        <v>65</v>
      </c>
      <c r="Q1287">
        <v>24</v>
      </c>
      <c r="R1287" t="s">
        <v>213</v>
      </c>
      <c r="S1287" s="2" t="s">
        <v>27</v>
      </c>
      <c r="T1287" s="2">
        <v>30</v>
      </c>
      <c r="U1287" s="2" t="s">
        <v>28</v>
      </c>
      <c r="V1287" s="2" t="s">
        <v>28</v>
      </c>
      <c r="W1287" s="16">
        <v>15</v>
      </c>
      <c r="X1287">
        <v>7.26</v>
      </c>
      <c r="Y1287">
        <f t="shared" si="22"/>
        <v>0.53095554043868132</v>
      </c>
      <c r="AA1287">
        <v>7.07</v>
      </c>
      <c r="AB1287">
        <v>7.45</v>
      </c>
    </row>
    <row r="1288" spans="1:28" x14ac:dyDescent="0.2">
      <c r="A1288" t="s">
        <v>204</v>
      </c>
      <c r="B1288">
        <v>2017</v>
      </c>
      <c r="C1288" t="s">
        <v>807</v>
      </c>
      <c r="D1288" t="s">
        <v>808</v>
      </c>
      <c r="E1288" t="s">
        <v>205</v>
      </c>
      <c r="F1288" t="s">
        <v>341</v>
      </c>
      <c r="G1288">
        <v>78.931168999999997</v>
      </c>
      <c r="H1288">
        <v>11.976254000000001</v>
      </c>
      <c r="I1288" t="s">
        <v>17</v>
      </c>
      <c r="J1288" t="s">
        <v>14</v>
      </c>
      <c r="K1288" t="s">
        <v>40</v>
      </c>
      <c r="L1288" t="s">
        <v>3</v>
      </c>
      <c r="M1288" t="s">
        <v>26</v>
      </c>
      <c r="N1288" t="s">
        <v>85</v>
      </c>
      <c r="O1288" s="6" t="s">
        <v>66</v>
      </c>
      <c r="P1288" t="s">
        <v>65</v>
      </c>
      <c r="Q1288">
        <v>24</v>
      </c>
      <c r="R1288" t="s">
        <v>213</v>
      </c>
      <c r="S1288" s="2" t="s">
        <v>13</v>
      </c>
      <c r="T1288" s="2">
        <v>30</v>
      </c>
      <c r="U1288" s="2" t="s">
        <v>28</v>
      </c>
      <c r="V1288" s="2" t="s">
        <v>28</v>
      </c>
      <c r="W1288" s="16">
        <v>20</v>
      </c>
      <c r="X1288">
        <v>0</v>
      </c>
      <c r="Y1288">
        <f t="shared" si="22"/>
        <v>0</v>
      </c>
      <c r="AA1288" s="2">
        <v>0</v>
      </c>
      <c r="AB1288" s="2">
        <v>0</v>
      </c>
    </row>
    <row r="1289" spans="1:28" x14ac:dyDescent="0.2">
      <c r="A1289" t="s">
        <v>204</v>
      </c>
      <c r="B1289">
        <v>2017</v>
      </c>
      <c r="C1289" t="s">
        <v>807</v>
      </c>
      <c r="D1289" t="s">
        <v>808</v>
      </c>
      <c r="E1289" t="s">
        <v>205</v>
      </c>
      <c r="F1289" t="s">
        <v>341</v>
      </c>
      <c r="G1289">
        <v>78.931168999999997</v>
      </c>
      <c r="H1289">
        <v>11.976254000000001</v>
      </c>
      <c r="I1289" t="s">
        <v>17</v>
      </c>
      <c r="J1289" t="s">
        <v>7</v>
      </c>
      <c r="K1289" t="s">
        <v>41</v>
      </c>
      <c r="L1289" t="s">
        <v>3</v>
      </c>
      <c r="M1289" t="s">
        <v>26</v>
      </c>
      <c r="N1289" t="s">
        <v>85</v>
      </c>
      <c r="O1289" s="6" t="s">
        <v>80</v>
      </c>
      <c r="P1289" t="s">
        <v>79</v>
      </c>
      <c r="Q1289">
        <v>24</v>
      </c>
      <c r="R1289" t="s">
        <v>213</v>
      </c>
      <c r="S1289" s="2" t="s">
        <v>7</v>
      </c>
      <c r="T1289" s="2">
        <v>30</v>
      </c>
      <c r="U1289" s="2" t="s">
        <v>28</v>
      </c>
      <c r="V1289" s="2" t="s">
        <v>28</v>
      </c>
      <c r="W1289" s="16">
        <v>5</v>
      </c>
      <c r="X1289">
        <v>1435</v>
      </c>
      <c r="Y1289">
        <f t="shared" si="22"/>
        <v>384.24414110694056</v>
      </c>
      <c r="AA1289">
        <v>1298</v>
      </c>
      <c r="AB1289">
        <v>1573</v>
      </c>
    </row>
    <row r="1290" spans="1:28" x14ac:dyDescent="0.2">
      <c r="A1290" t="s">
        <v>204</v>
      </c>
      <c r="B1290">
        <v>2017</v>
      </c>
      <c r="C1290" t="s">
        <v>807</v>
      </c>
      <c r="D1290" t="s">
        <v>808</v>
      </c>
      <c r="E1290" t="s">
        <v>205</v>
      </c>
      <c r="F1290" t="s">
        <v>341</v>
      </c>
      <c r="G1290">
        <v>78.931168999999997</v>
      </c>
      <c r="H1290">
        <v>11.976254000000001</v>
      </c>
      <c r="I1290" t="s">
        <v>17</v>
      </c>
      <c r="J1290" t="s">
        <v>14</v>
      </c>
      <c r="K1290" t="s">
        <v>41</v>
      </c>
      <c r="L1290" t="s">
        <v>3</v>
      </c>
      <c r="M1290" t="s">
        <v>26</v>
      </c>
      <c r="N1290" t="s">
        <v>85</v>
      </c>
      <c r="O1290" s="6" t="s">
        <v>80</v>
      </c>
      <c r="P1290" t="s">
        <v>79</v>
      </c>
      <c r="Q1290">
        <v>24</v>
      </c>
      <c r="R1290" t="s">
        <v>213</v>
      </c>
      <c r="S1290" s="2" t="s">
        <v>9</v>
      </c>
      <c r="T1290" s="2">
        <v>30</v>
      </c>
      <c r="U1290" s="2" t="s">
        <v>28</v>
      </c>
      <c r="V1290" s="2" t="s">
        <v>28</v>
      </c>
      <c r="W1290" s="16">
        <v>10</v>
      </c>
      <c r="X1290">
        <v>2833</v>
      </c>
      <c r="Y1290">
        <f t="shared" si="22"/>
        <v>1883.494917135112</v>
      </c>
      <c r="AA1290">
        <v>2147</v>
      </c>
      <c r="AB1290">
        <v>3495</v>
      </c>
    </row>
    <row r="1291" spans="1:28" x14ac:dyDescent="0.2">
      <c r="A1291" t="s">
        <v>204</v>
      </c>
      <c r="B1291">
        <v>2017</v>
      </c>
      <c r="C1291" t="s">
        <v>807</v>
      </c>
      <c r="D1291" t="s">
        <v>808</v>
      </c>
      <c r="E1291" t="s">
        <v>205</v>
      </c>
      <c r="F1291" t="s">
        <v>341</v>
      </c>
      <c r="G1291">
        <v>78.931168999999997</v>
      </c>
      <c r="H1291">
        <v>11.976254000000001</v>
      </c>
      <c r="I1291" t="s">
        <v>17</v>
      </c>
      <c r="J1291" t="s">
        <v>14</v>
      </c>
      <c r="K1291" t="s">
        <v>41</v>
      </c>
      <c r="L1291" t="s">
        <v>3</v>
      </c>
      <c r="M1291" t="s">
        <v>26</v>
      </c>
      <c r="N1291" t="s">
        <v>85</v>
      </c>
      <c r="O1291" s="6" t="s">
        <v>80</v>
      </c>
      <c r="P1291" t="s">
        <v>79</v>
      </c>
      <c r="Q1291">
        <v>24</v>
      </c>
      <c r="R1291" t="s">
        <v>213</v>
      </c>
      <c r="S1291" s="2" t="s">
        <v>27</v>
      </c>
      <c r="T1291" s="2">
        <v>30</v>
      </c>
      <c r="U1291" s="2" t="s">
        <v>28</v>
      </c>
      <c r="V1291" s="2" t="s">
        <v>28</v>
      </c>
      <c r="W1291" s="16">
        <v>15</v>
      </c>
      <c r="X1291">
        <v>2945</v>
      </c>
      <c r="Y1291">
        <f t="shared" si="22"/>
        <v>767.09103079167403</v>
      </c>
      <c r="AA1291">
        <v>2683</v>
      </c>
      <c r="AB1291">
        <v>3232</v>
      </c>
    </row>
    <row r="1292" spans="1:28" x14ac:dyDescent="0.2">
      <c r="A1292" t="s">
        <v>204</v>
      </c>
      <c r="B1292">
        <v>2017</v>
      </c>
      <c r="C1292" t="s">
        <v>807</v>
      </c>
      <c r="D1292" t="s">
        <v>808</v>
      </c>
      <c r="E1292" t="s">
        <v>205</v>
      </c>
      <c r="F1292" t="s">
        <v>341</v>
      </c>
      <c r="G1292">
        <v>78.931168999999997</v>
      </c>
      <c r="H1292">
        <v>11.976254000000001</v>
      </c>
      <c r="I1292" t="s">
        <v>17</v>
      </c>
      <c r="J1292" t="s">
        <v>14</v>
      </c>
      <c r="K1292" t="s">
        <v>41</v>
      </c>
      <c r="L1292" t="s">
        <v>3</v>
      </c>
      <c r="M1292" t="s">
        <v>26</v>
      </c>
      <c r="N1292" t="s">
        <v>85</v>
      </c>
      <c r="O1292" s="6" t="s">
        <v>80</v>
      </c>
      <c r="P1292" t="s">
        <v>79</v>
      </c>
      <c r="Q1292">
        <v>24</v>
      </c>
      <c r="R1292" t="s">
        <v>213</v>
      </c>
      <c r="S1292" s="2" t="s">
        <v>13</v>
      </c>
      <c r="T1292" s="2">
        <v>30</v>
      </c>
      <c r="U1292" s="2" t="s">
        <v>28</v>
      </c>
      <c r="V1292" s="2" t="s">
        <v>28</v>
      </c>
      <c r="W1292" s="16">
        <v>20</v>
      </c>
      <c r="X1292">
        <v>0</v>
      </c>
      <c r="Y1292">
        <f t="shared" si="22"/>
        <v>0</v>
      </c>
      <c r="AA1292" s="2">
        <v>0</v>
      </c>
      <c r="AB1292" s="2">
        <v>0</v>
      </c>
    </row>
    <row r="1293" spans="1:28" x14ac:dyDescent="0.2">
      <c r="A1293" t="s">
        <v>204</v>
      </c>
      <c r="B1293">
        <v>2017</v>
      </c>
      <c r="C1293" t="s">
        <v>807</v>
      </c>
      <c r="D1293" t="s">
        <v>808</v>
      </c>
      <c r="E1293" t="s">
        <v>205</v>
      </c>
      <c r="F1293" t="s">
        <v>341</v>
      </c>
      <c r="G1293">
        <v>78.931168999999997</v>
      </c>
      <c r="H1293">
        <v>11.976254000000001</v>
      </c>
      <c r="I1293" t="s">
        <v>17</v>
      </c>
      <c r="J1293" t="s">
        <v>7</v>
      </c>
      <c r="K1293" t="s">
        <v>40</v>
      </c>
      <c r="L1293" t="s">
        <v>3</v>
      </c>
      <c r="M1293" t="s">
        <v>26</v>
      </c>
      <c r="N1293" t="s">
        <v>85</v>
      </c>
      <c r="O1293" s="6" t="s">
        <v>80</v>
      </c>
      <c r="P1293" t="s">
        <v>79</v>
      </c>
      <c r="Q1293">
        <v>24</v>
      </c>
      <c r="R1293" t="s">
        <v>213</v>
      </c>
      <c r="S1293" s="2" t="s">
        <v>7</v>
      </c>
      <c r="T1293" s="2">
        <v>30</v>
      </c>
      <c r="U1293" s="2" t="s">
        <v>28</v>
      </c>
      <c r="V1293" s="2" t="s">
        <v>28</v>
      </c>
      <c r="W1293" s="16">
        <v>5</v>
      </c>
      <c r="X1293">
        <v>349</v>
      </c>
      <c r="Y1293">
        <f t="shared" si="22"/>
        <v>312.98431857438067</v>
      </c>
      <c r="AA1293">
        <v>225</v>
      </c>
      <c r="AB1293">
        <v>449</v>
      </c>
    </row>
    <row r="1294" spans="1:28" x14ac:dyDescent="0.2">
      <c r="A1294" t="s">
        <v>204</v>
      </c>
      <c r="B1294">
        <v>2017</v>
      </c>
      <c r="C1294" t="s">
        <v>807</v>
      </c>
      <c r="D1294" t="s">
        <v>808</v>
      </c>
      <c r="E1294" t="s">
        <v>205</v>
      </c>
      <c r="F1294" t="s">
        <v>341</v>
      </c>
      <c r="G1294">
        <v>78.931168999999997</v>
      </c>
      <c r="H1294">
        <v>11.976254000000001</v>
      </c>
      <c r="I1294" t="s">
        <v>17</v>
      </c>
      <c r="J1294" t="s">
        <v>14</v>
      </c>
      <c r="K1294" t="s">
        <v>40</v>
      </c>
      <c r="L1294" t="s">
        <v>3</v>
      </c>
      <c r="M1294" t="s">
        <v>26</v>
      </c>
      <c r="N1294" t="s">
        <v>85</v>
      </c>
      <c r="O1294" s="6" t="s">
        <v>80</v>
      </c>
      <c r="P1294" t="s">
        <v>79</v>
      </c>
      <c r="Q1294">
        <v>24</v>
      </c>
      <c r="R1294" t="s">
        <v>213</v>
      </c>
      <c r="S1294" s="2" t="s">
        <v>9</v>
      </c>
      <c r="T1294" s="2">
        <v>30</v>
      </c>
      <c r="U1294" s="2" t="s">
        <v>28</v>
      </c>
      <c r="V1294" s="2" t="s">
        <v>28</v>
      </c>
      <c r="W1294" s="16">
        <v>10</v>
      </c>
      <c r="X1294">
        <v>612</v>
      </c>
      <c r="Y1294">
        <f t="shared" si="22"/>
        <v>522.57203190543908</v>
      </c>
      <c r="AA1294">
        <v>437</v>
      </c>
      <c r="AB1294">
        <v>811</v>
      </c>
    </row>
    <row r="1295" spans="1:28" x14ac:dyDescent="0.2">
      <c r="A1295" t="s">
        <v>204</v>
      </c>
      <c r="B1295">
        <v>2017</v>
      </c>
      <c r="C1295" t="s">
        <v>807</v>
      </c>
      <c r="D1295" t="s">
        <v>808</v>
      </c>
      <c r="E1295" t="s">
        <v>205</v>
      </c>
      <c r="F1295" t="s">
        <v>341</v>
      </c>
      <c r="G1295">
        <v>78.931168999999997</v>
      </c>
      <c r="H1295">
        <v>11.976254000000001</v>
      </c>
      <c r="I1295" t="s">
        <v>17</v>
      </c>
      <c r="J1295" t="s">
        <v>14</v>
      </c>
      <c r="K1295" t="s">
        <v>40</v>
      </c>
      <c r="L1295" t="s">
        <v>3</v>
      </c>
      <c r="M1295" t="s">
        <v>26</v>
      </c>
      <c r="N1295" t="s">
        <v>85</v>
      </c>
      <c r="O1295" s="6" t="s">
        <v>80</v>
      </c>
      <c r="P1295" t="s">
        <v>79</v>
      </c>
      <c r="Q1295">
        <v>24</v>
      </c>
      <c r="R1295" t="s">
        <v>213</v>
      </c>
      <c r="S1295" s="2" t="s">
        <v>27</v>
      </c>
      <c r="T1295" s="2">
        <v>30</v>
      </c>
      <c r="U1295" s="2" t="s">
        <v>28</v>
      </c>
      <c r="V1295" s="2" t="s">
        <v>28</v>
      </c>
      <c r="W1295" s="16">
        <v>15</v>
      </c>
      <c r="X1295">
        <v>1560</v>
      </c>
      <c r="Y1295">
        <f t="shared" si="22"/>
        <v>628.7631399931754</v>
      </c>
      <c r="AA1295">
        <v>1335</v>
      </c>
      <c r="AB1295">
        <v>1785</v>
      </c>
    </row>
    <row r="1296" spans="1:28" x14ac:dyDescent="0.2">
      <c r="A1296" t="s">
        <v>204</v>
      </c>
      <c r="B1296">
        <v>2017</v>
      </c>
      <c r="C1296" t="s">
        <v>807</v>
      </c>
      <c r="D1296" t="s">
        <v>808</v>
      </c>
      <c r="E1296" t="s">
        <v>205</v>
      </c>
      <c r="F1296" t="s">
        <v>341</v>
      </c>
      <c r="G1296">
        <v>78.931168999999997</v>
      </c>
      <c r="H1296">
        <v>11.976254000000001</v>
      </c>
      <c r="I1296" t="s">
        <v>17</v>
      </c>
      <c r="J1296" t="s">
        <v>14</v>
      </c>
      <c r="K1296" t="s">
        <v>40</v>
      </c>
      <c r="L1296" t="s">
        <v>3</v>
      </c>
      <c r="M1296" t="s">
        <v>26</v>
      </c>
      <c r="N1296" t="s">
        <v>85</v>
      </c>
      <c r="O1296" s="6" t="s">
        <v>80</v>
      </c>
      <c r="P1296" t="s">
        <v>79</v>
      </c>
      <c r="Q1296">
        <v>24</v>
      </c>
      <c r="R1296" t="s">
        <v>213</v>
      </c>
      <c r="S1296" s="2" t="s">
        <v>13</v>
      </c>
      <c r="T1296" s="2">
        <v>30</v>
      </c>
      <c r="U1296" s="2" t="s">
        <v>28</v>
      </c>
      <c r="V1296" s="2" t="s">
        <v>28</v>
      </c>
      <c r="W1296" s="16">
        <v>20</v>
      </c>
      <c r="X1296">
        <v>0</v>
      </c>
      <c r="Y1296">
        <f t="shared" si="22"/>
        <v>0</v>
      </c>
      <c r="AA1296" s="2">
        <v>0</v>
      </c>
      <c r="AB1296" s="2">
        <v>0</v>
      </c>
    </row>
    <row r="1297" spans="1:28" x14ac:dyDescent="0.2">
      <c r="A1297" t="s">
        <v>204</v>
      </c>
      <c r="B1297">
        <v>2017</v>
      </c>
      <c r="C1297" t="s">
        <v>807</v>
      </c>
      <c r="D1297" t="s">
        <v>808</v>
      </c>
      <c r="E1297" t="s">
        <v>205</v>
      </c>
      <c r="F1297" t="s">
        <v>341</v>
      </c>
      <c r="G1297">
        <v>78.931168999999997</v>
      </c>
      <c r="H1297">
        <v>11.976254000000001</v>
      </c>
      <c r="I1297" t="s">
        <v>17</v>
      </c>
      <c r="J1297" t="s">
        <v>7</v>
      </c>
      <c r="K1297" t="s">
        <v>41</v>
      </c>
      <c r="L1297" t="s">
        <v>3</v>
      </c>
      <c r="M1297" t="s">
        <v>26</v>
      </c>
      <c r="N1297" t="s">
        <v>85</v>
      </c>
      <c r="O1297" s="6" t="s">
        <v>207</v>
      </c>
      <c r="P1297" t="s">
        <v>206</v>
      </c>
      <c r="Q1297">
        <v>24</v>
      </c>
      <c r="R1297" t="s">
        <v>213</v>
      </c>
      <c r="S1297" s="2" t="s">
        <v>7</v>
      </c>
      <c r="T1297" s="2">
        <v>30</v>
      </c>
      <c r="U1297" s="2" t="s">
        <v>28</v>
      </c>
      <c r="V1297" s="2" t="s">
        <v>28</v>
      </c>
      <c r="W1297" s="16">
        <v>5</v>
      </c>
      <c r="X1297">
        <v>3.82</v>
      </c>
      <c r="Y1297">
        <f t="shared" si="22"/>
        <v>1.5230040502056919</v>
      </c>
      <c r="AA1297">
        <v>3.28</v>
      </c>
      <c r="AB1297">
        <v>4.37</v>
      </c>
    </row>
    <row r="1298" spans="1:28" x14ac:dyDescent="0.2">
      <c r="A1298" t="s">
        <v>204</v>
      </c>
      <c r="B1298">
        <v>2017</v>
      </c>
      <c r="C1298" t="s">
        <v>807</v>
      </c>
      <c r="D1298" t="s">
        <v>808</v>
      </c>
      <c r="E1298" t="s">
        <v>205</v>
      </c>
      <c r="F1298" t="s">
        <v>341</v>
      </c>
      <c r="G1298">
        <v>78.931168999999997</v>
      </c>
      <c r="H1298">
        <v>11.976254000000001</v>
      </c>
      <c r="I1298" t="s">
        <v>17</v>
      </c>
      <c r="J1298" t="s">
        <v>14</v>
      </c>
      <c r="K1298" t="s">
        <v>41</v>
      </c>
      <c r="L1298" t="s">
        <v>3</v>
      </c>
      <c r="M1298" t="s">
        <v>26</v>
      </c>
      <c r="N1298" t="s">
        <v>85</v>
      </c>
      <c r="O1298" s="6" t="s">
        <v>207</v>
      </c>
      <c r="P1298" t="s">
        <v>206</v>
      </c>
      <c r="Q1298">
        <v>24</v>
      </c>
      <c r="R1298" t="s">
        <v>213</v>
      </c>
      <c r="S1298" s="2" t="s">
        <v>9</v>
      </c>
      <c r="T1298" s="2">
        <v>30</v>
      </c>
      <c r="U1298" s="2" t="s">
        <v>28</v>
      </c>
      <c r="V1298" s="2" t="s">
        <v>28</v>
      </c>
      <c r="W1298" s="16">
        <v>10</v>
      </c>
      <c r="X1298">
        <v>8.41</v>
      </c>
      <c r="Y1298">
        <f t="shared" si="22"/>
        <v>5.5750331746061539</v>
      </c>
      <c r="AA1298">
        <v>6.44</v>
      </c>
      <c r="AB1298">
        <v>10.43</v>
      </c>
    </row>
    <row r="1299" spans="1:28" x14ac:dyDescent="0.2">
      <c r="A1299" t="s">
        <v>204</v>
      </c>
      <c r="B1299">
        <v>2017</v>
      </c>
      <c r="C1299" t="s">
        <v>807</v>
      </c>
      <c r="D1299" t="s">
        <v>808</v>
      </c>
      <c r="E1299" t="s">
        <v>205</v>
      </c>
      <c r="F1299" t="s">
        <v>341</v>
      </c>
      <c r="G1299">
        <v>78.931168999999997</v>
      </c>
      <c r="H1299">
        <v>11.976254000000001</v>
      </c>
      <c r="I1299" t="s">
        <v>17</v>
      </c>
      <c r="J1299" t="s">
        <v>14</v>
      </c>
      <c r="K1299" t="s">
        <v>41</v>
      </c>
      <c r="L1299" t="s">
        <v>3</v>
      </c>
      <c r="M1299" t="s">
        <v>26</v>
      </c>
      <c r="N1299" t="s">
        <v>85</v>
      </c>
      <c r="O1299" s="6" t="s">
        <v>207</v>
      </c>
      <c r="P1299" t="s">
        <v>206</v>
      </c>
      <c r="Q1299">
        <v>24</v>
      </c>
      <c r="R1299" t="s">
        <v>213</v>
      </c>
      <c r="S1299" s="2" t="s">
        <v>27</v>
      </c>
      <c r="T1299" s="2">
        <v>30</v>
      </c>
      <c r="U1299" s="2" t="s">
        <v>28</v>
      </c>
      <c r="V1299" s="2" t="s">
        <v>28</v>
      </c>
      <c r="W1299" s="16">
        <v>15</v>
      </c>
      <c r="X1299">
        <v>8.08</v>
      </c>
      <c r="Y1299">
        <f t="shared" si="22"/>
        <v>1.8303993630912421</v>
      </c>
      <c r="AA1299">
        <v>7.48</v>
      </c>
      <c r="AB1299">
        <v>8.7899999999999991</v>
      </c>
    </row>
    <row r="1300" spans="1:28" x14ac:dyDescent="0.2">
      <c r="A1300" t="s">
        <v>204</v>
      </c>
      <c r="B1300">
        <v>2017</v>
      </c>
      <c r="C1300" t="s">
        <v>807</v>
      </c>
      <c r="D1300" t="s">
        <v>808</v>
      </c>
      <c r="E1300" t="s">
        <v>205</v>
      </c>
      <c r="F1300" t="s">
        <v>341</v>
      </c>
      <c r="G1300">
        <v>78.931168999999997</v>
      </c>
      <c r="H1300">
        <v>11.976254000000001</v>
      </c>
      <c r="I1300" t="s">
        <v>17</v>
      </c>
      <c r="J1300" t="s">
        <v>14</v>
      </c>
      <c r="K1300" t="s">
        <v>41</v>
      </c>
      <c r="L1300" t="s">
        <v>3</v>
      </c>
      <c r="M1300" t="s">
        <v>26</v>
      </c>
      <c r="N1300" t="s">
        <v>85</v>
      </c>
      <c r="O1300" s="6" t="s">
        <v>207</v>
      </c>
      <c r="P1300" t="s">
        <v>206</v>
      </c>
      <c r="Q1300">
        <v>24</v>
      </c>
      <c r="R1300" t="s">
        <v>213</v>
      </c>
      <c r="S1300" s="2" t="s">
        <v>13</v>
      </c>
      <c r="T1300" s="2">
        <v>30</v>
      </c>
      <c r="U1300" s="2" t="s">
        <v>28</v>
      </c>
      <c r="V1300" s="2" t="s">
        <v>28</v>
      </c>
      <c r="W1300" s="16">
        <v>20</v>
      </c>
      <c r="X1300">
        <v>0</v>
      </c>
      <c r="Y1300">
        <f t="shared" si="22"/>
        <v>0</v>
      </c>
      <c r="AA1300">
        <v>0</v>
      </c>
      <c r="AB1300">
        <v>0</v>
      </c>
    </row>
    <row r="1301" spans="1:28" x14ac:dyDescent="0.2">
      <c r="A1301" t="s">
        <v>204</v>
      </c>
      <c r="B1301">
        <v>2017</v>
      </c>
      <c r="C1301" t="s">
        <v>807</v>
      </c>
      <c r="D1301" t="s">
        <v>808</v>
      </c>
      <c r="E1301" t="s">
        <v>205</v>
      </c>
      <c r="F1301" t="s">
        <v>341</v>
      </c>
      <c r="G1301">
        <v>78.931168999999997</v>
      </c>
      <c r="H1301">
        <v>11.976254000000001</v>
      </c>
      <c r="I1301" t="s">
        <v>17</v>
      </c>
      <c r="J1301" t="s">
        <v>7</v>
      </c>
      <c r="K1301" t="s">
        <v>40</v>
      </c>
      <c r="L1301" t="s">
        <v>3</v>
      </c>
      <c r="M1301" t="s">
        <v>26</v>
      </c>
      <c r="N1301" t="s">
        <v>85</v>
      </c>
      <c r="O1301" s="6" t="s">
        <v>207</v>
      </c>
      <c r="P1301" t="s">
        <v>206</v>
      </c>
      <c r="Q1301">
        <v>24</v>
      </c>
      <c r="R1301" t="s">
        <v>213</v>
      </c>
      <c r="S1301" s="2" t="s">
        <v>7</v>
      </c>
      <c r="T1301" s="2">
        <v>30</v>
      </c>
      <c r="U1301" s="2" t="s">
        <v>28</v>
      </c>
      <c r="V1301" s="2" t="s">
        <v>28</v>
      </c>
      <c r="W1301" s="16">
        <v>5</v>
      </c>
      <c r="X1301">
        <v>6.12</v>
      </c>
      <c r="Y1301">
        <f t="shared" si="22"/>
        <v>4.2057267808432401</v>
      </c>
      <c r="AA1301">
        <v>4.53</v>
      </c>
      <c r="AB1301">
        <v>7.54</v>
      </c>
    </row>
    <row r="1302" spans="1:28" x14ac:dyDescent="0.2">
      <c r="A1302" t="s">
        <v>204</v>
      </c>
      <c r="B1302">
        <v>2017</v>
      </c>
      <c r="C1302" t="s">
        <v>807</v>
      </c>
      <c r="D1302" t="s">
        <v>808</v>
      </c>
      <c r="E1302" t="s">
        <v>205</v>
      </c>
      <c r="F1302" t="s">
        <v>341</v>
      </c>
      <c r="G1302">
        <v>78.931168999999997</v>
      </c>
      <c r="H1302">
        <v>11.976254000000001</v>
      </c>
      <c r="I1302" t="s">
        <v>17</v>
      </c>
      <c r="J1302" t="s">
        <v>14</v>
      </c>
      <c r="K1302" t="s">
        <v>40</v>
      </c>
      <c r="L1302" t="s">
        <v>3</v>
      </c>
      <c r="M1302" t="s">
        <v>26</v>
      </c>
      <c r="N1302" t="s">
        <v>85</v>
      </c>
      <c r="O1302" s="6" t="s">
        <v>207</v>
      </c>
      <c r="P1302" t="s">
        <v>206</v>
      </c>
      <c r="Q1302">
        <v>24</v>
      </c>
      <c r="R1302" t="s">
        <v>213</v>
      </c>
      <c r="S1302" s="2" t="s">
        <v>9</v>
      </c>
      <c r="T1302" s="2">
        <v>30</v>
      </c>
      <c r="U1302" s="2" t="s">
        <v>28</v>
      </c>
      <c r="V1302" s="2" t="s">
        <v>28</v>
      </c>
      <c r="W1302" s="16">
        <v>10</v>
      </c>
      <c r="X1302">
        <v>12.72</v>
      </c>
      <c r="Y1302">
        <f t="shared" si="22"/>
        <v>4.9462700346129784</v>
      </c>
      <c r="AA1302">
        <v>10.98</v>
      </c>
      <c r="AB1302">
        <v>14.52</v>
      </c>
    </row>
    <row r="1303" spans="1:28" x14ac:dyDescent="0.2">
      <c r="A1303" t="s">
        <v>204</v>
      </c>
      <c r="B1303">
        <v>2017</v>
      </c>
      <c r="C1303" t="s">
        <v>807</v>
      </c>
      <c r="D1303" t="s">
        <v>808</v>
      </c>
      <c r="E1303" t="s">
        <v>205</v>
      </c>
      <c r="F1303" t="s">
        <v>341</v>
      </c>
      <c r="G1303">
        <v>78.931168999999997</v>
      </c>
      <c r="H1303">
        <v>11.976254000000001</v>
      </c>
      <c r="I1303" t="s">
        <v>17</v>
      </c>
      <c r="J1303" t="s">
        <v>14</v>
      </c>
      <c r="K1303" t="s">
        <v>40</v>
      </c>
      <c r="L1303" t="s">
        <v>3</v>
      </c>
      <c r="M1303" t="s">
        <v>26</v>
      </c>
      <c r="N1303" t="s">
        <v>85</v>
      </c>
      <c r="O1303" s="6" t="s">
        <v>207</v>
      </c>
      <c r="P1303" t="s">
        <v>206</v>
      </c>
      <c r="Q1303">
        <v>24</v>
      </c>
      <c r="R1303" t="s">
        <v>213</v>
      </c>
      <c r="S1303" s="2" t="s">
        <v>27</v>
      </c>
      <c r="T1303" s="2">
        <v>30</v>
      </c>
      <c r="U1303" s="2" t="s">
        <v>28</v>
      </c>
      <c r="V1303" s="2" t="s">
        <v>28</v>
      </c>
      <c r="W1303" s="16">
        <v>15</v>
      </c>
      <c r="X1303">
        <v>19.170000000000002</v>
      </c>
      <c r="Y1303">
        <f t="shared" si="22"/>
        <v>4.5690121506170742</v>
      </c>
      <c r="AA1303">
        <v>17.53</v>
      </c>
      <c r="AB1303">
        <v>20.8</v>
      </c>
    </row>
    <row r="1304" spans="1:28" x14ac:dyDescent="0.2">
      <c r="A1304" t="s">
        <v>204</v>
      </c>
      <c r="B1304">
        <v>2017</v>
      </c>
      <c r="C1304" t="s">
        <v>807</v>
      </c>
      <c r="D1304" t="s">
        <v>808</v>
      </c>
      <c r="E1304" t="s">
        <v>205</v>
      </c>
      <c r="F1304" t="s">
        <v>341</v>
      </c>
      <c r="G1304">
        <v>78.931168999999997</v>
      </c>
      <c r="H1304">
        <v>11.976254000000001</v>
      </c>
      <c r="I1304" t="s">
        <v>17</v>
      </c>
      <c r="J1304" t="s">
        <v>14</v>
      </c>
      <c r="K1304" t="s">
        <v>40</v>
      </c>
      <c r="L1304" t="s">
        <v>3</v>
      </c>
      <c r="M1304" t="s">
        <v>26</v>
      </c>
      <c r="N1304" t="s">
        <v>85</v>
      </c>
      <c r="O1304" s="6" t="s">
        <v>207</v>
      </c>
      <c r="P1304" t="s">
        <v>206</v>
      </c>
      <c r="Q1304">
        <v>24</v>
      </c>
      <c r="R1304" t="s">
        <v>213</v>
      </c>
      <c r="S1304" s="2" t="s">
        <v>13</v>
      </c>
      <c r="T1304" s="2">
        <v>30</v>
      </c>
      <c r="U1304" s="2" t="s">
        <v>28</v>
      </c>
      <c r="V1304" s="2" t="s">
        <v>28</v>
      </c>
      <c r="W1304" s="16">
        <v>20</v>
      </c>
      <c r="X1304">
        <v>0</v>
      </c>
      <c r="Y1304">
        <f t="shared" si="22"/>
        <v>0</v>
      </c>
      <c r="AA1304">
        <v>0</v>
      </c>
      <c r="AB1304">
        <v>0</v>
      </c>
    </row>
    <row r="1305" spans="1:28" x14ac:dyDescent="0.2">
      <c r="A1305" t="s">
        <v>204</v>
      </c>
      <c r="B1305">
        <v>2017</v>
      </c>
      <c r="C1305" t="s">
        <v>826</v>
      </c>
      <c r="D1305" t="s">
        <v>824</v>
      </c>
      <c r="E1305" t="s">
        <v>48</v>
      </c>
      <c r="F1305" t="s">
        <v>341</v>
      </c>
      <c r="G1305">
        <v>78.931168999999997</v>
      </c>
      <c r="H1305">
        <v>11.976254000000001</v>
      </c>
      <c r="I1305" t="s">
        <v>17</v>
      </c>
      <c r="J1305" t="s">
        <v>7</v>
      </c>
      <c r="K1305" t="s">
        <v>41</v>
      </c>
      <c r="L1305" t="s">
        <v>3</v>
      </c>
      <c r="M1305" t="s">
        <v>26</v>
      </c>
      <c r="N1305" t="s">
        <v>85</v>
      </c>
      <c r="O1305" s="6" t="s">
        <v>356</v>
      </c>
      <c r="P1305" t="s">
        <v>65</v>
      </c>
      <c r="Q1305">
        <v>24</v>
      </c>
      <c r="R1305" t="s">
        <v>213</v>
      </c>
      <c r="S1305" s="2" t="s">
        <v>7</v>
      </c>
      <c r="T1305" s="2">
        <v>30</v>
      </c>
      <c r="U1305" s="2" t="s">
        <v>28</v>
      </c>
      <c r="V1305" s="2" t="s">
        <v>28</v>
      </c>
      <c r="W1305" s="16">
        <v>5</v>
      </c>
      <c r="X1305">
        <v>260.89999999999998</v>
      </c>
      <c r="Y1305">
        <f t="shared" ref="Y1305:Y1336" si="23">SQRT(T1305) * (AB1305-AA1305)/3.92</f>
        <v>78.665255070257302</v>
      </c>
      <c r="AA1305">
        <v>232.8</v>
      </c>
      <c r="AB1305">
        <v>289.10000000000002</v>
      </c>
    </row>
    <row r="1306" spans="1:28" x14ac:dyDescent="0.2">
      <c r="A1306" t="s">
        <v>204</v>
      </c>
      <c r="B1306">
        <v>2017</v>
      </c>
      <c r="C1306" t="s">
        <v>826</v>
      </c>
      <c r="D1306" t="s">
        <v>824</v>
      </c>
      <c r="E1306" t="s">
        <v>48</v>
      </c>
      <c r="F1306" t="s">
        <v>341</v>
      </c>
      <c r="G1306">
        <v>78.931168999999997</v>
      </c>
      <c r="H1306">
        <v>11.976254000000001</v>
      </c>
      <c r="I1306" t="s">
        <v>17</v>
      </c>
      <c r="J1306" t="s">
        <v>14</v>
      </c>
      <c r="K1306" t="s">
        <v>41</v>
      </c>
      <c r="L1306" t="s">
        <v>3</v>
      </c>
      <c r="M1306" t="s">
        <v>26</v>
      </c>
      <c r="N1306" t="s">
        <v>85</v>
      </c>
      <c r="O1306" s="6" t="s">
        <v>356</v>
      </c>
      <c r="P1306" t="s">
        <v>65</v>
      </c>
      <c r="Q1306">
        <v>24</v>
      </c>
      <c r="R1306" t="s">
        <v>213</v>
      </c>
      <c r="S1306" s="2" t="s">
        <v>9</v>
      </c>
      <c r="T1306" s="2">
        <v>30</v>
      </c>
      <c r="U1306" s="2" t="s">
        <v>28</v>
      </c>
      <c r="V1306" s="2" t="s">
        <v>28</v>
      </c>
      <c r="W1306" s="16">
        <v>10</v>
      </c>
      <c r="X1306">
        <v>457.8</v>
      </c>
      <c r="Y1306">
        <f t="shared" si="23"/>
        <v>174.65642777588207</v>
      </c>
      <c r="AA1306">
        <v>396.9</v>
      </c>
      <c r="AB1306">
        <v>521.9</v>
      </c>
    </row>
    <row r="1307" spans="1:28" x14ac:dyDescent="0.2">
      <c r="A1307" t="s">
        <v>204</v>
      </c>
      <c r="B1307">
        <v>2017</v>
      </c>
      <c r="C1307" t="s">
        <v>826</v>
      </c>
      <c r="D1307" t="s">
        <v>824</v>
      </c>
      <c r="E1307" t="s">
        <v>48</v>
      </c>
      <c r="F1307" t="s">
        <v>341</v>
      </c>
      <c r="G1307">
        <v>78.931168999999997</v>
      </c>
      <c r="H1307">
        <v>11.976254000000001</v>
      </c>
      <c r="I1307" t="s">
        <v>17</v>
      </c>
      <c r="J1307" t="s">
        <v>14</v>
      </c>
      <c r="K1307" t="s">
        <v>41</v>
      </c>
      <c r="L1307" t="s">
        <v>3</v>
      </c>
      <c r="M1307" t="s">
        <v>26</v>
      </c>
      <c r="N1307" t="s">
        <v>85</v>
      </c>
      <c r="O1307" s="6" t="s">
        <v>356</v>
      </c>
      <c r="P1307" t="s">
        <v>65</v>
      </c>
      <c r="Q1307">
        <v>24</v>
      </c>
      <c r="R1307" t="s">
        <v>213</v>
      </c>
      <c r="S1307" s="2" t="s">
        <v>27</v>
      </c>
      <c r="T1307" s="2">
        <v>30</v>
      </c>
      <c r="U1307" s="2" t="s">
        <v>28</v>
      </c>
      <c r="V1307" s="2" t="s">
        <v>28</v>
      </c>
      <c r="W1307" s="16">
        <v>15</v>
      </c>
      <c r="X1307">
        <v>310.89999999999998</v>
      </c>
      <c r="Y1307">
        <f t="shared" si="23"/>
        <v>323.18425395649217</v>
      </c>
      <c r="AA1307">
        <v>195.3</v>
      </c>
      <c r="AB1307">
        <v>426.6</v>
      </c>
    </row>
    <row r="1308" spans="1:28" x14ac:dyDescent="0.2">
      <c r="A1308" t="s">
        <v>204</v>
      </c>
      <c r="B1308">
        <v>2017</v>
      </c>
      <c r="C1308" t="s">
        <v>826</v>
      </c>
      <c r="D1308" t="s">
        <v>824</v>
      </c>
      <c r="E1308" t="s">
        <v>48</v>
      </c>
      <c r="F1308" t="s">
        <v>341</v>
      </c>
      <c r="G1308">
        <v>78.931168999999997</v>
      </c>
      <c r="H1308">
        <v>11.976254000000001</v>
      </c>
      <c r="I1308" t="s">
        <v>17</v>
      </c>
      <c r="J1308" t="s">
        <v>14</v>
      </c>
      <c r="K1308" t="s">
        <v>41</v>
      </c>
      <c r="L1308" t="s">
        <v>3</v>
      </c>
      <c r="M1308" t="s">
        <v>26</v>
      </c>
      <c r="N1308" t="s">
        <v>85</v>
      </c>
      <c r="O1308" s="6" t="s">
        <v>356</v>
      </c>
      <c r="P1308" t="s">
        <v>65</v>
      </c>
      <c r="Q1308">
        <v>24</v>
      </c>
      <c r="R1308" t="s">
        <v>213</v>
      </c>
      <c r="S1308" s="2" t="s">
        <v>13</v>
      </c>
      <c r="T1308" s="2">
        <v>30</v>
      </c>
      <c r="U1308" s="2" t="s">
        <v>28</v>
      </c>
      <c r="V1308" s="2" t="s">
        <v>28</v>
      </c>
      <c r="W1308" s="16">
        <v>20</v>
      </c>
      <c r="X1308">
        <v>0</v>
      </c>
      <c r="Y1308">
        <f t="shared" si="23"/>
        <v>0</v>
      </c>
      <c r="AA1308" s="2">
        <v>0</v>
      </c>
      <c r="AB1308" s="2">
        <v>0</v>
      </c>
    </row>
    <row r="1309" spans="1:28" x14ac:dyDescent="0.2">
      <c r="A1309" t="s">
        <v>204</v>
      </c>
      <c r="B1309">
        <v>2017</v>
      </c>
      <c r="C1309" t="s">
        <v>826</v>
      </c>
      <c r="D1309" t="s">
        <v>824</v>
      </c>
      <c r="E1309" t="s">
        <v>48</v>
      </c>
      <c r="F1309" t="s">
        <v>341</v>
      </c>
      <c r="G1309">
        <v>78.931168999999997</v>
      </c>
      <c r="H1309">
        <v>11.976254000000001</v>
      </c>
      <c r="I1309" t="s">
        <v>17</v>
      </c>
      <c r="J1309" t="s">
        <v>7</v>
      </c>
      <c r="K1309" t="s">
        <v>40</v>
      </c>
      <c r="L1309" t="s">
        <v>3</v>
      </c>
      <c r="M1309" t="s">
        <v>26</v>
      </c>
      <c r="N1309" t="s">
        <v>85</v>
      </c>
      <c r="O1309" s="6" t="s">
        <v>356</v>
      </c>
      <c r="P1309" t="s">
        <v>65</v>
      </c>
      <c r="Q1309">
        <v>24</v>
      </c>
      <c r="R1309" t="s">
        <v>213</v>
      </c>
      <c r="S1309" s="2" t="s">
        <v>7</v>
      </c>
      <c r="T1309" s="2">
        <v>30</v>
      </c>
      <c r="U1309" s="2" t="s">
        <v>28</v>
      </c>
      <c r="V1309" s="2" t="s">
        <v>28</v>
      </c>
      <c r="W1309" s="16">
        <v>5</v>
      </c>
      <c r="X1309">
        <v>264.10000000000002</v>
      </c>
      <c r="Y1309">
        <f t="shared" si="23"/>
        <v>209.5877133310585</v>
      </c>
      <c r="AA1309">
        <v>189.1</v>
      </c>
      <c r="AB1309">
        <v>339.1</v>
      </c>
    </row>
    <row r="1310" spans="1:28" x14ac:dyDescent="0.2">
      <c r="A1310" t="s">
        <v>204</v>
      </c>
      <c r="B1310">
        <v>2017</v>
      </c>
      <c r="C1310" t="s">
        <v>826</v>
      </c>
      <c r="D1310" t="s">
        <v>824</v>
      </c>
      <c r="E1310" t="s">
        <v>48</v>
      </c>
      <c r="F1310" t="s">
        <v>341</v>
      </c>
      <c r="G1310">
        <v>78.931168999999997</v>
      </c>
      <c r="H1310">
        <v>11.976254000000001</v>
      </c>
      <c r="I1310" t="s">
        <v>17</v>
      </c>
      <c r="J1310" t="s">
        <v>14</v>
      </c>
      <c r="K1310" t="s">
        <v>40</v>
      </c>
      <c r="L1310" t="s">
        <v>3</v>
      </c>
      <c r="M1310" t="s">
        <v>26</v>
      </c>
      <c r="N1310" t="s">
        <v>85</v>
      </c>
      <c r="O1310" s="6" t="s">
        <v>356</v>
      </c>
      <c r="P1310" t="s">
        <v>65</v>
      </c>
      <c r="Q1310">
        <v>24</v>
      </c>
      <c r="R1310" t="s">
        <v>213</v>
      </c>
      <c r="S1310" s="2" t="s">
        <v>9</v>
      </c>
      <c r="T1310" s="2">
        <v>30</v>
      </c>
      <c r="U1310" s="2" t="s">
        <v>28</v>
      </c>
      <c r="V1310" s="2" t="s">
        <v>28</v>
      </c>
      <c r="W1310" s="16">
        <v>10</v>
      </c>
      <c r="X1310">
        <v>401.6</v>
      </c>
      <c r="Y1310">
        <f t="shared" si="23"/>
        <v>303.34328376115189</v>
      </c>
      <c r="AA1310">
        <v>293.8</v>
      </c>
      <c r="AB1310">
        <v>510.9</v>
      </c>
    </row>
    <row r="1311" spans="1:28" x14ac:dyDescent="0.2">
      <c r="A1311" t="s">
        <v>204</v>
      </c>
      <c r="B1311">
        <v>2017</v>
      </c>
      <c r="C1311" t="s">
        <v>826</v>
      </c>
      <c r="D1311" t="s">
        <v>824</v>
      </c>
      <c r="E1311" t="s">
        <v>48</v>
      </c>
      <c r="F1311" t="s">
        <v>341</v>
      </c>
      <c r="G1311">
        <v>78.931168999999997</v>
      </c>
      <c r="H1311">
        <v>11.976254000000001</v>
      </c>
      <c r="I1311" t="s">
        <v>17</v>
      </c>
      <c r="J1311" t="s">
        <v>14</v>
      </c>
      <c r="K1311" t="s">
        <v>40</v>
      </c>
      <c r="L1311" t="s">
        <v>3</v>
      </c>
      <c r="M1311" t="s">
        <v>26</v>
      </c>
      <c r="N1311" t="s">
        <v>85</v>
      </c>
      <c r="O1311" s="6" t="s">
        <v>356</v>
      </c>
      <c r="P1311" t="s">
        <v>65</v>
      </c>
      <c r="Q1311">
        <v>24</v>
      </c>
      <c r="R1311" t="s">
        <v>213</v>
      </c>
      <c r="S1311" s="2" t="s">
        <v>27</v>
      </c>
      <c r="T1311" s="2">
        <v>30</v>
      </c>
      <c r="U1311" s="2" t="s">
        <v>28</v>
      </c>
      <c r="V1311" s="2" t="s">
        <v>28</v>
      </c>
      <c r="W1311" s="16">
        <v>15</v>
      </c>
      <c r="X1311">
        <v>409.4</v>
      </c>
      <c r="Y1311">
        <f t="shared" si="23"/>
        <v>283.78176385025313</v>
      </c>
      <c r="AA1311">
        <v>307.8</v>
      </c>
      <c r="AB1311">
        <v>510.9</v>
      </c>
    </row>
    <row r="1312" spans="1:28" x14ac:dyDescent="0.2">
      <c r="A1312" t="s">
        <v>204</v>
      </c>
      <c r="B1312">
        <v>2017</v>
      </c>
      <c r="C1312" t="s">
        <v>826</v>
      </c>
      <c r="D1312" t="s">
        <v>824</v>
      </c>
      <c r="E1312" t="s">
        <v>48</v>
      </c>
      <c r="F1312" t="s">
        <v>341</v>
      </c>
      <c r="G1312">
        <v>78.931168999999997</v>
      </c>
      <c r="H1312">
        <v>11.976254000000001</v>
      </c>
      <c r="I1312" t="s">
        <v>17</v>
      </c>
      <c r="J1312" t="s">
        <v>14</v>
      </c>
      <c r="K1312" t="s">
        <v>40</v>
      </c>
      <c r="L1312" t="s">
        <v>3</v>
      </c>
      <c r="M1312" t="s">
        <v>26</v>
      </c>
      <c r="N1312" t="s">
        <v>85</v>
      </c>
      <c r="O1312" s="6" t="s">
        <v>356</v>
      </c>
      <c r="P1312" t="s">
        <v>65</v>
      </c>
      <c r="Q1312">
        <v>24</v>
      </c>
      <c r="R1312" t="s">
        <v>213</v>
      </c>
      <c r="S1312" s="2" t="s">
        <v>13</v>
      </c>
      <c r="T1312" s="2">
        <v>30</v>
      </c>
      <c r="U1312" s="2" t="s">
        <v>28</v>
      </c>
      <c r="V1312" s="2" t="s">
        <v>28</v>
      </c>
      <c r="W1312" s="16">
        <v>20</v>
      </c>
      <c r="X1312">
        <v>0</v>
      </c>
      <c r="Y1312">
        <f t="shared" si="23"/>
        <v>0</v>
      </c>
      <c r="AA1312" s="2">
        <v>0</v>
      </c>
      <c r="AB1312" s="2">
        <v>0</v>
      </c>
    </row>
    <row r="1313" spans="1:28" x14ac:dyDescent="0.2">
      <c r="A1313" t="s">
        <v>204</v>
      </c>
      <c r="B1313">
        <v>2017</v>
      </c>
      <c r="C1313" t="s">
        <v>826</v>
      </c>
      <c r="D1313" t="s">
        <v>824</v>
      </c>
      <c r="E1313" t="s">
        <v>48</v>
      </c>
      <c r="F1313" t="s">
        <v>341</v>
      </c>
      <c r="G1313">
        <v>78.931168999999997</v>
      </c>
      <c r="H1313">
        <v>11.976254000000001</v>
      </c>
      <c r="I1313" t="s">
        <v>17</v>
      </c>
      <c r="J1313" t="s">
        <v>7</v>
      </c>
      <c r="K1313" t="s">
        <v>41</v>
      </c>
      <c r="L1313" t="s">
        <v>3</v>
      </c>
      <c r="M1313" t="s">
        <v>26</v>
      </c>
      <c r="N1313" t="s">
        <v>85</v>
      </c>
      <c r="O1313" s="6" t="s">
        <v>66</v>
      </c>
      <c r="P1313" t="s">
        <v>65</v>
      </c>
      <c r="Q1313">
        <v>24</v>
      </c>
      <c r="R1313" t="s">
        <v>213</v>
      </c>
      <c r="S1313" s="2" t="s">
        <v>7</v>
      </c>
      <c r="T1313" s="2">
        <v>30</v>
      </c>
      <c r="U1313" s="2" t="s">
        <v>28</v>
      </c>
      <c r="V1313" s="2" t="s">
        <v>28</v>
      </c>
      <c r="W1313" s="16">
        <v>5</v>
      </c>
      <c r="X1313">
        <v>12.89</v>
      </c>
      <c r="Y1313">
        <f t="shared" si="23"/>
        <v>2.8923104439686069</v>
      </c>
      <c r="AA1313">
        <v>11.91</v>
      </c>
      <c r="AB1313">
        <v>13.98</v>
      </c>
    </row>
    <row r="1314" spans="1:28" x14ac:dyDescent="0.2">
      <c r="A1314" t="s">
        <v>204</v>
      </c>
      <c r="B1314">
        <v>2017</v>
      </c>
      <c r="C1314" t="s">
        <v>826</v>
      </c>
      <c r="D1314" t="s">
        <v>824</v>
      </c>
      <c r="E1314" t="s">
        <v>48</v>
      </c>
      <c r="F1314" t="s">
        <v>341</v>
      </c>
      <c r="G1314">
        <v>78.931168999999997</v>
      </c>
      <c r="H1314">
        <v>11.976254000000001</v>
      </c>
      <c r="I1314" t="s">
        <v>17</v>
      </c>
      <c r="J1314" t="s">
        <v>14</v>
      </c>
      <c r="K1314" t="s">
        <v>41</v>
      </c>
      <c r="L1314" t="s">
        <v>3</v>
      </c>
      <c r="M1314" t="s">
        <v>26</v>
      </c>
      <c r="N1314" t="s">
        <v>85</v>
      </c>
      <c r="O1314" s="6" t="s">
        <v>66</v>
      </c>
      <c r="P1314" t="s">
        <v>65</v>
      </c>
      <c r="Q1314">
        <v>24</v>
      </c>
      <c r="R1314" t="s">
        <v>213</v>
      </c>
      <c r="S1314" s="2" t="s">
        <v>9</v>
      </c>
      <c r="T1314" s="2">
        <v>30</v>
      </c>
      <c r="U1314" s="2" t="s">
        <v>28</v>
      </c>
      <c r="V1314" s="2" t="s">
        <v>28</v>
      </c>
      <c r="W1314" s="16">
        <v>10</v>
      </c>
      <c r="X1314">
        <v>13.59</v>
      </c>
      <c r="Y1314">
        <f t="shared" si="23"/>
        <v>1.1457461662097865</v>
      </c>
      <c r="AA1314">
        <v>13.09</v>
      </c>
      <c r="AB1314">
        <v>13.91</v>
      </c>
    </row>
    <row r="1315" spans="1:28" x14ac:dyDescent="0.2">
      <c r="A1315" t="s">
        <v>204</v>
      </c>
      <c r="B1315">
        <v>2017</v>
      </c>
      <c r="C1315" t="s">
        <v>826</v>
      </c>
      <c r="D1315" t="s">
        <v>824</v>
      </c>
      <c r="E1315" t="s">
        <v>48</v>
      </c>
      <c r="F1315" t="s">
        <v>341</v>
      </c>
      <c r="G1315">
        <v>78.931168999999997</v>
      </c>
      <c r="H1315">
        <v>11.976254000000001</v>
      </c>
      <c r="I1315" t="s">
        <v>17</v>
      </c>
      <c r="J1315" t="s">
        <v>14</v>
      </c>
      <c r="K1315" t="s">
        <v>41</v>
      </c>
      <c r="L1315" t="s">
        <v>3</v>
      </c>
      <c r="M1315" t="s">
        <v>26</v>
      </c>
      <c r="N1315" t="s">
        <v>85</v>
      </c>
      <c r="O1315" s="6" t="s">
        <v>66</v>
      </c>
      <c r="P1315" t="s">
        <v>65</v>
      </c>
      <c r="Q1315">
        <v>24</v>
      </c>
      <c r="R1315" t="s">
        <v>213</v>
      </c>
      <c r="S1315" s="2" t="s">
        <v>27</v>
      </c>
      <c r="T1315" s="2">
        <v>30</v>
      </c>
      <c r="U1315" s="2" t="s">
        <v>28</v>
      </c>
      <c r="V1315" s="2" t="s">
        <v>28</v>
      </c>
      <c r="W1315" s="16">
        <v>15</v>
      </c>
      <c r="X1315">
        <v>14.3</v>
      </c>
      <c r="Y1315">
        <f t="shared" si="23"/>
        <v>1.858344391535385</v>
      </c>
      <c r="AA1315">
        <v>13.67</v>
      </c>
      <c r="AB1315">
        <v>15</v>
      </c>
    </row>
    <row r="1316" spans="1:28" x14ac:dyDescent="0.2">
      <c r="A1316" t="s">
        <v>204</v>
      </c>
      <c r="B1316">
        <v>2017</v>
      </c>
      <c r="C1316" t="s">
        <v>826</v>
      </c>
      <c r="D1316" t="s">
        <v>824</v>
      </c>
      <c r="E1316" t="s">
        <v>48</v>
      </c>
      <c r="F1316" t="s">
        <v>341</v>
      </c>
      <c r="G1316">
        <v>78.931168999999997</v>
      </c>
      <c r="H1316">
        <v>11.976254000000001</v>
      </c>
      <c r="I1316" t="s">
        <v>17</v>
      </c>
      <c r="J1316" t="s">
        <v>14</v>
      </c>
      <c r="K1316" t="s">
        <v>41</v>
      </c>
      <c r="L1316" t="s">
        <v>3</v>
      </c>
      <c r="M1316" t="s">
        <v>26</v>
      </c>
      <c r="N1316" t="s">
        <v>85</v>
      </c>
      <c r="O1316" s="6" t="s">
        <v>66</v>
      </c>
      <c r="P1316" t="s">
        <v>65</v>
      </c>
      <c r="Q1316">
        <v>24</v>
      </c>
      <c r="R1316" t="s">
        <v>213</v>
      </c>
      <c r="S1316" s="2" t="s">
        <v>13</v>
      </c>
      <c r="T1316" s="2">
        <v>30</v>
      </c>
      <c r="U1316" s="2" t="s">
        <v>28</v>
      </c>
      <c r="V1316" s="2" t="s">
        <v>28</v>
      </c>
      <c r="W1316" s="16">
        <v>20</v>
      </c>
      <c r="X1316">
        <v>0</v>
      </c>
      <c r="Y1316">
        <f t="shared" si="23"/>
        <v>0</v>
      </c>
      <c r="AA1316" s="2">
        <v>0</v>
      </c>
      <c r="AB1316" s="2">
        <v>0</v>
      </c>
    </row>
    <row r="1317" spans="1:28" x14ac:dyDescent="0.2">
      <c r="A1317" t="s">
        <v>204</v>
      </c>
      <c r="B1317">
        <v>2017</v>
      </c>
      <c r="C1317" t="s">
        <v>826</v>
      </c>
      <c r="D1317" t="s">
        <v>824</v>
      </c>
      <c r="E1317" t="s">
        <v>48</v>
      </c>
      <c r="F1317" t="s">
        <v>341</v>
      </c>
      <c r="G1317">
        <v>78.931168999999997</v>
      </c>
      <c r="H1317">
        <v>11.976254000000001</v>
      </c>
      <c r="I1317" t="s">
        <v>17</v>
      </c>
      <c r="J1317" t="s">
        <v>7</v>
      </c>
      <c r="K1317" t="s">
        <v>40</v>
      </c>
      <c r="L1317" t="s">
        <v>3</v>
      </c>
      <c r="M1317" t="s">
        <v>26</v>
      </c>
      <c r="N1317" t="s">
        <v>85</v>
      </c>
      <c r="O1317" s="6" t="s">
        <v>66</v>
      </c>
      <c r="P1317" t="s">
        <v>65</v>
      </c>
      <c r="Q1317">
        <v>24</v>
      </c>
      <c r="R1317" t="s">
        <v>213</v>
      </c>
      <c r="S1317" s="2" t="s">
        <v>7</v>
      </c>
      <c r="T1317" s="2">
        <v>30</v>
      </c>
      <c r="U1317" s="2" t="s">
        <v>28</v>
      </c>
      <c r="V1317" s="2" t="s">
        <v>28</v>
      </c>
      <c r="W1317" s="16">
        <v>5</v>
      </c>
      <c r="X1317">
        <v>4.96</v>
      </c>
      <c r="Y1317">
        <f t="shared" si="23"/>
        <v>0.81040582488009161</v>
      </c>
      <c r="AA1317">
        <v>4.6900000000000004</v>
      </c>
      <c r="AB1317">
        <v>5.27</v>
      </c>
    </row>
    <row r="1318" spans="1:28" x14ac:dyDescent="0.2">
      <c r="A1318" t="s">
        <v>204</v>
      </c>
      <c r="B1318">
        <v>2017</v>
      </c>
      <c r="C1318" t="s">
        <v>826</v>
      </c>
      <c r="D1318" t="s">
        <v>824</v>
      </c>
      <c r="E1318" t="s">
        <v>48</v>
      </c>
      <c r="F1318" t="s">
        <v>341</v>
      </c>
      <c r="G1318">
        <v>78.931168999999997</v>
      </c>
      <c r="H1318">
        <v>11.976254000000001</v>
      </c>
      <c r="I1318" t="s">
        <v>17</v>
      </c>
      <c r="J1318" t="s">
        <v>14</v>
      </c>
      <c r="K1318" t="s">
        <v>40</v>
      </c>
      <c r="L1318" t="s">
        <v>3</v>
      </c>
      <c r="M1318" t="s">
        <v>26</v>
      </c>
      <c r="N1318" t="s">
        <v>85</v>
      </c>
      <c r="O1318" s="6" t="s">
        <v>66</v>
      </c>
      <c r="P1318" t="s">
        <v>65</v>
      </c>
      <c r="Q1318">
        <v>24</v>
      </c>
      <c r="R1318" t="s">
        <v>213</v>
      </c>
      <c r="S1318" s="2" t="s">
        <v>9</v>
      </c>
      <c r="T1318" s="2">
        <v>30</v>
      </c>
      <c r="U1318" s="2" t="s">
        <v>28</v>
      </c>
      <c r="V1318" s="2" t="s">
        <v>28</v>
      </c>
      <c r="W1318" s="16">
        <v>10</v>
      </c>
      <c r="X1318">
        <v>5.35</v>
      </c>
      <c r="Y1318">
        <f t="shared" si="23"/>
        <v>0.76848828221388077</v>
      </c>
      <c r="AA1318">
        <v>5.04</v>
      </c>
      <c r="AB1318">
        <v>5.59</v>
      </c>
    </row>
    <row r="1319" spans="1:28" x14ac:dyDescent="0.2">
      <c r="A1319" t="s">
        <v>204</v>
      </c>
      <c r="B1319">
        <v>2017</v>
      </c>
      <c r="C1319" t="s">
        <v>826</v>
      </c>
      <c r="D1319" t="s">
        <v>824</v>
      </c>
      <c r="E1319" t="s">
        <v>48</v>
      </c>
      <c r="F1319" t="s">
        <v>341</v>
      </c>
      <c r="G1319">
        <v>78.931168999999997</v>
      </c>
      <c r="H1319">
        <v>11.976254000000001</v>
      </c>
      <c r="I1319" t="s">
        <v>17</v>
      </c>
      <c r="J1319" t="s">
        <v>14</v>
      </c>
      <c r="K1319" t="s">
        <v>40</v>
      </c>
      <c r="L1319" t="s">
        <v>3</v>
      </c>
      <c r="M1319" t="s">
        <v>26</v>
      </c>
      <c r="N1319" t="s">
        <v>85</v>
      </c>
      <c r="O1319" s="6" t="s">
        <v>66</v>
      </c>
      <c r="P1319" t="s">
        <v>65</v>
      </c>
      <c r="Q1319">
        <v>24</v>
      </c>
      <c r="R1319" t="s">
        <v>213</v>
      </c>
      <c r="S1319" s="2" t="s">
        <v>27</v>
      </c>
      <c r="T1319" s="2">
        <v>30</v>
      </c>
      <c r="U1319" s="2" t="s">
        <v>28</v>
      </c>
      <c r="V1319" s="2" t="s">
        <v>28</v>
      </c>
      <c r="W1319" s="16">
        <v>15</v>
      </c>
      <c r="X1319">
        <v>6.8</v>
      </c>
      <c r="Y1319">
        <f t="shared" si="23"/>
        <v>6.4413290563745296</v>
      </c>
      <c r="AA1319">
        <v>4.49</v>
      </c>
      <c r="AB1319">
        <v>9.1</v>
      </c>
    </row>
    <row r="1320" spans="1:28" x14ac:dyDescent="0.2">
      <c r="A1320" t="s">
        <v>204</v>
      </c>
      <c r="B1320">
        <v>2017</v>
      </c>
      <c r="C1320" t="s">
        <v>826</v>
      </c>
      <c r="D1320" t="s">
        <v>824</v>
      </c>
      <c r="E1320" t="s">
        <v>48</v>
      </c>
      <c r="F1320" t="s">
        <v>341</v>
      </c>
      <c r="G1320">
        <v>78.931168999999997</v>
      </c>
      <c r="H1320">
        <v>11.976254000000001</v>
      </c>
      <c r="I1320" t="s">
        <v>17</v>
      </c>
      <c r="J1320" t="s">
        <v>14</v>
      </c>
      <c r="K1320" t="s">
        <v>40</v>
      </c>
      <c r="L1320" t="s">
        <v>3</v>
      </c>
      <c r="M1320" t="s">
        <v>26</v>
      </c>
      <c r="N1320" t="s">
        <v>85</v>
      </c>
      <c r="O1320" s="6" t="s">
        <v>66</v>
      </c>
      <c r="P1320" t="s">
        <v>65</v>
      </c>
      <c r="Q1320">
        <v>24</v>
      </c>
      <c r="R1320" t="s">
        <v>213</v>
      </c>
      <c r="S1320" s="2" t="s">
        <v>13</v>
      </c>
      <c r="T1320" s="2">
        <v>30</v>
      </c>
      <c r="U1320" s="2" t="s">
        <v>28</v>
      </c>
      <c r="V1320" s="2" t="s">
        <v>28</v>
      </c>
      <c r="W1320" s="16">
        <v>20</v>
      </c>
      <c r="X1320">
        <v>0</v>
      </c>
      <c r="Y1320">
        <f t="shared" si="23"/>
        <v>0</v>
      </c>
      <c r="AA1320">
        <v>0</v>
      </c>
      <c r="AB1320">
        <v>0</v>
      </c>
    </row>
    <row r="1321" spans="1:28" x14ac:dyDescent="0.2">
      <c r="A1321" t="s">
        <v>204</v>
      </c>
      <c r="B1321">
        <v>2017</v>
      </c>
      <c r="C1321" t="s">
        <v>826</v>
      </c>
      <c r="D1321" t="s">
        <v>824</v>
      </c>
      <c r="E1321" t="s">
        <v>48</v>
      </c>
      <c r="F1321" t="s">
        <v>341</v>
      </c>
      <c r="G1321">
        <v>78.931168999999997</v>
      </c>
      <c r="H1321">
        <v>11.976254000000001</v>
      </c>
      <c r="I1321" t="s">
        <v>17</v>
      </c>
      <c r="J1321" t="s">
        <v>7</v>
      </c>
      <c r="K1321" t="s">
        <v>41</v>
      </c>
      <c r="L1321" t="s">
        <v>3</v>
      </c>
      <c r="M1321" t="s">
        <v>26</v>
      </c>
      <c r="N1321" t="s">
        <v>85</v>
      </c>
      <c r="O1321" s="6" t="s">
        <v>80</v>
      </c>
      <c r="P1321" t="s">
        <v>79</v>
      </c>
      <c r="Q1321">
        <v>24</v>
      </c>
      <c r="R1321" t="s">
        <v>213</v>
      </c>
      <c r="S1321" s="2" t="s">
        <v>7</v>
      </c>
      <c r="T1321" s="2">
        <v>30</v>
      </c>
      <c r="U1321" s="2" t="s">
        <v>28</v>
      </c>
      <c r="V1321" s="2" t="s">
        <v>28</v>
      </c>
      <c r="W1321" s="16">
        <v>5</v>
      </c>
      <c r="X1321">
        <v>3370</v>
      </c>
      <c r="Y1321">
        <f t="shared" si="23"/>
        <v>1848.5636315799359</v>
      </c>
      <c r="AA1321">
        <v>2721</v>
      </c>
      <c r="AB1321">
        <v>4044</v>
      </c>
    </row>
    <row r="1322" spans="1:28" x14ac:dyDescent="0.2">
      <c r="A1322" t="s">
        <v>204</v>
      </c>
      <c r="B1322">
        <v>2017</v>
      </c>
      <c r="C1322" t="s">
        <v>826</v>
      </c>
      <c r="D1322" t="s">
        <v>824</v>
      </c>
      <c r="E1322" t="s">
        <v>48</v>
      </c>
      <c r="F1322" t="s">
        <v>341</v>
      </c>
      <c r="G1322">
        <v>78.931168999999997</v>
      </c>
      <c r="H1322">
        <v>11.976254000000001</v>
      </c>
      <c r="I1322" t="s">
        <v>17</v>
      </c>
      <c r="J1322" t="s">
        <v>14</v>
      </c>
      <c r="K1322" t="s">
        <v>41</v>
      </c>
      <c r="L1322" t="s">
        <v>3</v>
      </c>
      <c r="M1322" t="s">
        <v>26</v>
      </c>
      <c r="N1322" t="s">
        <v>85</v>
      </c>
      <c r="O1322" s="6" t="s">
        <v>80</v>
      </c>
      <c r="P1322" t="s">
        <v>79</v>
      </c>
      <c r="Q1322">
        <v>24</v>
      </c>
      <c r="R1322" t="s">
        <v>213</v>
      </c>
      <c r="S1322" s="2" t="s">
        <v>9</v>
      </c>
      <c r="T1322" s="2">
        <v>30</v>
      </c>
      <c r="U1322" s="2" t="s">
        <v>28</v>
      </c>
      <c r="V1322" s="2" t="s">
        <v>28</v>
      </c>
      <c r="W1322" s="16">
        <v>10</v>
      </c>
      <c r="X1322">
        <v>6066</v>
      </c>
      <c r="Y1322">
        <f t="shared" si="23"/>
        <v>1917.0289512680815</v>
      </c>
      <c r="AA1322">
        <v>5367</v>
      </c>
      <c r="AB1322">
        <v>6739</v>
      </c>
    </row>
    <row r="1323" spans="1:28" x14ac:dyDescent="0.2">
      <c r="A1323" t="s">
        <v>204</v>
      </c>
      <c r="B1323">
        <v>2017</v>
      </c>
      <c r="C1323" t="s">
        <v>826</v>
      </c>
      <c r="D1323" t="s">
        <v>824</v>
      </c>
      <c r="E1323" t="s">
        <v>48</v>
      </c>
      <c r="F1323" t="s">
        <v>341</v>
      </c>
      <c r="G1323">
        <v>78.931168999999997</v>
      </c>
      <c r="H1323">
        <v>11.976254000000001</v>
      </c>
      <c r="I1323" t="s">
        <v>17</v>
      </c>
      <c r="J1323" t="s">
        <v>14</v>
      </c>
      <c r="K1323" t="s">
        <v>41</v>
      </c>
      <c r="L1323" t="s">
        <v>3</v>
      </c>
      <c r="M1323" t="s">
        <v>26</v>
      </c>
      <c r="N1323" t="s">
        <v>85</v>
      </c>
      <c r="O1323" s="6" t="s">
        <v>80</v>
      </c>
      <c r="P1323" t="s">
        <v>79</v>
      </c>
      <c r="Q1323">
        <v>24</v>
      </c>
      <c r="R1323" t="s">
        <v>213</v>
      </c>
      <c r="S1323" s="2" t="s">
        <v>27</v>
      </c>
      <c r="T1323" s="2">
        <v>30</v>
      </c>
      <c r="U1323" s="2" t="s">
        <v>28</v>
      </c>
      <c r="V1323" s="2" t="s">
        <v>28</v>
      </c>
      <c r="W1323" s="16">
        <v>15</v>
      </c>
      <c r="X1323">
        <v>4418</v>
      </c>
      <c r="Y1323">
        <f t="shared" si="23"/>
        <v>4847.0651836362786</v>
      </c>
      <c r="AA1323">
        <v>2671</v>
      </c>
      <c r="AB1323">
        <v>6140</v>
      </c>
    </row>
    <row r="1324" spans="1:28" x14ac:dyDescent="0.2">
      <c r="A1324" t="s">
        <v>204</v>
      </c>
      <c r="B1324">
        <v>2017</v>
      </c>
      <c r="C1324" t="s">
        <v>826</v>
      </c>
      <c r="D1324" t="s">
        <v>824</v>
      </c>
      <c r="E1324" t="s">
        <v>48</v>
      </c>
      <c r="F1324" t="s">
        <v>341</v>
      </c>
      <c r="G1324">
        <v>78.931168999999997</v>
      </c>
      <c r="H1324">
        <v>11.976254000000001</v>
      </c>
      <c r="I1324" t="s">
        <v>17</v>
      </c>
      <c r="J1324" t="s">
        <v>14</v>
      </c>
      <c r="K1324" t="s">
        <v>41</v>
      </c>
      <c r="L1324" t="s">
        <v>3</v>
      </c>
      <c r="M1324" t="s">
        <v>26</v>
      </c>
      <c r="N1324" t="s">
        <v>85</v>
      </c>
      <c r="O1324" s="6" t="s">
        <v>80</v>
      </c>
      <c r="P1324" t="s">
        <v>79</v>
      </c>
      <c r="Q1324">
        <v>24</v>
      </c>
      <c r="R1324" t="s">
        <v>213</v>
      </c>
      <c r="S1324" s="2" t="s">
        <v>13</v>
      </c>
      <c r="T1324" s="2">
        <v>30</v>
      </c>
      <c r="U1324" s="2" t="s">
        <v>28</v>
      </c>
      <c r="V1324" s="2" t="s">
        <v>28</v>
      </c>
      <c r="W1324" s="16">
        <v>20</v>
      </c>
      <c r="X1324">
        <v>0</v>
      </c>
      <c r="Y1324">
        <f t="shared" si="23"/>
        <v>0</v>
      </c>
      <c r="AA1324" s="2">
        <v>0</v>
      </c>
      <c r="AB1324" s="2">
        <v>0</v>
      </c>
    </row>
    <row r="1325" spans="1:28" x14ac:dyDescent="0.2">
      <c r="A1325" t="s">
        <v>204</v>
      </c>
      <c r="B1325">
        <v>2017</v>
      </c>
      <c r="C1325" t="s">
        <v>826</v>
      </c>
      <c r="D1325" t="s">
        <v>824</v>
      </c>
      <c r="E1325" t="s">
        <v>48</v>
      </c>
      <c r="F1325" t="s">
        <v>341</v>
      </c>
      <c r="G1325">
        <v>78.931168999999997</v>
      </c>
      <c r="H1325">
        <v>11.976254000000001</v>
      </c>
      <c r="I1325" t="s">
        <v>17</v>
      </c>
      <c r="J1325" t="s">
        <v>7</v>
      </c>
      <c r="K1325" t="s">
        <v>40</v>
      </c>
      <c r="L1325" t="s">
        <v>3</v>
      </c>
      <c r="M1325" t="s">
        <v>26</v>
      </c>
      <c r="N1325" t="s">
        <v>85</v>
      </c>
      <c r="O1325" s="6" t="s">
        <v>80</v>
      </c>
      <c r="P1325" t="s">
        <v>79</v>
      </c>
      <c r="Q1325">
        <v>24</v>
      </c>
      <c r="R1325" t="s">
        <v>213</v>
      </c>
      <c r="S1325" s="2" t="s">
        <v>7</v>
      </c>
      <c r="T1325" s="2">
        <v>30</v>
      </c>
      <c r="U1325" s="2" t="s">
        <v>28</v>
      </c>
      <c r="V1325" s="2" t="s">
        <v>28</v>
      </c>
      <c r="W1325" s="16">
        <v>5</v>
      </c>
      <c r="X1325">
        <v>1298</v>
      </c>
      <c r="Y1325">
        <f t="shared" si="23"/>
        <v>1237.964760075452</v>
      </c>
      <c r="AA1325">
        <v>849</v>
      </c>
      <c r="AB1325">
        <v>1735</v>
      </c>
    </row>
    <row r="1326" spans="1:28" x14ac:dyDescent="0.2">
      <c r="A1326" t="s">
        <v>204</v>
      </c>
      <c r="B1326">
        <v>2017</v>
      </c>
      <c r="C1326" t="s">
        <v>826</v>
      </c>
      <c r="D1326" t="s">
        <v>824</v>
      </c>
      <c r="E1326" t="s">
        <v>48</v>
      </c>
      <c r="F1326" t="s">
        <v>341</v>
      </c>
      <c r="G1326">
        <v>78.931168999999997</v>
      </c>
      <c r="H1326">
        <v>11.976254000000001</v>
      </c>
      <c r="I1326" t="s">
        <v>17</v>
      </c>
      <c r="J1326" t="s">
        <v>14</v>
      </c>
      <c r="K1326" t="s">
        <v>40</v>
      </c>
      <c r="L1326" t="s">
        <v>3</v>
      </c>
      <c r="M1326" t="s">
        <v>26</v>
      </c>
      <c r="N1326" t="s">
        <v>85</v>
      </c>
      <c r="O1326" s="6" t="s">
        <v>80</v>
      </c>
      <c r="P1326" t="s">
        <v>79</v>
      </c>
      <c r="Q1326">
        <v>24</v>
      </c>
      <c r="R1326" t="s">
        <v>213</v>
      </c>
      <c r="S1326" s="2" t="s">
        <v>9</v>
      </c>
      <c r="T1326" s="2">
        <v>30</v>
      </c>
      <c r="U1326" s="2" t="s">
        <v>28</v>
      </c>
      <c r="V1326" s="2" t="s">
        <v>28</v>
      </c>
      <c r="W1326" s="16">
        <v>10</v>
      </c>
      <c r="X1326">
        <v>2172</v>
      </c>
      <c r="Y1326">
        <f t="shared" si="23"/>
        <v>1761.934043403098</v>
      </c>
      <c r="AA1326">
        <v>1535</v>
      </c>
      <c r="AB1326">
        <v>2796</v>
      </c>
    </row>
    <row r="1327" spans="1:28" x14ac:dyDescent="0.2">
      <c r="A1327" t="s">
        <v>204</v>
      </c>
      <c r="B1327">
        <v>2017</v>
      </c>
      <c r="C1327" t="s">
        <v>826</v>
      </c>
      <c r="D1327" t="s">
        <v>824</v>
      </c>
      <c r="E1327" t="s">
        <v>48</v>
      </c>
      <c r="F1327" t="s">
        <v>341</v>
      </c>
      <c r="G1327">
        <v>78.931168999999997</v>
      </c>
      <c r="H1327">
        <v>11.976254000000001</v>
      </c>
      <c r="I1327" t="s">
        <v>17</v>
      </c>
      <c r="J1327" t="s">
        <v>14</v>
      </c>
      <c r="K1327" t="s">
        <v>40</v>
      </c>
      <c r="L1327" t="s">
        <v>3</v>
      </c>
      <c r="M1327" t="s">
        <v>26</v>
      </c>
      <c r="N1327" t="s">
        <v>85</v>
      </c>
      <c r="O1327" s="6" t="s">
        <v>80</v>
      </c>
      <c r="P1327" t="s">
        <v>79</v>
      </c>
      <c r="Q1327">
        <v>24</v>
      </c>
      <c r="R1327" t="s">
        <v>213</v>
      </c>
      <c r="S1327" s="2" t="s">
        <v>27</v>
      </c>
      <c r="T1327" s="2">
        <v>30</v>
      </c>
      <c r="U1327" s="2" t="s">
        <v>28</v>
      </c>
      <c r="V1327" s="2" t="s">
        <v>28</v>
      </c>
      <c r="W1327" s="16">
        <v>15</v>
      </c>
      <c r="X1327">
        <v>1760</v>
      </c>
      <c r="Y1327">
        <f t="shared" si="23"/>
        <v>1901.6591856238038</v>
      </c>
      <c r="AA1327">
        <v>1073</v>
      </c>
      <c r="AB1327">
        <v>2434</v>
      </c>
    </row>
    <row r="1328" spans="1:28" x14ac:dyDescent="0.2">
      <c r="A1328" t="s">
        <v>204</v>
      </c>
      <c r="B1328">
        <v>2017</v>
      </c>
      <c r="C1328" t="s">
        <v>826</v>
      </c>
      <c r="D1328" t="s">
        <v>824</v>
      </c>
      <c r="E1328" t="s">
        <v>48</v>
      </c>
      <c r="F1328" t="s">
        <v>341</v>
      </c>
      <c r="G1328">
        <v>78.931168999999997</v>
      </c>
      <c r="H1328">
        <v>11.976254000000001</v>
      </c>
      <c r="I1328" t="s">
        <v>17</v>
      </c>
      <c r="J1328" t="s">
        <v>14</v>
      </c>
      <c r="K1328" t="s">
        <v>40</v>
      </c>
      <c r="L1328" t="s">
        <v>3</v>
      </c>
      <c r="M1328" t="s">
        <v>26</v>
      </c>
      <c r="N1328" t="s">
        <v>85</v>
      </c>
      <c r="O1328" s="6" t="s">
        <v>80</v>
      </c>
      <c r="P1328" t="s">
        <v>79</v>
      </c>
      <c r="Q1328">
        <v>24</v>
      </c>
      <c r="R1328" t="s">
        <v>213</v>
      </c>
      <c r="S1328" s="2" t="s">
        <v>13</v>
      </c>
      <c r="T1328" s="2">
        <v>30</v>
      </c>
      <c r="U1328" s="2" t="s">
        <v>28</v>
      </c>
      <c r="V1328" s="2" t="s">
        <v>28</v>
      </c>
      <c r="W1328" s="16">
        <v>20</v>
      </c>
      <c r="X1328">
        <v>0</v>
      </c>
      <c r="Y1328">
        <f t="shared" si="23"/>
        <v>0</v>
      </c>
      <c r="AA1328">
        <v>0</v>
      </c>
      <c r="AB1328">
        <v>0</v>
      </c>
    </row>
    <row r="1329" spans="1:28" x14ac:dyDescent="0.2">
      <c r="A1329" t="s">
        <v>204</v>
      </c>
      <c r="B1329">
        <v>2017</v>
      </c>
      <c r="C1329" t="s">
        <v>826</v>
      </c>
      <c r="D1329" t="s">
        <v>824</v>
      </c>
      <c r="E1329" t="s">
        <v>48</v>
      </c>
      <c r="F1329" t="s">
        <v>341</v>
      </c>
      <c r="G1329">
        <v>78.931168999999997</v>
      </c>
      <c r="H1329">
        <v>11.976254000000001</v>
      </c>
      <c r="I1329" t="s">
        <v>17</v>
      </c>
      <c r="J1329" t="s">
        <v>7</v>
      </c>
      <c r="K1329" t="s">
        <v>41</v>
      </c>
      <c r="L1329" t="s">
        <v>3</v>
      </c>
      <c r="M1329" t="s">
        <v>26</v>
      </c>
      <c r="N1329" t="s">
        <v>85</v>
      </c>
      <c r="O1329" s="6" t="s">
        <v>207</v>
      </c>
      <c r="P1329" t="s">
        <v>206</v>
      </c>
      <c r="Q1329">
        <v>24</v>
      </c>
      <c r="R1329" t="s">
        <v>213</v>
      </c>
      <c r="S1329" s="2" t="s">
        <v>7</v>
      </c>
      <c r="T1329" s="2">
        <v>30</v>
      </c>
      <c r="U1329" s="2" t="s">
        <v>28</v>
      </c>
      <c r="V1329" s="2" t="s">
        <v>28</v>
      </c>
      <c r="W1329" s="16">
        <v>5</v>
      </c>
      <c r="X1329">
        <v>9.17</v>
      </c>
      <c r="Y1329">
        <f t="shared" si="23"/>
        <v>2.2914923324195731</v>
      </c>
      <c r="AA1329">
        <v>8.41</v>
      </c>
      <c r="AB1329">
        <v>10.050000000000001</v>
      </c>
    </row>
    <row r="1330" spans="1:28" x14ac:dyDescent="0.2">
      <c r="A1330" t="s">
        <v>204</v>
      </c>
      <c r="B1330">
        <v>2017</v>
      </c>
      <c r="C1330" t="s">
        <v>826</v>
      </c>
      <c r="D1330" t="s">
        <v>824</v>
      </c>
      <c r="E1330" t="s">
        <v>48</v>
      </c>
      <c r="F1330" t="s">
        <v>341</v>
      </c>
      <c r="G1330">
        <v>78.931168999999997</v>
      </c>
      <c r="H1330">
        <v>11.976254000000001</v>
      </c>
      <c r="I1330" t="s">
        <v>17</v>
      </c>
      <c r="J1330" t="s">
        <v>14</v>
      </c>
      <c r="K1330" t="s">
        <v>41</v>
      </c>
      <c r="L1330" t="s">
        <v>3</v>
      </c>
      <c r="M1330" t="s">
        <v>26</v>
      </c>
      <c r="N1330" t="s">
        <v>85</v>
      </c>
      <c r="O1330" s="6" t="s">
        <v>207</v>
      </c>
      <c r="P1330" t="s">
        <v>206</v>
      </c>
      <c r="Q1330">
        <v>24</v>
      </c>
      <c r="R1330" t="s">
        <v>213</v>
      </c>
      <c r="S1330" s="2" t="s">
        <v>9</v>
      </c>
      <c r="T1330" s="2">
        <v>30</v>
      </c>
      <c r="U1330" s="2" t="s">
        <v>28</v>
      </c>
      <c r="V1330" s="2" t="s">
        <v>28</v>
      </c>
      <c r="W1330" s="16">
        <v>10</v>
      </c>
      <c r="X1330">
        <v>14.91</v>
      </c>
      <c r="Y1330">
        <f t="shared" si="23"/>
        <v>6.0221536297124141</v>
      </c>
      <c r="AA1330">
        <v>12.78</v>
      </c>
      <c r="AB1330">
        <v>17.09</v>
      </c>
    </row>
    <row r="1331" spans="1:28" x14ac:dyDescent="0.2">
      <c r="A1331" t="s">
        <v>204</v>
      </c>
      <c r="B1331">
        <v>2017</v>
      </c>
      <c r="C1331" t="s">
        <v>826</v>
      </c>
      <c r="D1331" t="s">
        <v>824</v>
      </c>
      <c r="E1331" t="s">
        <v>48</v>
      </c>
      <c r="F1331" t="s">
        <v>341</v>
      </c>
      <c r="G1331">
        <v>78.931168999999997</v>
      </c>
      <c r="H1331">
        <v>11.976254000000001</v>
      </c>
      <c r="I1331" t="s">
        <v>17</v>
      </c>
      <c r="J1331" t="s">
        <v>14</v>
      </c>
      <c r="K1331" t="s">
        <v>41</v>
      </c>
      <c r="L1331" t="s">
        <v>3</v>
      </c>
      <c r="M1331" t="s">
        <v>26</v>
      </c>
      <c r="N1331" t="s">
        <v>85</v>
      </c>
      <c r="O1331" s="6" t="s">
        <v>207</v>
      </c>
      <c r="P1331" t="s">
        <v>206</v>
      </c>
      <c r="Q1331">
        <v>24</v>
      </c>
      <c r="R1331" t="s">
        <v>213</v>
      </c>
      <c r="S1331" s="2" t="s">
        <v>27</v>
      </c>
      <c r="T1331" s="2">
        <v>30</v>
      </c>
      <c r="U1331" s="2" t="s">
        <v>28</v>
      </c>
      <c r="V1331" s="2" t="s">
        <v>28</v>
      </c>
      <c r="W1331" s="16">
        <v>15</v>
      </c>
      <c r="X1331">
        <v>12.01</v>
      </c>
      <c r="Y1331">
        <f t="shared" si="23"/>
        <v>17.703175519363405</v>
      </c>
      <c r="AA1331">
        <v>5.68</v>
      </c>
      <c r="AB1331">
        <v>18.350000000000001</v>
      </c>
    </row>
    <row r="1332" spans="1:28" x14ac:dyDescent="0.2">
      <c r="A1332" t="s">
        <v>204</v>
      </c>
      <c r="B1332">
        <v>2017</v>
      </c>
      <c r="C1332" t="s">
        <v>826</v>
      </c>
      <c r="D1332" t="s">
        <v>824</v>
      </c>
      <c r="E1332" t="s">
        <v>48</v>
      </c>
      <c r="F1332" t="s">
        <v>341</v>
      </c>
      <c r="G1332">
        <v>78.931168999999997</v>
      </c>
      <c r="H1332">
        <v>11.976254000000001</v>
      </c>
      <c r="I1332" t="s">
        <v>17</v>
      </c>
      <c r="J1332" t="s">
        <v>14</v>
      </c>
      <c r="K1332" t="s">
        <v>41</v>
      </c>
      <c r="L1332" t="s">
        <v>3</v>
      </c>
      <c r="M1332" t="s">
        <v>26</v>
      </c>
      <c r="N1332" t="s">
        <v>85</v>
      </c>
      <c r="O1332" s="6" t="s">
        <v>207</v>
      </c>
      <c r="P1332" t="s">
        <v>206</v>
      </c>
      <c r="Q1332">
        <v>24</v>
      </c>
      <c r="R1332" t="s">
        <v>213</v>
      </c>
      <c r="S1332" s="2" t="s">
        <v>13</v>
      </c>
      <c r="T1332" s="2">
        <v>30</v>
      </c>
      <c r="U1332" s="2" t="s">
        <v>28</v>
      </c>
      <c r="V1332" s="2" t="s">
        <v>28</v>
      </c>
      <c r="W1332" s="16">
        <v>20</v>
      </c>
      <c r="X1332">
        <v>0</v>
      </c>
      <c r="Y1332">
        <f t="shared" si="23"/>
        <v>0</v>
      </c>
      <c r="AA1332" s="2">
        <v>0</v>
      </c>
      <c r="AB1332" s="2">
        <v>0</v>
      </c>
    </row>
    <row r="1333" spans="1:28" x14ac:dyDescent="0.2">
      <c r="A1333" t="s">
        <v>204</v>
      </c>
      <c r="B1333">
        <v>2017</v>
      </c>
      <c r="C1333" t="s">
        <v>826</v>
      </c>
      <c r="D1333" t="s">
        <v>824</v>
      </c>
      <c r="E1333" t="s">
        <v>48</v>
      </c>
      <c r="F1333" t="s">
        <v>341</v>
      </c>
      <c r="G1333">
        <v>78.931168999999997</v>
      </c>
      <c r="H1333">
        <v>11.976254000000001</v>
      </c>
      <c r="I1333" t="s">
        <v>17</v>
      </c>
      <c r="J1333" t="s">
        <v>7</v>
      </c>
      <c r="K1333" t="s">
        <v>40</v>
      </c>
      <c r="L1333" t="s">
        <v>3</v>
      </c>
      <c r="M1333" t="s">
        <v>26</v>
      </c>
      <c r="N1333" t="s">
        <v>85</v>
      </c>
      <c r="O1333" s="6" t="s">
        <v>207</v>
      </c>
      <c r="P1333" t="s">
        <v>206</v>
      </c>
      <c r="Q1333">
        <v>24</v>
      </c>
      <c r="R1333" t="s">
        <v>213</v>
      </c>
      <c r="S1333" s="2" t="s">
        <v>7</v>
      </c>
      <c r="T1333" s="2">
        <v>30</v>
      </c>
      <c r="U1333" s="2" t="s">
        <v>28</v>
      </c>
      <c r="V1333" s="2" t="s">
        <v>28</v>
      </c>
      <c r="W1333" s="16">
        <v>5</v>
      </c>
      <c r="X1333">
        <v>20.69</v>
      </c>
      <c r="Y1333">
        <f t="shared" si="23"/>
        <v>12.896630626971131</v>
      </c>
      <c r="AA1333">
        <v>16.11</v>
      </c>
      <c r="AB1333">
        <v>25.34</v>
      </c>
    </row>
    <row r="1334" spans="1:28" x14ac:dyDescent="0.2">
      <c r="A1334" t="s">
        <v>204</v>
      </c>
      <c r="B1334">
        <v>2017</v>
      </c>
      <c r="C1334" t="s">
        <v>826</v>
      </c>
      <c r="D1334" t="s">
        <v>824</v>
      </c>
      <c r="E1334" t="s">
        <v>48</v>
      </c>
      <c r="F1334" t="s">
        <v>341</v>
      </c>
      <c r="G1334">
        <v>78.931168999999997</v>
      </c>
      <c r="H1334">
        <v>11.976254000000001</v>
      </c>
      <c r="I1334" t="s">
        <v>17</v>
      </c>
      <c r="J1334" t="s">
        <v>14</v>
      </c>
      <c r="K1334" t="s">
        <v>40</v>
      </c>
      <c r="L1334" t="s">
        <v>3</v>
      </c>
      <c r="M1334" t="s">
        <v>26</v>
      </c>
      <c r="N1334" t="s">
        <v>85</v>
      </c>
      <c r="O1334" s="6" t="s">
        <v>207</v>
      </c>
      <c r="P1334" t="s">
        <v>206</v>
      </c>
      <c r="Q1334">
        <v>24</v>
      </c>
      <c r="R1334" t="s">
        <v>213</v>
      </c>
      <c r="S1334" s="2" t="s">
        <v>9</v>
      </c>
      <c r="T1334" s="2">
        <v>30</v>
      </c>
      <c r="U1334" s="2" t="s">
        <v>28</v>
      </c>
      <c r="V1334" s="2" t="s">
        <v>28</v>
      </c>
      <c r="W1334" s="16">
        <v>10</v>
      </c>
      <c r="X1334">
        <v>26.21</v>
      </c>
      <c r="Y1334">
        <f t="shared" si="23"/>
        <v>8.0900857345788548</v>
      </c>
      <c r="AA1334">
        <v>23.26</v>
      </c>
      <c r="AB1334">
        <v>29.05</v>
      </c>
    </row>
    <row r="1335" spans="1:28" x14ac:dyDescent="0.2">
      <c r="A1335" t="s">
        <v>204</v>
      </c>
      <c r="B1335">
        <v>2017</v>
      </c>
      <c r="C1335" t="s">
        <v>826</v>
      </c>
      <c r="D1335" t="s">
        <v>824</v>
      </c>
      <c r="E1335" t="s">
        <v>48</v>
      </c>
      <c r="F1335" t="s">
        <v>341</v>
      </c>
      <c r="G1335">
        <v>78.931168999999997</v>
      </c>
      <c r="H1335">
        <v>11.976254000000001</v>
      </c>
      <c r="I1335" t="s">
        <v>17</v>
      </c>
      <c r="J1335" t="s">
        <v>14</v>
      </c>
      <c r="K1335" t="s">
        <v>40</v>
      </c>
      <c r="L1335" t="s">
        <v>3</v>
      </c>
      <c r="M1335" t="s">
        <v>26</v>
      </c>
      <c r="N1335" t="s">
        <v>85</v>
      </c>
      <c r="O1335" s="6" t="s">
        <v>207</v>
      </c>
      <c r="P1335" t="s">
        <v>206</v>
      </c>
      <c r="Q1335">
        <v>24</v>
      </c>
      <c r="R1335" t="s">
        <v>213</v>
      </c>
      <c r="S1335" s="2" t="s">
        <v>27</v>
      </c>
      <c r="T1335" s="2">
        <v>30</v>
      </c>
      <c r="U1335" s="2" t="s">
        <v>28</v>
      </c>
      <c r="V1335" s="2" t="s">
        <v>28</v>
      </c>
      <c r="W1335" s="16">
        <v>15</v>
      </c>
      <c r="X1335">
        <v>23.37</v>
      </c>
      <c r="Y1335">
        <f t="shared" si="23"/>
        <v>11.667049375428922</v>
      </c>
      <c r="AA1335">
        <v>19.22</v>
      </c>
      <c r="AB1335">
        <v>27.57</v>
      </c>
    </row>
    <row r="1336" spans="1:28" x14ac:dyDescent="0.2">
      <c r="A1336" t="s">
        <v>204</v>
      </c>
      <c r="B1336">
        <v>2017</v>
      </c>
      <c r="C1336" t="s">
        <v>826</v>
      </c>
      <c r="D1336" t="s">
        <v>824</v>
      </c>
      <c r="E1336" t="s">
        <v>48</v>
      </c>
      <c r="F1336" t="s">
        <v>341</v>
      </c>
      <c r="G1336">
        <v>78.931168999999997</v>
      </c>
      <c r="H1336">
        <v>11.976254000000001</v>
      </c>
      <c r="I1336" t="s">
        <v>17</v>
      </c>
      <c r="J1336" t="s">
        <v>14</v>
      </c>
      <c r="K1336" t="s">
        <v>40</v>
      </c>
      <c r="L1336" t="s">
        <v>3</v>
      </c>
      <c r="M1336" t="s">
        <v>26</v>
      </c>
      <c r="N1336" t="s">
        <v>85</v>
      </c>
      <c r="O1336" s="6" t="s">
        <v>207</v>
      </c>
      <c r="P1336" t="s">
        <v>206</v>
      </c>
      <c r="Q1336">
        <v>24</v>
      </c>
      <c r="R1336" t="s">
        <v>213</v>
      </c>
      <c r="S1336" s="2" t="s">
        <v>13</v>
      </c>
      <c r="T1336" s="2">
        <v>30</v>
      </c>
      <c r="U1336" s="2" t="s">
        <v>28</v>
      </c>
      <c r="V1336" s="2" t="s">
        <v>28</v>
      </c>
      <c r="W1336" s="16">
        <v>20</v>
      </c>
      <c r="X1336">
        <v>0</v>
      </c>
      <c r="Y1336">
        <f t="shared" si="23"/>
        <v>0</v>
      </c>
      <c r="AA1336">
        <v>0</v>
      </c>
      <c r="AB1336">
        <v>0</v>
      </c>
    </row>
    <row r="1337" spans="1:28" x14ac:dyDescent="0.2">
      <c r="A1337" t="s">
        <v>204</v>
      </c>
      <c r="B1337">
        <v>2017</v>
      </c>
      <c r="C1337" t="s">
        <v>807</v>
      </c>
      <c r="D1337" t="s">
        <v>808</v>
      </c>
      <c r="E1337" t="s">
        <v>205</v>
      </c>
      <c r="F1337" t="s">
        <v>341</v>
      </c>
      <c r="G1337">
        <v>78.931168999999997</v>
      </c>
      <c r="H1337">
        <v>11.976254000000001</v>
      </c>
      <c r="I1337" t="s">
        <v>17</v>
      </c>
      <c r="J1337" t="s">
        <v>7</v>
      </c>
      <c r="K1337" t="s">
        <v>3</v>
      </c>
      <c r="L1337" t="s">
        <v>3</v>
      </c>
      <c r="M1337" t="s">
        <v>727</v>
      </c>
      <c r="N1337" t="s">
        <v>85</v>
      </c>
      <c r="O1337" s="6" t="s">
        <v>42</v>
      </c>
      <c r="Q1337">
        <v>24</v>
      </c>
      <c r="R1337" t="s">
        <v>213</v>
      </c>
      <c r="S1337" s="2" t="s">
        <v>7</v>
      </c>
      <c r="T1337" s="2">
        <v>100</v>
      </c>
      <c r="U1337" s="2" t="s">
        <v>28</v>
      </c>
      <c r="V1337" s="2" t="s">
        <v>28</v>
      </c>
      <c r="W1337" s="16">
        <v>5</v>
      </c>
      <c r="X1337">
        <v>39.520000000000003</v>
      </c>
      <c r="Y1337">
        <f t="shared" ref="Y1337:Y1368" si="24">SQRT(T1337) * (AB1337-AA1337)/3.92</f>
        <v>35.153061224489761</v>
      </c>
      <c r="AA1337">
        <f>X1337-(AB1337-X1337)</f>
        <v>32.63000000000001</v>
      </c>
      <c r="AB1337">
        <v>46.41</v>
      </c>
    </row>
    <row r="1338" spans="1:28" x14ac:dyDescent="0.2">
      <c r="A1338" t="s">
        <v>204</v>
      </c>
      <c r="B1338">
        <v>2017</v>
      </c>
      <c r="C1338" t="s">
        <v>807</v>
      </c>
      <c r="D1338" t="s">
        <v>808</v>
      </c>
      <c r="E1338" t="s">
        <v>205</v>
      </c>
      <c r="F1338" t="s">
        <v>341</v>
      </c>
      <c r="G1338">
        <v>78.931168999999997</v>
      </c>
      <c r="H1338">
        <v>11.976254000000001</v>
      </c>
      <c r="I1338" t="s">
        <v>17</v>
      </c>
      <c r="J1338" t="s">
        <v>14</v>
      </c>
      <c r="K1338" t="s">
        <v>3</v>
      </c>
      <c r="L1338" t="s">
        <v>3</v>
      </c>
      <c r="M1338" t="s">
        <v>727</v>
      </c>
      <c r="N1338" t="s">
        <v>85</v>
      </c>
      <c r="O1338" s="6" t="s">
        <v>42</v>
      </c>
      <c r="Q1338">
        <v>24</v>
      </c>
      <c r="R1338" t="s">
        <v>213</v>
      </c>
      <c r="S1338" s="2" t="s">
        <v>9</v>
      </c>
      <c r="T1338" s="2">
        <v>100</v>
      </c>
      <c r="U1338" s="2" t="s">
        <v>28</v>
      </c>
      <c r="V1338" s="2" t="s">
        <v>28</v>
      </c>
      <c r="W1338" s="16">
        <v>10</v>
      </c>
      <c r="X1338">
        <v>48.5</v>
      </c>
      <c r="Y1338">
        <f t="shared" si="24"/>
        <v>8.4183673469387692</v>
      </c>
      <c r="AA1338">
        <f t="shared" ref="AA1338:AA1342" si="25">X1338-(AB1338-X1338)</f>
        <v>46.85</v>
      </c>
      <c r="AB1338">
        <v>50.15</v>
      </c>
    </row>
    <row r="1339" spans="1:28" x14ac:dyDescent="0.2">
      <c r="A1339" t="s">
        <v>204</v>
      </c>
      <c r="B1339">
        <v>2017</v>
      </c>
      <c r="C1339" t="s">
        <v>807</v>
      </c>
      <c r="D1339" t="s">
        <v>808</v>
      </c>
      <c r="E1339" t="s">
        <v>205</v>
      </c>
      <c r="F1339" t="s">
        <v>341</v>
      </c>
      <c r="G1339">
        <v>78.931168999999997</v>
      </c>
      <c r="H1339">
        <v>11.976254000000001</v>
      </c>
      <c r="I1339" t="s">
        <v>17</v>
      </c>
      <c r="J1339" t="s">
        <v>14</v>
      </c>
      <c r="K1339" t="s">
        <v>3</v>
      </c>
      <c r="L1339" t="s">
        <v>3</v>
      </c>
      <c r="M1339" t="s">
        <v>727</v>
      </c>
      <c r="N1339" t="s">
        <v>85</v>
      </c>
      <c r="O1339" s="6" t="s">
        <v>42</v>
      </c>
      <c r="Q1339">
        <v>24</v>
      </c>
      <c r="R1339" t="s">
        <v>213</v>
      </c>
      <c r="S1339" s="2" t="s">
        <v>27</v>
      </c>
      <c r="T1339" s="2">
        <v>100</v>
      </c>
      <c r="U1339" s="2" t="s">
        <v>28</v>
      </c>
      <c r="V1339" s="2" t="s">
        <v>28</v>
      </c>
      <c r="W1339" s="16">
        <v>15</v>
      </c>
      <c r="X1339">
        <v>54.34</v>
      </c>
      <c r="Y1339">
        <f t="shared" si="24"/>
        <v>12.244897959183666</v>
      </c>
      <c r="AA1339">
        <f t="shared" si="25"/>
        <v>51.940000000000005</v>
      </c>
      <c r="AB1339">
        <v>56.74</v>
      </c>
    </row>
    <row r="1340" spans="1:28" x14ac:dyDescent="0.2">
      <c r="A1340" t="s">
        <v>204</v>
      </c>
      <c r="B1340">
        <v>2017</v>
      </c>
      <c r="C1340" t="s">
        <v>826</v>
      </c>
      <c r="D1340" t="s">
        <v>824</v>
      </c>
      <c r="E1340" t="s">
        <v>48</v>
      </c>
      <c r="F1340" t="s">
        <v>341</v>
      </c>
      <c r="G1340">
        <v>78.931168999999997</v>
      </c>
      <c r="H1340">
        <v>11.976254000000001</v>
      </c>
      <c r="I1340" t="s">
        <v>17</v>
      </c>
      <c r="J1340" t="s">
        <v>7</v>
      </c>
      <c r="K1340" t="s">
        <v>3</v>
      </c>
      <c r="L1340" t="s">
        <v>3</v>
      </c>
      <c r="M1340" t="s">
        <v>727</v>
      </c>
      <c r="N1340" t="s">
        <v>85</v>
      </c>
      <c r="O1340" s="6" t="s">
        <v>42</v>
      </c>
      <c r="Q1340">
        <v>24</v>
      </c>
      <c r="R1340" t="s">
        <v>213</v>
      </c>
      <c r="S1340" s="2" t="s">
        <v>7</v>
      </c>
      <c r="T1340" s="2">
        <v>100</v>
      </c>
      <c r="U1340" s="2" t="s">
        <v>28</v>
      </c>
      <c r="V1340" s="2" t="s">
        <v>28</v>
      </c>
      <c r="W1340" s="16">
        <v>5</v>
      </c>
      <c r="X1340">
        <v>60.24</v>
      </c>
      <c r="Y1340">
        <f t="shared" si="24"/>
        <v>56.887755102040813</v>
      </c>
      <c r="AA1340">
        <f t="shared" si="25"/>
        <v>49.09</v>
      </c>
      <c r="AB1340">
        <v>71.39</v>
      </c>
    </row>
    <row r="1341" spans="1:28" x14ac:dyDescent="0.2">
      <c r="A1341" t="s">
        <v>204</v>
      </c>
      <c r="B1341">
        <v>2017</v>
      </c>
      <c r="C1341" t="s">
        <v>826</v>
      </c>
      <c r="D1341" t="s">
        <v>824</v>
      </c>
      <c r="E1341" t="s">
        <v>48</v>
      </c>
      <c r="F1341" t="s">
        <v>341</v>
      </c>
      <c r="G1341">
        <v>78.931168999999997</v>
      </c>
      <c r="H1341">
        <v>11.976254000000001</v>
      </c>
      <c r="I1341" t="s">
        <v>17</v>
      </c>
      <c r="J1341" t="s">
        <v>14</v>
      </c>
      <c r="K1341" t="s">
        <v>3</v>
      </c>
      <c r="L1341" t="s">
        <v>3</v>
      </c>
      <c r="M1341" t="s">
        <v>727</v>
      </c>
      <c r="N1341" t="s">
        <v>85</v>
      </c>
      <c r="O1341" s="6" t="s">
        <v>42</v>
      </c>
      <c r="Q1341">
        <v>24</v>
      </c>
      <c r="R1341" t="s">
        <v>213</v>
      </c>
      <c r="S1341" s="2" t="s">
        <v>9</v>
      </c>
      <c r="T1341" s="2">
        <v>100</v>
      </c>
      <c r="U1341" s="2" t="s">
        <v>28</v>
      </c>
      <c r="V1341" s="2" t="s">
        <v>28</v>
      </c>
      <c r="W1341" s="16">
        <v>10</v>
      </c>
      <c r="X1341">
        <v>58.73</v>
      </c>
      <c r="Y1341">
        <f t="shared" si="24"/>
        <v>21.530612244897991</v>
      </c>
      <c r="AA1341">
        <f t="shared" si="25"/>
        <v>54.509999999999991</v>
      </c>
      <c r="AB1341">
        <v>62.95</v>
      </c>
    </row>
    <row r="1342" spans="1:28" x14ac:dyDescent="0.2">
      <c r="A1342" t="s">
        <v>204</v>
      </c>
      <c r="B1342">
        <v>2017</v>
      </c>
      <c r="C1342" t="s">
        <v>826</v>
      </c>
      <c r="D1342" t="s">
        <v>824</v>
      </c>
      <c r="E1342" t="s">
        <v>48</v>
      </c>
      <c r="F1342" t="s">
        <v>341</v>
      </c>
      <c r="G1342">
        <v>78.931168999999997</v>
      </c>
      <c r="H1342">
        <v>11.976254000000001</v>
      </c>
      <c r="I1342" t="s">
        <v>17</v>
      </c>
      <c r="J1342" t="s">
        <v>14</v>
      </c>
      <c r="K1342" t="s">
        <v>3</v>
      </c>
      <c r="L1342" t="s">
        <v>3</v>
      </c>
      <c r="M1342" t="s">
        <v>727</v>
      </c>
      <c r="N1342" t="s">
        <v>85</v>
      </c>
      <c r="O1342" s="6" t="s">
        <v>42</v>
      </c>
      <c r="Q1342">
        <v>24</v>
      </c>
      <c r="R1342" t="s">
        <v>213</v>
      </c>
      <c r="S1342" s="2" t="s">
        <v>27</v>
      </c>
      <c r="T1342" s="2">
        <v>100</v>
      </c>
      <c r="U1342" s="2" t="s">
        <v>28</v>
      </c>
      <c r="V1342" s="2" t="s">
        <v>28</v>
      </c>
      <c r="W1342" s="16">
        <v>15</v>
      </c>
      <c r="X1342">
        <v>59.49</v>
      </c>
      <c r="Y1342">
        <f t="shared" si="24"/>
        <v>8.4183673469387692</v>
      </c>
      <c r="AA1342">
        <f t="shared" si="25"/>
        <v>57.84</v>
      </c>
      <c r="AB1342">
        <v>61.14</v>
      </c>
    </row>
    <row r="1343" spans="1:28" x14ac:dyDescent="0.2">
      <c r="A1343" t="s">
        <v>204</v>
      </c>
      <c r="B1343">
        <v>2017</v>
      </c>
      <c r="C1343" t="s">
        <v>807</v>
      </c>
      <c r="D1343" t="s">
        <v>808</v>
      </c>
      <c r="E1343" t="s">
        <v>205</v>
      </c>
      <c r="F1343" t="s">
        <v>341</v>
      </c>
      <c r="G1343">
        <v>78.931168999999997</v>
      </c>
      <c r="H1343">
        <v>11.976254000000001</v>
      </c>
      <c r="I1343" t="s">
        <v>17</v>
      </c>
      <c r="J1343" t="s">
        <v>7</v>
      </c>
      <c r="K1343" t="s">
        <v>41</v>
      </c>
      <c r="L1343" t="s">
        <v>3</v>
      </c>
      <c r="M1343" t="s">
        <v>727</v>
      </c>
      <c r="N1343" t="s">
        <v>85</v>
      </c>
      <c r="O1343" t="s">
        <v>374</v>
      </c>
      <c r="P1343" t="s">
        <v>70</v>
      </c>
      <c r="Q1343">
        <v>24</v>
      </c>
      <c r="R1343" t="s">
        <v>213</v>
      </c>
      <c r="S1343" s="2" t="s">
        <v>7</v>
      </c>
      <c r="T1343" s="2">
        <v>100</v>
      </c>
      <c r="U1343" s="2" t="s">
        <v>28</v>
      </c>
      <c r="V1343" s="2" t="s">
        <v>28</v>
      </c>
      <c r="W1343" s="16">
        <v>5</v>
      </c>
      <c r="X1343">
        <v>99.48</v>
      </c>
      <c r="Y1343">
        <f t="shared" si="24"/>
        <v>1.7602040816326472</v>
      </c>
      <c r="AA1343">
        <v>99.14</v>
      </c>
      <c r="AB1343">
        <v>99.83</v>
      </c>
    </row>
    <row r="1344" spans="1:28" x14ac:dyDescent="0.2">
      <c r="A1344" t="s">
        <v>204</v>
      </c>
      <c r="B1344">
        <v>2017</v>
      </c>
      <c r="C1344" t="s">
        <v>807</v>
      </c>
      <c r="D1344" t="s">
        <v>808</v>
      </c>
      <c r="E1344" t="s">
        <v>205</v>
      </c>
      <c r="F1344" t="s">
        <v>341</v>
      </c>
      <c r="G1344">
        <v>78.931168999999997</v>
      </c>
      <c r="H1344">
        <v>11.976254000000001</v>
      </c>
      <c r="I1344" t="s">
        <v>17</v>
      </c>
      <c r="J1344" t="s">
        <v>14</v>
      </c>
      <c r="K1344" t="s">
        <v>41</v>
      </c>
      <c r="L1344" t="s">
        <v>3</v>
      </c>
      <c r="M1344" t="s">
        <v>727</v>
      </c>
      <c r="N1344" t="s">
        <v>85</v>
      </c>
      <c r="O1344" t="s">
        <v>374</v>
      </c>
      <c r="P1344" t="s">
        <v>70</v>
      </c>
      <c r="Q1344">
        <v>24</v>
      </c>
      <c r="R1344" t="s">
        <v>213</v>
      </c>
      <c r="S1344" s="2" t="s">
        <v>9</v>
      </c>
      <c r="T1344" s="2">
        <v>100</v>
      </c>
      <c r="U1344" s="2" t="s">
        <v>28</v>
      </c>
      <c r="V1344" s="2" t="s">
        <v>28</v>
      </c>
      <c r="W1344" s="16">
        <v>10</v>
      </c>
      <c r="X1344">
        <v>43.03</v>
      </c>
      <c r="Y1344">
        <f t="shared" si="24"/>
        <v>48.290816326530617</v>
      </c>
      <c r="AA1344">
        <v>33.39</v>
      </c>
      <c r="AB1344">
        <v>52.32</v>
      </c>
    </row>
    <row r="1345" spans="1:28" x14ac:dyDescent="0.2">
      <c r="A1345" t="s">
        <v>204</v>
      </c>
      <c r="B1345">
        <v>2017</v>
      </c>
      <c r="C1345" t="s">
        <v>807</v>
      </c>
      <c r="D1345" t="s">
        <v>808</v>
      </c>
      <c r="E1345" t="s">
        <v>205</v>
      </c>
      <c r="F1345" t="s">
        <v>341</v>
      </c>
      <c r="G1345">
        <v>78.931168999999997</v>
      </c>
      <c r="H1345">
        <v>11.976254000000001</v>
      </c>
      <c r="I1345" t="s">
        <v>17</v>
      </c>
      <c r="J1345" t="s">
        <v>14</v>
      </c>
      <c r="K1345" t="s">
        <v>41</v>
      </c>
      <c r="L1345" t="s">
        <v>3</v>
      </c>
      <c r="M1345" t="s">
        <v>727</v>
      </c>
      <c r="N1345" t="s">
        <v>85</v>
      </c>
      <c r="O1345" t="s">
        <v>374</v>
      </c>
      <c r="P1345" t="s">
        <v>70</v>
      </c>
      <c r="Q1345">
        <v>24</v>
      </c>
      <c r="R1345" t="s">
        <v>213</v>
      </c>
      <c r="S1345" s="2" t="s">
        <v>27</v>
      </c>
      <c r="T1345" s="2">
        <v>100</v>
      </c>
      <c r="U1345" s="2" t="s">
        <v>28</v>
      </c>
      <c r="V1345" s="2" t="s">
        <v>28</v>
      </c>
      <c r="W1345" s="16">
        <v>15</v>
      </c>
      <c r="X1345">
        <v>0</v>
      </c>
      <c r="Y1345">
        <f t="shared" si="24"/>
        <v>0</v>
      </c>
      <c r="AA1345">
        <v>0</v>
      </c>
      <c r="AB1345">
        <v>0</v>
      </c>
    </row>
    <row r="1346" spans="1:28" x14ac:dyDescent="0.2">
      <c r="A1346" t="s">
        <v>204</v>
      </c>
      <c r="B1346">
        <v>2017</v>
      </c>
      <c r="C1346" t="s">
        <v>807</v>
      </c>
      <c r="D1346" t="s">
        <v>808</v>
      </c>
      <c r="E1346" t="s">
        <v>205</v>
      </c>
      <c r="F1346" t="s">
        <v>341</v>
      </c>
      <c r="G1346">
        <v>78.931168999999997</v>
      </c>
      <c r="H1346">
        <v>11.976254000000001</v>
      </c>
      <c r="I1346" t="s">
        <v>17</v>
      </c>
      <c r="J1346" t="s">
        <v>14</v>
      </c>
      <c r="K1346" t="s">
        <v>41</v>
      </c>
      <c r="L1346" t="s">
        <v>3</v>
      </c>
      <c r="M1346" t="s">
        <v>727</v>
      </c>
      <c r="N1346" t="s">
        <v>85</v>
      </c>
      <c r="O1346" t="s">
        <v>374</v>
      </c>
      <c r="P1346" t="s">
        <v>70</v>
      </c>
      <c r="Q1346">
        <v>24</v>
      </c>
      <c r="R1346" t="s">
        <v>213</v>
      </c>
      <c r="S1346" s="2" t="s">
        <v>13</v>
      </c>
      <c r="T1346" s="2">
        <v>100</v>
      </c>
      <c r="U1346" s="2" t="s">
        <v>28</v>
      </c>
      <c r="V1346" s="2" t="s">
        <v>28</v>
      </c>
      <c r="W1346" s="16">
        <v>20</v>
      </c>
      <c r="X1346">
        <v>0</v>
      </c>
      <c r="Y1346">
        <f t="shared" si="24"/>
        <v>0</v>
      </c>
      <c r="AA1346">
        <v>0</v>
      </c>
      <c r="AB1346">
        <v>0</v>
      </c>
    </row>
    <row r="1347" spans="1:28" x14ac:dyDescent="0.2">
      <c r="A1347" t="s">
        <v>204</v>
      </c>
      <c r="B1347">
        <v>2017</v>
      </c>
      <c r="C1347" t="s">
        <v>826</v>
      </c>
      <c r="D1347" t="s">
        <v>824</v>
      </c>
      <c r="E1347" t="s">
        <v>48</v>
      </c>
      <c r="F1347" t="s">
        <v>341</v>
      </c>
      <c r="G1347">
        <v>78.931168999999997</v>
      </c>
      <c r="H1347">
        <v>11.976254000000001</v>
      </c>
      <c r="I1347" t="s">
        <v>17</v>
      </c>
      <c r="J1347" t="s">
        <v>7</v>
      </c>
      <c r="K1347" t="s">
        <v>41</v>
      </c>
      <c r="L1347" t="s">
        <v>3</v>
      </c>
      <c r="M1347" t="s">
        <v>727</v>
      </c>
      <c r="N1347" t="s">
        <v>85</v>
      </c>
      <c r="O1347" t="s">
        <v>374</v>
      </c>
      <c r="P1347" t="s">
        <v>70</v>
      </c>
      <c r="Q1347">
        <v>24</v>
      </c>
      <c r="R1347" t="s">
        <v>213</v>
      </c>
      <c r="S1347" s="2" t="s">
        <v>7</v>
      </c>
      <c r="T1347" s="2">
        <v>100</v>
      </c>
      <c r="U1347" s="2" t="s">
        <v>28</v>
      </c>
      <c r="V1347" s="2" t="s">
        <v>28</v>
      </c>
      <c r="W1347" s="16">
        <v>5</v>
      </c>
      <c r="X1347">
        <v>100</v>
      </c>
      <c r="Y1347">
        <f t="shared" si="24"/>
        <v>0</v>
      </c>
      <c r="AA1347">
        <v>100</v>
      </c>
      <c r="AB1347">
        <v>100</v>
      </c>
    </row>
    <row r="1348" spans="1:28" x14ac:dyDescent="0.2">
      <c r="A1348" t="s">
        <v>204</v>
      </c>
      <c r="B1348">
        <v>2017</v>
      </c>
      <c r="C1348" t="s">
        <v>826</v>
      </c>
      <c r="D1348" t="s">
        <v>824</v>
      </c>
      <c r="E1348" t="s">
        <v>48</v>
      </c>
      <c r="F1348" t="s">
        <v>341</v>
      </c>
      <c r="G1348">
        <v>78.931168999999997</v>
      </c>
      <c r="H1348">
        <v>11.976254000000001</v>
      </c>
      <c r="I1348" t="s">
        <v>17</v>
      </c>
      <c r="J1348" t="s">
        <v>14</v>
      </c>
      <c r="K1348" t="s">
        <v>41</v>
      </c>
      <c r="L1348" t="s">
        <v>3</v>
      </c>
      <c r="M1348" t="s">
        <v>727</v>
      </c>
      <c r="N1348" t="s">
        <v>85</v>
      </c>
      <c r="O1348" t="s">
        <v>374</v>
      </c>
      <c r="P1348" t="s">
        <v>70</v>
      </c>
      <c r="Q1348">
        <v>24</v>
      </c>
      <c r="R1348" t="s">
        <v>213</v>
      </c>
      <c r="S1348" s="2" t="s">
        <v>9</v>
      </c>
      <c r="T1348" s="2">
        <v>100</v>
      </c>
      <c r="U1348" s="2" t="s">
        <v>28</v>
      </c>
      <c r="V1348" s="2" t="s">
        <v>28</v>
      </c>
      <c r="W1348" s="16">
        <v>10</v>
      </c>
      <c r="X1348">
        <v>100</v>
      </c>
      <c r="Y1348">
        <f t="shared" si="24"/>
        <v>0.86734693877551894</v>
      </c>
      <c r="AA1348">
        <v>99.83</v>
      </c>
      <c r="AB1348">
        <v>100.17</v>
      </c>
    </row>
    <row r="1349" spans="1:28" x14ac:dyDescent="0.2">
      <c r="A1349" t="s">
        <v>204</v>
      </c>
      <c r="B1349">
        <v>2017</v>
      </c>
      <c r="C1349" t="s">
        <v>826</v>
      </c>
      <c r="D1349" t="s">
        <v>824</v>
      </c>
      <c r="E1349" t="s">
        <v>48</v>
      </c>
      <c r="F1349" t="s">
        <v>341</v>
      </c>
      <c r="G1349">
        <v>78.931168999999997</v>
      </c>
      <c r="H1349">
        <v>11.976254000000001</v>
      </c>
      <c r="I1349" t="s">
        <v>17</v>
      </c>
      <c r="J1349" t="s">
        <v>14</v>
      </c>
      <c r="K1349" t="s">
        <v>41</v>
      </c>
      <c r="L1349" t="s">
        <v>3</v>
      </c>
      <c r="M1349" t="s">
        <v>727</v>
      </c>
      <c r="N1349" t="s">
        <v>85</v>
      </c>
      <c r="O1349" t="s">
        <v>374</v>
      </c>
      <c r="P1349" t="s">
        <v>70</v>
      </c>
      <c r="Q1349">
        <v>24</v>
      </c>
      <c r="R1349" t="s">
        <v>213</v>
      </c>
      <c r="S1349" s="2" t="s">
        <v>27</v>
      </c>
      <c r="T1349" s="2">
        <v>100</v>
      </c>
      <c r="U1349" s="2" t="s">
        <v>28</v>
      </c>
      <c r="V1349" s="2" t="s">
        <v>28</v>
      </c>
      <c r="W1349" s="16">
        <v>15</v>
      </c>
      <c r="X1349">
        <v>0</v>
      </c>
      <c r="Y1349">
        <f t="shared" si="24"/>
        <v>0</v>
      </c>
      <c r="AA1349">
        <v>0</v>
      </c>
      <c r="AB1349">
        <v>0</v>
      </c>
    </row>
    <row r="1350" spans="1:28" x14ac:dyDescent="0.2">
      <c r="A1350" t="s">
        <v>204</v>
      </c>
      <c r="B1350">
        <v>2017</v>
      </c>
      <c r="C1350" t="s">
        <v>826</v>
      </c>
      <c r="D1350" t="s">
        <v>824</v>
      </c>
      <c r="E1350" t="s">
        <v>48</v>
      </c>
      <c r="F1350" t="s">
        <v>341</v>
      </c>
      <c r="G1350">
        <v>78.931168999999997</v>
      </c>
      <c r="H1350">
        <v>11.976254000000001</v>
      </c>
      <c r="I1350" t="s">
        <v>17</v>
      </c>
      <c r="J1350" t="s">
        <v>14</v>
      </c>
      <c r="K1350" t="s">
        <v>41</v>
      </c>
      <c r="L1350" t="s">
        <v>3</v>
      </c>
      <c r="M1350" t="s">
        <v>727</v>
      </c>
      <c r="N1350" t="s">
        <v>85</v>
      </c>
      <c r="O1350" t="s">
        <v>374</v>
      </c>
      <c r="P1350" t="s">
        <v>70</v>
      </c>
      <c r="Q1350">
        <v>24</v>
      </c>
      <c r="R1350" t="s">
        <v>213</v>
      </c>
      <c r="S1350" s="2" t="s">
        <v>13</v>
      </c>
      <c r="T1350" s="2">
        <v>100</v>
      </c>
      <c r="U1350" s="2" t="s">
        <v>28</v>
      </c>
      <c r="V1350" s="2" t="s">
        <v>28</v>
      </c>
      <c r="W1350" s="16">
        <v>20</v>
      </c>
      <c r="X1350">
        <v>0</v>
      </c>
      <c r="Y1350">
        <f t="shared" si="24"/>
        <v>0</v>
      </c>
      <c r="AA1350">
        <v>0</v>
      </c>
      <c r="AB1350">
        <v>0</v>
      </c>
    </row>
    <row r="1351" spans="1:28" x14ac:dyDescent="0.2">
      <c r="A1351" t="s">
        <v>204</v>
      </c>
      <c r="B1351">
        <v>2017</v>
      </c>
      <c r="C1351" t="s">
        <v>807</v>
      </c>
      <c r="D1351" t="s">
        <v>808</v>
      </c>
      <c r="E1351" t="s">
        <v>205</v>
      </c>
      <c r="F1351" t="s">
        <v>341</v>
      </c>
      <c r="G1351">
        <v>78.931168999999997</v>
      </c>
      <c r="H1351">
        <v>11.976254000000001</v>
      </c>
      <c r="I1351" t="s">
        <v>17</v>
      </c>
      <c r="J1351" t="s">
        <v>7</v>
      </c>
      <c r="K1351" t="s">
        <v>41</v>
      </c>
      <c r="L1351" t="s">
        <v>3</v>
      </c>
      <c r="M1351" t="s">
        <v>726</v>
      </c>
      <c r="N1351" t="s">
        <v>85</v>
      </c>
      <c r="O1351" s="6" t="s">
        <v>84</v>
      </c>
      <c r="Q1351">
        <v>24</v>
      </c>
      <c r="R1351" t="s">
        <v>213</v>
      </c>
      <c r="S1351" s="2" t="s">
        <v>7</v>
      </c>
      <c r="T1351" s="2">
        <v>5</v>
      </c>
      <c r="U1351" s="2" t="s">
        <v>28</v>
      </c>
      <c r="V1351" s="2" t="s">
        <v>28</v>
      </c>
      <c r="W1351" s="16">
        <v>5</v>
      </c>
      <c r="X1351">
        <v>0.41520000000000001</v>
      </c>
      <c r="Y1351">
        <f t="shared" si="24"/>
        <v>2.498463709553337E-2</v>
      </c>
      <c r="AA1351">
        <v>0.39439999999999997</v>
      </c>
      <c r="AB1351">
        <v>0.43819999999999998</v>
      </c>
    </row>
    <row r="1352" spans="1:28" x14ac:dyDescent="0.2">
      <c r="A1352" t="s">
        <v>204</v>
      </c>
      <c r="B1352">
        <v>2017</v>
      </c>
      <c r="C1352" t="s">
        <v>807</v>
      </c>
      <c r="D1352" t="s">
        <v>808</v>
      </c>
      <c r="E1352" t="s">
        <v>205</v>
      </c>
      <c r="F1352" t="s">
        <v>341</v>
      </c>
      <c r="G1352">
        <v>78.931168999999997</v>
      </c>
      <c r="H1352">
        <v>11.976254000000001</v>
      </c>
      <c r="I1352" t="s">
        <v>17</v>
      </c>
      <c r="J1352" t="s">
        <v>14</v>
      </c>
      <c r="K1352" t="s">
        <v>41</v>
      </c>
      <c r="L1352" t="s">
        <v>3</v>
      </c>
      <c r="M1352" t="s">
        <v>726</v>
      </c>
      <c r="N1352" t="s">
        <v>85</v>
      </c>
      <c r="O1352" s="6" t="s">
        <v>84</v>
      </c>
      <c r="Q1352">
        <v>24</v>
      </c>
      <c r="R1352" t="s">
        <v>213</v>
      </c>
      <c r="S1352" s="2" t="s">
        <v>9</v>
      </c>
      <c r="T1352" s="2">
        <v>5</v>
      </c>
      <c r="U1352" s="2" t="s">
        <v>28</v>
      </c>
      <c r="V1352" s="2" t="s">
        <v>28</v>
      </c>
      <c r="W1352" s="16">
        <v>10</v>
      </c>
      <c r="X1352">
        <v>0.43930000000000002</v>
      </c>
      <c r="Y1352">
        <f t="shared" si="24"/>
        <v>1.9964892656248141E-2</v>
      </c>
      <c r="AA1352">
        <v>0.41739999999999999</v>
      </c>
      <c r="AB1352">
        <v>0.45240000000000002</v>
      </c>
    </row>
    <row r="1353" spans="1:28" x14ac:dyDescent="0.2">
      <c r="A1353" t="s">
        <v>204</v>
      </c>
      <c r="B1353">
        <v>2017</v>
      </c>
      <c r="C1353" t="s">
        <v>807</v>
      </c>
      <c r="D1353" t="s">
        <v>808</v>
      </c>
      <c r="E1353" t="s">
        <v>205</v>
      </c>
      <c r="F1353" t="s">
        <v>341</v>
      </c>
      <c r="G1353">
        <v>78.931168999999997</v>
      </c>
      <c r="H1353">
        <v>11.976254000000001</v>
      </c>
      <c r="I1353" t="s">
        <v>17</v>
      </c>
      <c r="J1353" t="s">
        <v>14</v>
      </c>
      <c r="K1353" t="s">
        <v>41</v>
      </c>
      <c r="L1353" t="s">
        <v>3</v>
      </c>
      <c r="M1353" t="s">
        <v>726</v>
      </c>
      <c r="N1353" t="s">
        <v>85</v>
      </c>
      <c r="O1353" s="6" t="s">
        <v>84</v>
      </c>
      <c r="Q1353">
        <v>24</v>
      </c>
      <c r="R1353" t="s">
        <v>213</v>
      </c>
      <c r="S1353" s="2" t="s">
        <v>27</v>
      </c>
      <c r="T1353" s="2">
        <v>5</v>
      </c>
      <c r="U1353" s="2" t="s">
        <v>28</v>
      </c>
      <c r="V1353" s="2" t="s">
        <v>28</v>
      </c>
      <c r="W1353" s="16">
        <v>15</v>
      </c>
      <c r="X1353">
        <v>0.44369999999999998</v>
      </c>
      <c r="Y1353">
        <f t="shared" si="24"/>
        <v>2.2531807426337157E-2</v>
      </c>
      <c r="AA1353">
        <v>0.4239</v>
      </c>
      <c r="AB1353">
        <v>0.46339999999999998</v>
      </c>
    </row>
    <row r="1354" spans="1:28" x14ac:dyDescent="0.2">
      <c r="A1354" t="s">
        <v>204</v>
      </c>
      <c r="B1354">
        <v>2017</v>
      </c>
      <c r="C1354" t="s">
        <v>807</v>
      </c>
      <c r="D1354" t="s">
        <v>808</v>
      </c>
      <c r="E1354" t="s">
        <v>205</v>
      </c>
      <c r="F1354" t="s">
        <v>341</v>
      </c>
      <c r="G1354">
        <v>78.931168999999997</v>
      </c>
      <c r="H1354">
        <v>11.976254000000001</v>
      </c>
      <c r="I1354" t="s">
        <v>17</v>
      </c>
      <c r="J1354" t="s">
        <v>7</v>
      </c>
      <c r="K1354" t="s">
        <v>40</v>
      </c>
      <c r="L1354" t="s">
        <v>3</v>
      </c>
      <c r="M1354" t="s">
        <v>726</v>
      </c>
      <c r="N1354" t="s">
        <v>85</v>
      </c>
      <c r="O1354" s="6" t="s">
        <v>84</v>
      </c>
      <c r="Q1354">
        <v>24</v>
      </c>
      <c r="R1354" t="s">
        <v>213</v>
      </c>
      <c r="S1354" s="2" t="s">
        <v>7</v>
      </c>
      <c r="T1354" s="2">
        <v>5</v>
      </c>
      <c r="U1354" s="2" t="s">
        <v>28</v>
      </c>
      <c r="V1354" s="2" t="s">
        <v>28</v>
      </c>
      <c r="W1354" s="16">
        <v>5</v>
      </c>
      <c r="X1354">
        <v>0.42499999999999999</v>
      </c>
      <c r="Y1354">
        <f t="shared" si="24"/>
        <v>2.2531807426337189E-2</v>
      </c>
      <c r="AA1354">
        <v>0.40639999999999998</v>
      </c>
      <c r="AB1354">
        <v>0.44590000000000002</v>
      </c>
    </row>
    <row r="1355" spans="1:28" x14ac:dyDescent="0.2">
      <c r="A1355" t="s">
        <v>204</v>
      </c>
      <c r="B1355">
        <v>2017</v>
      </c>
      <c r="C1355" t="s">
        <v>807</v>
      </c>
      <c r="D1355" t="s">
        <v>808</v>
      </c>
      <c r="E1355" t="s">
        <v>205</v>
      </c>
      <c r="F1355" t="s">
        <v>341</v>
      </c>
      <c r="G1355">
        <v>78.931168999999997</v>
      </c>
      <c r="H1355">
        <v>11.976254000000001</v>
      </c>
      <c r="I1355" t="s">
        <v>17</v>
      </c>
      <c r="J1355" t="s">
        <v>14</v>
      </c>
      <c r="K1355" t="s">
        <v>40</v>
      </c>
      <c r="L1355" t="s">
        <v>3</v>
      </c>
      <c r="M1355" t="s">
        <v>726</v>
      </c>
      <c r="N1355" t="s">
        <v>85</v>
      </c>
      <c r="O1355" s="6" t="s">
        <v>84</v>
      </c>
      <c r="Q1355">
        <v>24</v>
      </c>
      <c r="R1355" t="s">
        <v>213</v>
      </c>
      <c r="S1355" s="2" t="s">
        <v>9</v>
      </c>
      <c r="T1355" s="2">
        <v>5</v>
      </c>
      <c r="U1355" s="2" t="s">
        <v>28</v>
      </c>
      <c r="V1355" s="2" t="s">
        <v>28</v>
      </c>
      <c r="W1355" s="16">
        <v>10</v>
      </c>
      <c r="X1355">
        <v>0.44369999999999998</v>
      </c>
      <c r="Y1355">
        <f t="shared" si="24"/>
        <v>3.559455147856809E-2</v>
      </c>
      <c r="AA1355">
        <v>0.4108</v>
      </c>
      <c r="AB1355">
        <v>0.47320000000000001</v>
      </c>
    </row>
    <row r="1356" spans="1:28" x14ac:dyDescent="0.2">
      <c r="A1356" t="s">
        <v>204</v>
      </c>
      <c r="B1356">
        <v>2017</v>
      </c>
      <c r="C1356" t="s">
        <v>807</v>
      </c>
      <c r="D1356" t="s">
        <v>808</v>
      </c>
      <c r="E1356" t="s">
        <v>205</v>
      </c>
      <c r="F1356" t="s">
        <v>341</v>
      </c>
      <c r="G1356">
        <v>78.931168999999997</v>
      </c>
      <c r="H1356">
        <v>11.976254000000001</v>
      </c>
      <c r="I1356" t="s">
        <v>17</v>
      </c>
      <c r="J1356" t="s">
        <v>14</v>
      </c>
      <c r="K1356" t="s">
        <v>40</v>
      </c>
      <c r="L1356" t="s">
        <v>3</v>
      </c>
      <c r="M1356" t="s">
        <v>726</v>
      </c>
      <c r="N1356" t="s">
        <v>85</v>
      </c>
      <c r="O1356" s="6" t="s">
        <v>84</v>
      </c>
      <c r="Q1356">
        <v>24</v>
      </c>
      <c r="R1356" t="s">
        <v>213</v>
      </c>
      <c r="S1356" s="2" t="s">
        <v>27</v>
      </c>
      <c r="T1356" s="2">
        <v>5</v>
      </c>
      <c r="U1356" s="2" t="s">
        <v>28</v>
      </c>
      <c r="V1356" s="2" t="s">
        <v>28</v>
      </c>
      <c r="W1356" s="16">
        <v>15</v>
      </c>
      <c r="X1356">
        <v>0.44369999999999998</v>
      </c>
      <c r="Y1356">
        <f t="shared" si="24"/>
        <v>2.2531807426337157E-2</v>
      </c>
      <c r="AA1356">
        <v>0.4239</v>
      </c>
      <c r="AB1356">
        <v>0.46339999999999998</v>
      </c>
    </row>
    <row r="1357" spans="1:28" x14ac:dyDescent="0.2">
      <c r="A1357" t="s">
        <v>204</v>
      </c>
      <c r="B1357">
        <v>2017</v>
      </c>
      <c r="C1357" t="s">
        <v>807</v>
      </c>
      <c r="D1357" t="s">
        <v>808</v>
      </c>
      <c r="E1357" t="s">
        <v>205</v>
      </c>
      <c r="F1357" t="s">
        <v>341</v>
      </c>
      <c r="G1357">
        <v>78.931168999999997</v>
      </c>
      <c r="H1357">
        <v>11.976254000000001</v>
      </c>
      <c r="I1357" t="s">
        <v>17</v>
      </c>
      <c r="J1357" t="s">
        <v>7</v>
      </c>
      <c r="K1357" t="s">
        <v>41</v>
      </c>
      <c r="L1357" t="s">
        <v>3</v>
      </c>
      <c r="M1357" t="s">
        <v>726</v>
      </c>
      <c r="N1357" t="s">
        <v>85</v>
      </c>
      <c r="O1357" s="6" t="s">
        <v>112</v>
      </c>
      <c r="Q1357">
        <v>24</v>
      </c>
      <c r="R1357" t="s">
        <v>213</v>
      </c>
      <c r="S1357" s="2" t="s">
        <v>7</v>
      </c>
      <c r="T1357" s="2">
        <v>5</v>
      </c>
      <c r="U1357" s="2" t="s">
        <v>28</v>
      </c>
      <c r="V1357" s="2" t="s">
        <v>28</v>
      </c>
      <c r="W1357" s="16">
        <v>5</v>
      </c>
      <c r="X1357">
        <v>5.55</v>
      </c>
      <c r="Y1357">
        <f t="shared" si="24"/>
        <v>1.8367701243748273</v>
      </c>
      <c r="AA1357">
        <v>3.92</v>
      </c>
      <c r="AB1357">
        <v>7.14</v>
      </c>
    </row>
    <row r="1358" spans="1:28" x14ac:dyDescent="0.2">
      <c r="A1358" t="s">
        <v>204</v>
      </c>
      <c r="B1358">
        <v>2017</v>
      </c>
      <c r="C1358" t="s">
        <v>807</v>
      </c>
      <c r="D1358" t="s">
        <v>808</v>
      </c>
      <c r="E1358" t="s">
        <v>205</v>
      </c>
      <c r="F1358" t="s">
        <v>341</v>
      </c>
      <c r="G1358">
        <v>78.931168999999997</v>
      </c>
      <c r="H1358">
        <v>11.976254000000001</v>
      </c>
      <c r="I1358" t="s">
        <v>17</v>
      </c>
      <c r="J1358" t="s">
        <v>14</v>
      </c>
      <c r="K1358" t="s">
        <v>41</v>
      </c>
      <c r="L1358" t="s">
        <v>3</v>
      </c>
      <c r="M1358" t="s">
        <v>726</v>
      </c>
      <c r="N1358" t="s">
        <v>85</v>
      </c>
      <c r="O1358" s="6" t="s">
        <v>112</v>
      </c>
      <c r="Q1358">
        <v>24</v>
      </c>
      <c r="R1358" t="s">
        <v>213</v>
      </c>
      <c r="S1358" s="2" t="s">
        <v>9</v>
      </c>
      <c r="T1358" s="2">
        <v>5</v>
      </c>
      <c r="U1358" s="2" t="s">
        <v>28</v>
      </c>
      <c r="V1358" s="2" t="s">
        <v>28</v>
      </c>
      <c r="W1358" s="16">
        <v>10</v>
      </c>
      <c r="X1358">
        <v>5.0199999999999996</v>
      </c>
      <c r="Y1358">
        <f t="shared" si="24"/>
        <v>1.2834573850445223</v>
      </c>
      <c r="AA1358">
        <v>3.88</v>
      </c>
      <c r="AB1358">
        <v>6.13</v>
      </c>
    </row>
    <row r="1359" spans="1:28" x14ac:dyDescent="0.2">
      <c r="A1359" t="s">
        <v>204</v>
      </c>
      <c r="B1359">
        <v>2017</v>
      </c>
      <c r="C1359" t="s">
        <v>807</v>
      </c>
      <c r="D1359" t="s">
        <v>808</v>
      </c>
      <c r="E1359" t="s">
        <v>205</v>
      </c>
      <c r="F1359" t="s">
        <v>341</v>
      </c>
      <c r="G1359">
        <v>78.931168999999997</v>
      </c>
      <c r="H1359">
        <v>11.976254000000001</v>
      </c>
      <c r="I1359" t="s">
        <v>17</v>
      </c>
      <c r="J1359" t="s">
        <v>14</v>
      </c>
      <c r="K1359" t="s">
        <v>41</v>
      </c>
      <c r="L1359" t="s">
        <v>3</v>
      </c>
      <c r="M1359" t="s">
        <v>726</v>
      </c>
      <c r="N1359" t="s">
        <v>85</v>
      </c>
      <c r="O1359" s="6" t="s">
        <v>112</v>
      </c>
      <c r="Q1359">
        <v>24</v>
      </c>
      <c r="R1359" t="s">
        <v>213</v>
      </c>
      <c r="S1359" s="2" t="s">
        <v>27</v>
      </c>
      <c r="T1359" s="2">
        <v>5</v>
      </c>
      <c r="U1359" s="2" t="s">
        <v>28</v>
      </c>
      <c r="V1359" s="2" t="s">
        <v>28</v>
      </c>
      <c r="W1359" s="16">
        <v>15</v>
      </c>
      <c r="X1359">
        <v>6.53</v>
      </c>
      <c r="Y1359">
        <f t="shared" si="24"/>
        <v>1.7455020436605506</v>
      </c>
      <c r="AA1359">
        <v>5.0199999999999996</v>
      </c>
      <c r="AB1359">
        <v>8.08</v>
      </c>
    </row>
    <row r="1360" spans="1:28" x14ac:dyDescent="0.2">
      <c r="A1360" t="s">
        <v>204</v>
      </c>
      <c r="B1360">
        <v>2017</v>
      </c>
      <c r="C1360" t="s">
        <v>807</v>
      </c>
      <c r="D1360" t="s">
        <v>808</v>
      </c>
      <c r="E1360" t="s">
        <v>205</v>
      </c>
      <c r="F1360" t="s">
        <v>341</v>
      </c>
      <c r="G1360">
        <v>78.931168999999997</v>
      </c>
      <c r="H1360">
        <v>11.976254000000001</v>
      </c>
      <c r="I1360" t="s">
        <v>17</v>
      </c>
      <c r="J1360" t="s">
        <v>7</v>
      </c>
      <c r="K1360" t="s">
        <v>40</v>
      </c>
      <c r="L1360" t="s">
        <v>3</v>
      </c>
      <c r="M1360" t="s">
        <v>726</v>
      </c>
      <c r="N1360" t="s">
        <v>85</v>
      </c>
      <c r="O1360" s="6" t="s">
        <v>112</v>
      </c>
      <c r="Q1360">
        <v>24</v>
      </c>
      <c r="R1360" t="s">
        <v>213</v>
      </c>
      <c r="S1360" s="2" t="s">
        <v>7</v>
      </c>
      <c r="T1360" s="2">
        <v>5</v>
      </c>
      <c r="U1360" s="2" t="s">
        <v>28</v>
      </c>
      <c r="V1360" s="2" t="s">
        <v>28</v>
      </c>
      <c r="W1360" s="16">
        <v>5</v>
      </c>
      <c r="X1360">
        <v>5.55</v>
      </c>
      <c r="Y1360">
        <f t="shared" si="24"/>
        <v>0.55331273933030489</v>
      </c>
      <c r="AA1360">
        <v>5.05</v>
      </c>
      <c r="AB1360">
        <v>6.02</v>
      </c>
    </row>
    <row r="1361" spans="1:28" x14ac:dyDescent="0.2">
      <c r="A1361" t="s">
        <v>204</v>
      </c>
      <c r="B1361">
        <v>2017</v>
      </c>
      <c r="C1361" t="s">
        <v>807</v>
      </c>
      <c r="D1361" t="s">
        <v>808</v>
      </c>
      <c r="E1361" t="s">
        <v>205</v>
      </c>
      <c r="F1361" t="s">
        <v>341</v>
      </c>
      <c r="G1361">
        <v>78.931168999999997</v>
      </c>
      <c r="H1361">
        <v>11.976254000000001</v>
      </c>
      <c r="I1361" t="s">
        <v>17</v>
      </c>
      <c r="J1361" t="s">
        <v>14</v>
      </c>
      <c r="K1361" t="s">
        <v>40</v>
      </c>
      <c r="L1361" t="s">
        <v>3</v>
      </c>
      <c r="M1361" t="s">
        <v>726</v>
      </c>
      <c r="N1361" t="s">
        <v>85</v>
      </c>
      <c r="O1361" s="6" t="s">
        <v>112</v>
      </c>
      <c r="Q1361">
        <v>24</v>
      </c>
      <c r="R1361" t="s">
        <v>213</v>
      </c>
      <c r="S1361" s="2" t="s">
        <v>9</v>
      </c>
      <c r="T1361" s="2">
        <v>5</v>
      </c>
      <c r="U1361" s="2" t="s">
        <v>28</v>
      </c>
      <c r="V1361" s="2" t="s">
        <v>28</v>
      </c>
      <c r="W1361" s="16">
        <v>10</v>
      </c>
      <c r="X1361">
        <v>5.26</v>
      </c>
      <c r="Y1361">
        <f t="shared" si="24"/>
        <v>0.91838506218741334</v>
      </c>
      <c r="AA1361">
        <v>4.45</v>
      </c>
      <c r="AB1361">
        <v>6.06</v>
      </c>
    </row>
    <row r="1362" spans="1:28" x14ac:dyDescent="0.2">
      <c r="A1362" t="s">
        <v>204</v>
      </c>
      <c r="B1362">
        <v>2017</v>
      </c>
      <c r="C1362" t="s">
        <v>807</v>
      </c>
      <c r="D1362" t="s">
        <v>808</v>
      </c>
      <c r="E1362" t="s">
        <v>205</v>
      </c>
      <c r="F1362" t="s">
        <v>341</v>
      </c>
      <c r="G1362">
        <v>78.931168999999997</v>
      </c>
      <c r="H1362">
        <v>11.976254000000001</v>
      </c>
      <c r="I1362" t="s">
        <v>17</v>
      </c>
      <c r="J1362" t="s">
        <v>14</v>
      </c>
      <c r="K1362" t="s">
        <v>40</v>
      </c>
      <c r="L1362" t="s">
        <v>3</v>
      </c>
      <c r="M1362" t="s">
        <v>726</v>
      </c>
      <c r="N1362" t="s">
        <v>85</v>
      </c>
      <c r="O1362" s="6" t="s">
        <v>112</v>
      </c>
      <c r="Q1362">
        <v>24</v>
      </c>
      <c r="R1362" t="s">
        <v>213</v>
      </c>
      <c r="S1362" s="2" t="s">
        <v>27</v>
      </c>
      <c r="T1362" s="2">
        <v>5</v>
      </c>
      <c r="U1362" s="2" t="s">
        <v>28</v>
      </c>
      <c r="V1362" s="2" t="s">
        <v>28</v>
      </c>
      <c r="W1362" s="16">
        <v>15</v>
      </c>
      <c r="X1362">
        <v>6.53</v>
      </c>
      <c r="Y1362">
        <f t="shared" si="24"/>
        <v>1.4488807813391495</v>
      </c>
      <c r="AA1362">
        <v>5.24</v>
      </c>
      <c r="AB1362">
        <v>7.78</v>
      </c>
    </row>
    <row r="1363" spans="1:28" x14ac:dyDescent="0.2">
      <c r="A1363" t="s">
        <v>204</v>
      </c>
      <c r="B1363">
        <v>2017</v>
      </c>
      <c r="C1363" t="s">
        <v>807</v>
      </c>
      <c r="D1363" t="s">
        <v>808</v>
      </c>
      <c r="E1363" t="s">
        <v>205</v>
      </c>
      <c r="F1363" t="s">
        <v>341</v>
      </c>
      <c r="G1363">
        <v>78.931168999999997</v>
      </c>
      <c r="H1363">
        <v>11.976254000000001</v>
      </c>
      <c r="I1363" t="s">
        <v>17</v>
      </c>
      <c r="J1363" t="s">
        <v>7</v>
      </c>
      <c r="K1363" t="s">
        <v>41</v>
      </c>
      <c r="L1363" t="s">
        <v>3</v>
      </c>
      <c r="M1363" t="s">
        <v>726</v>
      </c>
      <c r="N1363" t="s">
        <v>85</v>
      </c>
      <c r="O1363" s="6" t="s">
        <v>58</v>
      </c>
      <c r="Q1363">
        <v>24</v>
      </c>
      <c r="R1363" t="s">
        <v>213</v>
      </c>
      <c r="S1363" s="2" t="s">
        <v>7</v>
      </c>
      <c r="T1363" s="2">
        <v>5</v>
      </c>
      <c r="U1363" s="2" t="s">
        <v>28</v>
      </c>
      <c r="V1363" s="2" t="s">
        <v>28</v>
      </c>
      <c r="W1363" s="16">
        <v>5</v>
      </c>
      <c r="X1363">
        <v>7.5200000000000003E-2</v>
      </c>
      <c r="Y1363">
        <f t="shared" si="24"/>
        <v>8.1000421633920985E-3</v>
      </c>
      <c r="AA1363">
        <v>6.88E-2</v>
      </c>
      <c r="AB1363">
        <v>8.3000000000000004E-2</v>
      </c>
    </row>
    <row r="1364" spans="1:28" x14ac:dyDescent="0.2">
      <c r="A1364" t="s">
        <v>204</v>
      </c>
      <c r="B1364">
        <v>2017</v>
      </c>
      <c r="C1364" t="s">
        <v>807</v>
      </c>
      <c r="D1364" t="s">
        <v>808</v>
      </c>
      <c r="E1364" t="s">
        <v>205</v>
      </c>
      <c r="F1364" t="s">
        <v>341</v>
      </c>
      <c r="G1364">
        <v>78.931168999999997</v>
      </c>
      <c r="H1364">
        <v>11.976254000000001</v>
      </c>
      <c r="I1364" t="s">
        <v>17</v>
      </c>
      <c r="J1364" t="s">
        <v>14</v>
      </c>
      <c r="K1364" t="s">
        <v>41</v>
      </c>
      <c r="L1364" t="s">
        <v>3</v>
      </c>
      <c r="M1364" t="s">
        <v>726</v>
      </c>
      <c r="N1364" t="s">
        <v>85</v>
      </c>
      <c r="O1364" s="6" t="s">
        <v>58</v>
      </c>
      <c r="Q1364">
        <v>24</v>
      </c>
      <c r="R1364" t="s">
        <v>213</v>
      </c>
      <c r="S1364" s="2" t="s">
        <v>9</v>
      </c>
      <c r="T1364" s="2">
        <v>5</v>
      </c>
      <c r="U1364" s="2" t="s">
        <v>28</v>
      </c>
      <c r="V1364" s="2" t="s">
        <v>28</v>
      </c>
      <c r="W1364" s="16">
        <v>10</v>
      </c>
      <c r="X1364">
        <v>0.1055</v>
      </c>
      <c r="Y1364">
        <f t="shared" si="24"/>
        <v>2.247476487589074E-2</v>
      </c>
      <c r="AA1364">
        <v>8.4900000000000003E-2</v>
      </c>
      <c r="AB1364">
        <v>0.12429999999999999</v>
      </c>
    </row>
    <row r="1365" spans="1:28" x14ac:dyDescent="0.2">
      <c r="A1365" t="s">
        <v>204</v>
      </c>
      <c r="B1365">
        <v>2017</v>
      </c>
      <c r="C1365" t="s">
        <v>807</v>
      </c>
      <c r="D1365" t="s">
        <v>808</v>
      </c>
      <c r="E1365" t="s">
        <v>205</v>
      </c>
      <c r="F1365" t="s">
        <v>341</v>
      </c>
      <c r="G1365">
        <v>78.931168999999997</v>
      </c>
      <c r="H1365">
        <v>11.976254000000001</v>
      </c>
      <c r="I1365" t="s">
        <v>17</v>
      </c>
      <c r="J1365" t="s">
        <v>14</v>
      </c>
      <c r="K1365" t="s">
        <v>41</v>
      </c>
      <c r="L1365" t="s">
        <v>3</v>
      </c>
      <c r="M1365" t="s">
        <v>726</v>
      </c>
      <c r="N1365" t="s">
        <v>85</v>
      </c>
      <c r="O1365" s="6" t="s">
        <v>58</v>
      </c>
      <c r="Q1365">
        <v>24</v>
      </c>
      <c r="R1365" t="s">
        <v>213</v>
      </c>
      <c r="S1365" s="2" t="s">
        <v>27</v>
      </c>
      <c r="T1365" s="2">
        <v>5</v>
      </c>
      <c r="U1365" s="2" t="s">
        <v>28</v>
      </c>
      <c r="V1365" s="2" t="s">
        <v>28</v>
      </c>
      <c r="W1365" s="16">
        <v>15</v>
      </c>
      <c r="X1365">
        <v>0.10920000000000001</v>
      </c>
      <c r="Y1365">
        <f t="shared" si="24"/>
        <v>1.5173318418748574E-2</v>
      </c>
      <c r="AA1365">
        <v>9.5899999999999999E-2</v>
      </c>
      <c r="AB1365">
        <v>0.1225</v>
      </c>
    </row>
    <row r="1366" spans="1:28" x14ac:dyDescent="0.2">
      <c r="A1366" t="s">
        <v>204</v>
      </c>
      <c r="B1366">
        <v>2017</v>
      </c>
      <c r="C1366" t="s">
        <v>807</v>
      </c>
      <c r="D1366" t="s">
        <v>808</v>
      </c>
      <c r="E1366" t="s">
        <v>205</v>
      </c>
      <c r="F1366" t="s">
        <v>341</v>
      </c>
      <c r="G1366">
        <v>78.931168999999997</v>
      </c>
      <c r="H1366">
        <v>11.976254000000001</v>
      </c>
      <c r="I1366" t="s">
        <v>17</v>
      </c>
      <c r="J1366" t="s">
        <v>7</v>
      </c>
      <c r="K1366" t="s">
        <v>40</v>
      </c>
      <c r="L1366" t="s">
        <v>3</v>
      </c>
      <c r="M1366" t="s">
        <v>726</v>
      </c>
      <c r="N1366" t="s">
        <v>85</v>
      </c>
      <c r="O1366" s="6" t="s">
        <v>58</v>
      </c>
      <c r="Q1366">
        <v>24</v>
      </c>
      <c r="R1366" t="s">
        <v>213</v>
      </c>
      <c r="S1366" s="2" t="s">
        <v>7</v>
      </c>
      <c r="T1366" s="2">
        <v>5</v>
      </c>
      <c r="U1366" s="2" t="s">
        <v>28</v>
      </c>
      <c r="V1366" s="2" t="s">
        <v>28</v>
      </c>
      <c r="W1366" s="16">
        <v>5</v>
      </c>
      <c r="X1366">
        <v>9.5899999999999999E-2</v>
      </c>
      <c r="Y1366">
        <f t="shared" si="24"/>
        <v>8.1570847138385232E-3</v>
      </c>
      <c r="AA1366">
        <v>8.9399999999999993E-2</v>
      </c>
      <c r="AB1366">
        <v>0.1037</v>
      </c>
    </row>
    <row r="1367" spans="1:28" x14ac:dyDescent="0.2">
      <c r="A1367" t="s">
        <v>204</v>
      </c>
      <c r="B1367">
        <v>2017</v>
      </c>
      <c r="C1367" t="s">
        <v>807</v>
      </c>
      <c r="D1367" t="s">
        <v>808</v>
      </c>
      <c r="E1367" t="s">
        <v>205</v>
      </c>
      <c r="F1367" t="s">
        <v>341</v>
      </c>
      <c r="G1367">
        <v>78.931168999999997</v>
      </c>
      <c r="H1367">
        <v>11.976254000000001</v>
      </c>
      <c r="I1367" t="s">
        <v>17</v>
      </c>
      <c r="J1367" t="s">
        <v>14</v>
      </c>
      <c r="K1367" t="s">
        <v>40</v>
      </c>
      <c r="L1367" t="s">
        <v>3</v>
      </c>
      <c r="M1367" t="s">
        <v>726</v>
      </c>
      <c r="N1367" t="s">
        <v>85</v>
      </c>
      <c r="O1367" s="6" t="s">
        <v>58</v>
      </c>
      <c r="Q1367">
        <v>24</v>
      </c>
      <c r="R1367" t="s">
        <v>213</v>
      </c>
      <c r="S1367" s="2" t="s">
        <v>9</v>
      </c>
      <c r="T1367" s="2">
        <v>5</v>
      </c>
      <c r="U1367" s="2" t="s">
        <v>28</v>
      </c>
      <c r="V1367" s="2" t="s">
        <v>28</v>
      </c>
      <c r="W1367" s="16">
        <v>10</v>
      </c>
      <c r="X1367">
        <v>0.11559999999999999</v>
      </c>
      <c r="Y1367">
        <f t="shared" si="24"/>
        <v>1.8824041647319663E-2</v>
      </c>
      <c r="AA1367">
        <v>9.9099999999999994E-2</v>
      </c>
      <c r="AB1367">
        <v>0.1321</v>
      </c>
    </row>
    <row r="1368" spans="1:28" x14ac:dyDescent="0.2">
      <c r="A1368" t="s">
        <v>204</v>
      </c>
      <c r="B1368">
        <v>2017</v>
      </c>
      <c r="C1368" t="s">
        <v>807</v>
      </c>
      <c r="D1368" t="s">
        <v>808</v>
      </c>
      <c r="E1368" t="s">
        <v>205</v>
      </c>
      <c r="F1368" t="s">
        <v>341</v>
      </c>
      <c r="G1368">
        <v>78.931168999999997</v>
      </c>
      <c r="H1368">
        <v>11.976254000000001</v>
      </c>
      <c r="I1368" t="s">
        <v>17</v>
      </c>
      <c r="J1368" t="s">
        <v>14</v>
      </c>
      <c r="K1368" t="s">
        <v>40</v>
      </c>
      <c r="L1368" t="s">
        <v>3</v>
      </c>
      <c r="M1368" t="s">
        <v>726</v>
      </c>
      <c r="N1368" t="s">
        <v>85</v>
      </c>
      <c r="O1368" s="6" t="s">
        <v>58</v>
      </c>
      <c r="Q1368">
        <v>24</v>
      </c>
      <c r="R1368" t="s">
        <v>213</v>
      </c>
      <c r="S1368" s="2" t="s">
        <v>27</v>
      </c>
      <c r="T1368" s="2">
        <v>5</v>
      </c>
      <c r="U1368" s="2" t="s">
        <v>28</v>
      </c>
      <c r="V1368" s="2" t="s">
        <v>28</v>
      </c>
      <c r="W1368" s="16">
        <v>15</v>
      </c>
      <c r="X1368">
        <v>0.12709999999999999</v>
      </c>
      <c r="Y1368">
        <f t="shared" si="24"/>
        <v>1.831065869330185E-2</v>
      </c>
      <c r="AA1368">
        <v>0.111</v>
      </c>
      <c r="AB1368">
        <v>0.1431</v>
      </c>
    </row>
    <row r="1369" spans="1:28" x14ac:dyDescent="0.2">
      <c r="A1369" t="s">
        <v>204</v>
      </c>
      <c r="B1369">
        <v>2017</v>
      </c>
      <c r="C1369" t="s">
        <v>807</v>
      </c>
      <c r="D1369" t="s">
        <v>808</v>
      </c>
      <c r="E1369" t="s">
        <v>205</v>
      </c>
      <c r="F1369" t="s">
        <v>341</v>
      </c>
      <c r="G1369">
        <v>78.931168999999997</v>
      </c>
      <c r="H1369">
        <v>11.976254000000001</v>
      </c>
      <c r="I1369" t="s">
        <v>17</v>
      </c>
      <c r="J1369" t="s">
        <v>7</v>
      </c>
      <c r="K1369" t="s">
        <v>41</v>
      </c>
      <c r="L1369" t="s">
        <v>3</v>
      </c>
      <c r="M1369" t="s">
        <v>726</v>
      </c>
      <c r="N1369" t="s">
        <v>85</v>
      </c>
      <c r="O1369" s="6" t="s">
        <v>196</v>
      </c>
      <c r="Q1369">
        <v>24</v>
      </c>
      <c r="R1369" t="s">
        <v>213</v>
      </c>
      <c r="S1369" s="2" t="s">
        <v>7</v>
      </c>
      <c r="T1369" s="2">
        <v>5</v>
      </c>
      <c r="U1369" s="2" t="s">
        <v>28</v>
      </c>
      <c r="V1369" s="2" t="s">
        <v>28</v>
      </c>
      <c r="W1369" s="16">
        <v>5</v>
      </c>
      <c r="X1369">
        <v>71.22</v>
      </c>
      <c r="Y1369">
        <f t="shared" ref="Y1369:Y1400" si="26">SQRT(T1369) * (AB1369-AA1369)/3.92</f>
        <v>19.149184184864268</v>
      </c>
      <c r="AA1369">
        <v>54.53</v>
      </c>
      <c r="AB1369">
        <v>88.1</v>
      </c>
    </row>
    <row r="1370" spans="1:28" x14ac:dyDescent="0.2">
      <c r="A1370" t="s">
        <v>204</v>
      </c>
      <c r="B1370">
        <v>2017</v>
      </c>
      <c r="C1370" t="s">
        <v>807</v>
      </c>
      <c r="D1370" t="s">
        <v>808</v>
      </c>
      <c r="E1370" t="s">
        <v>205</v>
      </c>
      <c r="F1370" t="s">
        <v>341</v>
      </c>
      <c r="G1370">
        <v>78.931168999999997</v>
      </c>
      <c r="H1370">
        <v>11.976254000000001</v>
      </c>
      <c r="I1370" t="s">
        <v>17</v>
      </c>
      <c r="J1370" t="s">
        <v>14</v>
      </c>
      <c r="K1370" t="s">
        <v>41</v>
      </c>
      <c r="L1370" t="s">
        <v>3</v>
      </c>
      <c r="M1370" t="s">
        <v>726</v>
      </c>
      <c r="N1370" t="s">
        <v>85</v>
      </c>
      <c r="O1370" s="6" t="s">
        <v>196</v>
      </c>
      <c r="Q1370">
        <v>24</v>
      </c>
      <c r="R1370" t="s">
        <v>213</v>
      </c>
      <c r="S1370" s="2" t="s">
        <v>9</v>
      </c>
      <c r="T1370" s="2">
        <v>5</v>
      </c>
      <c r="U1370" s="2" t="s">
        <v>28</v>
      </c>
      <c r="V1370" s="2" t="s">
        <v>28</v>
      </c>
      <c r="W1370" s="16">
        <v>10</v>
      </c>
      <c r="X1370">
        <v>48.04</v>
      </c>
      <c r="Y1370">
        <f t="shared" si="26"/>
        <v>8.5677910770527674</v>
      </c>
      <c r="AA1370">
        <v>40.619999999999997</v>
      </c>
      <c r="AB1370">
        <v>55.64</v>
      </c>
    </row>
    <row r="1371" spans="1:28" x14ac:dyDescent="0.2">
      <c r="A1371" t="s">
        <v>204</v>
      </c>
      <c r="B1371">
        <v>2017</v>
      </c>
      <c r="C1371" t="s">
        <v>807</v>
      </c>
      <c r="D1371" t="s">
        <v>808</v>
      </c>
      <c r="E1371" t="s">
        <v>205</v>
      </c>
      <c r="F1371" t="s">
        <v>341</v>
      </c>
      <c r="G1371">
        <v>78.931168999999997</v>
      </c>
      <c r="H1371">
        <v>11.976254000000001</v>
      </c>
      <c r="I1371" t="s">
        <v>17</v>
      </c>
      <c r="J1371" t="s">
        <v>14</v>
      </c>
      <c r="K1371" t="s">
        <v>41</v>
      </c>
      <c r="L1371" t="s">
        <v>3</v>
      </c>
      <c r="M1371" t="s">
        <v>726</v>
      </c>
      <c r="N1371" t="s">
        <v>85</v>
      </c>
      <c r="O1371" s="6" t="s">
        <v>196</v>
      </c>
      <c r="Q1371">
        <v>24</v>
      </c>
      <c r="R1371" t="s">
        <v>213</v>
      </c>
      <c r="S1371" s="2" t="s">
        <v>27</v>
      </c>
      <c r="T1371" s="2">
        <v>5</v>
      </c>
      <c r="U1371" s="2" t="s">
        <v>28</v>
      </c>
      <c r="V1371" s="2" t="s">
        <v>28</v>
      </c>
      <c r="W1371" s="16">
        <v>15</v>
      </c>
      <c r="X1371">
        <v>60.09</v>
      </c>
      <c r="Y1371">
        <f t="shared" si="26"/>
        <v>13.433520630132669</v>
      </c>
      <c r="AA1371">
        <v>48.04</v>
      </c>
      <c r="AB1371">
        <v>71.59</v>
      </c>
    </row>
    <row r="1372" spans="1:28" x14ac:dyDescent="0.2">
      <c r="A1372" t="s">
        <v>204</v>
      </c>
      <c r="B1372">
        <v>2017</v>
      </c>
      <c r="C1372" t="s">
        <v>807</v>
      </c>
      <c r="D1372" t="s">
        <v>808</v>
      </c>
      <c r="E1372" t="s">
        <v>205</v>
      </c>
      <c r="F1372" t="s">
        <v>341</v>
      </c>
      <c r="G1372">
        <v>78.931168999999997</v>
      </c>
      <c r="H1372">
        <v>11.976254000000001</v>
      </c>
      <c r="I1372" t="s">
        <v>17</v>
      </c>
      <c r="J1372" t="s">
        <v>7</v>
      </c>
      <c r="K1372" t="s">
        <v>40</v>
      </c>
      <c r="L1372" t="s">
        <v>3</v>
      </c>
      <c r="M1372" t="s">
        <v>726</v>
      </c>
      <c r="N1372" t="s">
        <v>85</v>
      </c>
      <c r="O1372" s="6" t="s">
        <v>196</v>
      </c>
      <c r="Q1372">
        <v>24</v>
      </c>
      <c r="R1372" t="s">
        <v>213</v>
      </c>
      <c r="S1372" s="2" t="s">
        <v>7</v>
      </c>
      <c r="T1372" s="2">
        <v>5</v>
      </c>
      <c r="U1372" s="2" t="s">
        <v>28</v>
      </c>
      <c r="V1372" s="2" t="s">
        <v>28</v>
      </c>
      <c r="W1372" s="16">
        <v>5</v>
      </c>
      <c r="X1372">
        <v>57.5</v>
      </c>
      <c r="Y1372">
        <f t="shared" si="26"/>
        <v>4.3352338339281644</v>
      </c>
      <c r="AA1372">
        <v>53.42</v>
      </c>
      <c r="AB1372">
        <v>61.02</v>
      </c>
    </row>
    <row r="1373" spans="1:28" x14ac:dyDescent="0.2">
      <c r="A1373" t="s">
        <v>204</v>
      </c>
      <c r="B1373">
        <v>2017</v>
      </c>
      <c r="C1373" t="s">
        <v>807</v>
      </c>
      <c r="D1373" t="s">
        <v>808</v>
      </c>
      <c r="E1373" t="s">
        <v>205</v>
      </c>
      <c r="F1373" t="s">
        <v>341</v>
      </c>
      <c r="G1373">
        <v>78.931168999999997</v>
      </c>
      <c r="H1373">
        <v>11.976254000000001</v>
      </c>
      <c r="I1373" t="s">
        <v>17</v>
      </c>
      <c r="J1373" t="s">
        <v>14</v>
      </c>
      <c r="K1373" t="s">
        <v>40</v>
      </c>
      <c r="L1373" t="s">
        <v>3</v>
      </c>
      <c r="M1373" t="s">
        <v>726</v>
      </c>
      <c r="N1373" t="s">
        <v>85</v>
      </c>
      <c r="O1373" s="6" t="s">
        <v>196</v>
      </c>
      <c r="Q1373">
        <v>24</v>
      </c>
      <c r="R1373" t="s">
        <v>213</v>
      </c>
      <c r="S1373" s="2" t="s">
        <v>9</v>
      </c>
      <c r="T1373" s="2">
        <v>5</v>
      </c>
      <c r="U1373" s="2" t="s">
        <v>28</v>
      </c>
      <c r="V1373" s="2" t="s">
        <v>28</v>
      </c>
      <c r="W1373" s="16">
        <v>10</v>
      </c>
      <c r="X1373">
        <v>45.81</v>
      </c>
      <c r="Y1373">
        <f t="shared" si="26"/>
        <v>7.1930656112939664</v>
      </c>
      <c r="AA1373">
        <v>39.51</v>
      </c>
      <c r="AB1373">
        <v>52.12</v>
      </c>
    </row>
    <row r="1374" spans="1:28" x14ac:dyDescent="0.2">
      <c r="A1374" t="s">
        <v>204</v>
      </c>
      <c r="B1374">
        <v>2017</v>
      </c>
      <c r="C1374" t="s">
        <v>807</v>
      </c>
      <c r="D1374" t="s">
        <v>808</v>
      </c>
      <c r="E1374" t="s">
        <v>205</v>
      </c>
      <c r="F1374" t="s">
        <v>341</v>
      </c>
      <c r="G1374">
        <v>78.931168999999997</v>
      </c>
      <c r="H1374">
        <v>11.976254000000001</v>
      </c>
      <c r="I1374" t="s">
        <v>17</v>
      </c>
      <c r="J1374" t="s">
        <v>14</v>
      </c>
      <c r="K1374" t="s">
        <v>40</v>
      </c>
      <c r="L1374" t="s">
        <v>3</v>
      </c>
      <c r="M1374" t="s">
        <v>726</v>
      </c>
      <c r="N1374" t="s">
        <v>85</v>
      </c>
      <c r="O1374" s="6" t="s">
        <v>196</v>
      </c>
      <c r="Q1374">
        <v>24</v>
      </c>
      <c r="R1374" t="s">
        <v>213</v>
      </c>
      <c r="S1374" s="2" t="s">
        <v>27</v>
      </c>
      <c r="T1374" s="2">
        <v>5</v>
      </c>
      <c r="U1374" s="2" t="s">
        <v>28</v>
      </c>
      <c r="V1374" s="2" t="s">
        <v>28</v>
      </c>
      <c r="W1374" s="16">
        <v>15</v>
      </c>
      <c r="X1374">
        <v>51.38</v>
      </c>
      <c r="Y1374">
        <f t="shared" si="26"/>
        <v>7.9346187670974713</v>
      </c>
      <c r="AA1374">
        <v>44.51</v>
      </c>
      <c r="AB1374">
        <v>58.42</v>
      </c>
    </row>
    <row r="1375" spans="1:28" x14ac:dyDescent="0.2">
      <c r="A1375" t="s">
        <v>204</v>
      </c>
      <c r="B1375">
        <v>2017</v>
      </c>
      <c r="C1375" t="s">
        <v>807</v>
      </c>
      <c r="D1375" t="s">
        <v>808</v>
      </c>
      <c r="E1375" t="s">
        <v>205</v>
      </c>
      <c r="F1375" t="s">
        <v>341</v>
      </c>
      <c r="G1375">
        <v>78.931168999999997</v>
      </c>
      <c r="H1375">
        <v>11.976254000000001</v>
      </c>
      <c r="I1375" t="s">
        <v>17</v>
      </c>
      <c r="J1375" t="s">
        <v>7</v>
      </c>
      <c r="K1375" t="s">
        <v>41</v>
      </c>
      <c r="L1375" t="s">
        <v>3</v>
      </c>
      <c r="M1375" t="s">
        <v>726</v>
      </c>
      <c r="N1375" t="s">
        <v>85</v>
      </c>
      <c r="O1375" s="6" t="s">
        <v>208</v>
      </c>
      <c r="Q1375">
        <v>24</v>
      </c>
      <c r="R1375" t="s">
        <v>213</v>
      </c>
      <c r="S1375" s="2" t="s">
        <v>7</v>
      </c>
      <c r="T1375" s="2">
        <v>5</v>
      </c>
      <c r="U1375" s="2" t="s">
        <v>28</v>
      </c>
      <c r="V1375" s="2" t="s">
        <v>28</v>
      </c>
      <c r="W1375" s="16">
        <v>5</v>
      </c>
      <c r="X1375">
        <v>2.4870000000000001</v>
      </c>
      <c r="Y1375">
        <f t="shared" si="26"/>
        <v>0.51452380502673745</v>
      </c>
      <c r="AA1375">
        <v>2.036</v>
      </c>
      <c r="AB1375">
        <v>2.9380000000000002</v>
      </c>
    </row>
    <row r="1376" spans="1:28" x14ac:dyDescent="0.2">
      <c r="A1376" t="s">
        <v>204</v>
      </c>
      <c r="B1376">
        <v>2017</v>
      </c>
      <c r="C1376" t="s">
        <v>807</v>
      </c>
      <c r="D1376" t="s">
        <v>808</v>
      </c>
      <c r="E1376" t="s">
        <v>205</v>
      </c>
      <c r="F1376" t="s">
        <v>341</v>
      </c>
      <c r="G1376">
        <v>78.931168999999997</v>
      </c>
      <c r="H1376">
        <v>11.976254000000001</v>
      </c>
      <c r="I1376" t="s">
        <v>17</v>
      </c>
      <c r="J1376" t="s">
        <v>14</v>
      </c>
      <c r="K1376" t="s">
        <v>41</v>
      </c>
      <c r="L1376" t="s">
        <v>3</v>
      </c>
      <c r="M1376" t="s">
        <v>726</v>
      </c>
      <c r="N1376" t="s">
        <v>85</v>
      </c>
      <c r="O1376" s="6" t="s">
        <v>208</v>
      </c>
      <c r="Q1376">
        <v>24</v>
      </c>
      <c r="R1376" t="s">
        <v>213</v>
      </c>
      <c r="S1376" s="2" t="s">
        <v>9</v>
      </c>
      <c r="T1376" s="2">
        <v>5</v>
      </c>
      <c r="U1376" s="2" t="s">
        <v>28</v>
      </c>
      <c r="V1376" s="2" t="s">
        <v>28</v>
      </c>
      <c r="W1376" s="16">
        <v>10</v>
      </c>
      <c r="X1376">
        <v>1.38</v>
      </c>
      <c r="Y1376">
        <f t="shared" si="26"/>
        <v>0.36621317386603708</v>
      </c>
      <c r="AA1376">
        <v>1.0249999999999999</v>
      </c>
      <c r="AB1376">
        <v>1.667</v>
      </c>
    </row>
    <row r="1377" spans="1:28" x14ac:dyDescent="0.2">
      <c r="A1377" t="s">
        <v>204</v>
      </c>
      <c r="B1377">
        <v>2017</v>
      </c>
      <c r="C1377" t="s">
        <v>807</v>
      </c>
      <c r="D1377" t="s">
        <v>808</v>
      </c>
      <c r="E1377" t="s">
        <v>205</v>
      </c>
      <c r="F1377" t="s">
        <v>341</v>
      </c>
      <c r="G1377">
        <v>78.931168999999997</v>
      </c>
      <c r="H1377">
        <v>11.976254000000001</v>
      </c>
      <c r="I1377" t="s">
        <v>17</v>
      </c>
      <c r="J1377" t="s">
        <v>14</v>
      </c>
      <c r="K1377" t="s">
        <v>41</v>
      </c>
      <c r="L1377" t="s">
        <v>3</v>
      </c>
      <c r="M1377" t="s">
        <v>726</v>
      </c>
      <c r="N1377" t="s">
        <v>85</v>
      </c>
      <c r="O1377" s="6" t="s">
        <v>208</v>
      </c>
      <c r="Q1377">
        <v>24</v>
      </c>
      <c r="R1377" t="s">
        <v>213</v>
      </c>
      <c r="S1377" s="2" t="s">
        <v>27</v>
      </c>
      <c r="T1377" s="2">
        <v>5</v>
      </c>
      <c r="U1377" s="2" t="s">
        <v>28</v>
      </c>
      <c r="V1377" s="2" t="s">
        <v>28</v>
      </c>
      <c r="W1377" s="16">
        <v>15</v>
      </c>
      <c r="X1377">
        <v>1.476</v>
      </c>
      <c r="Y1377">
        <f t="shared" si="26"/>
        <v>1.0992099471025754</v>
      </c>
      <c r="AA1377">
        <v>0.51900000000000002</v>
      </c>
      <c r="AB1377">
        <v>2.4460000000000002</v>
      </c>
    </row>
    <row r="1378" spans="1:28" x14ac:dyDescent="0.2">
      <c r="A1378" t="s">
        <v>204</v>
      </c>
      <c r="B1378">
        <v>2017</v>
      </c>
      <c r="C1378" t="s">
        <v>807</v>
      </c>
      <c r="D1378" t="s">
        <v>808</v>
      </c>
      <c r="E1378" t="s">
        <v>205</v>
      </c>
      <c r="F1378" t="s">
        <v>341</v>
      </c>
      <c r="G1378">
        <v>78.931168999999997</v>
      </c>
      <c r="H1378">
        <v>11.976254000000001</v>
      </c>
      <c r="I1378" t="s">
        <v>17</v>
      </c>
      <c r="J1378" t="s">
        <v>7</v>
      </c>
      <c r="K1378" t="s">
        <v>40</v>
      </c>
      <c r="L1378" t="s">
        <v>3</v>
      </c>
      <c r="M1378" t="s">
        <v>726</v>
      </c>
      <c r="N1378" t="s">
        <v>85</v>
      </c>
      <c r="O1378" s="6" t="s">
        <v>208</v>
      </c>
      <c r="Q1378">
        <v>24</v>
      </c>
      <c r="R1378" t="s">
        <v>213</v>
      </c>
      <c r="S1378" s="2" t="s">
        <v>7</v>
      </c>
      <c r="T1378" s="2">
        <v>5</v>
      </c>
      <c r="U1378" s="2" t="s">
        <v>28</v>
      </c>
      <c r="V1378" s="2" t="s">
        <v>28</v>
      </c>
      <c r="W1378" s="16">
        <v>5</v>
      </c>
      <c r="X1378">
        <v>1.831</v>
      </c>
      <c r="Y1378">
        <f t="shared" si="26"/>
        <v>0.74098273029903761</v>
      </c>
      <c r="AA1378">
        <v>1.175</v>
      </c>
      <c r="AB1378">
        <v>2.4740000000000002</v>
      </c>
    </row>
    <row r="1379" spans="1:28" x14ac:dyDescent="0.2">
      <c r="A1379" t="s">
        <v>204</v>
      </c>
      <c r="B1379">
        <v>2017</v>
      </c>
      <c r="C1379" t="s">
        <v>807</v>
      </c>
      <c r="D1379" t="s">
        <v>808</v>
      </c>
      <c r="E1379" t="s">
        <v>205</v>
      </c>
      <c r="F1379" t="s">
        <v>341</v>
      </c>
      <c r="G1379">
        <v>78.931168999999997</v>
      </c>
      <c r="H1379">
        <v>11.976254000000001</v>
      </c>
      <c r="I1379" t="s">
        <v>17</v>
      </c>
      <c r="J1379" t="s">
        <v>14</v>
      </c>
      <c r="K1379" t="s">
        <v>40</v>
      </c>
      <c r="L1379" t="s">
        <v>3</v>
      </c>
      <c r="M1379" t="s">
        <v>726</v>
      </c>
      <c r="N1379" t="s">
        <v>85</v>
      </c>
      <c r="O1379" s="6" t="s">
        <v>208</v>
      </c>
      <c r="Q1379">
        <v>24</v>
      </c>
      <c r="R1379" t="s">
        <v>213</v>
      </c>
      <c r="S1379" s="2" t="s">
        <v>9</v>
      </c>
      <c r="T1379" s="2">
        <v>5</v>
      </c>
      <c r="U1379" s="2" t="s">
        <v>28</v>
      </c>
      <c r="V1379" s="2" t="s">
        <v>28</v>
      </c>
      <c r="W1379" s="16">
        <v>10</v>
      </c>
      <c r="X1379">
        <v>1.2230000000000001</v>
      </c>
      <c r="Y1379">
        <f t="shared" si="26"/>
        <v>0.38560764101782091</v>
      </c>
      <c r="AA1379">
        <v>0.86799999999999999</v>
      </c>
      <c r="AB1379">
        <v>1.544</v>
      </c>
    </row>
    <row r="1380" spans="1:28" x14ac:dyDescent="0.2">
      <c r="A1380" t="s">
        <v>204</v>
      </c>
      <c r="B1380">
        <v>2017</v>
      </c>
      <c r="C1380" t="s">
        <v>807</v>
      </c>
      <c r="D1380" t="s">
        <v>808</v>
      </c>
      <c r="E1380" t="s">
        <v>205</v>
      </c>
      <c r="F1380" t="s">
        <v>341</v>
      </c>
      <c r="G1380">
        <v>78.931168999999997</v>
      </c>
      <c r="H1380">
        <v>11.976254000000001</v>
      </c>
      <c r="I1380" t="s">
        <v>17</v>
      </c>
      <c r="J1380" t="s">
        <v>14</v>
      </c>
      <c r="K1380" t="s">
        <v>40</v>
      </c>
      <c r="L1380" t="s">
        <v>3</v>
      </c>
      <c r="M1380" t="s">
        <v>726</v>
      </c>
      <c r="N1380" t="s">
        <v>85</v>
      </c>
      <c r="O1380" s="6" t="s">
        <v>208</v>
      </c>
      <c r="Q1380">
        <v>24</v>
      </c>
      <c r="R1380" t="s">
        <v>213</v>
      </c>
      <c r="S1380" s="2" t="s">
        <v>27</v>
      </c>
      <c r="T1380" s="2">
        <v>5</v>
      </c>
      <c r="U1380" s="2" t="s">
        <v>28</v>
      </c>
      <c r="V1380" s="2" t="s">
        <v>28</v>
      </c>
      <c r="W1380" s="16">
        <v>15</v>
      </c>
      <c r="X1380">
        <v>1.476</v>
      </c>
      <c r="Y1380">
        <f t="shared" si="26"/>
        <v>1.1066254786606105</v>
      </c>
      <c r="AA1380">
        <v>0.50600000000000001</v>
      </c>
      <c r="AB1380">
        <v>2.4460000000000002</v>
      </c>
    </row>
    <row r="1381" spans="1:28" x14ac:dyDescent="0.2">
      <c r="A1381" t="s">
        <v>204</v>
      </c>
      <c r="B1381">
        <v>2017</v>
      </c>
      <c r="C1381" t="s">
        <v>826</v>
      </c>
      <c r="D1381" t="s">
        <v>824</v>
      </c>
      <c r="E1381" t="s">
        <v>48</v>
      </c>
      <c r="F1381" t="s">
        <v>341</v>
      </c>
      <c r="G1381">
        <v>78.931168999999997</v>
      </c>
      <c r="H1381">
        <v>11.976254000000001</v>
      </c>
      <c r="I1381" t="s">
        <v>17</v>
      </c>
      <c r="J1381" t="s">
        <v>7</v>
      </c>
      <c r="K1381" t="s">
        <v>41</v>
      </c>
      <c r="L1381" t="s">
        <v>3</v>
      </c>
      <c r="M1381" t="s">
        <v>726</v>
      </c>
      <c r="N1381" t="s">
        <v>85</v>
      </c>
      <c r="O1381" s="6" t="s">
        <v>84</v>
      </c>
      <c r="Q1381">
        <v>24</v>
      </c>
      <c r="R1381" t="s">
        <v>213</v>
      </c>
      <c r="S1381" s="2" t="s">
        <v>7</v>
      </c>
      <c r="T1381" s="2">
        <v>5</v>
      </c>
      <c r="U1381" s="2" t="s">
        <v>28</v>
      </c>
      <c r="V1381" s="2" t="s">
        <v>28</v>
      </c>
      <c r="W1381" s="16">
        <v>5</v>
      </c>
      <c r="X1381">
        <v>0.49270000000000003</v>
      </c>
      <c r="Y1381">
        <f t="shared" si="26"/>
        <v>2.8121977370086617E-2</v>
      </c>
      <c r="AA1381">
        <v>0.46700000000000003</v>
      </c>
      <c r="AB1381">
        <v>0.51629999999999998</v>
      </c>
    </row>
    <row r="1382" spans="1:28" x14ac:dyDescent="0.2">
      <c r="A1382" t="s">
        <v>204</v>
      </c>
      <c r="B1382">
        <v>2017</v>
      </c>
      <c r="C1382" t="s">
        <v>826</v>
      </c>
      <c r="D1382" t="s">
        <v>824</v>
      </c>
      <c r="E1382" t="s">
        <v>48</v>
      </c>
      <c r="F1382" t="s">
        <v>341</v>
      </c>
      <c r="G1382">
        <v>78.931168999999997</v>
      </c>
      <c r="H1382">
        <v>11.976254000000001</v>
      </c>
      <c r="I1382" t="s">
        <v>17</v>
      </c>
      <c r="J1382" t="s">
        <v>14</v>
      </c>
      <c r="K1382" t="s">
        <v>41</v>
      </c>
      <c r="L1382" t="s">
        <v>3</v>
      </c>
      <c r="M1382" t="s">
        <v>726</v>
      </c>
      <c r="N1382" t="s">
        <v>85</v>
      </c>
      <c r="O1382" s="6" t="s">
        <v>84</v>
      </c>
      <c r="Q1382">
        <v>24</v>
      </c>
      <c r="R1382" t="s">
        <v>213</v>
      </c>
      <c r="S1382" s="2" t="s">
        <v>9</v>
      </c>
      <c r="T1382" s="2">
        <v>5</v>
      </c>
      <c r="U1382" s="2" t="s">
        <v>28</v>
      </c>
      <c r="V1382" s="2" t="s">
        <v>28</v>
      </c>
      <c r="W1382" s="16">
        <v>10</v>
      </c>
      <c r="X1382">
        <v>0.43309999999999998</v>
      </c>
      <c r="Y1382">
        <f t="shared" si="26"/>
        <v>2.5155764746872655E-2</v>
      </c>
      <c r="AA1382">
        <v>0.40849999999999997</v>
      </c>
      <c r="AB1382">
        <v>0.4526</v>
      </c>
    </row>
    <row r="1383" spans="1:28" x14ac:dyDescent="0.2">
      <c r="A1383" t="s">
        <v>204</v>
      </c>
      <c r="B1383">
        <v>2017</v>
      </c>
      <c r="C1383" t="s">
        <v>826</v>
      </c>
      <c r="D1383" t="s">
        <v>824</v>
      </c>
      <c r="E1383" t="s">
        <v>48</v>
      </c>
      <c r="F1383" t="s">
        <v>341</v>
      </c>
      <c r="G1383">
        <v>78.931168999999997</v>
      </c>
      <c r="H1383">
        <v>11.976254000000001</v>
      </c>
      <c r="I1383" t="s">
        <v>17</v>
      </c>
      <c r="J1383" t="s">
        <v>14</v>
      </c>
      <c r="K1383" t="s">
        <v>41</v>
      </c>
      <c r="L1383" t="s">
        <v>3</v>
      </c>
      <c r="M1383" t="s">
        <v>726</v>
      </c>
      <c r="N1383" t="s">
        <v>85</v>
      </c>
      <c r="O1383" s="6" t="s">
        <v>84</v>
      </c>
      <c r="Q1383">
        <v>24</v>
      </c>
      <c r="R1383" t="s">
        <v>213</v>
      </c>
      <c r="S1383" s="2" t="s">
        <v>27</v>
      </c>
      <c r="T1383" s="2">
        <v>5</v>
      </c>
      <c r="U1383" s="2" t="s">
        <v>28</v>
      </c>
      <c r="V1383" s="2" t="s">
        <v>28</v>
      </c>
      <c r="W1383" s="16">
        <v>15</v>
      </c>
      <c r="X1383">
        <v>0.50700000000000001</v>
      </c>
      <c r="Y1383">
        <f t="shared" si="26"/>
        <v>3.2799466506693374E-2</v>
      </c>
      <c r="AA1383">
        <v>0.4783</v>
      </c>
      <c r="AB1383">
        <v>0.53580000000000005</v>
      </c>
    </row>
    <row r="1384" spans="1:28" x14ac:dyDescent="0.2">
      <c r="A1384" t="s">
        <v>204</v>
      </c>
      <c r="B1384">
        <v>2017</v>
      </c>
      <c r="C1384" t="s">
        <v>826</v>
      </c>
      <c r="D1384" t="s">
        <v>824</v>
      </c>
      <c r="E1384" t="s">
        <v>48</v>
      </c>
      <c r="F1384" t="s">
        <v>341</v>
      </c>
      <c r="G1384">
        <v>78.931168999999997</v>
      </c>
      <c r="H1384">
        <v>11.976254000000001</v>
      </c>
      <c r="I1384" t="s">
        <v>17</v>
      </c>
      <c r="J1384" t="s">
        <v>14</v>
      </c>
      <c r="K1384" t="s">
        <v>41</v>
      </c>
      <c r="L1384" t="s">
        <v>3</v>
      </c>
      <c r="M1384" t="s">
        <v>726</v>
      </c>
      <c r="N1384" t="s">
        <v>85</v>
      </c>
      <c r="O1384" s="6" t="s">
        <v>84</v>
      </c>
      <c r="Q1384">
        <v>24</v>
      </c>
      <c r="R1384" t="s">
        <v>213</v>
      </c>
      <c r="S1384" s="2" t="s">
        <v>13</v>
      </c>
      <c r="T1384" s="2">
        <v>5</v>
      </c>
      <c r="U1384" s="2" t="s">
        <v>28</v>
      </c>
      <c r="V1384" s="2" t="s">
        <v>28</v>
      </c>
      <c r="W1384" s="16">
        <v>20</v>
      </c>
      <c r="X1384">
        <v>0.24840000000000001</v>
      </c>
      <c r="Y1384">
        <f t="shared" si="26"/>
        <v>0.15047824807766447</v>
      </c>
      <c r="AA1384">
        <v>0.11600000000000001</v>
      </c>
      <c r="AB1384">
        <v>0.37980000000000003</v>
      </c>
    </row>
    <row r="1385" spans="1:28" x14ac:dyDescent="0.2">
      <c r="A1385" t="s">
        <v>204</v>
      </c>
      <c r="B1385">
        <v>2017</v>
      </c>
      <c r="C1385" t="s">
        <v>826</v>
      </c>
      <c r="D1385" t="s">
        <v>824</v>
      </c>
      <c r="E1385" t="s">
        <v>48</v>
      </c>
      <c r="F1385" t="s">
        <v>341</v>
      </c>
      <c r="G1385">
        <v>78.931168999999997</v>
      </c>
      <c r="H1385">
        <v>11.976254000000001</v>
      </c>
      <c r="I1385" t="s">
        <v>17</v>
      </c>
      <c r="J1385" t="s">
        <v>7</v>
      </c>
      <c r="K1385" t="s">
        <v>40</v>
      </c>
      <c r="L1385" t="s">
        <v>3</v>
      </c>
      <c r="M1385" t="s">
        <v>726</v>
      </c>
      <c r="N1385" t="s">
        <v>85</v>
      </c>
      <c r="O1385" s="6" t="s">
        <v>84</v>
      </c>
      <c r="Q1385">
        <v>24</v>
      </c>
      <c r="R1385" t="s">
        <v>213</v>
      </c>
      <c r="S1385" s="2" t="s">
        <v>7</v>
      </c>
      <c r="T1385" s="2">
        <v>5</v>
      </c>
      <c r="U1385" s="2" t="s">
        <v>28</v>
      </c>
      <c r="V1385" s="2" t="s">
        <v>28</v>
      </c>
      <c r="W1385" s="16">
        <v>5</v>
      </c>
      <c r="X1385">
        <v>0.46389999999999998</v>
      </c>
      <c r="Y1385">
        <f t="shared" si="26"/>
        <v>1.0552871832588302E-2</v>
      </c>
      <c r="AA1385">
        <v>0.45669999999999999</v>
      </c>
      <c r="AB1385">
        <v>0.47520000000000001</v>
      </c>
    </row>
    <row r="1386" spans="1:28" x14ac:dyDescent="0.2">
      <c r="A1386" t="s">
        <v>204</v>
      </c>
      <c r="B1386">
        <v>2017</v>
      </c>
      <c r="C1386" t="s">
        <v>826</v>
      </c>
      <c r="D1386" t="s">
        <v>824</v>
      </c>
      <c r="E1386" t="s">
        <v>48</v>
      </c>
      <c r="F1386" t="s">
        <v>341</v>
      </c>
      <c r="G1386">
        <v>78.931168999999997</v>
      </c>
      <c r="H1386">
        <v>11.976254000000001</v>
      </c>
      <c r="I1386" t="s">
        <v>17</v>
      </c>
      <c r="J1386" t="s">
        <v>14</v>
      </c>
      <c r="K1386" t="s">
        <v>40</v>
      </c>
      <c r="L1386" t="s">
        <v>3</v>
      </c>
      <c r="M1386" t="s">
        <v>726</v>
      </c>
      <c r="N1386" t="s">
        <v>85</v>
      </c>
      <c r="O1386" s="6" t="s">
        <v>84</v>
      </c>
      <c r="Q1386">
        <v>24</v>
      </c>
      <c r="R1386" t="s">
        <v>213</v>
      </c>
      <c r="S1386" s="2" t="s">
        <v>9</v>
      </c>
      <c r="T1386" s="2">
        <v>5</v>
      </c>
      <c r="U1386" s="2" t="s">
        <v>28</v>
      </c>
      <c r="V1386" s="2" t="s">
        <v>28</v>
      </c>
      <c r="W1386" s="16">
        <v>10</v>
      </c>
      <c r="X1386">
        <v>0.504</v>
      </c>
      <c r="Y1386">
        <f t="shared" si="26"/>
        <v>2.2246594674105037E-2</v>
      </c>
      <c r="AA1386">
        <v>0.4824</v>
      </c>
      <c r="AB1386">
        <v>0.52139999999999997</v>
      </c>
    </row>
    <row r="1387" spans="1:28" x14ac:dyDescent="0.2">
      <c r="A1387" t="s">
        <v>204</v>
      </c>
      <c r="B1387">
        <v>2017</v>
      </c>
      <c r="C1387" t="s">
        <v>826</v>
      </c>
      <c r="D1387" t="s">
        <v>824</v>
      </c>
      <c r="E1387" t="s">
        <v>48</v>
      </c>
      <c r="F1387" t="s">
        <v>341</v>
      </c>
      <c r="G1387">
        <v>78.931168999999997</v>
      </c>
      <c r="H1387">
        <v>11.976254000000001</v>
      </c>
      <c r="I1387" t="s">
        <v>17</v>
      </c>
      <c r="J1387" t="s">
        <v>14</v>
      </c>
      <c r="K1387" t="s">
        <v>40</v>
      </c>
      <c r="L1387" t="s">
        <v>3</v>
      </c>
      <c r="M1387" t="s">
        <v>726</v>
      </c>
      <c r="N1387" t="s">
        <v>85</v>
      </c>
      <c r="O1387" s="6" t="s">
        <v>84</v>
      </c>
      <c r="Q1387">
        <v>24</v>
      </c>
      <c r="R1387" t="s">
        <v>213</v>
      </c>
      <c r="S1387" s="2" t="s">
        <v>27</v>
      </c>
      <c r="T1387" s="2">
        <v>5</v>
      </c>
      <c r="U1387" s="2" t="s">
        <v>28</v>
      </c>
      <c r="V1387" s="2" t="s">
        <v>28</v>
      </c>
      <c r="W1387" s="16">
        <v>15</v>
      </c>
      <c r="X1387">
        <v>0.49990000000000001</v>
      </c>
      <c r="Y1387">
        <f t="shared" si="26"/>
        <v>1.5230360969194999E-2</v>
      </c>
      <c r="AA1387">
        <v>0.48649999999999999</v>
      </c>
      <c r="AB1387">
        <v>0.51319999999999999</v>
      </c>
    </row>
    <row r="1388" spans="1:28" x14ac:dyDescent="0.2">
      <c r="A1388" t="s">
        <v>204</v>
      </c>
      <c r="B1388">
        <v>2017</v>
      </c>
      <c r="C1388" t="s">
        <v>826</v>
      </c>
      <c r="D1388" t="s">
        <v>824</v>
      </c>
      <c r="E1388" t="s">
        <v>48</v>
      </c>
      <c r="F1388" t="s">
        <v>341</v>
      </c>
      <c r="G1388">
        <v>78.931168999999997</v>
      </c>
      <c r="H1388">
        <v>11.976254000000001</v>
      </c>
      <c r="I1388" t="s">
        <v>17</v>
      </c>
      <c r="J1388" t="s">
        <v>14</v>
      </c>
      <c r="K1388" t="s">
        <v>40</v>
      </c>
      <c r="L1388" t="s">
        <v>3</v>
      </c>
      <c r="M1388" t="s">
        <v>726</v>
      </c>
      <c r="N1388" t="s">
        <v>85</v>
      </c>
      <c r="O1388" s="6" t="s">
        <v>84</v>
      </c>
      <c r="Q1388">
        <v>24</v>
      </c>
      <c r="R1388" t="s">
        <v>213</v>
      </c>
      <c r="S1388" s="2" t="s">
        <v>13</v>
      </c>
      <c r="T1388" s="2">
        <v>5</v>
      </c>
      <c r="U1388" s="2" t="s">
        <v>28</v>
      </c>
      <c r="V1388" s="2" t="s">
        <v>28</v>
      </c>
      <c r="W1388" s="16">
        <v>20</v>
      </c>
      <c r="X1388">
        <v>0.20530000000000001</v>
      </c>
      <c r="Y1388">
        <f t="shared" si="26"/>
        <v>0.171583991742841</v>
      </c>
      <c r="AA1388">
        <v>5.1299999999999998E-2</v>
      </c>
      <c r="AB1388">
        <v>0.35210000000000002</v>
      </c>
    </row>
    <row r="1389" spans="1:28" x14ac:dyDescent="0.2">
      <c r="A1389" t="s">
        <v>204</v>
      </c>
      <c r="B1389">
        <v>2017</v>
      </c>
      <c r="C1389" t="s">
        <v>826</v>
      </c>
      <c r="D1389" t="s">
        <v>824</v>
      </c>
      <c r="E1389" t="s">
        <v>48</v>
      </c>
      <c r="F1389" t="s">
        <v>341</v>
      </c>
      <c r="G1389">
        <v>78.931168999999997</v>
      </c>
      <c r="H1389">
        <v>11.976254000000001</v>
      </c>
      <c r="I1389" t="s">
        <v>17</v>
      </c>
      <c r="J1389" t="s">
        <v>7</v>
      </c>
      <c r="K1389" t="s">
        <v>41</v>
      </c>
      <c r="L1389" t="s">
        <v>3</v>
      </c>
      <c r="M1389" t="s">
        <v>726</v>
      </c>
      <c r="N1389" t="s">
        <v>85</v>
      </c>
      <c r="O1389" s="6" t="s">
        <v>112</v>
      </c>
      <c r="Q1389">
        <v>24</v>
      </c>
      <c r="R1389" t="s">
        <v>213</v>
      </c>
      <c r="S1389" s="2" t="s">
        <v>7</v>
      </c>
      <c r="T1389" s="2">
        <v>5</v>
      </c>
      <c r="U1389" s="2" t="s">
        <v>28</v>
      </c>
      <c r="V1389" s="2" t="s">
        <v>28</v>
      </c>
      <c r="W1389" s="16">
        <v>5</v>
      </c>
      <c r="X1389">
        <v>6.8979999999999997</v>
      </c>
      <c r="Y1389">
        <f t="shared" si="26"/>
        <v>0.85164527816509872</v>
      </c>
      <c r="AA1389">
        <v>6.1509999999999998</v>
      </c>
      <c r="AB1389">
        <v>7.6440000000000001</v>
      </c>
    </row>
    <row r="1390" spans="1:28" x14ac:dyDescent="0.2">
      <c r="A1390" t="s">
        <v>204</v>
      </c>
      <c r="B1390">
        <v>2017</v>
      </c>
      <c r="C1390" t="s">
        <v>826</v>
      </c>
      <c r="D1390" t="s">
        <v>824</v>
      </c>
      <c r="E1390" t="s">
        <v>48</v>
      </c>
      <c r="F1390" t="s">
        <v>341</v>
      </c>
      <c r="G1390">
        <v>78.931168999999997</v>
      </c>
      <c r="H1390">
        <v>11.976254000000001</v>
      </c>
      <c r="I1390" t="s">
        <v>17</v>
      </c>
      <c r="J1390" t="s">
        <v>14</v>
      </c>
      <c r="K1390" t="s">
        <v>41</v>
      </c>
      <c r="L1390" t="s">
        <v>3</v>
      </c>
      <c r="M1390" t="s">
        <v>726</v>
      </c>
      <c r="N1390" t="s">
        <v>85</v>
      </c>
      <c r="O1390" s="6" t="s">
        <v>112</v>
      </c>
      <c r="Q1390">
        <v>24</v>
      </c>
      <c r="R1390" t="s">
        <v>213</v>
      </c>
      <c r="S1390" s="2" t="s">
        <v>9</v>
      </c>
      <c r="T1390" s="2">
        <v>5</v>
      </c>
      <c r="U1390" s="2" t="s">
        <v>28</v>
      </c>
      <c r="V1390" s="2" t="s">
        <v>28</v>
      </c>
      <c r="W1390" s="16">
        <v>10</v>
      </c>
      <c r="X1390">
        <v>4.8360000000000003</v>
      </c>
      <c r="Y1390">
        <f t="shared" si="26"/>
        <v>1.9263269285757121</v>
      </c>
      <c r="AA1390">
        <v>3.0760000000000001</v>
      </c>
      <c r="AB1390">
        <v>6.4530000000000003</v>
      </c>
    </row>
    <row r="1391" spans="1:28" x14ac:dyDescent="0.2">
      <c r="A1391" t="s">
        <v>204</v>
      </c>
      <c r="B1391">
        <v>2017</v>
      </c>
      <c r="C1391" t="s">
        <v>826</v>
      </c>
      <c r="D1391" t="s">
        <v>824</v>
      </c>
      <c r="E1391" t="s">
        <v>48</v>
      </c>
      <c r="F1391" t="s">
        <v>341</v>
      </c>
      <c r="G1391">
        <v>78.931168999999997</v>
      </c>
      <c r="H1391">
        <v>11.976254000000001</v>
      </c>
      <c r="I1391" t="s">
        <v>17</v>
      </c>
      <c r="J1391" t="s">
        <v>14</v>
      </c>
      <c r="K1391" t="s">
        <v>41</v>
      </c>
      <c r="L1391" t="s">
        <v>3</v>
      </c>
      <c r="M1391" t="s">
        <v>726</v>
      </c>
      <c r="N1391" t="s">
        <v>85</v>
      </c>
      <c r="O1391" s="6" t="s">
        <v>112</v>
      </c>
      <c r="Q1391">
        <v>24</v>
      </c>
      <c r="R1391" t="s">
        <v>213</v>
      </c>
      <c r="S1391" s="2" t="s">
        <v>27</v>
      </c>
      <c r="T1391" s="2">
        <v>5</v>
      </c>
      <c r="U1391" s="2" t="s">
        <v>28</v>
      </c>
      <c r="V1391" s="2" t="s">
        <v>28</v>
      </c>
      <c r="W1391" s="16">
        <v>15</v>
      </c>
      <c r="X1391">
        <v>4.3019999999999996</v>
      </c>
      <c r="Y1391">
        <f t="shared" si="26"/>
        <v>0.70960932755350492</v>
      </c>
      <c r="AA1391">
        <v>3.68</v>
      </c>
      <c r="AB1391">
        <v>4.9240000000000004</v>
      </c>
    </row>
    <row r="1392" spans="1:28" x14ac:dyDescent="0.2">
      <c r="A1392" t="s">
        <v>204</v>
      </c>
      <c r="B1392">
        <v>2017</v>
      </c>
      <c r="C1392" t="s">
        <v>826</v>
      </c>
      <c r="D1392" t="s">
        <v>824</v>
      </c>
      <c r="E1392" t="s">
        <v>48</v>
      </c>
      <c r="F1392" t="s">
        <v>341</v>
      </c>
      <c r="G1392">
        <v>78.931168999999997</v>
      </c>
      <c r="H1392">
        <v>11.976254000000001</v>
      </c>
      <c r="I1392" t="s">
        <v>17</v>
      </c>
      <c r="J1392" t="s">
        <v>14</v>
      </c>
      <c r="K1392" t="s">
        <v>41</v>
      </c>
      <c r="L1392" t="s">
        <v>3</v>
      </c>
      <c r="M1392" t="s">
        <v>726</v>
      </c>
      <c r="N1392" t="s">
        <v>85</v>
      </c>
      <c r="O1392" s="6" t="s">
        <v>112</v>
      </c>
      <c r="Q1392">
        <v>24</v>
      </c>
      <c r="R1392" t="s">
        <v>213</v>
      </c>
      <c r="S1392" s="2" t="s">
        <v>13</v>
      </c>
      <c r="T1392" s="2">
        <v>5</v>
      </c>
      <c r="U1392" s="2" t="s">
        <v>28</v>
      </c>
      <c r="V1392" s="2" t="s">
        <v>28</v>
      </c>
      <c r="W1392" s="16">
        <v>20</v>
      </c>
      <c r="X1392">
        <v>1.742</v>
      </c>
      <c r="Y1392">
        <f t="shared" si="26"/>
        <v>1.1151818612275739</v>
      </c>
      <c r="AA1392">
        <v>0.72899999999999998</v>
      </c>
      <c r="AB1392">
        <v>2.6840000000000002</v>
      </c>
    </row>
    <row r="1393" spans="1:28" x14ac:dyDescent="0.2">
      <c r="A1393" t="s">
        <v>204</v>
      </c>
      <c r="B1393">
        <v>2017</v>
      </c>
      <c r="C1393" t="s">
        <v>826</v>
      </c>
      <c r="D1393" t="s">
        <v>824</v>
      </c>
      <c r="E1393" t="s">
        <v>48</v>
      </c>
      <c r="F1393" t="s">
        <v>341</v>
      </c>
      <c r="G1393">
        <v>78.931168999999997</v>
      </c>
      <c r="H1393">
        <v>11.976254000000001</v>
      </c>
      <c r="I1393" t="s">
        <v>17</v>
      </c>
      <c r="J1393" t="s">
        <v>7</v>
      </c>
      <c r="K1393" t="s">
        <v>40</v>
      </c>
      <c r="L1393" t="s">
        <v>3</v>
      </c>
      <c r="M1393" t="s">
        <v>726</v>
      </c>
      <c r="N1393" t="s">
        <v>85</v>
      </c>
      <c r="O1393" s="6" t="s">
        <v>112</v>
      </c>
      <c r="Q1393">
        <v>24</v>
      </c>
      <c r="R1393" t="s">
        <v>213</v>
      </c>
      <c r="S1393" s="2" t="s">
        <v>7</v>
      </c>
      <c r="T1393" s="2">
        <v>5</v>
      </c>
      <c r="U1393" s="2" t="s">
        <v>28</v>
      </c>
      <c r="V1393" s="2" t="s">
        <v>28</v>
      </c>
      <c r="W1393" s="16">
        <v>5</v>
      </c>
      <c r="X1393">
        <v>4.5869999999999997</v>
      </c>
      <c r="Y1393">
        <f t="shared" si="26"/>
        <v>0.51737593254905856</v>
      </c>
      <c r="AA1393">
        <v>4.1239999999999997</v>
      </c>
      <c r="AB1393">
        <v>5.0309999999999997</v>
      </c>
    </row>
    <row r="1394" spans="1:28" x14ac:dyDescent="0.2">
      <c r="A1394" t="s">
        <v>204</v>
      </c>
      <c r="B1394">
        <v>2017</v>
      </c>
      <c r="C1394" t="s">
        <v>826</v>
      </c>
      <c r="D1394" t="s">
        <v>824</v>
      </c>
      <c r="E1394" t="s">
        <v>48</v>
      </c>
      <c r="F1394" t="s">
        <v>341</v>
      </c>
      <c r="G1394">
        <v>78.931168999999997</v>
      </c>
      <c r="H1394">
        <v>11.976254000000001</v>
      </c>
      <c r="I1394" t="s">
        <v>17</v>
      </c>
      <c r="J1394" t="s">
        <v>14</v>
      </c>
      <c r="K1394" t="s">
        <v>40</v>
      </c>
      <c r="L1394" t="s">
        <v>3</v>
      </c>
      <c r="M1394" t="s">
        <v>726</v>
      </c>
      <c r="N1394" t="s">
        <v>85</v>
      </c>
      <c r="O1394" s="6" t="s">
        <v>112</v>
      </c>
      <c r="Q1394">
        <v>24</v>
      </c>
      <c r="R1394" t="s">
        <v>213</v>
      </c>
      <c r="S1394" s="2" t="s">
        <v>9</v>
      </c>
      <c r="T1394" s="2">
        <v>5</v>
      </c>
      <c r="U1394" s="2" t="s">
        <v>28</v>
      </c>
      <c r="V1394" s="2" t="s">
        <v>28</v>
      </c>
      <c r="W1394" s="16">
        <v>10</v>
      </c>
      <c r="X1394">
        <v>5.7779999999999996</v>
      </c>
      <c r="Y1394">
        <f t="shared" si="26"/>
        <v>2.1801662780622952</v>
      </c>
      <c r="AA1394">
        <v>3.8220000000000001</v>
      </c>
      <c r="AB1394">
        <v>7.6440000000000001</v>
      </c>
    </row>
    <row r="1395" spans="1:28" x14ac:dyDescent="0.2">
      <c r="A1395" t="s">
        <v>204</v>
      </c>
      <c r="B1395">
        <v>2017</v>
      </c>
      <c r="C1395" t="s">
        <v>826</v>
      </c>
      <c r="D1395" t="s">
        <v>824</v>
      </c>
      <c r="E1395" t="s">
        <v>48</v>
      </c>
      <c r="F1395" t="s">
        <v>341</v>
      </c>
      <c r="G1395">
        <v>78.931168999999997</v>
      </c>
      <c r="H1395">
        <v>11.976254000000001</v>
      </c>
      <c r="I1395" t="s">
        <v>17</v>
      </c>
      <c r="J1395" t="s">
        <v>14</v>
      </c>
      <c r="K1395" t="s">
        <v>40</v>
      </c>
      <c r="L1395" t="s">
        <v>3</v>
      </c>
      <c r="M1395" t="s">
        <v>726</v>
      </c>
      <c r="N1395" t="s">
        <v>85</v>
      </c>
      <c r="O1395" s="6" t="s">
        <v>112</v>
      </c>
      <c r="Q1395">
        <v>24</v>
      </c>
      <c r="R1395" t="s">
        <v>213</v>
      </c>
      <c r="S1395" s="2" t="s">
        <v>27</v>
      </c>
      <c r="T1395" s="2">
        <v>5</v>
      </c>
      <c r="U1395" s="2" t="s">
        <v>28</v>
      </c>
      <c r="V1395" s="2" t="s">
        <v>28</v>
      </c>
      <c r="W1395" s="16">
        <v>15</v>
      </c>
      <c r="X1395">
        <v>4.1420000000000003</v>
      </c>
      <c r="Y1395">
        <f t="shared" si="26"/>
        <v>0.78091251561153352</v>
      </c>
      <c r="AA1395">
        <v>3.3780000000000001</v>
      </c>
      <c r="AB1395">
        <v>4.7469999999999999</v>
      </c>
    </row>
    <row r="1396" spans="1:28" x14ac:dyDescent="0.2">
      <c r="A1396" t="s">
        <v>204</v>
      </c>
      <c r="B1396">
        <v>2017</v>
      </c>
      <c r="C1396" t="s">
        <v>826</v>
      </c>
      <c r="D1396" t="s">
        <v>824</v>
      </c>
      <c r="E1396" t="s">
        <v>48</v>
      </c>
      <c r="F1396" t="s">
        <v>341</v>
      </c>
      <c r="G1396">
        <v>78.931168999999997</v>
      </c>
      <c r="H1396">
        <v>11.976254000000001</v>
      </c>
      <c r="I1396" t="s">
        <v>17</v>
      </c>
      <c r="J1396" t="s">
        <v>14</v>
      </c>
      <c r="K1396" t="s">
        <v>40</v>
      </c>
      <c r="L1396" t="s">
        <v>3</v>
      </c>
      <c r="M1396" t="s">
        <v>726</v>
      </c>
      <c r="N1396" t="s">
        <v>85</v>
      </c>
      <c r="O1396" s="6" t="s">
        <v>112</v>
      </c>
      <c r="Q1396">
        <v>24</v>
      </c>
      <c r="R1396" t="s">
        <v>213</v>
      </c>
      <c r="S1396" s="2" t="s">
        <v>13</v>
      </c>
      <c r="T1396" s="2">
        <v>5</v>
      </c>
      <c r="U1396" s="2" t="s">
        <v>28</v>
      </c>
      <c r="V1396" s="2" t="s">
        <v>28</v>
      </c>
      <c r="W1396" s="16">
        <v>20</v>
      </c>
      <c r="X1396">
        <v>1.9730000000000001</v>
      </c>
      <c r="Y1396">
        <f t="shared" si="26"/>
        <v>2.241201807039968</v>
      </c>
      <c r="AA1396">
        <v>0.14199999999999999</v>
      </c>
      <c r="AB1396">
        <v>4.0709999999999997</v>
      </c>
    </row>
    <row r="1397" spans="1:28" x14ac:dyDescent="0.2">
      <c r="A1397" t="s">
        <v>204</v>
      </c>
      <c r="B1397">
        <v>2017</v>
      </c>
      <c r="C1397" t="s">
        <v>826</v>
      </c>
      <c r="D1397" t="s">
        <v>824</v>
      </c>
      <c r="E1397" t="s">
        <v>48</v>
      </c>
      <c r="F1397" t="s">
        <v>341</v>
      </c>
      <c r="G1397">
        <v>78.931168999999997</v>
      </c>
      <c r="H1397">
        <v>11.976254000000001</v>
      </c>
      <c r="I1397" t="s">
        <v>17</v>
      </c>
      <c r="J1397" t="s">
        <v>7</v>
      </c>
      <c r="K1397" t="s">
        <v>41</v>
      </c>
      <c r="L1397" t="s">
        <v>3</v>
      </c>
      <c r="M1397" t="s">
        <v>726</v>
      </c>
      <c r="N1397" t="s">
        <v>85</v>
      </c>
      <c r="O1397" s="6" t="s">
        <v>58</v>
      </c>
      <c r="Q1397">
        <v>24</v>
      </c>
      <c r="R1397" t="s">
        <v>213</v>
      </c>
      <c r="S1397" s="2" t="s">
        <v>7</v>
      </c>
      <c r="T1397" s="2">
        <v>5</v>
      </c>
      <c r="U1397" s="2" t="s">
        <v>28</v>
      </c>
      <c r="V1397" s="2" t="s">
        <v>28</v>
      </c>
      <c r="W1397" s="16">
        <v>5</v>
      </c>
      <c r="X1397">
        <v>0.11609999999999999</v>
      </c>
      <c r="Y1397">
        <f t="shared" si="26"/>
        <v>9.6972335758919465E-3</v>
      </c>
      <c r="AA1397">
        <v>0.1076</v>
      </c>
      <c r="AB1397">
        <v>0.1246</v>
      </c>
    </row>
    <row r="1398" spans="1:28" x14ac:dyDescent="0.2">
      <c r="A1398" t="s">
        <v>204</v>
      </c>
      <c r="B1398">
        <v>2017</v>
      </c>
      <c r="C1398" t="s">
        <v>826</v>
      </c>
      <c r="D1398" t="s">
        <v>824</v>
      </c>
      <c r="E1398" t="s">
        <v>48</v>
      </c>
      <c r="F1398" t="s">
        <v>341</v>
      </c>
      <c r="G1398">
        <v>78.931168999999997</v>
      </c>
      <c r="H1398">
        <v>11.976254000000001</v>
      </c>
      <c r="I1398" t="s">
        <v>17</v>
      </c>
      <c r="J1398" t="s">
        <v>14</v>
      </c>
      <c r="K1398" t="s">
        <v>41</v>
      </c>
      <c r="L1398" t="s">
        <v>3</v>
      </c>
      <c r="M1398" t="s">
        <v>726</v>
      </c>
      <c r="N1398" t="s">
        <v>85</v>
      </c>
      <c r="O1398" s="6" t="s">
        <v>58</v>
      </c>
      <c r="Q1398">
        <v>24</v>
      </c>
      <c r="R1398" t="s">
        <v>213</v>
      </c>
      <c r="S1398" s="2" t="s">
        <v>9</v>
      </c>
      <c r="T1398" s="2">
        <v>5</v>
      </c>
      <c r="U1398" s="2" t="s">
        <v>28</v>
      </c>
      <c r="V1398" s="2" t="s">
        <v>28</v>
      </c>
      <c r="W1398" s="16">
        <v>10</v>
      </c>
      <c r="X1398">
        <v>0.12809999999999999</v>
      </c>
      <c r="Y1398">
        <f t="shared" si="26"/>
        <v>8.3852549156242136E-3</v>
      </c>
      <c r="AA1398">
        <v>0.1201</v>
      </c>
      <c r="AB1398">
        <v>0.1348</v>
      </c>
    </row>
    <row r="1399" spans="1:28" x14ac:dyDescent="0.2">
      <c r="A1399" t="s">
        <v>204</v>
      </c>
      <c r="B1399">
        <v>2017</v>
      </c>
      <c r="C1399" t="s">
        <v>826</v>
      </c>
      <c r="D1399" t="s">
        <v>824</v>
      </c>
      <c r="E1399" t="s">
        <v>48</v>
      </c>
      <c r="F1399" t="s">
        <v>341</v>
      </c>
      <c r="G1399">
        <v>78.931168999999997</v>
      </c>
      <c r="H1399">
        <v>11.976254000000001</v>
      </c>
      <c r="I1399" t="s">
        <v>17</v>
      </c>
      <c r="J1399" t="s">
        <v>14</v>
      </c>
      <c r="K1399" t="s">
        <v>41</v>
      </c>
      <c r="L1399" t="s">
        <v>3</v>
      </c>
      <c r="M1399" t="s">
        <v>726</v>
      </c>
      <c r="N1399" t="s">
        <v>85</v>
      </c>
      <c r="O1399" s="6" t="s">
        <v>58</v>
      </c>
      <c r="Q1399">
        <v>24</v>
      </c>
      <c r="R1399" t="s">
        <v>213</v>
      </c>
      <c r="S1399" s="2" t="s">
        <v>27</v>
      </c>
      <c r="T1399" s="2">
        <v>5</v>
      </c>
      <c r="U1399" s="2" t="s">
        <v>28</v>
      </c>
      <c r="V1399" s="2" t="s">
        <v>28</v>
      </c>
      <c r="W1399" s="16">
        <v>15</v>
      </c>
      <c r="X1399">
        <v>0.1411</v>
      </c>
      <c r="Y1399">
        <f t="shared" si="26"/>
        <v>1.2207105795534568E-2</v>
      </c>
      <c r="AA1399">
        <v>0.13039999999999999</v>
      </c>
      <c r="AB1399">
        <v>0.15179999999999999</v>
      </c>
    </row>
    <row r="1400" spans="1:28" x14ac:dyDescent="0.2">
      <c r="A1400" t="s">
        <v>204</v>
      </c>
      <c r="B1400">
        <v>2017</v>
      </c>
      <c r="C1400" t="s">
        <v>826</v>
      </c>
      <c r="D1400" t="s">
        <v>824</v>
      </c>
      <c r="E1400" t="s">
        <v>48</v>
      </c>
      <c r="F1400" t="s">
        <v>341</v>
      </c>
      <c r="G1400">
        <v>78.931168999999997</v>
      </c>
      <c r="H1400">
        <v>11.976254000000001</v>
      </c>
      <c r="I1400" t="s">
        <v>17</v>
      </c>
      <c r="J1400" t="s">
        <v>14</v>
      </c>
      <c r="K1400" t="s">
        <v>41</v>
      </c>
      <c r="L1400" t="s">
        <v>3</v>
      </c>
      <c r="M1400" t="s">
        <v>726</v>
      </c>
      <c r="N1400" t="s">
        <v>85</v>
      </c>
      <c r="O1400" s="6" t="s">
        <v>58</v>
      </c>
      <c r="Q1400">
        <v>24</v>
      </c>
      <c r="R1400" t="s">
        <v>213</v>
      </c>
      <c r="S1400" s="2" t="s">
        <v>13</v>
      </c>
      <c r="T1400" s="2">
        <v>5</v>
      </c>
      <c r="U1400" s="2" t="s">
        <v>28</v>
      </c>
      <c r="V1400" s="2" t="s">
        <v>28</v>
      </c>
      <c r="W1400" s="16">
        <v>20</v>
      </c>
      <c r="X1400">
        <v>8.1199999999999994E-2</v>
      </c>
      <c r="Y1400">
        <f t="shared" si="26"/>
        <v>4.6318550962495646E-2</v>
      </c>
      <c r="AA1400">
        <v>3.9300000000000002E-2</v>
      </c>
      <c r="AB1400">
        <v>0.1205</v>
      </c>
    </row>
    <row r="1401" spans="1:28" x14ac:dyDescent="0.2">
      <c r="A1401" t="s">
        <v>204</v>
      </c>
      <c r="B1401">
        <v>2017</v>
      </c>
      <c r="C1401" t="s">
        <v>826</v>
      </c>
      <c r="D1401" t="s">
        <v>824</v>
      </c>
      <c r="E1401" t="s">
        <v>48</v>
      </c>
      <c r="F1401" t="s">
        <v>341</v>
      </c>
      <c r="G1401">
        <v>78.931168999999997</v>
      </c>
      <c r="H1401">
        <v>11.976254000000001</v>
      </c>
      <c r="I1401" t="s">
        <v>17</v>
      </c>
      <c r="J1401" t="s">
        <v>7</v>
      </c>
      <c r="K1401" t="s">
        <v>40</v>
      </c>
      <c r="L1401" t="s">
        <v>3</v>
      </c>
      <c r="M1401" t="s">
        <v>726</v>
      </c>
      <c r="N1401" t="s">
        <v>85</v>
      </c>
      <c r="O1401" s="6" t="s">
        <v>58</v>
      </c>
      <c r="Q1401">
        <v>24</v>
      </c>
      <c r="R1401" t="s">
        <v>213</v>
      </c>
      <c r="S1401" s="2" t="s">
        <v>7</v>
      </c>
      <c r="T1401" s="2">
        <v>5</v>
      </c>
      <c r="U1401" s="2" t="s">
        <v>28</v>
      </c>
      <c r="V1401" s="2" t="s">
        <v>28</v>
      </c>
      <c r="W1401" s="16">
        <v>5</v>
      </c>
      <c r="X1401">
        <v>0.14199999999999999</v>
      </c>
      <c r="Y1401">
        <f t="shared" ref="Y1401:Y1420" si="27">SQRT(T1401) * (AB1401-AA1401)/3.92</f>
        <v>7.6437017598207074E-3</v>
      </c>
      <c r="AA1401">
        <v>0.13439999999999999</v>
      </c>
      <c r="AB1401">
        <v>0.14779999999999999</v>
      </c>
    </row>
    <row r="1402" spans="1:28" x14ac:dyDescent="0.2">
      <c r="A1402" t="s">
        <v>204</v>
      </c>
      <c r="B1402">
        <v>2017</v>
      </c>
      <c r="C1402" t="s">
        <v>826</v>
      </c>
      <c r="D1402" t="s">
        <v>824</v>
      </c>
      <c r="E1402" t="s">
        <v>48</v>
      </c>
      <c r="F1402" t="s">
        <v>341</v>
      </c>
      <c r="G1402">
        <v>78.931168999999997</v>
      </c>
      <c r="H1402">
        <v>11.976254000000001</v>
      </c>
      <c r="I1402" t="s">
        <v>17</v>
      </c>
      <c r="J1402" t="s">
        <v>14</v>
      </c>
      <c r="K1402" t="s">
        <v>40</v>
      </c>
      <c r="L1402" t="s">
        <v>3</v>
      </c>
      <c r="M1402" t="s">
        <v>726</v>
      </c>
      <c r="N1402" t="s">
        <v>85</v>
      </c>
      <c r="O1402" s="6" t="s">
        <v>58</v>
      </c>
      <c r="Q1402">
        <v>24</v>
      </c>
      <c r="R1402" t="s">
        <v>213</v>
      </c>
      <c r="S1402" s="2" t="s">
        <v>9</v>
      </c>
      <c r="T1402" s="2">
        <v>5</v>
      </c>
      <c r="U1402" s="2" t="s">
        <v>28</v>
      </c>
      <c r="V1402" s="2" t="s">
        <v>28</v>
      </c>
      <c r="W1402" s="16">
        <v>10</v>
      </c>
      <c r="X1402">
        <v>0.1638</v>
      </c>
      <c r="Y1402">
        <f t="shared" si="27"/>
        <v>1.0666956933481136E-2</v>
      </c>
      <c r="AA1402">
        <v>0.1545</v>
      </c>
      <c r="AB1402">
        <v>0.17319999999999999</v>
      </c>
    </row>
    <row r="1403" spans="1:28" x14ac:dyDescent="0.2">
      <c r="A1403" t="s">
        <v>204</v>
      </c>
      <c r="B1403">
        <v>2017</v>
      </c>
      <c r="C1403" t="s">
        <v>826</v>
      </c>
      <c r="D1403" t="s">
        <v>824</v>
      </c>
      <c r="E1403" t="s">
        <v>48</v>
      </c>
      <c r="F1403" t="s">
        <v>341</v>
      </c>
      <c r="G1403">
        <v>78.931168999999997</v>
      </c>
      <c r="H1403">
        <v>11.976254000000001</v>
      </c>
      <c r="I1403" t="s">
        <v>17</v>
      </c>
      <c r="J1403" t="s">
        <v>14</v>
      </c>
      <c r="K1403" t="s">
        <v>40</v>
      </c>
      <c r="L1403" t="s">
        <v>3</v>
      </c>
      <c r="M1403" t="s">
        <v>726</v>
      </c>
      <c r="N1403" t="s">
        <v>85</v>
      </c>
      <c r="O1403" s="6" t="s">
        <v>58</v>
      </c>
      <c r="Q1403">
        <v>24</v>
      </c>
      <c r="R1403" t="s">
        <v>213</v>
      </c>
      <c r="S1403" s="2" t="s">
        <v>27</v>
      </c>
      <c r="T1403" s="2">
        <v>5</v>
      </c>
      <c r="U1403" s="2" t="s">
        <v>28</v>
      </c>
      <c r="V1403" s="2" t="s">
        <v>28</v>
      </c>
      <c r="W1403" s="16">
        <v>15</v>
      </c>
      <c r="X1403">
        <v>0.1522</v>
      </c>
      <c r="Y1403">
        <f t="shared" si="27"/>
        <v>1.2207105795534568E-2</v>
      </c>
      <c r="AA1403">
        <v>0.14199999999999999</v>
      </c>
      <c r="AB1403">
        <v>0.16339999999999999</v>
      </c>
    </row>
    <row r="1404" spans="1:28" x14ac:dyDescent="0.2">
      <c r="A1404" t="s">
        <v>204</v>
      </c>
      <c r="B1404">
        <v>2017</v>
      </c>
      <c r="C1404" t="s">
        <v>826</v>
      </c>
      <c r="D1404" t="s">
        <v>824</v>
      </c>
      <c r="E1404" t="s">
        <v>48</v>
      </c>
      <c r="F1404" t="s">
        <v>341</v>
      </c>
      <c r="G1404">
        <v>78.931168999999997</v>
      </c>
      <c r="H1404">
        <v>11.976254000000001</v>
      </c>
      <c r="I1404" t="s">
        <v>17</v>
      </c>
      <c r="J1404" t="s">
        <v>14</v>
      </c>
      <c r="K1404" t="s">
        <v>40</v>
      </c>
      <c r="L1404" t="s">
        <v>3</v>
      </c>
      <c r="M1404" t="s">
        <v>726</v>
      </c>
      <c r="N1404" t="s">
        <v>85</v>
      </c>
      <c r="O1404" s="6" t="s">
        <v>58</v>
      </c>
      <c r="Q1404">
        <v>24</v>
      </c>
      <c r="R1404" t="s">
        <v>213</v>
      </c>
      <c r="S1404" s="2" t="s">
        <v>13</v>
      </c>
      <c r="T1404" s="2">
        <v>5</v>
      </c>
      <c r="U1404" s="2" t="s">
        <v>28</v>
      </c>
      <c r="V1404" s="2" t="s">
        <v>28</v>
      </c>
      <c r="W1404" s="16">
        <v>20</v>
      </c>
      <c r="X1404">
        <v>6.3799999999999996E-2</v>
      </c>
      <c r="Y1404">
        <f t="shared" si="27"/>
        <v>4.4322061696870842E-2</v>
      </c>
      <c r="AA1404">
        <v>2.41E-2</v>
      </c>
      <c r="AB1404">
        <v>0.1018</v>
      </c>
    </row>
    <row r="1405" spans="1:28" x14ac:dyDescent="0.2">
      <c r="A1405" t="s">
        <v>204</v>
      </c>
      <c r="B1405">
        <v>2017</v>
      </c>
      <c r="C1405" t="s">
        <v>826</v>
      </c>
      <c r="D1405" t="s">
        <v>824</v>
      </c>
      <c r="E1405" t="s">
        <v>48</v>
      </c>
      <c r="F1405" t="s">
        <v>341</v>
      </c>
      <c r="G1405">
        <v>78.931168999999997</v>
      </c>
      <c r="H1405">
        <v>11.976254000000001</v>
      </c>
      <c r="I1405" t="s">
        <v>17</v>
      </c>
      <c r="J1405" t="s">
        <v>7</v>
      </c>
      <c r="K1405" t="s">
        <v>41</v>
      </c>
      <c r="L1405" t="s">
        <v>3</v>
      </c>
      <c r="M1405" t="s">
        <v>726</v>
      </c>
      <c r="N1405" t="s">
        <v>85</v>
      </c>
      <c r="O1405" s="6" t="s">
        <v>196</v>
      </c>
      <c r="Q1405">
        <v>24</v>
      </c>
      <c r="R1405" t="s">
        <v>213</v>
      </c>
      <c r="S1405" s="2" t="s">
        <v>7</v>
      </c>
      <c r="T1405" s="2">
        <v>5</v>
      </c>
      <c r="U1405" s="2" t="s">
        <v>28</v>
      </c>
      <c r="V1405" s="2" t="s">
        <v>28</v>
      </c>
      <c r="W1405" s="16">
        <v>5</v>
      </c>
      <c r="X1405">
        <v>59.91</v>
      </c>
      <c r="Y1405">
        <f t="shared" si="27"/>
        <v>8.0658166331242374</v>
      </c>
      <c r="AA1405">
        <v>52.49</v>
      </c>
      <c r="AB1405">
        <v>66.63</v>
      </c>
    </row>
    <row r="1406" spans="1:28" x14ac:dyDescent="0.2">
      <c r="A1406" t="s">
        <v>204</v>
      </c>
      <c r="B1406">
        <v>2017</v>
      </c>
      <c r="C1406" t="s">
        <v>826</v>
      </c>
      <c r="D1406" t="s">
        <v>824</v>
      </c>
      <c r="E1406" t="s">
        <v>48</v>
      </c>
      <c r="F1406" t="s">
        <v>341</v>
      </c>
      <c r="G1406">
        <v>78.931168999999997</v>
      </c>
      <c r="H1406">
        <v>11.976254000000001</v>
      </c>
      <c r="I1406" t="s">
        <v>17</v>
      </c>
      <c r="J1406" t="s">
        <v>14</v>
      </c>
      <c r="K1406" t="s">
        <v>41</v>
      </c>
      <c r="L1406" t="s">
        <v>3</v>
      </c>
      <c r="M1406" t="s">
        <v>726</v>
      </c>
      <c r="N1406" t="s">
        <v>85</v>
      </c>
      <c r="O1406" s="6" t="s">
        <v>196</v>
      </c>
      <c r="Q1406">
        <v>24</v>
      </c>
      <c r="R1406" t="s">
        <v>213</v>
      </c>
      <c r="S1406" s="2" t="s">
        <v>9</v>
      </c>
      <c r="T1406" s="2">
        <v>5</v>
      </c>
      <c r="U1406" s="2" t="s">
        <v>28</v>
      </c>
      <c r="V1406" s="2" t="s">
        <v>28</v>
      </c>
      <c r="W1406" s="16">
        <v>10</v>
      </c>
      <c r="X1406">
        <v>38.35</v>
      </c>
      <c r="Y1406">
        <f t="shared" si="27"/>
        <v>18.247911887810783</v>
      </c>
      <c r="AA1406">
        <v>22.27</v>
      </c>
      <c r="AB1406">
        <v>54.26</v>
      </c>
    </row>
    <row r="1407" spans="1:28" x14ac:dyDescent="0.2">
      <c r="A1407" t="s">
        <v>204</v>
      </c>
      <c r="B1407">
        <v>2017</v>
      </c>
      <c r="C1407" t="s">
        <v>826</v>
      </c>
      <c r="D1407" t="s">
        <v>824</v>
      </c>
      <c r="E1407" t="s">
        <v>48</v>
      </c>
      <c r="F1407" t="s">
        <v>341</v>
      </c>
      <c r="G1407">
        <v>78.931168999999997</v>
      </c>
      <c r="H1407">
        <v>11.976254000000001</v>
      </c>
      <c r="I1407" t="s">
        <v>17</v>
      </c>
      <c r="J1407" t="s">
        <v>14</v>
      </c>
      <c r="K1407" t="s">
        <v>41</v>
      </c>
      <c r="L1407" t="s">
        <v>3</v>
      </c>
      <c r="M1407" t="s">
        <v>726</v>
      </c>
      <c r="N1407" t="s">
        <v>85</v>
      </c>
      <c r="O1407" s="6" t="s">
        <v>196</v>
      </c>
      <c r="Q1407">
        <v>24</v>
      </c>
      <c r="R1407" t="s">
        <v>213</v>
      </c>
      <c r="S1407" s="2" t="s">
        <v>27</v>
      </c>
      <c r="T1407" s="2">
        <v>5</v>
      </c>
      <c r="U1407" s="2" t="s">
        <v>28</v>
      </c>
      <c r="V1407" s="2" t="s">
        <v>28</v>
      </c>
      <c r="W1407" s="16">
        <v>15</v>
      </c>
      <c r="X1407">
        <v>30.22</v>
      </c>
      <c r="Y1407">
        <f t="shared" si="27"/>
        <v>3.0232551736604285</v>
      </c>
      <c r="AA1407">
        <v>27.57</v>
      </c>
      <c r="AB1407">
        <v>32.869999999999997</v>
      </c>
    </row>
    <row r="1408" spans="1:28" x14ac:dyDescent="0.2">
      <c r="A1408" t="s">
        <v>204</v>
      </c>
      <c r="B1408">
        <v>2017</v>
      </c>
      <c r="C1408" t="s">
        <v>826</v>
      </c>
      <c r="D1408" t="s">
        <v>824</v>
      </c>
      <c r="E1408" t="s">
        <v>48</v>
      </c>
      <c r="F1408" t="s">
        <v>341</v>
      </c>
      <c r="G1408">
        <v>78.931168999999997</v>
      </c>
      <c r="H1408">
        <v>11.976254000000001</v>
      </c>
      <c r="I1408" t="s">
        <v>17</v>
      </c>
      <c r="J1408" t="s">
        <v>14</v>
      </c>
      <c r="K1408" t="s">
        <v>41</v>
      </c>
      <c r="L1408" t="s">
        <v>3</v>
      </c>
      <c r="M1408" t="s">
        <v>726</v>
      </c>
      <c r="N1408" t="s">
        <v>85</v>
      </c>
      <c r="O1408" s="6" t="s">
        <v>196</v>
      </c>
      <c r="Q1408">
        <v>24</v>
      </c>
      <c r="R1408" t="s">
        <v>213</v>
      </c>
      <c r="S1408" s="2" t="s">
        <v>13</v>
      </c>
      <c r="T1408" s="2">
        <v>5</v>
      </c>
      <c r="U1408" s="2" t="s">
        <v>28</v>
      </c>
      <c r="V1408" s="2" t="s">
        <v>28</v>
      </c>
      <c r="W1408" s="16">
        <v>20</v>
      </c>
      <c r="X1408">
        <v>21.03</v>
      </c>
      <c r="Y1408">
        <f t="shared" si="27"/>
        <v>7.8661677065617601</v>
      </c>
      <c r="AA1408" s="2">
        <v>13.96</v>
      </c>
      <c r="AB1408">
        <v>27.75</v>
      </c>
    </row>
    <row r="1409" spans="1:28" x14ac:dyDescent="0.2">
      <c r="A1409" t="s">
        <v>204</v>
      </c>
      <c r="B1409">
        <v>2017</v>
      </c>
      <c r="C1409" t="s">
        <v>826</v>
      </c>
      <c r="D1409" t="s">
        <v>824</v>
      </c>
      <c r="E1409" t="s">
        <v>48</v>
      </c>
      <c r="F1409" t="s">
        <v>341</v>
      </c>
      <c r="G1409">
        <v>78.931168999999997</v>
      </c>
      <c r="H1409">
        <v>11.976254000000001</v>
      </c>
      <c r="I1409" t="s">
        <v>17</v>
      </c>
      <c r="J1409" t="s">
        <v>7</v>
      </c>
      <c r="K1409" t="s">
        <v>40</v>
      </c>
      <c r="L1409" t="s">
        <v>3</v>
      </c>
      <c r="M1409" t="s">
        <v>726</v>
      </c>
      <c r="N1409" t="s">
        <v>85</v>
      </c>
      <c r="O1409" s="6" t="s">
        <v>196</v>
      </c>
      <c r="Q1409">
        <v>24</v>
      </c>
      <c r="R1409" t="s">
        <v>213</v>
      </c>
      <c r="S1409" s="2" t="s">
        <v>7</v>
      </c>
      <c r="T1409" s="2">
        <v>5</v>
      </c>
      <c r="U1409" s="2" t="s">
        <v>28</v>
      </c>
      <c r="V1409" s="2" t="s">
        <v>28</v>
      </c>
      <c r="W1409" s="16">
        <v>5</v>
      </c>
      <c r="X1409">
        <v>32.869999999999997</v>
      </c>
      <c r="Y1409">
        <f t="shared" si="27"/>
        <v>5.3448869768298533</v>
      </c>
      <c r="AA1409">
        <v>28.1</v>
      </c>
      <c r="AB1409">
        <v>37.47</v>
      </c>
    </row>
    <row r="1410" spans="1:28" x14ac:dyDescent="0.2">
      <c r="A1410" t="s">
        <v>204</v>
      </c>
      <c r="B1410">
        <v>2017</v>
      </c>
      <c r="C1410" t="s">
        <v>826</v>
      </c>
      <c r="D1410" t="s">
        <v>824</v>
      </c>
      <c r="E1410" t="s">
        <v>48</v>
      </c>
      <c r="F1410" t="s">
        <v>341</v>
      </c>
      <c r="G1410">
        <v>78.931168999999997</v>
      </c>
      <c r="H1410">
        <v>11.976254000000001</v>
      </c>
      <c r="I1410" t="s">
        <v>17</v>
      </c>
      <c r="J1410" t="s">
        <v>14</v>
      </c>
      <c r="K1410" t="s">
        <v>40</v>
      </c>
      <c r="L1410" t="s">
        <v>3</v>
      </c>
      <c r="M1410" t="s">
        <v>726</v>
      </c>
      <c r="N1410" t="s">
        <v>85</v>
      </c>
      <c r="O1410" s="6" t="s">
        <v>196</v>
      </c>
      <c r="Q1410">
        <v>24</v>
      </c>
      <c r="R1410" t="s">
        <v>213</v>
      </c>
      <c r="S1410" s="2" t="s">
        <v>9</v>
      </c>
      <c r="T1410" s="2">
        <v>5</v>
      </c>
      <c r="U1410" s="2" t="s">
        <v>28</v>
      </c>
      <c r="V1410" s="2" t="s">
        <v>28</v>
      </c>
      <c r="W1410" s="16">
        <v>10</v>
      </c>
      <c r="X1410">
        <v>36.229999999999997</v>
      </c>
      <c r="Y1410">
        <f t="shared" si="27"/>
        <v>16.833256636739488</v>
      </c>
      <c r="AA1410">
        <v>21.03</v>
      </c>
      <c r="AB1410">
        <v>50.54</v>
      </c>
    </row>
    <row r="1411" spans="1:28" x14ac:dyDescent="0.2">
      <c r="A1411" t="s">
        <v>204</v>
      </c>
      <c r="B1411">
        <v>2017</v>
      </c>
      <c r="C1411" t="s">
        <v>826</v>
      </c>
      <c r="D1411" t="s">
        <v>824</v>
      </c>
      <c r="E1411" t="s">
        <v>48</v>
      </c>
      <c r="F1411" t="s">
        <v>341</v>
      </c>
      <c r="G1411">
        <v>78.931168999999997</v>
      </c>
      <c r="H1411">
        <v>11.976254000000001</v>
      </c>
      <c r="I1411" t="s">
        <v>17</v>
      </c>
      <c r="J1411" t="s">
        <v>14</v>
      </c>
      <c r="K1411" t="s">
        <v>40</v>
      </c>
      <c r="L1411" t="s">
        <v>3</v>
      </c>
      <c r="M1411" t="s">
        <v>726</v>
      </c>
      <c r="N1411" t="s">
        <v>85</v>
      </c>
      <c r="O1411" s="6" t="s">
        <v>196</v>
      </c>
      <c r="Q1411">
        <v>24</v>
      </c>
      <c r="R1411" t="s">
        <v>213</v>
      </c>
      <c r="S1411" s="2" t="s">
        <v>27</v>
      </c>
      <c r="T1411" s="2">
        <v>5</v>
      </c>
      <c r="U1411" s="2" t="s">
        <v>28</v>
      </c>
      <c r="V1411" s="2" t="s">
        <v>28</v>
      </c>
      <c r="W1411" s="16">
        <v>15</v>
      </c>
      <c r="X1411">
        <v>27.39</v>
      </c>
      <c r="Y1411">
        <f t="shared" si="27"/>
        <v>6.8565145636600695</v>
      </c>
      <c r="AA1411">
        <v>21.38</v>
      </c>
      <c r="AB1411">
        <v>33.4</v>
      </c>
    </row>
    <row r="1412" spans="1:28" x14ac:dyDescent="0.2">
      <c r="A1412" t="s">
        <v>204</v>
      </c>
      <c r="B1412">
        <v>2017</v>
      </c>
      <c r="C1412" t="s">
        <v>826</v>
      </c>
      <c r="D1412" t="s">
        <v>824</v>
      </c>
      <c r="E1412" t="s">
        <v>48</v>
      </c>
      <c r="F1412" t="s">
        <v>341</v>
      </c>
      <c r="G1412">
        <v>78.931168999999997</v>
      </c>
      <c r="H1412">
        <v>11.976254000000001</v>
      </c>
      <c r="I1412" t="s">
        <v>17</v>
      </c>
      <c r="J1412" t="s">
        <v>14</v>
      </c>
      <c r="K1412" t="s">
        <v>40</v>
      </c>
      <c r="L1412" t="s">
        <v>3</v>
      </c>
      <c r="M1412" t="s">
        <v>726</v>
      </c>
      <c r="N1412" t="s">
        <v>85</v>
      </c>
      <c r="O1412" s="6" t="s">
        <v>196</v>
      </c>
      <c r="Q1412">
        <v>24</v>
      </c>
      <c r="R1412" t="s">
        <v>213</v>
      </c>
      <c r="S1412" s="2" t="s">
        <v>13</v>
      </c>
      <c r="T1412" s="2">
        <v>5</v>
      </c>
      <c r="U1412" s="2" t="s">
        <v>28</v>
      </c>
      <c r="V1412" s="2" t="s">
        <v>28</v>
      </c>
      <c r="W1412" s="16">
        <v>20</v>
      </c>
      <c r="X1412">
        <v>25.27</v>
      </c>
      <c r="Y1412">
        <f t="shared" si="27"/>
        <v>18.242207632766146</v>
      </c>
      <c r="AA1412">
        <v>9.3699999999999992</v>
      </c>
      <c r="AB1412">
        <v>41.35</v>
      </c>
    </row>
    <row r="1413" spans="1:28" x14ac:dyDescent="0.2">
      <c r="A1413" t="s">
        <v>204</v>
      </c>
      <c r="B1413">
        <v>2017</v>
      </c>
      <c r="C1413" t="s">
        <v>826</v>
      </c>
      <c r="D1413" t="s">
        <v>824</v>
      </c>
      <c r="E1413" t="s">
        <v>48</v>
      </c>
      <c r="F1413" t="s">
        <v>341</v>
      </c>
      <c r="G1413">
        <v>78.931168999999997</v>
      </c>
      <c r="H1413">
        <v>11.976254000000001</v>
      </c>
      <c r="I1413" t="s">
        <v>17</v>
      </c>
      <c r="J1413" t="s">
        <v>7</v>
      </c>
      <c r="K1413" t="s">
        <v>41</v>
      </c>
      <c r="L1413" t="s">
        <v>3</v>
      </c>
      <c r="M1413" t="s">
        <v>726</v>
      </c>
      <c r="N1413" t="s">
        <v>85</v>
      </c>
      <c r="O1413" s="6" t="s">
        <v>208</v>
      </c>
      <c r="Q1413">
        <v>24</v>
      </c>
      <c r="R1413" t="s">
        <v>213</v>
      </c>
      <c r="S1413" s="2" t="s">
        <v>7</v>
      </c>
      <c r="T1413" s="2">
        <v>5</v>
      </c>
      <c r="U1413" s="2" t="s">
        <v>28</v>
      </c>
      <c r="V1413" s="2" t="s">
        <v>28</v>
      </c>
      <c r="W1413" s="16">
        <v>5</v>
      </c>
      <c r="X1413">
        <v>3.798</v>
      </c>
      <c r="Y1413">
        <f t="shared" si="27"/>
        <v>0.46261508412049224</v>
      </c>
      <c r="AA1413">
        <v>3.3860000000000001</v>
      </c>
      <c r="AB1413">
        <v>4.1970000000000001</v>
      </c>
    </row>
    <row r="1414" spans="1:28" x14ac:dyDescent="0.2">
      <c r="A1414" t="s">
        <v>204</v>
      </c>
      <c r="B1414">
        <v>2017</v>
      </c>
      <c r="C1414" t="s">
        <v>826</v>
      </c>
      <c r="D1414" t="s">
        <v>824</v>
      </c>
      <c r="E1414" t="s">
        <v>48</v>
      </c>
      <c r="F1414" t="s">
        <v>341</v>
      </c>
      <c r="G1414">
        <v>78.931168999999997</v>
      </c>
      <c r="H1414">
        <v>11.976254000000001</v>
      </c>
      <c r="I1414" t="s">
        <v>17</v>
      </c>
      <c r="J1414" t="s">
        <v>14</v>
      </c>
      <c r="K1414" t="s">
        <v>41</v>
      </c>
      <c r="L1414" t="s">
        <v>3</v>
      </c>
      <c r="M1414" t="s">
        <v>726</v>
      </c>
      <c r="N1414" t="s">
        <v>85</v>
      </c>
      <c r="O1414" s="6" t="s">
        <v>208</v>
      </c>
      <c r="Q1414">
        <v>24</v>
      </c>
      <c r="R1414" t="s">
        <v>213</v>
      </c>
      <c r="S1414" s="2" t="s">
        <v>9</v>
      </c>
      <c r="T1414" s="2">
        <v>5</v>
      </c>
      <c r="U1414" s="2" t="s">
        <v>28</v>
      </c>
      <c r="V1414" s="2" t="s">
        <v>28</v>
      </c>
      <c r="W1414" s="16">
        <v>10</v>
      </c>
      <c r="X1414">
        <v>2.0419999999999998</v>
      </c>
      <c r="Y1414">
        <f t="shared" si="27"/>
        <v>0.91838506218741367</v>
      </c>
      <c r="AA1414">
        <v>1.2170000000000001</v>
      </c>
      <c r="AB1414">
        <v>2.827</v>
      </c>
    </row>
    <row r="1415" spans="1:28" x14ac:dyDescent="0.2">
      <c r="A1415" t="s">
        <v>204</v>
      </c>
      <c r="B1415">
        <v>2017</v>
      </c>
      <c r="C1415" t="s">
        <v>826</v>
      </c>
      <c r="D1415" t="s">
        <v>824</v>
      </c>
      <c r="E1415" t="s">
        <v>48</v>
      </c>
      <c r="F1415" t="s">
        <v>341</v>
      </c>
      <c r="G1415">
        <v>78.931168999999997</v>
      </c>
      <c r="H1415">
        <v>11.976254000000001</v>
      </c>
      <c r="I1415" t="s">
        <v>17</v>
      </c>
      <c r="J1415" t="s">
        <v>14</v>
      </c>
      <c r="K1415" t="s">
        <v>41</v>
      </c>
      <c r="L1415" t="s">
        <v>3</v>
      </c>
      <c r="M1415" t="s">
        <v>726</v>
      </c>
      <c r="N1415" t="s">
        <v>85</v>
      </c>
      <c r="O1415" s="6" t="s">
        <v>208</v>
      </c>
      <c r="Q1415">
        <v>24</v>
      </c>
      <c r="R1415" t="s">
        <v>213</v>
      </c>
      <c r="S1415" s="2" t="s">
        <v>27</v>
      </c>
      <c r="T1415" s="2">
        <v>5</v>
      </c>
      <c r="U1415" s="2" t="s">
        <v>28</v>
      </c>
      <c r="V1415" s="2" t="s">
        <v>28</v>
      </c>
      <c r="W1415" s="16">
        <v>15</v>
      </c>
      <c r="X1415">
        <v>1.091</v>
      </c>
      <c r="Y1415">
        <f t="shared" si="27"/>
        <v>0.14774020565623619</v>
      </c>
      <c r="AA1415">
        <v>0.95799999999999996</v>
      </c>
      <c r="AB1415">
        <v>1.2170000000000001</v>
      </c>
    </row>
    <row r="1416" spans="1:28" x14ac:dyDescent="0.2">
      <c r="A1416" t="s">
        <v>204</v>
      </c>
      <c r="B1416">
        <v>2017</v>
      </c>
      <c r="C1416" t="s">
        <v>826</v>
      </c>
      <c r="D1416" t="s">
        <v>824</v>
      </c>
      <c r="E1416" t="s">
        <v>48</v>
      </c>
      <c r="F1416" t="s">
        <v>341</v>
      </c>
      <c r="G1416">
        <v>78.931168999999997</v>
      </c>
      <c r="H1416">
        <v>11.976254000000001</v>
      </c>
      <c r="I1416" t="s">
        <v>17</v>
      </c>
      <c r="J1416" t="s">
        <v>14</v>
      </c>
      <c r="K1416" t="s">
        <v>41</v>
      </c>
      <c r="L1416" t="s">
        <v>3</v>
      </c>
      <c r="M1416" t="s">
        <v>726</v>
      </c>
      <c r="N1416" t="s">
        <v>85</v>
      </c>
      <c r="O1416" s="6" t="s">
        <v>208</v>
      </c>
      <c r="Q1416">
        <v>24</v>
      </c>
      <c r="R1416" t="s">
        <v>213</v>
      </c>
      <c r="S1416" s="2" t="s">
        <v>13</v>
      </c>
      <c r="T1416" s="2">
        <v>5</v>
      </c>
      <c r="U1416" s="2" t="s">
        <v>28</v>
      </c>
      <c r="V1416" s="2" t="s">
        <v>28</v>
      </c>
      <c r="W1416" s="16">
        <v>20</v>
      </c>
      <c r="X1416">
        <v>0.29899999999999999</v>
      </c>
      <c r="Y1416">
        <f t="shared" si="27"/>
        <v>0.12891616400891645</v>
      </c>
      <c r="AA1416">
        <v>0.153</v>
      </c>
      <c r="AB1416">
        <v>0.379</v>
      </c>
    </row>
    <row r="1417" spans="1:28" x14ac:dyDescent="0.2">
      <c r="A1417" t="s">
        <v>204</v>
      </c>
      <c r="B1417">
        <v>2017</v>
      </c>
      <c r="C1417" t="s">
        <v>826</v>
      </c>
      <c r="D1417" t="s">
        <v>824</v>
      </c>
      <c r="E1417" t="s">
        <v>48</v>
      </c>
      <c r="F1417" t="s">
        <v>341</v>
      </c>
      <c r="G1417">
        <v>78.931168999999997</v>
      </c>
      <c r="H1417">
        <v>11.976254000000001</v>
      </c>
      <c r="I1417" t="s">
        <v>17</v>
      </c>
      <c r="J1417" t="s">
        <v>7</v>
      </c>
      <c r="K1417" t="s">
        <v>40</v>
      </c>
      <c r="L1417" t="s">
        <v>3</v>
      </c>
      <c r="M1417" t="s">
        <v>726</v>
      </c>
      <c r="N1417" t="s">
        <v>85</v>
      </c>
      <c r="O1417" s="6" t="s">
        <v>208</v>
      </c>
      <c r="Q1417">
        <v>24</v>
      </c>
      <c r="R1417" t="s">
        <v>213</v>
      </c>
      <c r="S1417" s="2" t="s">
        <v>7</v>
      </c>
      <c r="T1417" s="2">
        <v>5</v>
      </c>
      <c r="U1417" s="2" t="s">
        <v>28</v>
      </c>
      <c r="V1417" s="2" t="s">
        <v>28</v>
      </c>
      <c r="W1417" s="16">
        <v>5</v>
      </c>
      <c r="X1417">
        <v>2.907</v>
      </c>
      <c r="Y1417">
        <f t="shared" si="27"/>
        <v>0.2772267951696169</v>
      </c>
      <c r="AA1417">
        <v>2.6739999999999999</v>
      </c>
      <c r="AB1417">
        <v>3.16</v>
      </c>
    </row>
    <row r="1418" spans="1:28" x14ac:dyDescent="0.2">
      <c r="A1418" t="s">
        <v>204</v>
      </c>
      <c r="B1418">
        <v>2017</v>
      </c>
      <c r="C1418" t="s">
        <v>826</v>
      </c>
      <c r="D1418" t="s">
        <v>824</v>
      </c>
      <c r="E1418" t="s">
        <v>48</v>
      </c>
      <c r="F1418" t="s">
        <v>341</v>
      </c>
      <c r="G1418">
        <v>78.931168999999997</v>
      </c>
      <c r="H1418">
        <v>11.976254000000001</v>
      </c>
      <c r="I1418" t="s">
        <v>17</v>
      </c>
      <c r="J1418" t="s">
        <v>14</v>
      </c>
      <c r="K1418" t="s">
        <v>40</v>
      </c>
      <c r="L1418" t="s">
        <v>3</v>
      </c>
      <c r="M1418" t="s">
        <v>726</v>
      </c>
      <c r="N1418" t="s">
        <v>85</v>
      </c>
      <c r="O1418" s="6" t="s">
        <v>208</v>
      </c>
      <c r="Q1418">
        <v>24</v>
      </c>
      <c r="R1418" t="s">
        <v>213</v>
      </c>
      <c r="S1418" s="2" t="s">
        <v>9</v>
      </c>
      <c r="T1418" s="2">
        <v>5</v>
      </c>
      <c r="U1418" s="2" t="s">
        <v>28</v>
      </c>
      <c r="V1418" s="2" t="s">
        <v>28</v>
      </c>
      <c r="W1418" s="16">
        <v>10</v>
      </c>
      <c r="X1418">
        <v>1.171</v>
      </c>
      <c r="Y1418">
        <f t="shared" si="27"/>
        <v>0.20478275610265931</v>
      </c>
      <c r="AA1418">
        <v>0.97799999999999998</v>
      </c>
      <c r="AB1418">
        <v>1.337</v>
      </c>
    </row>
    <row r="1419" spans="1:28" x14ac:dyDescent="0.2">
      <c r="A1419" t="s">
        <v>204</v>
      </c>
      <c r="B1419">
        <v>2017</v>
      </c>
      <c r="C1419" t="s">
        <v>826</v>
      </c>
      <c r="D1419" t="s">
        <v>824</v>
      </c>
      <c r="E1419" t="s">
        <v>48</v>
      </c>
      <c r="F1419" t="s">
        <v>341</v>
      </c>
      <c r="G1419">
        <v>78.931168999999997</v>
      </c>
      <c r="H1419">
        <v>11.976254000000001</v>
      </c>
      <c r="I1419" t="s">
        <v>17</v>
      </c>
      <c r="J1419" t="s">
        <v>14</v>
      </c>
      <c r="K1419" t="s">
        <v>40</v>
      </c>
      <c r="L1419" t="s">
        <v>3</v>
      </c>
      <c r="M1419" t="s">
        <v>726</v>
      </c>
      <c r="N1419" t="s">
        <v>85</v>
      </c>
      <c r="O1419" s="6" t="s">
        <v>208</v>
      </c>
      <c r="Q1419">
        <v>24</v>
      </c>
      <c r="R1419" t="s">
        <v>213</v>
      </c>
      <c r="S1419" s="2" t="s">
        <v>27</v>
      </c>
      <c r="T1419" s="2">
        <v>5</v>
      </c>
      <c r="U1419" s="2" t="s">
        <v>28</v>
      </c>
      <c r="V1419" s="2" t="s">
        <v>28</v>
      </c>
      <c r="W1419" s="16">
        <v>15</v>
      </c>
      <c r="X1419">
        <v>0.86499999999999999</v>
      </c>
      <c r="Y1419">
        <f t="shared" si="27"/>
        <v>0.1591487157455207</v>
      </c>
      <c r="AA1419">
        <v>0.73199999999999998</v>
      </c>
      <c r="AB1419">
        <v>1.0109999999999999</v>
      </c>
    </row>
    <row r="1420" spans="1:28" x14ac:dyDescent="0.2">
      <c r="A1420" t="s">
        <v>204</v>
      </c>
      <c r="B1420">
        <v>2017</v>
      </c>
      <c r="C1420" t="s">
        <v>826</v>
      </c>
      <c r="D1420" t="s">
        <v>824</v>
      </c>
      <c r="E1420" t="s">
        <v>48</v>
      </c>
      <c r="F1420" t="s">
        <v>341</v>
      </c>
      <c r="G1420">
        <v>78.931168999999997</v>
      </c>
      <c r="H1420">
        <v>11.976254000000001</v>
      </c>
      <c r="I1420" t="s">
        <v>17</v>
      </c>
      <c r="J1420" t="s">
        <v>14</v>
      </c>
      <c r="K1420" t="s">
        <v>40</v>
      </c>
      <c r="L1420" t="s">
        <v>3</v>
      </c>
      <c r="M1420" t="s">
        <v>726</v>
      </c>
      <c r="N1420" t="s">
        <v>85</v>
      </c>
      <c r="O1420" s="6" t="s">
        <v>208</v>
      </c>
      <c r="Q1420">
        <v>24</v>
      </c>
      <c r="R1420" t="s">
        <v>213</v>
      </c>
      <c r="S1420" s="2" t="s">
        <v>13</v>
      </c>
      <c r="T1420" s="2">
        <v>5</v>
      </c>
      <c r="U1420" s="2" t="s">
        <v>28</v>
      </c>
      <c r="V1420" s="2" t="s">
        <v>28</v>
      </c>
      <c r="W1420" s="16">
        <v>20</v>
      </c>
      <c r="X1420">
        <v>0.193</v>
      </c>
      <c r="Y1420">
        <f t="shared" si="27"/>
        <v>6.4458082004458225E-2</v>
      </c>
      <c r="AA1420">
        <v>0.12</v>
      </c>
      <c r="AB1420">
        <v>0.23300000000000001</v>
      </c>
    </row>
    <row r="1421" spans="1:28" x14ac:dyDescent="0.2">
      <c r="A1421" t="s">
        <v>209</v>
      </c>
      <c r="B1421">
        <v>1982</v>
      </c>
      <c r="C1421" t="s">
        <v>816</v>
      </c>
      <c r="D1421" t="s">
        <v>820</v>
      </c>
      <c r="E1421" t="s">
        <v>34</v>
      </c>
      <c r="F1421" t="s">
        <v>210</v>
      </c>
      <c r="G1421">
        <v>33.513159000000002</v>
      </c>
      <c r="H1421">
        <v>-117.769856</v>
      </c>
      <c r="I1421" t="s">
        <v>762</v>
      </c>
      <c r="J1421" t="s">
        <v>7</v>
      </c>
      <c r="K1421" t="s">
        <v>3</v>
      </c>
      <c r="L1421" t="s">
        <v>3</v>
      </c>
      <c r="M1421" t="s">
        <v>73</v>
      </c>
      <c r="N1421" t="s">
        <v>85</v>
      </c>
      <c r="O1421" s="6" t="s">
        <v>834</v>
      </c>
      <c r="P1421" t="s">
        <v>211</v>
      </c>
      <c r="Q1421">
        <v>1</v>
      </c>
      <c r="R1421" t="s">
        <v>213</v>
      </c>
      <c r="S1421" s="2" t="s">
        <v>7</v>
      </c>
      <c r="T1421" s="2">
        <v>5</v>
      </c>
      <c r="U1421" s="2" t="s">
        <v>28</v>
      </c>
      <c r="V1421" s="2" t="s">
        <v>28</v>
      </c>
      <c r="W1421" s="16">
        <v>15</v>
      </c>
      <c r="X1421">
        <v>26.24</v>
      </c>
      <c r="Y1421">
        <f>32.15-X1421</f>
        <v>5.91</v>
      </c>
      <c r="AA1421" s="6"/>
      <c r="AB1421" s="6"/>
    </row>
    <row r="1422" spans="1:28" x14ac:dyDescent="0.2">
      <c r="A1422" t="s">
        <v>209</v>
      </c>
      <c r="B1422">
        <v>1982</v>
      </c>
      <c r="C1422" t="s">
        <v>816</v>
      </c>
      <c r="D1422" t="s">
        <v>820</v>
      </c>
      <c r="E1422" t="s">
        <v>34</v>
      </c>
      <c r="F1422" t="s">
        <v>210</v>
      </c>
      <c r="G1422">
        <v>33.513159000000002</v>
      </c>
      <c r="H1422">
        <v>-117.769856</v>
      </c>
      <c r="I1422" t="s">
        <v>762</v>
      </c>
      <c r="J1422" t="s">
        <v>14</v>
      </c>
      <c r="K1422" t="s">
        <v>3</v>
      </c>
      <c r="L1422" t="s">
        <v>3</v>
      </c>
      <c r="M1422" t="s">
        <v>73</v>
      </c>
      <c r="N1422" t="s">
        <v>85</v>
      </c>
      <c r="O1422" s="6" t="s">
        <v>834</v>
      </c>
      <c r="P1422" t="s">
        <v>211</v>
      </c>
      <c r="Q1422">
        <v>1</v>
      </c>
      <c r="R1422" t="s">
        <v>213</v>
      </c>
      <c r="S1422" s="2" t="s">
        <v>9</v>
      </c>
      <c r="T1422" s="2">
        <v>5</v>
      </c>
      <c r="U1422" s="2" t="s">
        <v>28</v>
      </c>
      <c r="V1422" s="2" t="s">
        <v>28</v>
      </c>
      <c r="W1422" s="16">
        <v>20</v>
      </c>
      <c r="X1422">
        <v>17.34</v>
      </c>
      <c r="Y1422">
        <f>21.76-X1422</f>
        <v>4.4200000000000017</v>
      </c>
      <c r="AA1422" s="6"/>
      <c r="AB1422" s="6"/>
    </row>
    <row r="1423" spans="1:28" x14ac:dyDescent="0.2">
      <c r="A1423" t="s">
        <v>209</v>
      </c>
      <c r="B1423">
        <v>1982</v>
      </c>
      <c r="C1423" t="s">
        <v>816</v>
      </c>
      <c r="D1423" t="s">
        <v>820</v>
      </c>
      <c r="E1423" t="s">
        <v>34</v>
      </c>
      <c r="F1423" t="s">
        <v>210</v>
      </c>
      <c r="G1423">
        <v>33.513159000000002</v>
      </c>
      <c r="H1423">
        <v>-117.769856</v>
      </c>
      <c r="I1423" t="s">
        <v>762</v>
      </c>
      <c r="J1423" t="s">
        <v>14</v>
      </c>
      <c r="K1423" t="s">
        <v>3</v>
      </c>
      <c r="L1423" t="s">
        <v>3</v>
      </c>
      <c r="M1423" t="s">
        <v>73</v>
      </c>
      <c r="N1423" t="s">
        <v>85</v>
      </c>
      <c r="O1423" s="6" t="s">
        <v>834</v>
      </c>
      <c r="P1423" t="s">
        <v>211</v>
      </c>
      <c r="Q1423">
        <v>1</v>
      </c>
      <c r="R1423" t="s">
        <v>213</v>
      </c>
      <c r="S1423" s="2" t="s">
        <v>27</v>
      </c>
      <c r="T1423" s="2">
        <v>5</v>
      </c>
      <c r="U1423" s="2" t="s">
        <v>28</v>
      </c>
      <c r="V1423" s="2" t="s">
        <v>28</v>
      </c>
      <c r="W1423" s="16">
        <v>25</v>
      </c>
      <c r="X1423">
        <v>6.64</v>
      </c>
      <c r="Y1423">
        <f>8.79-X1423</f>
        <v>2.1499999999999995</v>
      </c>
      <c r="AA1423" s="6"/>
      <c r="AB1423" s="6"/>
    </row>
    <row r="1424" spans="1:28" x14ac:dyDescent="0.2">
      <c r="A1424" t="s">
        <v>209</v>
      </c>
      <c r="B1424">
        <v>1982</v>
      </c>
      <c r="C1424" t="s">
        <v>816</v>
      </c>
      <c r="D1424" t="s">
        <v>820</v>
      </c>
      <c r="E1424" t="s">
        <v>34</v>
      </c>
      <c r="F1424" t="s">
        <v>210</v>
      </c>
      <c r="G1424">
        <v>33.513159000000002</v>
      </c>
      <c r="H1424">
        <v>-117.769856</v>
      </c>
      <c r="I1424" t="s">
        <v>762</v>
      </c>
      <c r="J1424" t="s">
        <v>14</v>
      </c>
      <c r="K1424" t="s">
        <v>3</v>
      </c>
      <c r="L1424" t="s">
        <v>3</v>
      </c>
      <c r="M1424" t="s">
        <v>73</v>
      </c>
      <c r="N1424" t="s">
        <v>85</v>
      </c>
      <c r="O1424" s="6" t="s">
        <v>834</v>
      </c>
      <c r="P1424" t="s">
        <v>211</v>
      </c>
      <c r="Q1424">
        <v>1</v>
      </c>
      <c r="R1424" t="s">
        <v>213</v>
      </c>
      <c r="S1424" s="2" t="s">
        <v>13</v>
      </c>
      <c r="T1424" s="2">
        <v>5</v>
      </c>
      <c r="U1424" s="2" t="s">
        <v>28</v>
      </c>
      <c r="V1424" s="2" t="s">
        <v>28</v>
      </c>
      <c r="W1424" s="16">
        <v>30</v>
      </c>
      <c r="X1424">
        <v>-13.19</v>
      </c>
      <c r="Y1424">
        <f>-9.07-X1424</f>
        <v>4.1199999999999992</v>
      </c>
      <c r="AA1424" s="6"/>
      <c r="AB1424" s="6"/>
    </row>
    <row r="1425" spans="1:28" x14ac:dyDescent="0.2">
      <c r="A1425" t="s">
        <v>209</v>
      </c>
      <c r="B1425">
        <v>1982</v>
      </c>
      <c r="C1425" t="s">
        <v>816</v>
      </c>
      <c r="D1425" t="s">
        <v>820</v>
      </c>
      <c r="E1425" t="s">
        <v>34</v>
      </c>
      <c r="F1425" t="s">
        <v>210</v>
      </c>
      <c r="G1425">
        <v>33.513159000000002</v>
      </c>
      <c r="H1425">
        <v>-117.769856</v>
      </c>
      <c r="I1425" t="s">
        <v>762</v>
      </c>
      <c r="J1425" t="s">
        <v>7</v>
      </c>
      <c r="K1425" t="s">
        <v>3</v>
      </c>
      <c r="L1425" t="s">
        <v>3</v>
      </c>
      <c r="M1425" t="s">
        <v>172</v>
      </c>
      <c r="N1425" t="s">
        <v>86</v>
      </c>
      <c r="O1425" s="6" t="s">
        <v>62</v>
      </c>
      <c r="P1425" t="s">
        <v>211</v>
      </c>
      <c r="Q1425">
        <v>1</v>
      </c>
      <c r="R1425" t="s">
        <v>213</v>
      </c>
      <c r="S1425" s="2" t="s">
        <v>7</v>
      </c>
      <c r="T1425" s="2">
        <v>5</v>
      </c>
      <c r="U1425" s="2" t="s">
        <v>28</v>
      </c>
      <c r="V1425" s="2" t="s">
        <v>28</v>
      </c>
      <c r="W1425" s="16">
        <v>15</v>
      </c>
      <c r="X1425">
        <v>-2.56</v>
      </c>
      <c r="Y1425">
        <f>-1.78-X1425</f>
        <v>0.78</v>
      </c>
      <c r="AA1425" s="6"/>
      <c r="AB1425" s="6"/>
    </row>
    <row r="1426" spans="1:28" x14ac:dyDescent="0.2">
      <c r="A1426" t="s">
        <v>209</v>
      </c>
      <c r="B1426">
        <v>1982</v>
      </c>
      <c r="C1426" t="s">
        <v>816</v>
      </c>
      <c r="D1426" t="s">
        <v>820</v>
      </c>
      <c r="E1426" t="s">
        <v>34</v>
      </c>
      <c r="F1426" t="s">
        <v>210</v>
      </c>
      <c r="G1426">
        <v>33.513159000000002</v>
      </c>
      <c r="H1426">
        <v>-117.769856</v>
      </c>
      <c r="I1426" t="s">
        <v>762</v>
      </c>
      <c r="J1426" t="s">
        <v>14</v>
      </c>
      <c r="K1426" t="s">
        <v>3</v>
      </c>
      <c r="L1426" t="s">
        <v>3</v>
      </c>
      <c r="M1426" t="s">
        <v>172</v>
      </c>
      <c r="N1426" t="s">
        <v>86</v>
      </c>
      <c r="O1426" s="6" t="s">
        <v>62</v>
      </c>
      <c r="P1426" t="s">
        <v>211</v>
      </c>
      <c r="Q1426">
        <v>1</v>
      </c>
      <c r="R1426" t="s">
        <v>213</v>
      </c>
      <c r="S1426" s="2" t="s">
        <v>9</v>
      </c>
      <c r="T1426" s="2">
        <v>5</v>
      </c>
      <c r="U1426" s="2" t="s">
        <v>28</v>
      </c>
      <c r="V1426" s="2" t="s">
        <v>28</v>
      </c>
      <c r="W1426" s="16">
        <v>20</v>
      </c>
      <c r="X1426">
        <v>-4.29</v>
      </c>
      <c r="Y1426">
        <f>-2.62-X1426</f>
        <v>1.67</v>
      </c>
      <c r="AA1426" s="6"/>
      <c r="AB1426" s="6"/>
    </row>
    <row r="1427" spans="1:28" x14ac:dyDescent="0.2">
      <c r="A1427" t="s">
        <v>209</v>
      </c>
      <c r="B1427">
        <v>1982</v>
      </c>
      <c r="C1427" t="s">
        <v>816</v>
      </c>
      <c r="D1427" t="s">
        <v>820</v>
      </c>
      <c r="E1427" t="s">
        <v>34</v>
      </c>
      <c r="F1427" t="s">
        <v>210</v>
      </c>
      <c r="G1427">
        <v>33.513159000000002</v>
      </c>
      <c r="H1427">
        <v>-117.769856</v>
      </c>
      <c r="I1427" t="s">
        <v>762</v>
      </c>
      <c r="J1427" t="s">
        <v>14</v>
      </c>
      <c r="K1427" t="s">
        <v>3</v>
      </c>
      <c r="L1427" t="s">
        <v>3</v>
      </c>
      <c r="M1427" t="s">
        <v>172</v>
      </c>
      <c r="N1427" t="s">
        <v>86</v>
      </c>
      <c r="O1427" s="6" t="s">
        <v>62</v>
      </c>
      <c r="P1427" t="s">
        <v>211</v>
      </c>
      <c r="Q1427">
        <v>1</v>
      </c>
      <c r="R1427" t="s">
        <v>213</v>
      </c>
      <c r="S1427" s="2" t="s">
        <v>27</v>
      </c>
      <c r="T1427" s="2">
        <v>5</v>
      </c>
      <c r="U1427" s="2" t="s">
        <v>28</v>
      </c>
      <c r="V1427" s="2" t="s">
        <v>28</v>
      </c>
      <c r="W1427" s="16">
        <v>25</v>
      </c>
      <c r="X1427">
        <v>-2.56</v>
      </c>
      <c r="Y1427">
        <f>-1.66-X1427</f>
        <v>0.90000000000000013</v>
      </c>
      <c r="AA1427" s="6"/>
      <c r="AB1427" s="6"/>
    </row>
    <row r="1428" spans="1:28" x14ac:dyDescent="0.2">
      <c r="A1428" t="s">
        <v>209</v>
      </c>
      <c r="B1428">
        <v>1982</v>
      </c>
      <c r="C1428" t="s">
        <v>816</v>
      </c>
      <c r="D1428" t="s">
        <v>820</v>
      </c>
      <c r="E1428" t="s">
        <v>34</v>
      </c>
      <c r="F1428" t="s">
        <v>210</v>
      </c>
      <c r="G1428">
        <v>33.513159000000002</v>
      </c>
      <c r="H1428">
        <v>-117.769856</v>
      </c>
      <c r="I1428" t="s">
        <v>762</v>
      </c>
      <c r="J1428" t="s">
        <v>14</v>
      </c>
      <c r="K1428" t="s">
        <v>3</v>
      </c>
      <c r="L1428" t="s">
        <v>3</v>
      </c>
      <c r="M1428" t="s">
        <v>172</v>
      </c>
      <c r="N1428" t="s">
        <v>86</v>
      </c>
      <c r="O1428" s="6" t="s">
        <v>62</v>
      </c>
      <c r="P1428" t="s">
        <v>211</v>
      </c>
      <c r="Q1428">
        <v>1</v>
      </c>
      <c r="R1428" t="s">
        <v>213</v>
      </c>
      <c r="S1428" s="2" t="s">
        <v>13</v>
      </c>
      <c r="T1428" s="2">
        <v>5</v>
      </c>
      <c r="U1428" s="2" t="s">
        <v>28</v>
      </c>
      <c r="V1428" s="2" t="s">
        <v>28</v>
      </c>
      <c r="W1428" s="16">
        <v>30</v>
      </c>
      <c r="X1428">
        <v>-16.89</v>
      </c>
      <c r="Y1428">
        <f>-11.7-X1428</f>
        <v>5.1900000000000013</v>
      </c>
      <c r="AA1428" s="6"/>
      <c r="AB1428" s="6"/>
    </row>
    <row r="1429" spans="1:28" x14ac:dyDescent="0.2">
      <c r="A1429" t="s">
        <v>209</v>
      </c>
      <c r="B1429">
        <v>1982</v>
      </c>
      <c r="C1429" t="s">
        <v>816</v>
      </c>
      <c r="D1429" t="s">
        <v>820</v>
      </c>
      <c r="E1429" t="s">
        <v>34</v>
      </c>
      <c r="F1429" t="s">
        <v>210</v>
      </c>
      <c r="G1429">
        <v>33.513159000000002</v>
      </c>
      <c r="H1429">
        <v>-117.769856</v>
      </c>
      <c r="I1429" t="s">
        <v>768</v>
      </c>
      <c r="J1429" t="s">
        <v>7</v>
      </c>
      <c r="K1429" t="s">
        <v>140</v>
      </c>
      <c r="L1429" t="s">
        <v>143</v>
      </c>
      <c r="M1429" t="s">
        <v>73</v>
      </c>
      <c r="N1429" t="s">
        <v>85</v>
      </c>
      <c r="O1429" s="6" t="s">
        <v>834</v>
      </c>
      <c r="P1429" t="s">
        <v>211</v>
      </c>
      <c r="Q1429">
        <v>1</v>
      </c>
      <c r="R1429" t="s">
        <v>213</v>
      </c>
      <c r="S1429" s="2" t="s">
        <v>7</v>
      </c>
      <c r="T1429" s="2">
        <v>5</v>
      </c>
      <c r="U1429" s="2" t="s">
        <v>28</v>
      </c>
      <c r="V1429" s="2" t="s">
        <v>28</v>
      </c>
      <c r="W1429" s="16">
        <v>15</v>
      </c>
      <c r="X1429">
        <v>20.32</v>
      </c>
      <c r="Y1429">
        <f>21.63-X1429</f>
        <v>1.3099999999999987</v>
      </c>
      <c r="AA1429" s="6"/>
      <c r="AB1429" s="6"/>
    </row>
    <row r="1430" spans="1:28" x14ac:dyDescent="0.2">
      <c r="A1430" t="s">
        <v>209</v>
      </c>
      <c r="B1430">
        <v>1982</v>
      </c>
      <c r="C1430" t="s">
        <v>816</v>
      </c>
      <c r="D1430" t="s">
        <v>820</v>
      </c>
      <c r="E1430" t="s">
        <v>34</v>
      </c>
      <c r="F1430" t="s">
        <v>210</v>
      </c>
      <c r="G1430">
        <v>33.513159000000002</v>
      </c>
      <c r="H1430">
        <v>-117.769856</v>
      </c>
      <c r="I1430" t="s">
        <v>768</v>
      </c>
      <c r="J1430" t="s">
        <v>14</v>
      </c>
      <c r="K1430" t="s">
        <v>140</v>
      </c>
      <c r="L1430" t="s">
        <v>143</v>
      </c>
      <c r="M1430" t="s">
        <v>73</v>
      </c>
      <c r="N1430" t="s">
        <v>85</v>
      </c>
      <c r="O1430" s="6" t="s">
        <v>834</v>
      </c>
      <c r="P1430" t="s">
        <v>211</v>
      </c>
      <c r="Q1430">
        <v>1</v>
      </c>
      <c r="R1430" t="s">
        <v>213</v>
      </c>
      <c r="S1430" s="2" t="s">
        <v>9</v>
      </c>
      <c r="T1430" s="2">
        <v>5</v>
      </c>
      <c r="U1430" s="2" t="s">
        <v>28</v>
      </c>
      <c r="V1430" s="2" t="s">
        <v>28</v>
      </c>
      <c r="W1430" s="16">
        <v>20</v>
      </c>
      <c r="X1430">
        <v>19.39</v>
      </c>
      <c r="Y1430">
        <f>20.75-X1430</f>
        <v>1.3599999999999994</v>
      </c>
      <c r="AA1430" s="6"/>
      <c r="AB1430" s="6"/>
    </row>
    <row r="1431" spans="1:28" x14ac:dyDescent="0.2">
      <c r="A1431" t="s">
        <v>209</v>
      </c>
      <c r="B1431">
        <v>1982</v>
      </c>
      <c r="C1431" t="s">
        <v>816</v>
      </c>
      <c r="D1431" t="s">
        <v>820</v>
      </c>
      <c r="E1431" t="s">
        <v>34</v>
      </c>
      <c r="F1431" t="s">
        <v>210</v>
      </c>
      <c r="G1431">
        <v>33.513159000000002</v>
      </c>
      <c r="H1431">
        <v>-117.769856</v>
      </c>
      <c r="I1431" t="s">
        <v>768</v>
      </c>
      <c r="J1431" t="s">
        <v>14</v>
      </c>
      <c r="K1431" t="s">
        <v>140</v>
      </c>
      <c r="L1431" t="s">
        <v>143</v>
      </c>
      <c r="M1431" t="s">
        <v>73</v>
      </c>
      <c r="N1431" t="s">
        <v>85</v>
      </c>
      <c r="O1431" s="6" t="s">
        <v>834</v>
      </c>
      <c r="P1431" t="s">
        <v>211</v>
      </c>
      <c r="Q1431">
        <v>1</v>
      </c>
      <c r="R1431" t="s">
        <v>213</v>
      </c>
      <c r="S1431" s="2" t="s">
        <v>27</v>
      </c>
      <c r="T1431" s="2">
        <v>5</v>
      </c>
      <c r="U1431" s="2" t="s">
        <v>28</v>
      </c>
      <c r="V1431" s="2" t="s">
        <v>28</v>
      </c>
      <c r="W1431" s="16">
        <v>25</v>
      </c>
      <c r="X1431">
        <v>16.809999999999999</v>
      </c>
      <c r="Y1431">
        <f>18.32-X1431</f>
        <v>1.5100000000000016</v>
      </c>
      <c r="AA1431" s="6"/>
      <c r="AB1431" s="6"/>
    </row>
    <row r="1432" spans="1:28" x14ac:dyDescent="0.2">
      <c r="A1432" t="s">
        <v>209</v>
      </c>
      <c r="B1432">
        <v>1982</v>
      </c>
      <c r="C1432" t="s">
        <v>816</v>
      </c>
      <c r="D1432" t="s">
        <v>820</v>
      </c>
      <c r="E1432" t="s">
        <v>34</v>
      </c>
      <c r="F1432" t="s">
        <v>210</v>
      </c>
      <c r="G1432">
        <v>33.513159000000002</v>
      </c>
      <c r="H1432">
        <v>-117.769856</v>
      </c>
      <c r="I1432" t="s">
        <v>768</v>
      </c>
      <c r="J1432" t="s">
        <v>14</v>
      </c>
      <c r="K1432" t="s">
        <v>140</v>
      </c>
      <c r="L1432" t="s">
        <v>143</v>
      </c>
      <c r="M1432" t="s">
        <v>73</v>
      </c>
      <c r="N1432" t="s">
        <v>85</v>
      </c>
      <c r="O1432" s="6" t="s">
        <v>834</v>
      </c>
      <c r="P1432" t="s">
        <v>211</v>
      </c>
      <c r="Q1432">
        <v>1</v>
      </c>
      <c r="R1432" t="s">
        <v>213</v>
      </c>
      <c r="S1432" s="2" t="s">
        <v>13</v>
      </c>
      <c r="T1432" s="2">
        <v>5</v>
      </c>
      <c r="U1432" s="2" t="s">
        <v>28</v>
      </c>
      <c r="V1432" s="2" t="s">
        <v>28</v>
      </c>
      <c r="W1432" s="16">
        <v>30</v>
      </c>
      <c r="X1432">
        <v>-6.45</v>
      </c>
      <c r="Y1432">
        <f>-4.94-X1432</f>
        <v>1.5099999999999998</v>
      </c>
      <c r="AA1432" s="6"/>
      <c r="AB1432" s="6"/>
    </row>
    <row r="1433" spans="1:28" x14ac:dyDescent="0.2">
      <c r="A1433" t="s">
        <v>209</v>
      </c>
      <c r="B1433">
        <v>1982</v>
      </c>
      <c r="C1433" t="s">
        <v>816</v>
      </c>
      <c r="D1433" t="s">
        <v>820</v>
      </c>
      <c r="E1433" t="s">
        <v>34</v>
      </c>
      <c r="F1433" t="s">
        <v>210</v>
      </c>
      <c r="G1433">
        <v>33.513159000000002</v>
      </c>
      <c r="H1433">
        <v>-117.769856</v>
      </c>
      <c r="I1433" t="s">
        <v>768</v>
      </c>
      <c r="J1433" t="s">
        <v>7</v>
      </c>
      <c r="K1433" t="s">
        <v>140</v>
      </c>
      <c r="L1433" t="s">
        <v>143</v>
      </c>
      <c r="M1433" t="s">
        <v>172</v>
      </c>
      <c r="N1433" t="s">
        <v>86</v>
      </c>
      <c r="O1433" s="6" t="s">
        <v>62</v>
      </c>
      <c r="P1433" t="s">
        <v>211</v>
      </c>
      <c r="Q1433">
        <v>1</v>
      </c>
      <c r="R1433" t="s">
        <v>213</v>
      </c>
      <c r="S1433" s="2" t="s">
        <v>7</v>
      </c>
      <c r="T1433" s="2">
        <v>5</v>
      </c>
      <c r="U1433" s="2" t="s">
        <v>28</v>
      </c>
      <c r="V1433" s="2" t="s">
        <v>28</v>
      </c>
      <c r="W1433" s="16">
        <v>15</v>
      </c>
      <c r="X1433">
        <v>-1.05</v>
      </c>
      <c r="Y1433">
        <f>-0.46-X1433</f>
        <v>0.59000000000000008</v>
      </c>
      <c r="AA1433" s="6"/>
      <c r="AB1433" s="6"/>
    </row>
    <row r="1434" spans="1:28" x14ac:dyDescent="0.2">
      <c r="A1434" t="s">
        <v>209</v>
      </c>
      <c r="B1434">
        <v>1982</v>
      </c>
      <c r="C1434" t="s">
        <v>816</v>
      </c>
      <c r="D1434" t="s">
        <v>820</v>
      </c>
      <c r="E1434" t="s">
        <v>34</v>
      </c>
      <c r="F1434" t="s">
        <v>210</v>
      </c>
      <c r="G1434">
        <v>33.513159000000002</v>
      </c>
      <c r="H1434">
        <v>-117.769856</v>
      </c>
      <c r="I1434" t="s">
        <v>768</v>
      </c>
      <c r="J1434" t="s">
        <v>14</v>
      </c>
      <c r="K1434" t="s">
        <v>140</v>
      </c>
      <c r="L1434" t="s">
        <v>143</v>
      </c>
      <c r="M1434" t="s">
        <v>172</v>
      </c>
      <c r="N1434" t="s">
        <v>86</v>
      </c>
      <c r="O1434" s="6" t="s">
        <v>62</v>
      </c>
      <c r="P1434" t="s">
        <v>211</v>
      </c>
      <c r="Q1434">
        <v>1</v>
      </c>
      <c r="R1434" t="s">
        <v>213</v>
      </c>
      <c r="S1434" s="2" t="s">
        <v>9</v>
      </c>
      <c r="T1434" s="2">
        <v>5</v>
      </c>
      <c r="U1434" s="2" t="s">
        <v>28</v>
      </c>
      <c r="V1434" s="2" t="s">
        <v>28</v>
      </c>
      <c r="W1434" s="16">
        <v>20</v>
      </c>
      <c r="X1434">
        <v>-1.39</v>
      </c>
      <c r="Y1434">
        <f>-0.71-X1434</f>
        <v>0.67999999999999994</v>
      </c>
      <c r="AA1434" s="6"/>
      <c r="AB1434" s="6"/>
    </row>
    <row r="1435" spans="1:28" x14ac:dyDescent="0.2">
      <c r="A1435" t="s">
        <v>209</v>
      </c>
      <c r="B1435">
        <v>1982</v>
      </c>
      <c r="C1435" t="s">
        <v>816</v>
      </c>
      <c r="D1435" t="s">
        <v>820</v>
      </c>
      <c r="E1435" t="s">
        <v>34</v>
      </c>
      <c r="F1435" t="s">
        <v>210</v>
      </c>
      <c r="G1435">
        <v>33.513159000000002</v>
      </c>
      <c r="H1435">
        <v>-117.769856</v>
      </c>
      <c r="I1435" t="s">
        <v>768</v>
      </c>
      <c r="J1435" t="s">
        <v>14</v>
      </c>
      <c r="K1435" t="s">
        <v>140</v>
      </c>
      <c r="L1435" t="s">
        <v>143</v>
      </c>
      <c r="M1435" t="s">
        <v>172</v>
      </c>
      <c r="N1435" t="s">
        <v>86</v>
      </c>
      <c r="O1435" s="6" t="s">
        <v>62</v>
      </c>
      <c r="P1435" t="s">
        <v>211</v>
      </c>
      <c r="Q1435">
        <v>1</v>
      </c>
      <c r="R1435" t="s">
        <v>213</v>
      </c>
      <c r="S1435" s="2" t="s">
        <v>27</v>
      </c>
      <c r="T1435" s="2">
        <v>5</v>
      </c>
      <c r="U1435" s="2" t="s">
        <v>28</v>
      </c>
      <c r="V1435" s="2" t="s">
        <v>28</v>
      </c>
      <c r="W1435" s="16">
        <v>25</v>
      </c>
      <c r="X1435">
        <v>-2.31</v>
      </c>
      <c r="Y1435">
        <f>-1.63-X1435</f>
        <v>0.68000000000000016</v>
      </c>
      <c r="AA1435" s="6"/>
      <c r="AB1435" s="6"/>
    </row>
    <row r="1436" spans="1:28" x14ac:dyDescent="0.2">
      <c r="A1436" t="s">
        <v>209</v>
      </c>
      <c r="B1436">
        <v>1982</v>
      </c>
      <c r="C1436" t="s">
        <v>816</v>
      </c>
      <c r="D1436" t="s">
        <v>820</v>
      </c>
      <c r="E1436" t="s">
        <v>34</v>
      </c>
      <c r="F1436" t="s">
        <v>210</v>
      </c>
      <c r="G1436">
        <v>33.513159000000002</v>
      </c>
      <c r="H1436">
        <v>-117.769856</v>
      </c>
      <c r="I1436" t="s">
        <v>768</v>
      </c>
      <c r="J1436" t="s">
        <v>14</v>
      </c>
      <c r="K1436" t="s">
        <v>140</v>
      </c>
      <c r="L1436" t="s">
        <v>143</v>
      </c>
      <c r="M1436" t="s">
        <v>172</v>
      </c>
      <c r="N1436" t="s">
        <v>86</v>
      </c>
      <c r="O1436" s="6" t="s">
        <v>62</v>
      </c>
      <c r="P1436" t="s">
        <v>211</v>
      </c>
      <c r="Q1436">
        <v>1</v>
      </c>
      <c r="R1436" t="s">
        <v>213</v>
      </c>
      <c r="S1436" s="2" t="s">
        <v>13</v>
      </c>
      <c r="T1436" s="2">
        <v>5</v>
      </c>
      <c r="U1436" s="2" t="s">
        <v>28</v>
      </c>
      <c r="V1436" s="2" t="s">
        <v>28</v>
      </c>
      <c r="W1436" s="16">
        <v>30</v>
      </c>
      <c r="X1436">
        <v>-1.78</v>
      </c>
      <c r="Y1436">
        <f>-1.14-X1436</f>
        <v>0.64000000000000012</v>
      </c>
      <c r="AA1436" s="6"/>
      <c r="AB1436" s="6"/>
    </row>
    <row r="1437" spans="1:28" x14ac:dyDescent="0.2">
      <c r="A1437" t="s">
        <v>215</v>
      </c>
      <c r="B1437">
        <v>2019</v>
      </c>
      <c r="C1437" t="s">
        <v>826</v>
      </c>
      <c r="D1437" t="s">
        <v>812</v>
      </c>
      <c r="E1437" t="s">
        <v>175</v>
      </c>
      <c r="F1437" t="s">
        <v>216</v>
      </c>
      <c r="G1437">
        <v>-30.267700000000001</v>
      </c>
      <c r="H1437">
        <v>153.14349999999999</v>
      </c>
      <c r="I1437" t="s">
        <v>764</v>
      </c>
      <c r="J1437" t="s">
        <v>7</v>
      </c>
      <c r="K1437" t="s">
        <v>217</v>
      </c>
      <c r="L1437" t="s">
        <v>143</v>
      </c>
      <c r="M1437" t="s">
        <v>663</v>
      </c>
      <c r="N1437" t="s">
        <v>86</v>
      </c>
      <c r="O1437" s="6" t="s">
        <v>218</v>
      </c>
      <c r="P1437" t="s">
        <v>206</v>
      </c>
      <c r="Q1437">
        <v>14</v>
      </c>
      <c r="R1437" t="s">
        <v>213</v>
      </c>
      <c r="S1437" s="2" t="s">
        <v>7</v>
      </c>
      <c r="T1437" s="2">
        <v>54</v>
      </c>
      <c r="U1437">
        <v>8.0500000000000007</v>
      </c>
      <c r="V1437">
        <v>391</v>
      </c>
      <c r="W1437" s="16">
        <v>21</v>
      </c>
      <c r="X1437">
        <v>8.5555559999999993</v>
      </c>
      <c r="Y1437" s="6">
        <f t="shared" ref="Y1437:Y1444" si="28">Z1437*SQRT(T1437)</f>
        <v>13.383877232631432</v>
      </c>
      <c r="Z1437">
        <v>1.821315</v>
      </c>
      <c r="AA1437" s="6"/>
      <c r="AB1437" s="6"/>
    </row>
    <row r="1438" spans="1:28" x14ac:dyDescent="0.2">
      <c r="A1438" t="s">
        <v>215</v>
      </c>
      <c r="B1438">
        <v>2019</v>
      </c>
      <c r="C1438" t="s">
        <v>826</v>
      </c>
      <c r="D1438" t="s">
        <v>812</v>
      </c>
      <c r="E1438" t="s">
        <v>175</v>
      </c>
      <c r="F1438" t="s">
        <v>216</v>
      </c>
      <c r="G1438">
        <v>-30.267700000000001</v>
      </c>
      <c r="H1438">
        <v>153.14349999999999</v>
      </c>
      <c r="I1438" t="s">
        <v>764</v>
      </c>
      <c r="J1438" t="s">
        <v>5</v>
      </c>
      <c r="K1438" t="s">
        <v>217</v>
      </c>
      <c r="L1438" t="s">
        <v>143</v>
      </c>
      <c r="M1438" t="s">
        <v>663</v>
      </c>
      <c r="N1438" t="s">
        <v>86</v>
      </c>
      <c r="O1438" s="6" t="s">
        <v>218</v>
      </c>
      <c r="P1438" t="s">
        <v>206</v>
      </c>
      <c r="Q1438">
        <v>14</v>
      </c>
      <c r="R1438" t="s">
        <v>213</v>
      </c>
      <c r="S1438" s="2" t="s">
        <v>9</v>
      </c>
      <c r="T1438" s="2">
        <v>54</v>
      </c>
      <c r="U1438">
        <v>7.83</v>
      </c>
      <c r="V1438">
        <v>704</v>
      </c>
      <c r="W1438" t="s">
        <v>28</v>
      </c>
      <c r="X1438">
        <v>23.518519000000001</v>
      </c>
      <c r="Y1438" s="6">
        <f t="shared" si="28"/>
        <v>28.933267513695959</v>
      </c>
      <c r="Z1438">
        <v>3.937319</v>
      </c>
      <c r="AA1438" s="6"/>
      <c r="AB1438" s="6"/>
    </row>
    <row r="1439" spans="1:28" x14ac:dyDescent="0.2">
      <c r="A1439" t="s">
        <v>215</v>
      </c>
      <c r="B1439">
        <v>2019</v>
      </c>
      <c r="C1439" t="s">
        <v>826</v>
      </c>
      <c r="D1439" t="s">
        <v>812</v>
      </c>
      <c r="E1439" t="s">
        <v>175</v>
      </c>
      <c r="F1439" t="s">
        <v>216</v>
      </c>
      <c r="G1439">
        <v>-30.267700000000001</v>
      </c>
      <c r="H1439">
        <v>153.14349999999999</v>
      </c>
      <c r="I1439" t="s">
        <v>764</v>
      </c>
      <c r="J1439" t="s">
        <v>14</v>
      </c>
      <c r="K1439" t="s">
        <v>217</v>
      </c>
      <c r="L1439" t="s">
        <v>143</v>
      </c>
      <c r="M1439" t="s">
        <v>663</v>
      </c>
      <c r="N1439" t="s">
        <v>86</v>
      </c>
      <c r="O1439" s="6" t="s">
        <v>218</v>
      </c>
      <c r="P1439" t="s">
        <v>206</v>
      </c>
      <c r="Q1439">
        <v>14</v>
      </c>
      <c r="R1439" t="s">
        <v>213</v>
      </c>
      <c r="S1439" s="2" t="s">
        <v>27</v>
      </c>
      <c r="T1439" s="2">
        <v>54</v>
      </c>
      <c r="U1439" t="s">
        <v>28</v>
      </c>
      <c r="V1439" t="s">
        <v>28</v>
      </c>
      <c r="W1439" s="16">
        <v>23.5</v>
      </c>
      <c r="X1439">
        <v>2.925926</v>
      </c>
      <c r="Y1439" s="6">
        <f t="shared" si="28"/>
        <v>9.8833677794840771</v>
      </c>
      <c r="Z1439">
        <v>1.344956</v>
      </c>
      <c r="AA1439" s="6"/>
      <c r="AB1439" s="6"/>
    </row>
    <row r="1440" spans="1:28" x14ac:dyDescent="0.2">
      <c r="A1440" t="s">
        <v>215</v>
      </c>
      <c r="B1440">
        <v>2019</v>
      </c>
      <c r="C1440" t="s">
        <v>826</v>
      </c>
      <c r="D1440" t="s">
        <v>812</v>
      </c>
      <c r="E1440" t="s">
        <v>175</v>
      </c>
      <c r="F1440" t="s">
        <v>216</v>
      </c>
      <c r="G1440">
        <v>-30.267700000000001</v>
      </c>
      <c r="H1440">
        <v>153.14349999999999</v>
      </c>
      <c r="I1440" t="s">
        <v>764</v>
      </c>
      <c r="J1440" t="s">
        <v>16</v>
      </c>
      <c r="K1440" t="s">
        <v>217</v>
      </c>
      <c r="L1440" t="s">
        <v>143</v>
      </c>
      <c r="M1440" t="s">
        <v>663</v>
      </c>
      <c r="N1440" t="s">
        <v>86</v>
      </c>
      <c r="O1440" s="6" t="s">
        <v>218</v>
      </c>
      <c r="P1440" t="s">
        <v>206</v>
      </c>
      <c r="Q1440">
        <v>14</v>
      </c>
      <c r="R1440" t="s">
        <v>213</v>
      </c>
      <c r="S1440" s="2" t="s">
        <v>13</v>
      </c>
      <c r="T1440" s="2">
        <v>54</v>
      </c>
      <c r="U1440">
        <v>7.83</v>
      </c>
      <c r="V1440">
        <v>704</v>
      </c>
      <c r="W1440" s="16">
        <v>23.5</v>
      </c>
      <c r="X1440">
        <v>20.629629999999999</v>
      </c>
      <c r="Y1440" s="6">
        <f t="shared" si="28"/>
        <v>30.797471278359037</v>
      </c>
      <c r="Z1440">
        <v>4.1910049999999996</v>
      </c>
      <c r="AA1440" s="6"/>
      <c r="AB1440" s="6"/>
    </row>
    <row r="1441" spans="1:28" x14ac:dyDescent="0.2">
      <c r="A1441" t="s">
        <v>215</v>
      </c>
      <c r="B1441">
        <v>2019</v>
      </c>
      <c r="C1441" t="s">
        <v>826</v>
      </c>
      <c r="D1441" t="s">
        <v>812</v>
      </c>
      <c r="E1441" t="s">
        <v>175</v>
      </c>
      <c r="F1441" t="s">
        <v>216</v>
      </c>
      <c r="G1441">
        <v>-30.267700000000001</v>
      </c>
      <c r="H1441">
        <v>153.14349999999999</v>
      </c>
      <c r="I1441" t="s">
        <v>764</v>
      </c>
      <c r="J1441" t="s">
        <v>7</v>
      </c>
      <c r="K1441" t="s">
        <v>217</v>
      </c>
      <c r="L1441" t="s">
        <v>143</v>
      </c>
      <c r="M1441" t="s">
        <v>726</v>
      </c>
      <c r="N1441" t="s">
        <v>85</v>
      </c>
      <c r="O1441" s="6" t="s">
        <v>84</v>
      </c>
      <c r="Q1441">
        <v>14</v>
      </c>
      <c r="R1441" t="s">
        <v>213</v>
      </c>
      <c r="S1441" s="2" t="s">
        <v>7</v>
      </c>
      <c r="T1441" s="2">
        <v>7</v>
      </c>
      <c r="U1441">
        <v>8.0500000000000007</v>
      </c>
      <c r="V1441">
        <v>391</v>
      </c>
      <c r="W1441">
        <v>21</v>
      </c>
      <c r="X1441">
        <v>0.80191666669999995</v>
      </c>
      <c r="Y1441" s="6">
        <f t="shared" si="28"/>
        <v>6.2814028024851965E-3</v>
      </c>
      <c r="Z1441">
        <v>2.3741471000000001E-3</v>
      </c>
      <c r="AA1441" s="6"/>
      <c r="AB1441" s="6"/>
    </row>
    <row r="1442" spans="1:28" x14ac:dyDescent="0.2">
      <c r="A1442" t="s">
        <v>215</v>
      </c>
      <c r="B1442">
        <v>2019</v>
      </c>
      <c r="C1442" t="s">
        <v>826</v>
      </c>
      <c r="D1442" t="s">
        <v>812</v>
      </c>
      <c r="E1442" t="s">
        <v>175</v>
      </c>
      <c r="F1442" t="s">
        <v>216</v>
      </c>
      <c r="G1442">
        <v>-30.267700000000001</v>
      </c>
      <c r="H1442">
        <v>153.14349999999999</v>
      </c>
      <c r="I1442" t="s">
        <v>764</v>
      </c>
      <c r="J1442" t="s">
        <v>5</v>
      </c>
      <c r="K1442" t="s">
        <v>217</v>
      </c>
      <c r="L1442" t="s">
        <v>143</v>
      </c>
      <c r="M1442" t="s">
        <v>726</v>
      </c>
      <c r="N1442" t="s">
        <v>85</v>
      </c>
      <c r="O1442" s="6" t="s">
        <v>84</v>
      </c>
      <c r="Q1442">
        <v>14</v>
      </c>
      <c r="R1442" t="s">
        <v>213</v>
      </c>
      <c r="S1442" s="2" t="s">
        <v>9</v>
      </c>
      <c r="T1442" s="2">
        <v>7</v>
      </c>
      <c r="U1442">
        <v>7.83</v>
      </c>
      <c r="V1442">
        <v>704</v>
      </c>
      <c r="W1442" t="s">
        <v>28</v>
      </c>
      <c r="X1442">
        <v>0.79566666649999995</v>
      </c>
      <c r="Y1442" s="6">
        <f t="shared" si="28"/>
        <v>1.5143144154345613E-2</v>
      </c>
      <c r="Z1442">
        <v>5.7235704999999996E-3</v>
      </c>
      <c r="AA1442" s="6"/>
      <c r="AB1442" s="6"/>
    </row>
    <row r="1443" spans="1:28" x14ac:dyDescent="0.2">
      <c r="A1443" t="s">
        <v>215</v>
      </c>
      <c r="B1443">
        <v>2019</v>
      </c>
      <c r="C1443" t="s">
        <v>826</v>
      </c>
      <c r="D1443" t="s">
        <v>812</v>
      </c>
      <c r="E1443" t="s">
        <v>175</v>
      </c>
      <c r="F1443" t="s">
        <v>216</v>
      </c>
      <c r="G1443">
        <v>-30.267700000000001</v>
      </c>
      <c r="H1443">
        <v>153.14349999999999</v>
      </c>
      <c r="I1443" t="s">
        <v>764</v>
      </c>
      <c r="J1443" t="s">
        <v>14</v>
      </c>
      <c r="K1443" t="s">
        <v>217</v>
      </c>
      <c r="L1443" t="s">
        <v>143</v>
      </c>
      <c r="M1443" t="s">
        <v>726</v>
      </c>
      <c r="N1443" t="s">
        <v>85</v>
      </c>
      <c r="O1443" s="6" t="s">
        <v>84</v>
      </c>
      <c r="Q1443">
        <v>14</v>
      </c>
      <c r="R1443" t="s">
        <v>213</v>
      </c>
      <c r="S1443" s="2" t="s">
        <v>27</v>
      </c>
      <c r="T1443" s="2">
        <v>7</v>
      </c>
      <c r="U1443" t="s">
        <v>28</v>
      </c>
      <c r="V1443" t="s">
        <v>28</v>
      </c>
      <c r="W1443" s="16">
        <v>23.5</v>
      </c>
      <c r="X1443">
        <v>0.80316666650000001</v>
      </c>
      <c r="Y1443" s="6">
        <f t="shared" si="28"/>
        <v>1.231793338387743E-2</v>
      </c>
      <c r="Z1443">
        <v>4.6557411999999998E-3</v>
      </c>
      <c r="AA1443" s="6"/>
      <c r="AB1443" s="6"/>
    </row>
    <row r="1444" spans="1:28" x14ac:dyDescent="0.2">
      <c r="A1444" t="s">
        <v>215</v>
      </c>
      <c r="B1444">
        <v>2019</v>
      </c>
      <c r="C1444" t="s">
        <v>826</v>
      </c>
      <c r="D1444" t="s">
        <v>812</v>
      </c>
      <c r="E1444" t="s">
        <v>175</v>
      </c>
      <c r="F1444" t="s">
        <v>216</v>
      </c>
      <c r="G1444">
        <v>-30.267700000000001</v>
      </c>
      <c r="H1444">
        <v>153.14349999999999</v>
      </c>
      <c r="I1444" t="s">
        <v>764</v>
      </c>
      <c r="J1444" t="s">
        <v>16</v>
      </c>
      <c r="K1444" t="s">
        <v>217</v>
      </c>
      <c r="L1444" t="s">
        <v>143</v>
      </c>
      <c r="M1444" t="s">
        <v>726</v>
      </c>
      <c r="N1444" t="s">
        <v>85</v>
      </c>
      <c r="O1444" s="6" t="s">
        <v>84</v>
      </c>
      <c r="Q1444">
        <v>14</v>
      </c>
      <c r="R1444" t="s">
        <v>213</v>
      </c>
      <c r="S1444" s="2" t="s">
        <v>13</v>
      </c>
      <c r="T1444" s="2">
        <v>7</v>
      </c>
      <c r="U1444">
        <v>7.83</v>
      </c>
      <c r="V1444">
        <v>704</v>
      </c>
      <c r="W1444" s="16">
        <v>23.5</v>
      </c>
      <c r="X1444">
        <v>0.80208333330000003</v>
      </c>
      <c r="Y1444" s="6">
        <f t="shared" si="28"/>
        <v>1.2179692084148912E-2</v>
      </c>
      <c r="Z1444">
        <v>4.6034908999999999E-3</v>
      </c>
      <c r="AA1444" s="6"/>
      <c r="AB1444" s="6"/>
    </row>
    <row r="1445" spans="1:28" x14ac:dyDescent="0.2">
      <c r="A1445" t="s">
        <v>219</v>
      </c>
      <c r="B1445">
        <v>2015</v>
      </c>
      <c r="C1445" t="s">
        <v>816</v>
      </c>
      <c r="D1445" t="s">
        <v>817</v>
      </c>
      <c r="E1445" t="s">
        <v>31</v>
      </c>
      <c r="F1445" t="s">
        <v>334</v>
      </c>
      <c r="G1445">
        <v>44.498058</v>
      </c>
      <c r="H1445">
        <v>-63.526552000000002</v>
      </c>
      <c r="I1445" t="s">
        <v>771</v>
      </c>
      <c r="J1445" t="s">
        <v>7</v>
      </c>
      <c r="K1445" t="s">
        <v>220</v>
      </c>
      <c r="L1445" t="s">
        <v>143</v>
      </c>
      <c r="M1445" t="s">
        <v>12</v>
      </c>
      <c r="N1445" t="s">
        <v>85</v>
      </c>
      <c r="O1445" s="6" t="s">
        <v>12</v>
      </c>
      <c r="P1445" t="s">
        <v>70</v>
      </c>
      <c r="Q1445">
        <v>7</v>
      </c>
      <c r="R1445" t="s">
        <v>214</v>
      </c>
      <c r="S1445" s="2" t="s">
        <v>7</v>
      </c>
      <c r="T1445" s="2">
        <v>1</v>
      </c>
      <c r="U1445" t="s">
        <v>28</v>
      </c>
      <c r="V1445" t="s">
        <v>28</v>
      </c>
      <c r="W1445">
        <v>12.7</v>
      </c>
      <c r="X1445">
        <v>100</v>
      </c>
      <c r="Y1445" t="s">
        <v>28</v>
      </c>
    </row>
    <row r="1446" spans="1:28" x14ac:dyDescent="0.2">
      <c r="A1446" t="s">
        <v>219</v>
      </c>
      <c r="B1446">
        <v>2015</v>
      </c>
      <c r="C1446" t="s">
        <v>816</v>
      </c>
      <c r="D1446" t="s">
        <v>817</v>
      </c>
      <c r="E1446" t="s">
        <v>31</v>
      </c>
      <c r="F1446" t="s">
        <v>334</v>
      </c>
      <c r="G1446">
        <v>44.498058</v>
      </c>
      <c r="H1446">
        <v>-63.526552000000002</v>
      </c>
      <c r="I1446" t="s">
        <v>771</v>
      </c>
      <c r="J1446" t="s">
        <v>7</v>
      </c>
      <c r="K1446" t="s">
        <v>220</v>
      </c>
      <c r="L1446" t="s">
        <v>143</v>
      </c>
      <c r="M1446" t="s">
        <v>12</v>
      </c>
      <c r="N1446" t="s">
        <v>85</v>
      </c>
      <c r="O1446" s="6" t="s">
        <v>12</v>
      </c>
      <c r="P1446" t="s">
        <v>70</v>
      </c>
      <c r="Q1446">
        <v>14</v>
      </c>
      <c r="R1446" t="s">
        <v>214</v>
      </c>
      <c r="S1446" s="2" t="s">
        <v>7</v>
      </c>
      <c r="T1446" s="2">
        <v>1</v>
      </c>
      <c r="U1446" t="s">
        <v>28</v>
      </c>
      <c r="V1446" t="s">
        <v>28</v>
      </c>
      <c r="W1446">
        <v>12.7</v>
      </c>
      <c r="X1446">
        <v>100</v>
      </c>
      <c r="Y1446" t="s">
        <v>28</v>
      </c>
    </row>
    <row r="1447" spans="1:28" x14ac:dyDescent="0.2">
      <c r="A1447" t="s">
        <v>219</v>
      </c>
      <c r="B1447">
        <v>2015</v>
      </c>
      <c r="C1447" t="s">
        <v>816</v>
      </c>
      <c r="D1447" t="s">
        <v>817</v>
      </c>
      <c r="E1447" t="s">
        <v>31</v>
      </c>
      <c r="F1447" t="s">
        <v>334</v>
      </c>
      <c r="G1447">
        <v>44.498058</v>
      </c>
      <c r="H1447">
        <v>-63.526552000000002</v>
      </c>
      <c r="I1447" t="s">
        <v>771</v>
      </c>
      <c r="J1447" t="s">
        <v>7</v>
      </c>
      <c r="K1447" t="s">
        <v>220</v>
      </c>
      <c r="L1447" t="s">
        <v>143</v>
      </c>
      <c r="M1447" t="s">
        <v>12</v>
      </c>
      <c r="N1447" t="s">
        <v>85</v>
      </c>
      <c r="O1447" s="6" t="s">
        <v>12</v>
      </c>
      <c r="P1447" t="s">
        <v>70</v>
      </c>
      <c r="Q1447">
        <v>21</v>
      </c>
      <c r="R1447" t="s">
        <v>214</v>
      </c>
      <c r="S1447" s="2" t="s">
        <v>7</v>
      </c>
      <c r="T1447" s="2">
        <v>1</v>
      </c>
      <c r="U1447" t="s">
        <v>28</v>
      </c>
      <c r="V1447" t="s">
        <v>28</v>
      </c>
      <c r="W1447">
        <v>12.7</v>
      </c>
      <c r="X1447">
        <v>100</v>
      </c>
      <c r="Y1447" t="s">
        <v>28</v>
      </c>
    </row>
    <row r="1448" spans="1:28" x14ac:dyDescent="0.2">
      <c r="A1448" t="s">
        <v>219</v>
      </c>
      <c r="B1448">
        <v>2015</v>
      </c>
      <c r="C1448" t="s">
        <v>816</v>
      </c>
      <c r="D1448" t="s">
        <v>817</v>
      </c>
      <c r="E1448" t="s">
        <v>31</v>
      </c>
      <c r="F1448" t="s">
        <v>334</v>
      </c>
      <c r="G1448">
        <v>44.498058</v>
      </c>
      <c r="H1448">
        <v>-63.526552000000002</v>
      </c>
      <c r="I1448" t="s">
        <v>771</v>
      </c>
      <c r="J1448" t="s">
        <v>7</v>
      </c>
      <c r="K1448" t="s">
        <v>220</v>
      </c>
      <c r="L1448" t="s">
        <v>143</v>
      </c>
      <c r="M1448" t="s">
        <v>12</v>
      </c>
      <c r="N1448" t="s">
        <v>85</v>
      </c>
      <c r="O1448" s="6" t="s">
        <v>12</v>
      </c>
      <c r="P1448" t="s">
        <v>70</v>
      </c>
      <c r="Q1448">
        <v>28</v>
      </c>
      <c r="R1448" t="s">
        <v>213</v>
      </c>
      <c r="S1448" s="2" t="s">
        <v>7</v>
      </c>
      <c r="T1448" s="2">
        <v>1</v>
      </c>
      <c r="U1448" t="s">
        <v>28</v>
      </c>
      <c r="V1448" t="s">
        <v>28</v>
      </c>
      <c r="W1448">
        <v>12.7</v>
      </c>
      <c r="X1448">
        <v>100</v>
      </c>
      <c r="Y1448" t="s">
        <v>28</v>
      </c>
    </row>
    <row r="1449" spans="1:28" x14ac:dyDescent="0.2">
      <c r="A1449" t="s">
        <v>219</v>
      </c>
      <c r="B1449">
        <v>2015</v>
      </c>
      <c r="C1449" t="s">
        <v>816</v>
      </c>
      <c r="D1449" t="s">
        <v>817</v>
      </c>
      <c r="E1449" t="s">
        <v>31</v>
      </c>
      <c r="F1449" t="s">
        <v>334</v>
      </c>
      <c r="G1449">
        <v>44.498058</v>
      </c>
      <c r="H1449">
        <v>-63.526552000000002</v>
      </c>
      <c r="I1449" t="s">
        <v>771</v>
      </c>
      <c r="J1449" t="s">
        <v>7</v>
      </c>
      <c r="K1449" t="s">
        <v>220</v>
      </c>
      <c r="L1449" t="s">
        <v>143</v>
      </c>
      <c r="M1449" t="s">
        <v>12</v>
      </c>
      <c r="N1449" t="s">
        <v>85</v>
      </c>
      <c r="O1449" s="6" t="s">
        <v>12</v>
      </c>
      <c r="P1449" t="s">
        <v>70</v>
      </c>
      <c r="Q1449">
        <v>35</v>
      </c>
      <c r="R1449" t="s">
        <v>214</v>
      </c>
      <c r="S1449" s="2" t="s">
        <v>7</v>
      </c>
      <c r="T1449" s="2">
        <v>1</v>
      </c>
      <c r="U1449" t="s">
        <v>28</v>
      </c>
      <c r="V1449" t="s">
        <v>28</v>
      </c>
      <c r="W1449">
        <v>12.7</v>
      </c>
      <c r="X1449">
        <v>100</v>
      </c>
      <c r="Y1449" t="s">
        <v>28</v>
      </c>
    </row>
    <row r="1450" spans="1:28" x14ac:dyDescent="0.2">
      <c r="A1450" t="s">
        <v>219</v>
      </c>
      <c r="B1450">
        <v>2015</v>
      </c>
      <c r="C1450" t="s">
        <v>816</v>
      </c>
      <c r="D1450" t="s">
        <v>817</v>
      </c>
      <c r="E1450" t="s">
        <v>31</v>
      </c>
      <c r="F1450" t="s">
        <v>334</v>
      </c>
      <c r="G1450">
        <v>44.498058</v>
      </c>
      <c r="H1450">
        <v>-63.526552000000002</v>
      </c>
      <c r="I1450" t="s">
        <v>771</v>
      </c>
      <c r="J1450" t="s">
        <v>7</v>
      </c>
      <c r="K1450" t="s">
        <v>220</v>
      </c>
      <c r="L1450" t="s">
        <v>143</v>
      </c>
      <c r="M1450" t="s">
        <v>12</v>
      </c>
      <c r="N1450" t="s">
        <v>85</v>
      </c>
      <c r="O1450" s="6" t="s">
        <v>12</v>
      </c>
      <c r="P1450" t="s">
        <v>70</v>
      </c>
      <c r="Q1450">
        <v>42</v>
      </c>
      <c r="R1450" t="s">
        <v>214</v>
      </c>
      <c r="S1450" s="2" t="s">
        <v>7</v>
      </c>
      <c r="T1450" s="2">
        <v>1</v>
      </c>
      <c r="U1450" t="s">
        <v>28</v>
      </c>
      <c r="V1450" t="s">
        <v>28</v>
      </c>
      <c r="W1450">
        <v>12.7</v>
      </c>
      <c r="X1450">
        <v>100</v>
      </c>
      <c r="Y1450" t="s">
        <v>28</v>
      </c>
    </row>
    <row r="1451" spans="1:28" x14ac:dyDescent="0.2">
      <c r="A1451" t="s">
        <v>219</v>
      </c>
      <c r="B1451">
        <v>2015</v>
      </c>
      <c r="C1451" t="s">
        <v>816</v>
      </c>
      <c r="D1451" t="s">
        <v>817</v>
      </c>
      <c r="E1451" t="s">
        <v>31</v>
      </c>
      <c r="F1451" t="s">
        <v>334</v>
      </c>
      <c r="G1451">
        <v>44.498058</v>
      </c>
      <c r="H1451">
        <v>-63.526552000000002</v>
      </c>
      <c r="I1451" t="s">
        <v>771</v>
      </c>
      <c r="J1451" t="s">
        <v>7</v>
      </c>
      <c r="K1451" t="s">
        <v>220</v>
      </c>
      <c r="L1451" t="s">
        <v>143</v>
      </c>
      <c r="M1451" t="s">
        <v>12</v>
      </c>
      <c r="N1451" t="s">
        <v>85</v>
      </c>
      <c r="O1451" s="6" t="s">
        <v>12</v>
      </c>
      <c r="P1451" t="s">
        <v>70</v>
      </c>
      <c r="Q1451">
        <v>49</v>
      </c>
      <c r="R1451" t="s">
        <v>214</v>
      </c>
      <c r="S1451" s="2" t="s">
        <v>7</v>
      </c>
      <c r="T1451" s="2">
        <v>1</v>
      </c>
      <c r="U1451" t="s">
        <v>28</v>
      </c>
      <c r="V1451" t="s">
        <v>28</v>
      </c>
      <c r="W1451">
        <v>12.7</v>
      </c>
      <c r="X1451">
        <v>100</v>
      </c>
      <c r="Y1451" t="s">
        <v>28</v>
      </c>
    </row>
    <row r="1452" spans="1:28" x14ac:dyDescent="0.2">
      <c r="A1452" t="s">
        <v>219</v>
      </c>
      <c r="B1452">
        <v>2015</v>
      </c>
      <c r="C1452" t="s">
        <v>816</v>
      </c>
      <c r="D1452" t="s">
        <v>817</v>
      </c>
      <c r="E1452" t="s">
        <v>31</v>
      </c>
      <c r="F1452" t="s">
        <v>334</v>
      </c>
      <c r="G1452">
        <v>44.498058</v>
      </c>
      <c r="H1452">
        <v>-63.526552000000002</v>
      </c>
      <c r="I1452" t="s">
        <v>771</v>
      </c>
      <c r="J1452" t="s">
        <v>7</v>
      </c>
      <c r="K1452" t="s">
        <v>220</v>
      </c>
      <c r="L1452" t="s">
        <v>143</v>
      </c>
      <c r="M1452" t="s">
        <v>12</v>
      </c>
      <c r="N1452" t="s">
        <v>85</v>
      </c>
      <c r="O1452" s="6" t="s">
        <v>12</v>
      </c>
      <c r="P1452" t="s">
        <v>70</v>
      </c>
      <c r="Q1452">
        <v>56</v>
      </c>
      <c r="R1452" t="s">
        <v>214</v>
      </c>
      <c r="S1452" s="2" t="s">
        <v>7</v>
      </c>
      <c r="T1452" s="2">
        <v>1</v>
      </c>
      <c r="U1452" t="s">
        <v>28</v>
      </c>
      <c r="V1452" t="s">
        <v>28</v>
      </c>
      <c r="W1452">
        <v>12.7</v>
      </c>
      <c r="X1452">
        <v>100</v>
      </c>
      <c r="Y1452" t="s">
        <v>28</v>
      </c>
    </row>
    <row r="1453" spans="1:28" x14ac:dyDescent="0.2">
      <c r="A1453" t="s">
        <v>219</v>
      </c>
      <c r="B1453">
        <v>2015</v>
      </c>
      <c r="C1453" t="s">
        <v>816</v>
      </c>
      <c r="D1453" t="s">
        <v>817</v>
      </c>
      <c r="E1453" t="s">
        <v>31</v>
      </c>
      <c r="F1453" t="s">
        <v>334</v>
      </c>
      <c r="G1453">
        <v>44.498058</v>
      </c>
      <c r="H1453">
        <v>-63.526552000000002</v>
      </c>
      <c r="I1453" t="s">
        <v>771</v>
      </c>
      <c r="J1453" t="s">
        <v>7</v>
      </c>
      <c r="K1453" t="s">
        <v>220</v>
      </c>
      <c r="L1453" t="s">
        <v>143</v>
      </c>
      <c r="M1453" t="s">
        <v>12</v>
      </c>
      <c r="N1453" t="s">
        <v>85</v>
      </c>
      <c r="O1453" s="6" t="s">
        <v>12</v>
      </c>
      <c r="P1453" t="s">
        <v>70</v>
      </c>
      <c r="Q1453">
        <v>63</v>
      </c>
      <c r="R1453" t="s">
        <v>213</v>
      </c>
      <c r="S1453" s="2" t="s">
        <v>7</v>
      </c>
      <c r="T1453" s="2">
        <v>1</v>
      </c>
      <c r="U1453" t="s">
        <v>28</v>
      </c>
      <c r="V1453" t="s">
        <v>28</v>
      </c>
      <c r="W1453">
        <v>12.7</v>
      </c>
      <c r="X1453">
        <v>100</v>
      </c>
      <c r="Y1453" t="s">
        <v>28</v>
      </c>
    </row>
    <row r="1454" spans="1:28" x14ac:dyDescent="0.2">
      <c r="A1454" t="s">
        <v>219</v>
      </c>
      <c r="B1454">
        <v>2015</v>
      </c>
      <c r="C1454" t="s">
        <v>816</v>
      </c>
      <c r="D1454" t="s">
        <v>817</v>
      </c>
      <c r="E1454" t="s">
        <v>31</v>
      </c>
      <c r="F1454" t="s">
        <v>334</v>
      </c>
      <c r="G1454">
        <v>44.498058</v>
      </c>
      <c r="H1454">
        <v>-63.526552000000002</v>
      </c>
      <c r="I1454" t="s">
        <v>771</v>
      </c>
      <c r="J1454" t="s">
        <v>14</v>
      </c>
      <c r="K1454" t="s">
        <v>220</v>
      </c>
      <c r="L1454" t="s">
        <v>143</v>
      </c>
      <c r="M1454" t="s">
        <v>12</v>
      </c>
      <c r="N1454" t="s">
        <v>85</v>
      </c>
      <c r="O1454" s="6" t="s">
        <v>12</v>
      </c>
      <c r="P1454" t="s">
        <v>70</v>
      </c>
      <c r="Q1454">
        <v>7</v>
      </c>
      <c r="R1454" t="s">
        <v>214</v>
      </c>
      <c r="S1454" s="2" t="s">
        <v>9</v>
      </c>
      <c r="T1454" s="2">
        <v>1</v>
      </c>
      <c r="U1454" t="s">
        <v>28</v>
      </c>
      <c r="V1454" t="s">
        <v>28</v>
      </c>
      <c r="W1454">
        <v>16.399999999999999</v>
      </c>
      <c r="X1454">
        <v>100</v>
      </c>
      <c r="Y1454" t="s">
        <v>28</v>
      </c>
    </row>
    <row r="1455" spans="1:28" x14ac:dyDescent="0.2">
      <c r="A1455" t="s">
        <v>219</v>
      </c>
      <c r="B1455">
        <v>2015</v>
      </c>
      <c r="C1455" t="s">
        <v>816</v>
      </c>
      <c r="D1455" t="s">
        <v>817</v>
      </c>
      <c r="E1455" t="s">
        <v>31</v>
      </c>
      <c r="F1455" t="s">
        <v>334</v>
      </c>
      <c r="G1455">
        <v>44.498058</v>
      </c>
      <c r="H1455">
        <v>-63.526552000000002</v>
      </c>
      <c r="I1455" t="s">
        <v>771</v>
      </c>
      <c r="J1455" t="s">
        <v>14</v>
      </c>
      <c r="K1455" t="s">
        <v>220</v>
      </c>
      <c r="L1455" t="s">
        <v>143</v>
      </c>
      <c r="M1455" t="s">
        <v>12</v>
      </c>
      <c r="N1455" t="s">
        <v>85</v>
      </c>
      <c r="O1455" s="6" t="s">
        <v>12</v>
      </c>
      <c r="P1455" t="s">
        <v>70</v>
      </c>
      <c r="Q1455">
        <v>14</v>
      </c>
      <c r="R1455" t="s">
        <v>214</v>
      </c>
      <c r="S1455" s="2" t="s">
        <v>9</v>
      </c>
      <c r="T1455" s="2">
        <v>1</v>
      </c>
      <c r="U1455" t="s">
        <v>28</v>
      </c>
      <c r="V1455" t="s">
        <v>28</v>
      </c>
      <c r="W1455">
        <v>16.399999999999999</v>
      </c>
      <c r="X1455">
        <v>100</v>
      </c>
      <c r="Y1455" t="s">
        <v>28</v>
      </c>
    </row>
    <row r="1456" spans="1:28" x14ac:dyDescent="0.2">
      <c r="A1456" t="s">
        <v>219</v>
      </c>
      <c r="B1456">
        <v>2015</v>
      </c>
      <c r="C1456" t="s">
        <v>816</v>
      </c>
      <c r="D1456" t="s">
        <v>817</v>
      </c>
      <c r="E1456" t="s">
        <v>31</v>
      </c>
      <c r="F1456" t="s">
        <v>334</v>
      </c>
      <c r="G1456">
        <v>44.498058</v>
      </c>
      <c r="H1456">
        <v>-63.526552000000002</v>
      </c>
      <c r="I1456" t="s">
        <v>771</v>
      </c>
      <c r="J1456" t="s">
        <v>14</v>
      </c>
      <c r="K1456" t="s">
        <v>220</v>
      </c>
      <c r="L1456" t="s">
        <v>143</v>
      </c>
      <c r="M1456" t="s">
        <v>12</v>
      </c>
      <c r="N1456" t="s">
        <v>85</v>
      </c>
      <c r="O1456" s="6" t="s">
        <v>12</v>
      </c>
      <c r="P1456" t="s">
        <v>70</v>
      </c>
      <c r="Q1456">
        <v>21</v>
      </c>
      <c r="R1456" t="s">
        <v>214</v>
      </c>
      <c r="S1456" s="2" t="s">
        <v>9</v>
      </c>
      <c r="T1456" s="2">
        <v>1</v>
      </c>
      <c r="U1456" t="s">
        <v>28</v>
      </c>
      <c r="V1456" t="s">
        <v>28</v>
      </c>
      <c r="W1456">
        <v>16.399999999999999</v>
      </c>
      <c r="X1456">
        <v>100</v>
      </c>
      <c r="Y1456" t="s">
        <v>28</v>
      </c>
    </row>
    <row r="1457" spans="1:25" x14ac:dyDescent="0.2">
      <c r="A1457" t="s">
        <v>219</v>
      </c>
      <c r="B1457">
        <v>2015</v>
      </c>
      <c r="C1457" t="s">
        <v>816</v>
      </c>
      <c r="D1457" t="s">
        <v>817</v>
      </c>
      <c r="E1457" t="s">
        <v>31</v>
      </c>
      <c r="F1457" t="s">
        <v>334</v>
      </c>
      <c r="G1457">
        <v>44.498058</v>
      </c>
      <c r="H1457">
        <v>-63.526552000000002</v>
      </c>
      <c r="I1457" t="s">
        <v>771</v>
      </c>
      <c r="J1457" t="s">
        <v>14</v>
      </c>
      <c r="K1457" t="s">
        <v>220</v>
      </c>
      <c r="L1457" t="s">
        <v>143</v>
      </c>
      <c r="M1457" t="s">
        <v>12</v>
      </c>
      <c r="N1457" t="s">
        <v>85</v>
      </c>
      <c r="O1457" s="6" t="s">
        <v>12</v>
      </c>
      <c r="P1457" t="s">
        <v>70</v>
      </c>
      <c r="Q1457">
        <v>28</v>
      </c>
      <c r="R1457" t="s">
        <v>213</v>
      </c>
      <c r="S1457" s="2" t="s">
        <v>9</v>
      </c>
      <c r="T1457" s="2">
        <v>1</v>
      </c>
      <c r="U1457" t="s">
        <v>28</v>
      </c>
      <c r="V1457" t="s">
        <v>28</v>
      </c>
      <c r="W1457">
        <v>16.399999999999999</v>
      </c>
      <c r="X1457">
        <v>100</v>
      </c>
      <c r="Y1457" t="s">
        <v>28</v>
      </c>
    </row>
    <row r="1458" spans="1:25" x14ac:dyDescent="0.2">
      <c r="A1458" t="s">
        <v>219</v>
      </c>
      <c r="B1458">
        <v>2015</v>
      </c>
      <c r="C1458" t="s">
        <v>816</v>
      </c>
      <c r="D1458" t="s">
        <v>817</v>
      </c>
      <c r="E1458" t="s">
        <v>31</v>
      </c>
      <c r="F1458" t="s">
        <v>334</v>
      </c>
      <c r="G1458">
        <v>44.498058</v>
      </c>
      <c r="H1458">
        <v>-63.526552000000002</v>
      </c>
      <c r="I1458" t="s">
        <v>771</v>
      </c>
      <c r="J1458" t="s">
        <v>14</v>
      </c>
      <c r="K1458" t="s">
        <v>220</v>
      </c>
      <c r="L1458" t="s">
        <v>143</v>
      </c>
      <c r="M1458" t="s">
        <v>12</v>
      </c>
      <c r="N1458" t="s">
        <v>85</v>
      </c>
      <c r="O1458" s="6" t="s">
        <v>12</v>
      </c>
      <c r="P1458" t="s">
        <v>70</v>
      </c>
      <c r="Q1458">
        <v>7</v>
      </c>
      <c r="R1458" t="s">
        <v>214</v>
      </c>
      <c r="S1458" s="2" t="s">
        <v>27</v>
      </c>
      <c r="T1458" s="2">
        <v>1</v>
      </c>
      <c r="U1458" t="s">
        <v>28</v>
      </c>
      <c r="V1458" t="s">
        <v>28</v>
      </c>
      <c r="W1458">
        <v>20.6</v>
      </c>
      <c r="X1458">
        <v>100</v>
      </c>
      <c r="Y1458" t="s">
        <v>28</v>
      </c>
    </row>
    <row r="1459" spans="1:25" x14ac:dyDescent="0.2">
      <c r="A1459" t="s">
        <v>219</v>
      </c>
      <c r="B1459">
        <v>2015</v>
      </c>
      <c r="C1459" t="s">
        <v>816</v>
      </c>
      <c r="D1459" t="s">
        <v>817</v>
      </c>
      <c r="E1459" t="s">
        <v>31</v>
      </c>
      <c r="F1459" t="s">
        <v>334</v>
      </c>
      <c r="G1459">
        <v>44.498058</v>
      </c>
      <c r="H1459">
        <v>-63.526552000000002</v>
      </c>
      <c r="I1459" t="s">
        <v>771</v>
      </c>
      <c r="J1459" t="s">
        <v>14</v>
      </c>
      <c r="K1459" t="s">
        <v>220</v>
      </c>
      <c r="L1459" t="s">
        <v>143</v>
      </c>
      <c r="M1459" t="s">
        <v>12</v>
      </c>
      <c r="N1459" t="s">
        <v>85</v>
      </c>
      <c r="O1459" s="6" t="s">
        <v>12</v>
      </c>
      <c r="P1459" t="s">
        <v>70</v>
      </c>
      <c r="Q1459">
        <v>14</v>
      </c>
      <c r="R1459" t="s">
        <v>214</v>
      </c>
      <c r="S1459" s="2" t="s">
        <v>27</v>
      </c>
      <c r="T1459" s="2">
        <v>1</v>
      </c>
      <c r="U1459" t="s">
        <v>28</v>
      </c>
      <c r="V1459" t="s">
        <v>28</v>
      </c>
      <c r="W1459">
        <v>20.6</v>
      </c>
      <c r="X1459">
        <v>80</v>
      </c>
      <c r="Y1459" t="s">
        <v>28</v>
      </c>
    </row>
    <row r="1460" spans="1:25" x14ac:dyDescent="0.2">
      <c r="A1460" t="s">
        <v>219</v>
      </c>
      <c r="B1460">
        <v>2015</v>
      </c>
      <c r="C1460" t="s">
        <v>816</v>
      </c>
      <c r="D1460" t="s">
        <v>817</v>
      </c>
      <c r="E1460" t="s">
        <v>31</v>
      </c>
      <c r="F1460" t="s">
        <v>334</v>
      </c>
      <c r="G1460">
        <v>44.498058</v>
      </c>
      <c r="H1460">
        <v>-63.526552000000002</v>
      </c>
      <c r="I1460" t="s">
        <v>771</v>
      </c>
      <c r="J1460" t="s">
        <v>14</v>
      </c>
      <c r="K1460" t="s">
        <v>220</v>
      </c>
      <c r="L1460" t="s">
        <v>143</v>
      </c>
      <c r="M1460" t="s">
        <v>12</v>
      </c>
      <c r="N1460" t="s">
        <v>85</v>
      </c>
      <c r="O1460" s="6" t="s">
        <v>12</v>
      </c>
      <c r="P1460" t="s">
        <v>70</v>
      </c>
      <c r="Q1460">
        <v>21</v>
      </c>
      <c r="R1460" t="s">
        <v>214</v>
      </c>
      <c r="S1460" s="2" t="s">
        <v>27</v>
      </c>
      <c r="T1460" s="2">
        <v>1</v>
      </c>
      <c r="U1460" t="s">
        <v>28</v>
      </c>
      <c r="V1460" t="s">
        <v>28</v>
      </c>
      <c r="W1460">
        <v>20.6</v>
      </c>
      <c r="X1460">
        <v>80</v>
      </c>
      <c r="Y1460" t="s">
        <v>28</v>
      </c>
    </row>
    <row r="1461" spans="1:25" x14ac:dyDescent="0.2">
      <c r="A1461" t="s">
        <v>219</v>
      </c>
      <c r="B1461">
        <v>2015</v>
      </c>
      <c r="C1461" t="s">
        <v>816</v>
      </c>
      <c r="D1461" t="s">
        <v>817</v>
      </c>
      <c r="E1461" t="s">
        <v>31</v>
      </c>
      <c r="F1461" t="s">
        <v>334</v>
      </c>
      <c r="G1461">
        <v>44.498058</v>
      </c>
      <c r="H1461">
        <v>-63.526552000000002</v>
      </c>
      <c r="I1461" t="s">
        <v>771</v>
      </c>
      <c r="J1461" t="s">
        <v>14</v>
      </c>
      <c r="K1461" t="s">
        <v>220</v>
      </c>
      <c r="L1461" t="s">
        <v>143</v>
      </c>
      <c r="M1461" t="s">
        <v>12</v>
      </c>
      <c r="N1461" t="s">
        <v>85</v>
      </c>
      <c r="O1461" s="6" t="s">
        <v>12</v>
      </c>
      <c r="P1461" t="s">
        <v>70</v>
      </c>
      <c r="Q1461">
        <v>28</v>
      </c>
      <c r="R1461" t="s">
        <v>214</v>
      </c>
      <c r="S1461" s="2" t="s">
        <v>27</v>
      </c>
      <c r="T1461" s="2">
        <v>1</v>
      </c>
      <c r="U1461" t="s">
        <v>28</v>
      </c>
      <c r="V1461" t="s">
        <v>28</v>
      </c>
      <c r="W1461">
        <v>20.6</v>
      </c>
      <c r="X1461">
        <v>60</v>
      </c>
      <c r="Y1461" t="s">
        <v>28</v>
      </c>
    </row>
    <row r="1462" spans="1:25" x14ac:dyDescent="0.2">
      <c r="A1462" t="s">
        <v>219</v>
      </c>
      <c r="B1462">
        <v>2015</v>
      </c>
      <c r="C1462" t="s">
        <v>816</v>
      </c>
      <c r="D1462" t="s">
        <v>817</v>
      </c>
      <c r="E1462" t="s">
        <v>31</v>
      </c>
      <c r="F1462" t="s">
        <v>334</v>
      </c>
      <c r="G1462">
        <v>44.498058</v>
      </c>
      <c r="H1462">
        <v>-63.526552000000002</v>
      </c>
      <c r="I1462" t="s">
        <v>771</v>
      </c>
      <c r="J1462" t="s">
        <v>14</v>
      </c>
      <c r="K1462" t="s">
        <v>220</v>
      </c>
      <c r="L1462" t="s">
        <v>143</v>
      </c>
      <c r="M1462" t="s">
        <v>12</v>
      </c>
      <c r="N1462" t="s">
        <v>85</v>
      </c>
      <c r="O1462" s="6" t="s">
        <v>12</v>
      </c>
      <c r="P1462" t="s">
        <v>70</v>
      </c>
      <c r="Q1462">
        <v>35</v>
      </c>
      <c r="R1462" t="s">
        <v>214</v>
      </c>
      <c r="S1462" s="2" t="s">
        <v>27</v>
      </c>
      <c r="T1462" s="2">
        <v>1</v>
      </c>
      <c r="U1462" t="s">
        <v>28</v>
      </c>
      <c r="V1462" t="s">
        <v>28</v>
      </c>
      <c r="W1462">
        <v>20.6</v>
      </c>
      <c r="X1462">
        <v>60</v>
      </c>
      <c r="Y1462" t="s">
        <v>28</v>
      </c>
    </row>
    <row r="1463" spans="1:25" x14ac:dyDescent="0.2">
      <c r="A1463" t="s">
        <v>219</v>
      </c>
      <c r="B1463">
        <v>2015</v>
      </c>
      <c r="C1463" t="s">
        <v>816</v>
      </c>
      <c r="D1463" t="s">
        <v>817</v>
      </c>
      <c r="E1463" t="s">
        <v>31</v>
      </c>
      <c r="F1463" t="s">
        <v>334</v>
      </c>
      <c r="G1463">
        <v>44.498058</v>
      </c>
      <c r="H1463">
        <v>-63.526552000000002</v>
      </c>
      <c r="I1463" t="s">
        <v>771</v>
      </c>
      <c r="J1463" t="s">
        <v>14</v>
      </c>
      <c r="K1463" t="s">
        <v>220</v>
      </c>
      <c r="L1463" t="s">
        <v>143</v>
      </c>
      <c r="M1463" t="s">
        <v>12</v>
      </c>
      <c r="N1463" t="s">
        <v>85</v>
      </c>
      <c r="O1463" s="6" t="s">
        <v>12</v>
      </c>
      <c r="P1463" t="s">
        <v>70</v>
      </c>
      <c r="Q1463">
        <v>42</v>
      </c>
      <c r="R1463" t="s">
        <v>214</v>
      </c>
      <c r="S1463" s="2" t="s">
        <v>27</v>
      </c>
      <c r="T1463" s="2">
        <v>1</v>
      </c>
      <c r="U1463" t="s">
        <v>28</v>
      </c>
      <c r="V1463" t="s">
        <v>28</v>
      </c>
      <c r="W1463">
        <v>20.6</v>
      </c>
      <c r="X1463">
        <v>60</v>
      </c>
      <c r="Y1463" t="s">
        <v>28</v>
      </c>
    </row>
    <row r="1464" spans="1:25" x14ac:dyDescent="0.2">
      <c r="A1464" t="s">
        <v>219</v>
      </c>
      <c r="B1464">
        <v>2015</v>
      </c>
      <c r="C1464" t="s">
        <v>816</v>
      </c>
      <c r="D1464" t="s">
        <v>817</v>
      </c>
      <c r="E1464" t="s">
        <v>31</v>
      </c>
      <c r="F1464" t="s">
        <v>334</v>
      </c>
      <c r="G1464">
        <v>44.498058</v>
      </c>
      <c r="H1464">
        <v>-63.526552000000002</v>
      </c>
      <c r="I1464" t="s">
        <v>771</v>
      </c>
      <c r="J1464" t="s">
        <v>14</v>
      </c>
      <c r="K1464" t="s">
        <v>220</v>
      </c>
      <c r="L1464" t="s">
        <v>143</v>
      </c>
      <c r="M1464" t="s">
        <v>12</v>
      </c>
      <c r="N1464" t="s">
        <v>85</v>
      </c>
      <c r="O1464" s="6" t="s">
        <v>12</v>
      </c>
      <c r="P1464" t="s">
        <v>70</v>
      </c>
      <c r="Q1464">
        <v>49</v>
      </c>
      <c r="R1464" t="s">
        <v>214</v>
      </c>
      <c r="S1464" s="2" t="s">
        <v>27</v>
      </c>
      <c r="T1464" s="2">
        <v>1</v>
      </c>
      <c r="U1464" t="s">
        <v>28</v>
      </c>
      <c r="V1464" t="s">
        <v>28</v>
      </c>
      <c r="W1464">
        <v>20.6</v>
      </c>
      <c r="X1464">
        <v>60</v>
      </c>
      <c r="Y1464" t="s">
        <v>28</v>
      </c>
    </row>
    <row r="1465" spans="1:25" x14ac:dyDescent="0.2">
      <c r="A1465" t="s">
        <v>219</v>
      </c>
      <c r="B1465">
        <v>2015</v>
      </c>
      <c r="C1465" t="s">
        <v>816</v>
      </c>
      <c r="D1465" t="s">
        <v>817</v>
      </c>
      <c r="E1465" t="s">
        <v>31</v>
      </c>
      <c r="F1465" t="s">
        <v>334</v>
      </c>
      <c r="G1465">
        <v>44.498058</v>
      </c>
      <c r="H1465">
        <v>-63.526552000000002</v>
      </c>
      <c r="I1465" t="s">
        <v>771</v>
      </c>
      <c r="J1465" t="s">
        <v>14</v>
      </c>
      <c r="K1465" t="s">
        <v>220</v>
      </c>
      <c r="L1465" t="s">
        <v>143</v>
      </c>
      <c r="M1465" t="s">
        <v>12</v>
      </c>
      <c r="N1465" t="s">
        <v>85</v>
      </c>
      <c r="O1465" s="6" t="s">
        <v>12</v>
      </c>
      <c r="P1465" t="s">
        <v>70</v>
      </c>
      <c r="Q1465">
        <v>56</v>
      </c>
      <c r="R1465" t="s">
        <v>214</v>
      </c>
      <c r="S1465" s="2" t="s">
        <v>27</v>
      </c>
      <c r="T1465" s="2">
        <v>1</v>
      </c>
      <c r="U1465" t="s">
        <v>28</v>
      </c>
      <c r="V1465" t="s">
        <v>28</v>
      </c>
      <c r="W1465">
        <v>20.6</v>
      </c>
      <c r="X1465">
        <v>60</v>
      </c>
      <c r="Y1465" t="s">
        <v>28</v>
      </c>
    </row>
    <row r="1466" spans="1:25" x14ac:dyDescent="0.2">
      <c r="A1466" t="s">
        <v>219</v>
      </c>
      <c r="B1466">
        <v>2015</v>
      </c>
      <c r="C1466" t="s">
        <v>816</v>
      </c>
      <c r="D1466" t="s">
        <v>817</v>
      </c>
      <c r="E1466" t="s">
        <v>31</v>
      </c>
      <c r="F1466" t="s">
        <v>334</v>
      </c>
      <c r="G1466">
        <v>44.498058</v>
      </c>
      <c r="H1466">
        <v>-63.526552000000002</v>
      </c>
      <c r="I1466" t="s">
        <v>771</v>
      </c>
      <c r="J1466" t="s">
        <v>14</v>
      </c>
      <c r="K1466" t="s">
        <v>220</v>
      </c>
      <c r="L1466" t="s">
        <v>143</v>
      </c>
      <c r="M1466" t="s">
        <v>12</v>
      </c>
      <c r="N1466" t="s">
        <v>85</v>
      </c>
      <c r="O1466" s="6" t="s">
        <v>12</v>
      </c>
      <c r="P1466" t="s">
        <v>70</v>
      </c>
      <c r="Q1466">
        <v>63</v>
      </c>
      <c r="R1466" t="s">
        <v>213</v>
      </c>
      <c r="S1466" s="2" t="s">
        <v>27</v>
      </c>
      <c r="T1466" s="2">
        <v>1</v>
      </c>
      <c r="U1466" t="s">
        <v>28</v>
      </c>
      <c r="V1466" t="s">
        <v>28</v>
      </c>
      <c r="W1466">
        <v>20.6</v>
      </c>
      <c r="X1466">
        <v>60</v>
      </c>
      <c r="Y1466" t="s">
        <v>28</v>
      </c>
    </row>
    <row r="1467" spans="1:25" x14ac:dyDescent="0.2">
      <c r="A1467" t="s">
        <v>219</v>
      </c>
      <c r="B1467">
        <v>2015</v>
      </c>
      <c r="C1467" t="s">
        <v>816</v>
      </c>
      <c r="D1467" t="s">
        <v>817</v>
      </c>
      <c r="E1467" t="s">
        <v>31</v>
      </c>
      <c r="F1467" t="s">
        <v>334</v>
      </c>
      <c r="G1467">
        <v>44.498058</v>
      </c>
      <c r="H1467">
        <v>-63.526552000000002</v>
      </c>
      <c r="I1467" t="s">
        <v>771</v>
      </c>
      <c r="J1467" t="s">
        <v>14</v>
      </c>
      <c r="K1467" t="s">
        <v>220</v>
      </c>
      <c r="L1467" t="s">
        <v>143</v>
      </c>
      <c r="M1467" t="s">
        <v>12</v>
      </c>
      <c r="N1467" t="s">
        <v>85</v>
      </c>
      <c r="O1467" s="6" t="s">
        <v>12</v>
      </c>
      <c r="P1467" t="s">
        <v>70</v>
      </c>
      <c r="Q1467">
        <v>7</v>
      </c>
      <c r="R1467" t="s">
        <v>214</v>
      </c>
      <c r="S1467" s="2" t="s">
        <v>13</v>
      </c>
      <c r="T1467" s="2">
        <v>1</v>
      </c>
      <c r="U1467" t="s">
        <v>28</v>
      </c>
      <c r="V1467" t="s">
        <v>28</v>
      </c>
      <c r="W1467">
        <v>23.1</v>
      </c>
      <c r="X1467">
        <v>100</v>
      </c>
      <c r="Y1467" t="s">
        <v>28</v>
      </c>
    </row>
    <row r="1468" spans="1:25" x14ac:dyDescent="0.2">
      <c r="A1468" t="s">
        <v>219</v>
      </c>
      <c r="B1468">
        <v>2015</v>
      </c>
      <c r="C1468" t="s">
        <v>816</v>
      </c>
      <c r="D1468" t="s">
        <v>817</v>
      </c>
      <c r="E1468" t="s">
        <v>31</v>
      </c>
      <c r="F1468" t="s">
        <v>334</v>
      </c>
      <c r="G1468">
        <v>44.498058</v>
      </c>
      <c r="H1468">
        <v>-63.526552000000002</v>
      </c>
      <c r="I1468" t="s">
        <v>771</v>
      </c>
      <c r="J1468" t="s">
        <v>14</v>
      </c>
      <c r="K1468" t="s">
        <v>220</v>
      </c>
      <c r="L1468" t="s">
        <v>143</v>
      </c>
      <c r="M1468" t="s">
        <v>12</v>
      </c>
      <c r="N1468" t="s">
        <v>85</v>
      </c>
      <c r="O1468" s="6" t="s">
        <v>12</v>
      </c>
      <c r="P1468" t="s">
        <v>70</v>
      </c>
      <c r="Q1468">
        <v>14</v>
      </c>
      <c r="R1468" t="s">
        <v>214</v>
      </c>
      <c r="S1468" s="2" t="s">
        <v>13</v>
      </c>
      <c r="T1468" s="2">
        <v>1</v>
      </c>
      <c r="U1468" t="s">
        <v>28</v>
      </c>
      <c r="V1468" t="s">
        <v>28</v>
      </c>
      <c r="W1468">
        <v>23.1</v>
      </c>
      <c r="X1468">
        <v>80</v>
      </c>
      <c r="Y1468" t="s">
        <v>28</v>
      </c>
    </row>
    <row r="1469" spans="1:25" x14ac:dyDescent="0.2">
      <c r="A1469" t="s">
        <v>219</v>
      </c>
      <c r="B1469">
        <v>2015</v>
      </c>
      <c r="C1469" t="s">
        <v>816</v>
      </c>
      <c r="D1469" t="s">
        <v>817</v>
      </c>
      <c r="E1469" t="s">
        <v>31</v>
      </c>
      <c r="F1469" t="s">
        <v>334</v>
      </c>
      <c r="G1469">
        <v>44.498058</v>
      </c>
      <c r="H1469">
        <v>-63.526552000000002</v>
      </c>
      <c r="I1469" t="s">
        <v>771</v>
      </c>
      <c r="J1469" t="s">
        <v>14</v>
      </c>
      <c r="K1469" t="s">
        <v>220</v>
      </c>
      <c r="L1469" t="s">
        <v>143</v>
      </c>
      <c r="M1469" t="s">
        <v>12</v>
      </c>
      <c r="N1469" t="s">
        <v>85</v>
      </c>
      <c r="O1469" s="6" t="s">
        <v>12</v>
      </c>
      <c r="P1469" t="s">
        <v>70</v>
      </c>
      <c r="Q1469">
        <v>21</v>
      </c>
      <c r="R1469" t="s">
        <v>214</v>
      </c>
      <c r="S1469" s="2" t="s">
        <v>13</v>
      </c>
      <c r="T1469" s="2">
        <v>1</v>
      </c>
      <c r="U1469" t="s">
        <v>28</v>
      </c>
      <c r="V1469" t="s">
        <v>28</v>
      </c>
      <c r="W1469">
        <v>23.1</v>
      </c>
      <c r="X1469">
        <v>0</v>
      </c>
      <c r="Y1469" t="s">
        <v>28</v>
      </c>
    </row>
    <row r="1470" spans="1:25" x14ac:dyDescent="0.2">
      <c r="A1470" t="s">
        <v>219</v>
      </c>
      <c r="B1470">
        <v>2015</v>
      </c>
      <c r="C1470" t="s">
        <v>816</v>
      </c>
      <c r="D1470" t="s">
        <v>817</v>
      </c>
      <c r="E1470" t="s">
        <v>31</v>
      </c>
      <c r="F1470" t="s">
        <v>334</v>
      </c>
      <c r="G1470">
        <v>44.498058</v>
      </c>
      <c r="H1470">
        <v>-63.526552000000002</v>
      </c>
      <c r="I1470" t="s">
        <v>771</v>
      </c>
      <c r="J1470" t="s">
        <v>14</v>
      </c>
      <c r="K1470" t="s">
        <v>220</v>
      </c>
      <c r="L1470" t="s">
        <v>143</v>
      </c>
      <c r="M1470" t="s">
        <v>12</v>
      </c>
      <c r="N1470" t="s">
        <v>85</v>
      </c>
      <c r="O1470" s="6" t="s">
        <v>12</v>
      </c>
      <c r="P1470" t="s">
        <v>70</v>
      </c>
      <c r="Q1470">
        <v>28</v>
      </c>
      <c r="R1470" t="s">
        <v>214</v>
      </c>
      <c r="S1470" s="2" t="s">
        <v>13</v>
      </c>
      <c r="T1470" s="2">
        <v>1</v>
      </c>
      <c r="U1470" t="s">
        <v>28</v>
      </c>
      <c r="V1470" t="s">
        <v>28</v>
      </c>
      <c r="W1470">
        <v>23.1</v>
      </c>
      <c r="X1470">
        <v>0</v>
      </c>
      <c r="Y1470" t="s">
        <v>28</v>
      </c>
    </row>
    <row r="1471" spans="1:25" x14ac:dyDescent="0.2">
      <c r="A1471" t="s">
        <v>219</v>
      </c>
      <c r="B1471">
        <v>2015</v>
      </c>
      <c r="C1471" t="s">
        <v>816</v>
      </c>
      <c r="D1471" t="s">
        <v>817</v>
      </c>
      <c r="E1471" t="s">
        <v>31</v>
      </c>
      <c r="F1471" t="s">
        <v>334</v>
      </c>
      <c r="G1471">
        <v>44.498058</v>
      </c>
      <c r="H1471">
        <v>-63.526552000000002</v>
      </c>
      <c r="I1471" t="s">
        <v>771</v>
      </c>
      <c r="J1471" t="s">
        <v>14</v>
      </c>
      <c r="K1471" t="s">
        <v>220</v>
      </c>
      <c r="L1471" t="s">
        <v>143</v>
      </c>
      <c r="M1471" t="s">
        <v>12</v>
      </c>
      <c r="N1471" t="s">
        <v>85</v>
      </c>
      <c r="O1471" s="6" t="s">
        <v>12</v>
      </c>
      <c r="P1471" t="s">
        <v>70</v>
      </c>
      <c r="Q1471">
        <v>35</v>
      </c>
      <c r="R1471" t="s">
        <v>214</v>
      </c>
      <c r="S1471" s="2" t="s">
        <v>13</v>
      </c>
      <c r="T1471" s="2">
        <v>1</v>
      </c>
      <c r="U1471" t="s">
        <v>28</v>
      </c>
      <c r="V1471" t="s">
        <v>28</v>
      </c>
      <c r="W1471">
        <v>23.1</v>
      </c>
      <c r="X1471">
        <v>0</v>
      </c>
      <c r="Y1471" t="s">
        <v>28</v>
      </c>
    </row>
    <row r="1472" spans="1:25" x14ac:dyDescent="0.2">
      <c r="A1472" t="s">
        <v>219</v>
      </c>
      <c r="B1472">
        <v>2015</v>
      </c>
      <c r="C1472" t="s">
        <v>816</v>
      </c>
      <c r="D1472" t="s">
        <v>817</v>
      </c>
      <c r="E1472" t="s">
        <v>31</v>
      </c>
      <c r="F1472" t="s">
        <v>334</v>
      </c>
      <c r="G1472">
        <v>44.498058</v>
      </c>
      <c r="H1472">
        <v>-63.526552000000002</v>
      </c>
      <c r="I1472" t="s">
        <v>771</v>
      </c>
      <c r="J1472" t="s">
        <v>14</v>
      </c>
      <c r="K1472" t="s">
        <v>220</v>
      </c>
      <c r="L1472" t="s">
        <v>143</v>
      </c>
      <c r="M1472" t="s">
        <v>12</v>
      </c>
      <c r="N1472" t="s">
        <v>85</v>
      </c>
      <c r="O1472" s="6" t="s">
        <v>12</v>
      </c>
      <c r="P1472" t="s">
        <v>70</v>
      </c>
      <c r="Q1472">
        <v>42</v>
      </c>
      <c r="R1472" t="s">
        <v>214</v>
      </c>
      <c r="S1472" s="2" t="s">
        <v>13</v>
      </c>
      <c r="T1472" s="2">
        <v>1</v>
      </c>
      <c r="U1472" t="s">
        <v>28</v>
      </c>
      <c r="V1472" t="s">
        <v>28</v>
      </c>
      <c r="W1472">
        <v>23.1</v>
      </c>
      <c r="X1472">
        <v>0</v>
      </c>
      <c r="Y1472" t="s">
        <v>28</v>
      </c>
    </row>
    <row r="1473" spans="1:25" x14ac:dyDescent="0.2">
      <c r="A1473" t="s">
        <v>219</v>
      </c>
      <c r="B1473">
        <v>2015</v>
      </c>
      <c r="C1473" t="s">
        <v>816</v>
      </c>
      <c r="D1473" t="s">
        <v>817</v>
      </c>
      <c r="E1473" t="s">
        <v>31</v>
      </c>
      <c r="F1473" t="s">
        <v>334</v>
      </c>
      <c r="G1473">
        <v>44.498058</v>
      </c>
      <c r="H1473">
        <v>-63.526552000000002</v>
      </c>
      <c r="I1473" t="s">
        <v>771</v>
      </c>
      <c r="J1473" t="s">
        <v>14</v>
      </c>
      <c r="K1473" t="s">
        <v>220</v>
      </c>
      <c r="L1473" t="s">
        <v>143</v>
      </c>
      <c r="M1473" t="s">
        <v>12</v>
      </c>
      <c r="N1473" t="s">
        <v>85</v>
      </c>
      <c r="O1473" s="6" t="s">
        <v>12</v>
      </c>
      <c r="P1473" t="s">
        <v>70</v>
      </c>
      <c r="Q1473">
        <v>49</v>
      </c>
      <c r="R1473" t="s">
        <v>214</v>
      </c>
      <c r="S1473" s="2" t="s">
        <v>13</v>
      </c>
      <c r="T1473" s="2">
        <v>1</v>
      </c>
      <c r="U1473" t="s">
        <v>28</v>
      </c>
      <c r="V1473" t="s">
        <v>28</v>
      </c>
      <c r="W1473">
        <v>23.1</v>
      </c>
      <c r="X1473">
        <v>0</v>
      </c>
      <c r="Y1473" t="s">
        <v>28</v>
      </c>
    </row>
    <row r="1474" spans="1:25" x14ac:dyDescent="0.2">
      <c r="A1474" t="s">
        <v>219</v>
      </c>
      <c r="B1474">
        <v>2015</v>
      </c>
      <c r="C1474" t="s">
        <v>816</v>
      </c>
      <c r="D1474" t="s">
        <v>817</v>
      </c>
      <c r="E1474" t="s">
        <v>31</v>
      </c>
      <c r="F1474" t="s">
        <v>334</v>
      </c>
      <c r="G1474">
        <v>44.498058</v>
      </c>
      <c r="H1474">
        <v>-63.526552000000002</v>
      </c>
      <c r="I1474" t="s">
        <v>771</v>
      </c>
      <c r="J1474" t="s">
        <v>14</v>
      </c>
      <c r="K1474" t="s">
        <v>220</v>
      </c>
      <c r="L1474" t="s">
        <v>143</v>
      </c>
      <c r="M1474" t="s">
        <v>12</v>
      </c>
      <c r="N1474" t="s">
        <v>85</v>
      </c>
      <c r="O1474" s="6" t="s">
        <v>12</v>
      </c>
      <c r="P1474" t="s">
        <v>70</v>
      </c>
      <c r="Q1474">
        <v>56</v>
      </c>
      <c r="R1474" t="s">
        <v>214</v>
      </c>
      <c r="S1474" s="2" t="s">
        <v>13</v>
      </c>
      <c r="T1474" s="2">
        <v>1</v>
      </c>
      <c r="U1474" t="s">
        <v>28</v>
      </c>
      <c r="V1474" t="s">
        <v>28</v>
      </c>
      <c r="W1474">
        <v>23.1</v>
      </c>
      <c r="X1474">
        <v>0</v>
      </c>
      <c r="Y1474" t="s">
        <v>28</v>
      </c>
    </row>
    <row r="1475" spans="1:25" x14ac:dyDescent="0.2">
      <c r="A1475" t="s">
        <v>219</v>
      </c>
      <c r="B1475">
        <v>2015</v>
      </c>
      <c r="C1475" t="s">
        <v>816</v>
      </c>
      <c r="D1475" t="s">
        <v>817</v>
      </c>
      <c r="E1475" t="s">
        <v>31</v>
      </c>
      <c r="F1475" t="s">
        <v>334</v>
      </c>
      <c r="G1475">
        <v>44.498058</v>
      </c>
      <c r="H1475">
        <v>-63.526552000000002</v>
      </c>
      <c r="I1475" t="s">
        <v>771</v>
      </c>
      <c r="J1475" t="s">
        <v>14</v>
      </c>
      <c r="K1475" t="s">
        <v>220</v>
      </c>
      <c r="L1475" t="s">
        <v>143</v>
      </c>
      <c r="M1475" t="s">
        <v>12</v>
      </c>
      <c r="N1475" t="s">
        <v>85</v>
      </c>
      <c r="O1475" s="6" t="s">
        <v>12</v>
      </c>
      <c r="P1475" t="s">
        <v>70</v>
      </c>
      <c r="Q1475">
        <v>63</v>
      </c>
      <c r="R1475" t="s">
        <v>213</v>
      </c>
      <c r="S1475" s="2" t="s">
        <v>13</v>
      </c>
      <c r="T1475" s="2">
        <v>1</v>
      </c>
      <c r="U1475" t="s">
        <v>28</v>
      </c>
      <c r="V1475" t="s">
        <v>28</v>
      </c>
      <c r="W1475">
        <v>23.1</v>
      </c>
      <c r="X1475">
        <v>0</v>
      </c>
      <c r="Y1475" t="s">
        <v>28</v>
      </c>
    </row>
    <row r="1476" spans="1:25" x14ac:dyDescent="0.2">
      <c r="A1476" t="s">
        <v>219</v>
      </c>
      <c r="B1476">
        <v>2015</v>
      </c>
      <c r="C1476" t="s">
        <v>816</v>
      </c>
      <c r="D1476" t="s">
        <v>817</v>
      </c>
      <c r="E1476" t="s">
        <v>31</v>
      </c>
      <c r="F1476" t="s">
        <v>334</v>
      </c>
      <c r="G1476">
        <v>44.498058</v>
      </c>
      <c r="H1476">
        <v>-63.526552000000002</v>
      </c>
      <c r="I1476" t="s">
        <v>771</v>
      </c>
      <c r="J1476" t="s">
        <v>14</v>
      </c>
      <c r="K1476" t="s">
        <v>220</v>
      </c>
      <c r="L1476" t="s">
        <v>143</v>
      </c>
      <c r="M1476" t="s">
        <v>12</v>
      </c>
      <c r="N1476" t="s">
        <v>85</v>
      </c>
      <c r="O1476" s="6" t="s">
        <v>12</v>
      </c>
      <c r="P1476" t="s">
        <v>70</v>
      </c>
      <c r="Q1476">
        <v>7</v>
      </c>
      <c r="R1476" t="s">
        <v>214</v>
      </c>
      <c r="S1476" s="2" t="s">
        <v>15</v>
      </c>
      <c r="T1476" s="2">
        <v>1</v>
      </c>
      <c r="U1476" t="s">
        <v>28</v>
      </c>
      <c r="V1476" t="s">
        <v>28</v>
      </c>
      <c r="W1476">
        <v>25.8</v>
      </c>
      <c r="X1476">
        <v>0</v>
      </c>
      <c r="Y1476" t="s">
        <v>28</v>
      </c>
    </row>
    <row r="1477" spans="1:25" x14ac:dyDescent="0.2">
      <c r="A1477" t="s">
        <v>219</v>
      </c>
      <c r="B1477">
        <v>2015</v>
      </c>
      <c r="C1477" t="s">
        <v>816</v>
      </c>
      <c r="D1477" t="s">
        <v>817</v>
      </c>
      <c r="E1477" t="s">
        <v>31</v>
      </c>
      <c r="F1477" t="s">
        <v>334</v>
      </c>
      <c r="G1477">
        <v>44.498058</v>
      </c>
      <c r="H1477">
        <v>-63.526552000000002</v>
      </c>
      <c r="I1477" t="s">
        <v>771</v>
      </c>
      <c r="J1477" t="s">
        <v>14</v>
      </c>
      <c r="K1477" t="s">
        <v>220</v>
      </c>
      <c r="L1477" t="s">
        <v>143</v>
      </c>
      <c r="M1477" t="s">
        <v>12</v>
      </c>
      <c r="N1477" t="s">
        <v>85</v>
      </c>
      <c r="O1477" s="6" t="s">
        <v>12</v>
      </c>
      <c r="P1477" t="s">
        <v>70</v>
      </c>
      <c r="Q1477">
        <v>14</v>
      </c>
      <c r="R1477" t="s">
        <v>214</v>
      </c>
      <c r="S1477" s="2" t="s">
        <v>15</v>
      </c>
      <c r="T1477" s="2">
        <v>1</v>
      </c>
      <c r="U1477" t="s">
        <v>28</v>
      </c>
      <c r="V1477" t="s">
        <v>28</v>
      </c>
      <c r="W1477">
        <v>25.8</v>
      </c>
      <c r="X1477">
        <v>0</v>
      </c>
      <c r="Y1477" t="s">
        <v>28</v>
      </c>
    </row>
    <row r="1478" spans="1:25" x14ac:dyDescent="0.2">
      <c r="A1478" t="s">
        <v>219</v>
      </c>
      <c r="B1478">
        <v>2015</v>
      </c>
      <c r="C1478" t="s">
        <v>816</v>
      </c>
      <c r="D1478" t="s">
        <v>817</v>
      </c>
      <c r="E1478" t="s">
        <v>31</v>
      </c>
      <c r="F1478" t="s">
        <v>334</v>
      </c>
      <c r="G1478">
        <v>44.498058</v>
      </c>
      <c r="H1478">
        <v>-63.526552000000002</v>
      </c>
      <c r="I1478" t="s">
        <v>771</v>
      </c>
      <c r="J1478" t="s">
        <v>14</v>
      </c>
      <c r="K1478" t="s">
        <v>220</v>
      </c>
      <c r="L1478" t="s">
        <v>143</v>
      </c>
      <c r="M1478" t="s">
        <v>12</v>
      </c>
      <c r="N1478" t="s">
        <v>85</v>
      </c>
      <c r="O1478" s="6" t="s">
        <v>12</v>
      </c>
      <c r="P1478" t="s">
        <v>70</v>
      </c>
      <c r="Q1478">
        <v>21</v>
      </c>
      <c r="R1478" t="s">
        <v>214</v>
      </c>
      <c r="S1478" s="2" t="s">
        <v>15</v>
      </c>
      <c r="T1478" s="2">
        <v>1</v>
      </c>
      <c r="U1478" t="s">
        <v>28</v>
      </c>
      <c r="V1478" t="s">
        <v>28</v>
      </c>
      <c r="W1478">
        <v>25.8</v>
      </c>
      <c r="X1478">
        <v>0</v>
      </c>
      <c r="Y1478" t="s">
        <v>28</v>
      </c>
    </row>
    <row r="1479" spans="1:25" x14ac:dyDescent="0.2">
      <c r="A1479" t="s">
        <v>219</v>
      </c>
      <c r="B1479">
        <v>2015</v>
      </c>
      <c r="C1479" t="s">
        <v>816</v>
      </c>
      <c r="D1479" t="s">
        <v>817</v>
      </c>
      <c r="E1479" t="s">
        <v>31</v>
      </c>
      <c r="F1479" t="s">
        <v>334</v>
      </c>
      <c r="G1479">
        <v>44.498058</v>
      </c>
      <c r="H1479">
        <v>-63.526552000000002</v>
      </c>
      <c r="I1479" t="s">
        <v>771</v>
      </c>
      <c r="J1479" t="s">
        <v>14</v>
      </c>
      <c r="K1479" t="s">
        <v>220</v>
      </c>
      <c r="L1479" t="s">
        <v>143</v>
      </c>
      <c r="M1479" t="s">
        <v>12</v>
      </c>
      <c r="N1479" t="s">
        <v>85</v>
      </c>
      <c r="O1479" s="6" t="s">
        <v>12</v>
      </c>
      <c r="P1479" t="s">
        <v>70</v>
      </c>
      <c r="Q1479">
        <v>28</v>
      </c>
      <c r="R1479" t="s">
        <v>214</v>
      </c>
      <c r="S1479" s="2" t="s">
        <v>15</v>
      </c>
      <c r="T1479" s="2">
        <v>1</v>
      </c>
      <c r="U1479" t="s">
        <v>28</v>
      </c>
      <c r="V1479" t="s">
        <v>28</v>
      </c>
      <c r="W1479">
        <v>25.8</v>
      </c>
      <c r="X1479">
        <v>0</v>
      </c>
      <c r="Y1479" t="s">
        <v>28</v>
      </c>
    </row>
    <row r="1480" spans="1:25" x14ac:dyDescent="0.2">
      <c r="A1480" t="s">
        <v>219</v>
      </c>
      <c r="B1480">
        <v>2015</v>
      </c>
      <c r="C1480" t="s">
        <v>816</v>
      </c>
      <c r="D1480" t="s">
        <v>817</v>
      </c>
      <c r="E1480" t="s">
        <v>31</v>
      </c>
      <c r="F1480" t="s">
        <v>334</v>
      </c>
      <c r="G1480">
        <v>44.498058</v>
      </c>
      <c r="H1480">
        <v>-63.526552000000002</v>
      </c>
      <c r="I1480" t="s">
        <v>771</v>
      </c>
      <c r="J1480" t="s">
        <v>14</v>
      </c>
      <c r="K1480" t="s">
        <v>220</v>
      </c>
      <c r="L1480" t="s">
        <v>143</v>
      </c>
      <c r="M1480" t="s">
        <v>12</v>
      </c>
      <c r="N1480" t="s">
        <v>85</v>
      </c>
      <c r="O1480" s="6" t="s">
        <v>12</v>
      </c>
      <c r="P1480" t="s">
        <v>70</v>
      </c>
      <c r="Q1480">
        <v>35</v>
      </c>
      <c r="R1480" t="s">
        <v>214</v>
      </c>
      <c r="S1480" s="2" t="s">
        <v>15</v>
      </c>
      <c r="T1480" s="2">
        <v>1</v>
      </c>
      <c r="U1480" t="s">
        <v>28</v>
      </c>
      <c r="V1480" t="s">
        <v>28</v>
      </c>
      <c r="W1480">
        <v>25.8</v>
      </c>
      <c r="X1480">
        <v>0</v>
      </c>
      <c r="Y1480" t="s">
        <v>28</v>
      </c>
    </row>
    <row r="1481" spans="1:25" x14ac:dyDescent="0.2">
      <c r="A1481" t="s">
        <v>219</v>
      </c>
      <c r="B1481">
        <v>2015</v>
      </c>
      <c r="C1481" t="s">
        <v>816</v>
      </c>
      <c r="D1481" t="s">
        <v>817</v>
      </c>
      <c r="E1481" t="s">
        <v>31</v>
      </c>
      <c r="F1481" t="s">
        <v>334</v>
      </c>
      <c r="G1481">
        <v>44.498058</v>
      </c>
      <c r="H1481">
        <v>-63.526552000000002</v>
      </c>
      <c r="I1481" t="s">
        <v>771</v>
      </c>
      <c r="J1481" t="s">
        <v>14</v>
      </c>
      <c r="K1481" t="s">
        <v>220</v>
      </c>
      <c r="L1481" t="s">
        <v>143</v>
      </c>
      <c r="M1481" t="s">
        <v>12</v>
      </c>
      <c r="N1481" t="s">
        <v>85</v>
      </c>
      <c r="O1481" s="6" t="s">
        <v>12</v>
      </c>
      <c r="P1481" t="s">
        <v>70</v>
      </c>
      <c r="Q1481">
        <v>42</v>
      </c>
      <c r="R1481" t="s">
        <v>214</v>
      </c>
      <c r="S1481" s="2" t="s">
        <v>15</v>
      </c>
      <c r="T1481" s="2">
        <v>1</v>
      </c>
      <c r="U1481" t="s">
        <v>28</v>
      </c>
      <c r="V1481" t="s">
        <v>28</v>
      </c>
      <c r="W1481">
        <v>25.8</v>
      </c>
      <c r="X1481">
        <v>0</v>
      </c>
      <c r="Y1481" t="s">
        <v>28</v>
      </c>
    </row>
    <row r="1482" spans="1:25" x14ac:dyDescent="0.2">
      <c r="A1482" t="s">
        <v>219</v>
      </c>
      <c r="B1482">
        <v>2015</v>
      </c>
      <c r="C1482" t="s">
        <v>816</v>
      </c>
      <c r="D1482" t="s">
        <v>817</v>
      </c>
      <c r="E1482" t="s">
        <v>31</v>
      </c>
      <c r="F1482" t="s">
        <v>334</v>
      </c>
      <c r="G1482">
        <v>44.498058</v>
      </c>
      <c r="H1482">
        <v>-63.526552000000002</v>
      </c>
      <c r="I1482" t="s">
        <v>771</v>
      </c>
      <c r="J1482" t="s">
        <v>14</v>
      </c>
      <c r="K1482" t="s">
        <v>220</v>
      </c>
      <c r="L1482" t="s">
        <v>143</v>
      </c>
      <c r="M1482" t="s">
        <v>12</v>
      </c>
      <c r="N1482" t="s">
        <v>85</v>
      </c>
      <c r="O1482" s="6" t="s">
        <v>12</v>
      </c>
      <c r="P1482" t="s">
        <v>70</v>
      </c>
      <c r="Q1482">
        <v>49</v>
      </c>
      <c r="R1482" t="s">
        <v>214</v>
      </c>
      <c r="S1482" s="2" t="s">
        <v>15</v>
      </c>
      <c r="T1482" s="2">
        <v>1</v>
      </c>
      <c r="U1482" t="s">
        <v>28</v>
      </c>
      <c r="V1482" t="s">
        <v>28</v>
      </c>
      <c r="W1482">
        <v>25.8</v>
      </c>
      <c r="X1482">
        <v>0</v>
      </c>
      <c r="Y1482" t="s">
        <v>28</v>
      </c>
    </row>
    <row r="1483" spans="1:25" x14ac:dyDescent="0.2">
      <c r="A1483" t="s">
        <v>219</v>
      </c>
      <c r="B1483">
        <v>2015</v>
      </c>
      <c r="C1483" t="s">
        <v>816</v>
      </c>
      <c r="D1483" t="s">
        <v>817</v>
      </c>
      <c r="E1483" t="s">
        <v>31</v>
      </c>
      <c r="F1483" t="s">
        <v>334</v>
      </c>
      <c r="G1483">
        <v>44.498058</v>
      </c>
      <c r="H1483">
        <v>-63.526552000000002</v>
      </c>
      <c r="I1483" t="s">
        <v>771</v>
      </c>
      <c r="J1483" t="s">
        <v>14</v>
      </c>
      <c r="K1483" t="s">
        <v>220</v>
      </c>
      <c r="L1483" t="s">
        <v>143</v>
      </c>
      <c r="M1483" t="s">
        <v>12</v>
      </c>
      <c r="N1483" t="s">
        <v>85</v>
      </c>
      <c r="O1483" s="6" t="s">
        <v>12</v>
      </c>
      <c r="P1483" t="s">
        <v>70</v>
      </c>
      <c r="Q1483">
        <v>56</v>
      </c>
      <c r="R1483" t="s">
        <v>214</v>
      </c>
      <c r="S1483" s="2" t="s">
        <v>15</v>
      </c>
      <c r="T1483" s="2">
        <v>1</v>
      </c>
      <c r="U1483" t="s">
        <v>28</v>
      </c>
      <c r="V1483" t="s">
        <v>28</v>
      </c>
      <c r="W1483">
        <v>25.8</v>
      </c>
      <c r="X1483">
        <v>0</v>
      </c>
      <c r="Y1483" t="s">
        <v>28</v>
      </c>
    </row>
    <row r="1484" spans="1:25" x14ac:dyDescent="0.2">
      <c r="A1484" t="s">
        <v>219</v>
      </c>
      <c r="B1484">
        <v>2015</v>
      </c>
      <c r="C1484" t="s">
        <v>816</v>
      </c>
      <c r="D1484" t="s">
        <v>817</v>
      </c>
      <c r="E1484" t="s">
        <v>31</v>
      </c>
      <c r="F1484" t="s">
        <v>334</v>
      </c>
      <c r="G1484">
        <v>44.498058</v>
      </c>
      <c r="H1484">
        <v>-63.526552000000002</v>
      </c>
      <c r="I1484" t="s">
        <v>771</v>
      </c>
      <c r="J1484" t="s">
        <v>14</v>
      </c>
      <c r="K1484" t="s">
        <v>220</v>
      </c>
      <c r="L1484" t="s">
        <v>143</v>
      </c>
      <c r="M1484" t="s">
        <v>12</v>
      </c>
      <c r="N1484" t="s">
        <v>85</v>
      </c>
      <c r="O1484" s="6" t="s">
        <v>12</v>
      </c>
      <c r="P1484" t="s">
        <v>70</v>
      </c>
      <c r="Q1484">
        <v>63</v>
      </c>
      <c r="R1484" t="s">
        <v>213</v>
      </c>
      <c r="S1484" s="2" t="s">
        <v>15</v>
      </c>
      <c r="T1484" s="2">
        <v>1</v>
      </c>
      <c r="U1484" t="s">
        <v>28</v>
      </c>
      <c r="V1484" t="s">
        <v>28</v>
      </c>
      <c r="W1484">
        <v>25.8</v>
      </c>
      <c r="X1484">
        <v>0</v>
      </c>
      <c r="Y1484" t="s">
        <v>28</v>
      </c>
    </row>
    <row r="1485" spans="1:25" x14ac:dyDescent="0.2">
      <c r="A1485" t="s">
        <v>219</v>
      </c>
      <c r="B1485">
        <v>2015</v>
      </c>
      <c r="C1485" t="s">
        <v>816</v>
      </c>
      <c r="D1485" t="s">
        <v>817</v>
      </c>
      <c r="E1485" t="s">
        <v>31</v>
      </c>
      <c r="F1485" t="s">
        <v>334</v>
      </c>
      <c r="G1485">
        <v>44.498058</v>
      </c>
      <c r="H1485">
        <v>-63.526552000000002</v>
      </c>
      <c r="I1485" t="s">
        <v>771</v>
      </c>
      <c r="J1485" t="s">
        <v>14</v>
      </c>
      <c r="K1485" t="s">
        <v>220</v>
      </c>
      <c r="L1485" t="s">
        <v>143</v>
      </c>
      <c r="M1485" t="s">
        <v>12</v>
      </c>
      <c r="N1485" t="s">
        <v>85</v>
      </c>
      <c r="O1485" s="6" t="s">
        <v>12</v>
      </c>
      <c r="P1485" t="s">
        <v>70</v>
      </c>
      <c r="Q1485">
        <v>7</v>
      </c>
      <c r="R1485" t="s">
        <v>214</v>
      </c>
      <c r="S1485" s="2" t="s">
        <v>37</v>
      </c>
      <c r="T1485" s="2">
        <v>1</v>
      </c>
      <c r="U1485" t="s">
        <v>28</v>
      </c>
      <c r="V1485" t="s">
        <v>28</v>
      </c>
      <c r="W1485">
        <v>28.8</v>
      </c>
      <c r="X1485">
        <v>0</v>
      </c>
      <c r="Y1485" t="s">
        <v>28</v>
      </c>
    </row>
    <row r="1486" spans="1:25" x14ac:dyDescent="0.2">
      <c r="A1486" t="s">
        <v>219</v>
      </c>
      <c r="B1486">
        <v>2015</v>
      </c>
      <c r="C1486" t="s">
        <v>816</v>
      </c>
      <c r="D1486" t="s">
        <v>817</v>
      </c>
      <c r="E1486" t="s">
        <v>31</v>
      </c>
      <c r="F1486" t="s">
        <v>334</v>
      </c>
      <c r="G1486">
        <v>44.498058</v>
      </c>
      <c r="H1486">
        <v>-63.526552000000002</v>
      </c>
      <c r="I1486" t="s">
        <v>771</v>
      </c>
      <c r="J1486" t="s">
        <v>14</v>
      </c>
      <c r="K1486" t="s">
        <v>220</v>
      </c>
      <c r="L1486" t="s">
        <v>143</v>
      </c>
      <c r="M1486" t="s">
        <v>12</v>
      </c>
      <c r="N1486" t="s">
        <v>85</v>
      </c>
      <c r="O1486" s="6" t="s">
        <v>12</v>
      </c>
      <c r="P1486" t="s">
        <v>70</v>
      </c>
      <c r="Q1486">
        <v>14</v>
      </c>
      <c r="R1486" t="s">
        <v>214</v>
      </c>
      <c r="S1486" s="2" t="s">
        <v>37</v>
      </c>
      <c r="T1486" s="2">
        <v>1</v>
      </c>
      <c r="U1486" t="s">
        <v>28</v>
      </c>
      <c r="V1486" t="s">
        <v>28</v>
      </c>
      <c r="W1486">
        <v>28.8</v>
      </c>
      <c r="X1486">
        <v>0</v>
      </c>
      <c r="Y1486" t="s">
        <v>28</v>
      </c>
    </row>
    <row r="1487" spans="1:25" x14ac:dyDescent="0.2">
      <c r="A1487" t="s">
        <v>219</v>
      </c>
      <c r="B1487">
        <v>2015</v>
      </c>
      <c r="C1487" t="s">
        <v>816</v>
      </c>
      <c r="D1487" t="s">
        <v>817</v>
      </c>
      <c r="E1487" t="s">
        <v>31</v>
      </c>
      <c r="F1487" t="s">
        <v>334</v>
      </c>
      <c r="G1487">
        <v>44.498058</v>
      </c>
      <c r="H1487">
        <v>-63.526552000000002</v>
      </c>
      <c r="I1487" t="s">
        <v>771</v>
      </c>
      <c r="J1487" t="s">
        <v>14</v>
      </c>
      <c r="K1487" t="s">
        <v>220</v>
      </c>
      <c r="L1487" t="s">
        <v>143</v>
      </c>
      <c r="M1487" t="s">
        <v>12</v>
      </c>
      <c r="N1487" t="s">
        <v>85</v>
      </c>
      <c r="O1487" s="6" t="s">
        <v>12</v>
      </c>
      <c r="P1487" t="s">
        <v>70</v>
      </c>
      <c r="Q1487">
        <v>21</v>
      </c>
      <c r="R1487" t="s">
        <v>214</v>
      </c>
      <c r="S1487" s="2" t="s">
        <v>37</v>
      </c>
      <c r="T1487" s="2">
        <v>1</v>
      </c>
      <c r="U1487" t="s">
        <v>28</v>
      </c>
      <c r="V1487" t="s">
        <v>28</v>
      </c>
      <c r="W1487">
        <v>28.8</v>
      </c>
      <c r="X1487">
        <v>0</v>
      </c>
      <c r="Y1487" t="s">
        <v>28</v>
      </c>
    </row>
    <row r="1488" spans="1:25" x14ac:dyDescent="0.2">
      <c r="A1488" t="s">
        <v>219</v>
      </c>
      <c r="B1488">
        <v>2015</v>
      </c>
      <c r="C1488" t="s">
        <v>816</v>
      </c>
      <c r="D1488" t="s">
        <v>817</v>
      </c>
      <c r="E1488" t="s">
        <v>31</v>
      </c>
      <c r="F1488" t="s">
        <v>334</v>
      </c>
      <c r="G1488">
        <v>44.498058</v>
      </c>
      <c r="H1488">
        <v>-63.526552000000002</v>
      </c>
      <c r="I1488" t="s">
        <v>771</v>
      </c>
      <c r="J1488" t="s">
        <v>14</v>
      </c>
      <c r="K1488" t="s">
        <v>220</v>
      </c>
      <c r="L1488" t="s">
        <v>143</v>
      </c>
      <c r="M1488" t="s">
        <v>12</v>
      </c>
      <c r="N1488" t="s">
        <v>85</v>
      </c>
      <c r="O1488" s="6" t="s">
        <v>12</v>
      </c>
      <c r="P1488" t="s">
        <v>70</v>
      </c>
      <c r="Q1488">
        <v>28</v>
      </c>
      <c r="R1488" t="s">
        <v>214</v>
      </c>
      <c r="S1488" s="2" t="s">
        <v>37</v>
      </c>
      <c r="T1488" s="2">
        <v>1</v>
      </c>
      <c r="U1488" t="s">
        <v>28</v>
      </c>
      <c r="V1488" t="s">
        <v>28</v>
      </c>
      <c r="W1488">
        <v>28.8</v>
      </c>
      <c r="X1488">
        <v>0</v>
      </c>
      <c r="Y1488" t="s">
        <v>28</v>
      </c>
    </row>
    <row r="1489" spans="1:28" x14ac:dyDescent="0.2">
      <c r="A1489" t="s">
        <v>219</v>
      </c>
      <c r="B1489">
        <v>2015</v>
      </c>
      <c r="C1489" t="s">
        <v>816</v>
      </c>
      <c r="D1489" t="s">
        <v>817</v>
      </c>
      <c r="E1489" t="s">
        <v>31</v>
      </c>
      <c r="F1489" t="s">
        <v>334</v>
      </c>
      <c r="G1489">
        <v>44.498058</v>
      </c>
      <c r="H1489">
        <v>-63.526552000000002</v>
      </c>
      <c r="I1489" t="s">
        <v>771</v>
      </c>
      <c r="J1489" t="s">
        <v>14</v>
      </c>
      <c r="K1489" t="s">
        <v>220</v>
      </c>
      <c r="L1489" t="s">
        <v>143</v>
      </c>
      <c r="M1489" t="s">
        <v>12</v>
      </c>
      <c r="N1489" t="s">
        <v>85</v>
      </c>
      <c r="O1489" s="6" t="s">
        <v>12</v>
      </c>
      <c r="P1489" t="s">
        <v>70</v>
      </c>
      <c r="Q1489">
        <v>35</v>
      </c>
      <c r="R1489" t="s">
        <v>214</v>
      </c>
      <c r="S1489" s="2" t="s">
        <v>37</v>
      </c>
      <c r="T1489" s="2">
        <v>1</v>
      </c>
      <c r="U1489" t="s">
        <v>28</v>
      </c>
      <c r="V1489" t="s">
        <v>28</v>
      </c>
      <c r="W1489">
        <v>28.8</v>
      </c>
      <c r="X1489">
        <v>0</v>
      </c>
      <c r="Y1489" t="s">
        <v>28</v>
      </c>
    </row>
    <row r="1490" spans="1:28" x14ac:dyDescent="0.2">
      <c r="A1490" t="s">
        <v>219</v>
      </c>
      <c r="B1490">
        <v>2015</v>
      </c>
      <c r="C1490" t="s">
        <v>816</v>
      </c>
      <c r="D1490" t="s">
        <v>817</v>
      </c>
      <c r="E1490" t="s">
        <v>31</v>
      </c>
      <c r="F1490" t="s">
        <v>334</v>
      </c>
      <c r="G1490">
        <v>44.498058</v>
      </c>
      <c r="H1490">
        <v>-63.526552000000002</v>
      </c>
      <c r="I1490" t="s">
        <v>771</v>
      </c>
      <c r="J1490" t="s">
        <v>14</v>
      </c>
      <c r="K1490" t="s">
        <v>220</v>
      </c>
      <c r="L1490" t="s">
        <v>143</v>
      </c>
      <c r="M1490" t="s">
        <v>12</v>
      </c>
      <c r="N1490" t="s">
        <v>85</v>
      </c>
      <c r="O1490" s="6" t="s">
        <v>12</v>
      </c>
      <c r="P1490" t="s">
        <v>70</v>
      </c>
      <c r="Q1490">
        <v>42</v>
      </c>
      <c r="R1490" t="s">
        <v>214</v>
      </c>
      <c r="S1490" s="2" t="s">
        <v>37</v>
      </c>
      <c r="T1490" s="2">
        <v>1</v>
      </c>
      <c r="U1490" t="s">
        <v>28</v>
      </c>
      <c r="V1490" t="s">
        <v>28</v>
      </c>
      <c r="W1490">
        <v>28.8</v>
      </c>
      <c r="X1490">
        <v>0</v>
      </c>
      <c r="Y1490" t="s">
        <v>28</v>
      </c>
    </row>
    <row r="1491" spans="1:28" x14ac:dyDescent="0.2">
      <c r="A1491" t="s">
        <v>219</v>
      </c>
      <c r="B1491">
        <v>2015</v>
      </c>
      <c r="C1491" t="s">
        <v>816</v>
      </c>
      <c r="D1491" t="s">
        <v>817</v>
      </c>
      <c r="E1491" t="s">
        <v>31</v>
      </c>
      <c r="F1491" t="s">
        <v>334</v>
      </c>
      <c r="G1491">
        <v>44.498058</v>
      </c>
      <c r="H1491">
        <v>-63.526552000000002</v>
      </c>
      <c r="I1491" t="s">
        <v>771</v>
      </c>
      <c r="J1491" t="s">
        <v>14</v>
      </c>
      <c r="K1491" t="s">
        <v>220</v>
      </c>
      <c r="L1491" t="s">
        <v>143</v>
      </c>
      <c r="M1491" t="s">
        <v>12</v>
      </c>
      <c r="N1491" t="s">
        <v>85</v>
      </c>
      <c r="O1491" s="6" t="s">
        <v>12</v>
      </c>
      <c r="P1491" t="s">
        <v>70</v>
      </c>
      <c r="Q1491">
        <v>49</v>
      </c>
      <c r="R1491" t="s">
        <v>214</v>
      </c>
      <c r="S1491" s="2" t="s">
        <v>37</v>
      </c>
      <c r="T1491" s="2">
        <v>1</v>
      </c>
      <c r="U1491" t="s">
        <v>28</v>
      </c>
      <c r="V1491" t="s">
        <v>28</v>
      </c>
      <c r="W1491">
        <v>28.8</v>
      </c>
      <c r="X1491">
        <v>0</v>
      </c>
      <c r="Y1491" t="s">
        <v>28</v>
      </c>
    </row>
    <row r="1492" spans="1:28" x14ac:dyDescent="0.2">
      <c r="A1492" t="s">
        <v>219</v>
      </c>
      <c r="B1492">
        <v>2015</v>
      </c>
      <c r="C1492" t="s">
        <v>816</v>
      </c>
      <c r="D1492" t="s">
        <v>817</v>
      </c>
      <c r="E1492" t="s">
        <v>31</v>
      </c>
      <c r="F1492" t="s">
        <v>334</v>
      </c>
      <c r="G1492">
        <v>44.498058</v>
      </c>
      <c r="H1492">
        <v>-63.526552000000002</v>
      </c>
      <c r="I1492" t="s">
        <v>771</v>
      </c>
      <c r="J1492" t="s">
        <v>14</v>
      </c>
      <c r="K1492" t="s">
        <v>220</v>
      </c>
      <c r="L1492" t="s">
        <v>143</v>
      </c>
      <c r="M1492" t="s">
        <v>12</v>
      </c>
      <c r="N1492" t="s">
        <v>85</v>
      </c>
      <c r="O1492" s="6" t="s">
        <v>12</v>
      </c>
      <c r="P1492" t="s">
        <v>70</v>
      </c>
      <c r="Q1492">
        <v>56</v>
      </c>
      <c r="R1492" t="s">
        <v>214</v>
      </c>
      <c r="S1492" s="2" t="s">
        <v>37</v>
      </c>
      <c r="T1492" s="2">
        <v>1</v>
      </c>
      <c r="U1492" t="s">
        <v>28</v>
      </c>
      <c r="V1492" t="s">
        <v>28</v>
      </c>
      <c r="W1492">
        <v>28.8</v>
      </c>
      <c r="X1492">
        <v>0</v>
      </c>
      <c r="Y1492" t="s">
        <v>28</v>
      </c>
    </row>
    <row r="1493" spans="1:28" x14ac:dyDescent="0.2">
      <c r="A1493" t="s">
        <v>219</v>
      </c>
      <c r="B1493">
        <v>2015</v>
      </c>
      <c r="C1493" t="s">
        <v>816</v>
      </c>
      <c r="D1493" t="s">
        <v>817</v>
      </c>
      <c r="E1493" t="s">
        <v>31</v>
      </c>
      <c r="F1493" t="s">
        <v>334</v>
      </c>
      <c r="G1493">
        <v>44.498058</v>
      </c>
      <c r="H1493">
        <v>-63.526552000000002</v>
      </c>
      <c r="I1493" t="s">
        <v>771</v>
      </c>
      <c r="J1493" t="s">
        <v>14</v>
      </c>
      <c r="K1493" t="s">
        <v>220</v>
      </c>
      <c r="L1493" t="s">
        <v>143</v>
      </c>
      <c r="M1493" t="s">
        <v>12</v>
      </c>
      <c r="N1493" t="s">
        <v>85</v>
      </c>
      <c r="O1493" s="6" t="s">
        <v>12</v>
      </c>
      <c r="P1493" t="s">
        <v>70</v>
      </c>
      <c r="Q1493">
        <v>63</v>
      </c>
      <c r="R1493" t="s">
        <v>213</v>
      </c>
      <c r="S1493" s="2" t="s">
        <v>37</v>
      </c>
      <c r="T1493" s="2">
        <v>1</v>
      </c>
      <c r="U1493" t="s">
        <v>28</v>
      </c>
      <c r="V1493" t="s">
        <v>28</v>
      </c>
      <c r="W1493">
        <v>28.8</v>
      </c>
      <c r="X1493">
        <v>0</v>
      </c>
      <c r="Y1493" t="s">
        <v>28</v>
      </c>
    </row>
    <row r="1494" spans="1:28" x14ac:dyDescent="0.2">
      <c r="A1494" t="s">
        <v>219</v>
      </c>
      <c r="B1494">
        <v>2015</v>
      </c>
      <c r="C1494" t="s">
        <v>816</v>
      </c>
      <c r="D1494" t="s">
        <v>817</v>
      </c>
      <c r="E1494" t="s">
        <v>31</v>
      </c>
      <c r="F1494" t="s">
        <v>334</v>
      </c>
      <c r="G1494">
        <v>44.498058</v>
      </c>
      <c r="H1494">
        <v>-63.526552000000002</v>
      </c>
      <c r="I1494" t="s">
        <v>771</v>
      </c>
      <c r="J1494" t="s">
        <v>7</v>
      </c>
      <c r="K1494" t="s">
        <v>220</v>
      </c>
      <c r="L1494" t="s">
        <v>143</v>
      </c>
      <c r="M1494" t="s">
        <v>26</v>
      </c>
      <c r="N1494" t="s">
        <v>85</v>
      </c>
      <c r="O1494" t="s">
        <v>839</v>
      </c>
      <c r="P1494" t="s">
        <v>72</v>
      </c>
      <c r="Q1494">
        <v>20</v>
      </c>
      <c r="R1494" t="s">
        <v>213</v>
      </c>
      <c r="S1494" s="2" t="s">
        <v>7</v>
      </c>
      <c r="T1494" s="2">
        <v>5</v>
      </c>
      <c r="U1494" t="s">
        <v>28</v>
      </c>
      <c r="V1494" t="s">
        <v>28</v>
      </c>
      <c r="W1494">
        <v>12.7</v>
      </c>
      <c r="X1494">
        <v>2.0939999999999999</v>
      </c>
      <c r="Y1494" s="6">
        <f t="shared" ref="Y1494:Y1539" si="29">Z1494*SQRT(T1494)</f>
        <v>0.57690553819494583</v>
      </c>
      <c r="Z1494">
        <f>2.352-X1494</f>
        <v>0.25800000000000001</v>
      </c>
      <c r="AA1494" s="6"/>
      <c r="AB1494" s="6"/>
    </row>
    <row r="1495" spans="1:28" x14ac:dyDescent="0.2">
      <c r="A1495" t="s">
        <v>219</v>
      </c>
      <c r="B1495">
        <v>2015</v>
      </c>
      <c r="C1495" t="s">
        <v>816</v>
      </c>
      <c r="D1495" t="s">
        <v>817</v>
      </c>
      <c r="E1495" t="s">
        <v>31</v>
      </c>
      <c r="F1495" t="s">
        <v>334</v>
      </c>
      <c r="G1495">
        <v>44.498058</v>
      </c>
      <c r="H1495">
        <v>-63.526552000000002</v>
      </c>
      <c r="I1495" t="s">
        <v>771</v>
      </c>
      <c r="J1495" t="s">
        <v>14</v>
      </c>
      <c r="K1495" t="s">
        <v>220</v>
      </c>
      <c r="L1495" t="s">
        <v>143</v>
      </c>
      <c r="M1495" t="s">
        <v>26</v>
      </c>
      <c r="N1495" t="s">
        <v>85</v>
      </c>
      <c r="O1495" t="s">
        <v>839</v>
      </c>
      <c r="P1495" t="s">
        <v>72</v>
      </c>
      <c r="Q1495">
        <v>20</v>
      </c>
      <c r="R1495" t="s">
        <v>213</v>
      </c>
      <c r="S1495" s="2" t="s">
        <v>9</v>
      </c>
      <c r="T1495" s="2">
        <v>5</v>
      </c>
      <c r="U1495" t="s">
        <v>28</v>
      </c>
      <c r="V1495" t="s">
        <v>28</v>
      </c>
      <c r="W1495">
        <v>16.399999999999999</v>
      </c>
      <c r="X1495">
        <v>1.7110000000000001</v>
      </c>
      <c r="Y1495" s="6">
        <f t="shared" si="29"/>
        <v>0.48969888707245368</v>
      </c>
      <c r="Z1495">
        <f>1.93-X1495</f>
        <v>0.21899999999999986</v>
      </c>
      <c r="AA1495" s="6"/>
      <c r="AB1495" s="6"/>
    </row>
    <row r="1496" spans="1:28" x14ac:dyDescent="0.2">
      <c r="A1496" t="s">
        <v>219</v>
      </c>
      <c r="B1496">
        <v>2015</v>
      </c>
      <c r="C1496" t="s">
        <v>816</v>
      </c>
      <c r="D1496" t="s">
        <v>817</v>
      </c>
      <c r="E1496" t="s">
        <v>31</v>
      </c>
      <c r="F1496" t="s">
        <v>334</v>
      </c>
      <c r="G1496">
        <v>44.498058</v>
      </c>
      <c r="H1496">
        <v>-63.526552000000002</v>
      </c>
      <c r="I1496" t="s">
        <v>771</v>
      </c>
      <c r="J1496" t="s">
        <v>14</v>
      </c>
      <c r="K1496" t="s">
        <v>220</v>
      </c>
      <c r="L1496" t="s">
        <v>143</v>
      </c>
      <c r="M1496" t="s">
        <v>26</v>
      </c>
      <c r="N1496" t="s">
        <v>85</v>
      </c>
      <c r="O1496" t="s">
        <v>839</v>
      </c>
      <c r="P1496" t="s">
        <v>72</v>
      </c>
      <c r="Q1496">
        <v>20</v>
      </c>
      <c r="R1496" t="s">
        <v>214</v>
      </c>
      <c r="S1496" s="2" t="s">
        <v>27</v>
      </c>
      <c r="T1496" s="2">
        <v>5</v>
      </c>
      <c r="U1496" t="s">
        <v>28</v>
      </c>
      <c r="V1496" t="s">
        <v>28</v>
      </c>
      <c r="W1496">
        <v>20.6</v>
      </c>
      <c r="X1496">
        <v>0.47699999999999998</v>
      </c>
      <c r="Y1496" s="6">
        <f t="shared" si="29"/>
        <v>0.38236762415246417</v>
      </c>
      <c r="Z1496">
        <f>0.648-X1496</f>
        <v>0.17100000000000004</v>
      </c>
      <c r="AA1496" s="6"/>
      <c r="AB1496" s="6"/>
    </row>
    <row r="1497" spans="1:28" x14ac:dyDescent="0.2">
      <c r="A1497" t="s">
        <v>219</v>
      </c>
      <c r="B1497">
        <v>2015</v>
      </c>
      <c r="C1497" t="s">
        <v>816</v>
      </c>
      <c r="D1497" t="s">
        <v>817</v>
      </c>
      <c r="E1497" t="s">
        <v>31</v>
      </c>
      <c r="F1497" t="s">
        <v>334</v>
      </c>
      <c r="G1497">
        <v>44.498058</v>
      </c>
      <c r="H1497">
        <v>-63.526552000000002</v>
      </c>
      <c r="I1497" t="s">
        <v>771</v>
      </c>
      <c r="J1497" t="s">
        <v>7</v>
      </c>
      <c r="K1497" t="s">
        <v>220</v>
      </c>
      <c r="L1497" t="s">
        <v>143</v>
      </c>
      <c r="M1497" t="s">
        <v>26</v>
      </c>
      <c r="N1497" t="s">
        <v>85</v>
      </c>
      <c r="O1497" t="s">
        <v>839</v>
      </c>
      <c r="P1497" t="s">
        <v>72</v>
      </c>
      <c r="Q1497">
        <v>56</v>
      </c>
      <c r="R1497" t="s">
        <v>213</v>
      </c>
      <c r="S1497" s="2" t="s">
        <v>7</v>
      </c>
      <c r="T1497" s="2">
        <v>5</v>
      </c>
      <c r="U1497" t="s">
        <v>28</v>
      </c>
      <c r="V1497" t="s">
        <v>28</v>
      </c>
      <c r="W1497">
        <v>12.7</v>
      </c>
      <c r="X1497">
        <v>1.6839999999999999</v>
      </c>
      <c r="Y1497" s="6">
        <f t="shared" si="29"/>
        <v>0.67976466515993617</v>
      </c>
      <c r="Z1497">
        <f>1.988-X1497</f>
        <v>0.30400000000000005</v>
      </c>
      <c r="AA1497" s="6"/>
      <c r="AB1497" s="6"/>
    </row>
    <row r="1498" spans="1:28" x14ac:dyDescent="0.2">
      <c r="A1498" t="s">
        <v>219</v>
      </c>
      <c r="B1498">
        <v>2015</v>
      </c>
      <c r="C1498" t="s">
        <v>816</v>
      </c>
      <c r="D1498" t="s">
        <v>817</v>
      </c>
      <c r="E1498" t="s">
        <v>31</v>
      </c>
      <c r="F1498" t="s">
        <v>334</v>
      </c>
      <c r="G1498">
        <v>44.498058</v>
      </c>
      <c r="H1498">
        <v>-63.526552000000002</v>
      </c>
      <c r="I1498" t="s">
        <v>771</v>
      </c>
      <c r="J1498" t="s">
        <v>14</v>
      </c>
      <c r="K1498" t="s">
        <v>220</v>
      </c>
      <c r="L1498" t="s">
        <v>143</v>
      </c>
      <c r="M1498" t="s">
        <v>26</v>
      </c>
      <c r="N1498" t="s">
        <v>85</v>
      </c>
      <c r="O1498" t="s">
        <v>839</v>
      </c>
      <c r="P1498" t="s">
        <v>72</v>
      </c>
      <c r="Q1498">
        <v>56</v>
      </c>
      <c r="R1498" t="s">
        <v>213</v>
      </c>
      <c r="S1498" s="2" t="s">
        <v>27</v>
      </c>
      <c r="T1498" s="2">
        <v>5</v>
      </c>
      <c r="U1498" t="s">
        <v>28</v>
      </c>
      <c r="V1498" t="s">
        <v>28</v>
      </c>
      <c r="W1498">
        <v>20.6</v>
      </c>
      <c r="X1498">
        <v>0.374</v>
      </c>
      <c r="Y1498" s="6">
        <f t="shared" si="29"/>
        <v>0.31304951684997062</v>
      </c>
      <c r="Z1498">
        <f>0.514-X1498</f>
        <v>0.14000000000000001</v>
      </c>
      <c r="AA1498" s="6"/>
      <c r="AB1498" s="6"/>
    </row>
    <row r="1499" spans="1:28" x14ac:dyDescent="0.2">
      <c r="A1499" t="s">
        <v>219</v>
      </c>
      <c r="B1499">
        <v>2015</v>
      </c>
      <c r="C1499" t="s">
        <v>816</v>
      </c>
      <c r="D1499" t="s">
        <v>817</v>
      </c>
      <c r="E1499" t="s">
        <v>31</v>
      </c>
      <c r="F1499" t="s">
        <v>334</v>
      </c>
      <c r="G1499">
        <v>44.498058</v>
      </c>
      <c r="H1499">
        <v>-63.526552000000002</v>
      </c>
      <c r="I1499" t="s">
        <v>771</v>
      </c>
      <c r="J1499" t="s">
        <v>7</v>
      </c>
      <c r="K1499" t="s">
        <v>220</v>
      </c>
      <c r="L1499" t="s">
        <v>143</v>
      </c>
      <c r="M1499" t="s">
        <v>638</v>
      </c>
      <c r="N1499" s="6" t="s">
        <v>85</v>
      </c>
      <c r="O1499" t="s">
        <v>107</v>
      </c>
      <c r="P1499" t="s">
        <v>70</v>
      </c>
      <c r="Q1499">
        <v>56</v>
      </c>
      <c r="R1499" t="s">
        <v>213</v>
      </c>
      <c r="S1499" s="2" t="s">
        <v>7</v>
      </c>
      <c r="T1499" s="2">
        <v>3</v>
      </c>
      <c r="U1499" t="s">
        <v>28</v>
      </c>
      <c r="V1499" t="s">
        <v>28</v>
      </c>
      <c r="W1499">
        <v>12.7</v>
      </c>
      <c r="X1499">
        <v>0.373</v>
      </c>
      <c r="Y1499" s="6">
        <f t="shared" si="29"/>
        <v>0.14722431864335458</v>
      </c>
      <c r="Z1499">
        <f>0.458-X1499</f>
        <v>8.500000000000002E-2</v>
      </c>
      <c r="AA1499" s="6"/>
      <c r="AB1499" s="6"/>
    </row>
    <row r="1500" spans="1:28" x14ac:dyDescent="0.2">
      <c r="A1500" t="s">
        <v>219</v>
      </c>
      <c r="B1500">
        <v>2015</v>
      </c>
      <c r="C1500" t="s">
        <v>816</v>
      </c>
      <c r="D1500" t="s">
        <v>817</v>
      </c>
      <c r="E1500" t="s">
        <v>31</v>
      </c>
      <c r="F1500" t="s">
        <v>334</v>
      </c>
      <c r="G1500">
        <v>44.498058</v>
      </c>
      <c r="H1500">
        <v>-63.526552000000002</v>
      </c>
      <c r="I1500" t="s">
        <v>771</v>
      </c>
      <c r="J1500" t="s">
        <v>14</v>
      </c>
      <c r="K1500" t="s">
        <v>220</v>
      </c>
      <c r="L1500" t="s">
        <v>143</v>
      </c>
      <c r="M1500" t="s">
        <v>638</v>
      </c>
      <c r="N1500" s="6" t="s">
        <v>85</v>
      </c>
      <c r="O1500" t="s">
        <v>107</v>
      </c>
      <c r="P1500" t="s">
        <v>70</v>
      </c>
      <c r="Q1500">
        <v>56</v>
      </c>
      <c r="R1500" t="s">
        <v>213</v>
      </c>
      <c r="S1500" s="2" t="s">
        <v>27</v>
      </c>
      <c r="T1500" s="2">
        <v>3</v>
      </c>
      <c r="U1500" t="s">
        <v>28</v>
      </c>
      <c r="V1500" t="s">
        <v>28</v>
      </c>
      <c r="W1500">
        <v>20.6</v>
      </c>
      <c r="X1500">
        <v>0.64100000000000001</v>
      </c>
      <c r="Y1500" s="6">
        <f t="shared" si="29"/>
        <v>0.19052558883257648</v>
      </c>
      <c r="Z1500">
        <f>0.751-X1500</f>
        <v>0.10999999999999999</v>
      </c>
      <c r="AA1500" s="6"/>
      <c r="AB1500" s="6"/>
    </row>
    <row r="1501" spans="1:28" x14ac:dyDescent="0.2">
      <c r="A1501" t="s">
        <v>219</v>
      </c>
      <c r="B1501">
        <v>2015</v>
      </c>
      <c r="C1501" t="s">
        <v>816</v>
      </c>
      <c r="D1501" t="s">
        <v>817</v>
      </c>
      <c r="E1501" t="s">
        <v>31</v>
      </c>
      <c r="F1501" t="s">
        <v>334</v>
      </c>
      <c r="G1501">
        <v>44.498058</v>
      </c>
      <c r="H1501">
        <v>-63.526552000000002</v>
      </c>
      <c r="I1501" t="s">
        <v>771</v>
      </c>
      <c r="J1501" t="s">
        <v>7</v>
      </c>
      <c r="K1501" t="s">
        <v>220</v>
      </c>
      <c r="L1501" t="s">
        <v>143</v>
      </c>
      <c r="M1501" t="s">
        <v>638</v>
      </c>
      <c r="N1501" t="s">
        <v>85</v>
      </c>
      <c r="O1501" s="6" t="s">
        <v>221</v>
      </c>
      <c r="P1501" t="s">
        <v>70</v>
      </c>
      <c r="Q1501">
        <v>56</v>
      </c>
      <c r="R1501" t="s">
        <v>213</v>
      </c>
      <c r="S1501" s="2" t="s">
        <v>7</v>
      </c>
      <c r="T1501" s="2">
        <v>3</v>
      </c>
      <c r="U1501" t="s">
        <v>28</v>
      </c>
      <c r="V1501" t="s">
        <v>28</v>
      </c>
      <c r="W1501">
        <v>12.7</v>
      </c>
      <c r="X1501">
        <v>31.87</v>
      </c>
      <c r="Y1501" s="6">
        <f t="shared" si="29"/>
        <v>6.529831544534666</v>
      </c>
      <c r="Z1501">
        <f>35.64-X1501</f>
        <v>3.7699999999999996</v>
      </c>
      <c r="AA1501" s="6"/>
      <c r="AB1501" s="6"/>
    </row>
    <row r="1502" spans="1:28" x14ac:dyDescent="0.2">
      <c r="A1502" t="s">
        <v>219</v>
      </c>
      <c r="B1502">
        <v>2015</v>
      </c>
      <c r="C1502" t="s">
        <v>816</v>
      </c>
      <c r="D1502" t="s">
        <v>817</v>
      </c>
      <c r="E1502" t="s">
        <v>31</v>
      </c>
      <c r="F1502" t="s">
        <v>334</v>
      </c>
      <c r="G1502">
        <v>44.498058</v>
      </c>
      <c r="H1502">
        <v>-63.526552000000002</v>
      </c>
      <c r="I1502" t="s">
        <v>771</v>
      </c>
      <c r="J1502" t="s">
        <v>14</v>
      </c>
      <c r="K1502" t="s">
        <v>220</v>
      </c>
      <c r="L1502" t="s">
        <v>143</v>
      </c>
      <c r="M1502" t="s">
        <v>638</v>
      </c>
      <c r="N1502" t="s">
        <v>85</v>
      </c>
      <c r="O1502" s="6" t="s">
        <v>221</v>
      </c>
      <c r="P1502" t="s">
        <v>70</v>
      </c>
      <c r="Q1502">
        <v>56</v>
      </c>
      <c r="R1502" t="s">
        <v>213</v>
      </c>
      <c r="S1502" s="2" t="s">
        <v>27</v>
      </c>
      <c r="T1502" s="2">
        <v>3</v>
      </c>
      <c r="U1502" t="s">
        <v>28</v>
      </c>
      <c r="V1502" t="s">
        <v>28</v>
      </c>
      <c r="W1502">
        <v>20.6</v>
      </c>
      <c r="X1502">
        <v>30.55</v>
      </c>
      <c r="Y1502" s="6">
        <f t="shared" si="29"/>
        <v>6.1661008749452009</v>
      </c>
      <c r="Z1502">
        <f>34.11-X1502</f>
        <v>3.5599999999999987</v>
      </c>
      <c r="AA1502" s="6"/>
      <c r="AB1502" s="6"/>
    </row>
    <row r="1503" spans="1:28" x14ac:dyDescent="0.2">
      <c r="A1503" t="s">
        <v>222</v>
      </c>
      <c r="B1503">
        <v>2018</v>
      </c>
      <c r="C1503" t="s">
        <v>816</v>
      </c>
      <c r="D1503" t="s">
        <v>820</v>
      </c>
      <c r="E1503" t="s">
        <v>34</v>
      </c>
      <c r="F1503" t="s">
        <v>325</v>
      </c>
      <c r="G1503">
        <v>32.666544000000002</v>
      </c>
      <c r="H1503">
        <v>-117.247394</v>
      </c>
      <c r="I1503" t="s">
        <v>766</v>
      </c>
      <c r="J1503" t="s">
        <v>7</v>
      </c>
      <c r="K1503" t="s">
        <v>144</v>
      </c>
      <c r="L1503" t="s">
        <v>144</v>
      </c>
      <c r="M1503" t="s">
        <v>26</v>
      </c>
      <c r="N1503" t="s">
        <v>85</v>
      </c>
      <c r="O1503" t="s">
        <v>839</v>
      </c>
      <c r="P1503" t="s">
        <v>72</v>
      </c>
      <c r="Q1503">
        <v>7</v>
      </c>
      <c r="R1503" t="s">
        <v>214</v>
      </c>
      <c r="S1503" s="2" t="s">
        <v>7</v>
      </c>
      <c r="T1503" s="2">
        <v>18</v>
      </c>
      <c r="U1503" s="17"/>
      <c r="V1503">
        <v>500</v>
      </c>
      <c r="W1503">
        <v>12</v>
      </c>
      <c r="X1503">
        <f>(6.86-7)/7*100/Q1503</f>
        <v>-0.28571428571428509</v>
      </c>
      <c r="Y1503" s="6">
        <f t="shared" si="29"/>
        <v>5.4777951395542424E-2</v>
      </c>
      <c r="Z1503">
        <f>ABS((7.17-6.86)/(6.86/X1503))</f>
        <v>1.2911286963765051E-2</v>
      </c>
      <c r="AA1503" s="6"/>
      <c r="AB1503" s="6"/>
    </row>
    <row r="1504" spans="1:28" x14ac:dyDescent="0.2">
      <c r="A1504" t="s">
        <v>222</v>
      </c>
      <c r="B1504">
        <v>2018</v>
      </c>
      <c r="C1504" t="s">
        <v>816</v>
      </c>
      <c r="D1504" t="s">
        <v>820</v>
      </c>
      <c r="E1504" t="s">
        <v>34</v>
      </c>
      <c r="F1504" t="s">
        <v>325</v>
      </c>
      <c r="G1504">
        <v>32.666544000000002</v>
      </c>
      <c r="H1504">
        <v>-117.247394</v>
      </c>
      <c r="I1504" t="s">
        <v>766</v>
      </c>
      <c r="J1504" t="s">
        <v>7</v>
      </c>
      <c r="K1504" t="s">
        <v>144</v>
      </c>
      <c r="L1504" t="s">
        <v>144</v>
      </c>
      <c r="M1504" t="s">
        <v>26</v>
      </c>
      <c r="N1504" t="s">
        <v>85</v>
      </c>
      <c r="O1504" t="s">
        <v>839</v>
      </c>
      <c r="P1504" t="s">
        <v>72</v>
      </c>
      <c r="Q1504">
        <v>14</v>
      </c>
      <c r="R1504" t="s">
        <v>214</v>
      </c>
      <c r="S1504" s="2" t="s">
        <v>7</v>
      </c>
      <c r="T1504" s="2">
        <v>18</v>
      </c>
      <c r="U1504" s="17"/>
      <c r="V1504">
        <v>500</v>
      </c>
      <c r="W1504">
        <v>12</v>
      </c>
      <c r="X1504">
        <f>(9.07-7)/7*100/Q1504</f>
        <v>2.1122448979591839</v>
      </c>
      <c r="Y1504" s="6">
        <f t="shared" si="29"/>
        <v>0.2667700065286957</v>
      </c>
      <c r="Z1504">
        <f>(9.34-9.07)/(9.07/X1504)</f>
        <v>6.2878293544540095E-2</v>
      </c>
      <c r="AA1504" s="6"/>
      <c r="AB1504" s="6"/>
    </row>
    <row r="1505" spans="1:28" x14ac:dyDescent="0.2">
      <c r="A1505" t="s">
        <v>222</v>
      </c>
      <c r="B1505">
        <v>2018</v>
      </c>
      <c r="C1505" t="s">
        <v>816</v>
      </c>
      <c r="D1505" t="s">
        <v>820</v>
      </c>
      <c r="E1505" t="s">
        <v>34</v>
      </c>
      <c r="F1505" t="s">
        <v>325</v>
      </c>
      <c r="G1505">
        <v>32.666544000000002</v>
      </c>
      <c r="H1505">
        <v>-117.247394</v>
      </c>
      <c r="I1505" t="s">
        <v>766</v>
      </c>
      <c r="J1505" t="s">
        <v>7</v>
      </c>
      <c r="K1505" t="s">
        <v>144</v>
      </c>
      <c r="L1505" t="s">
        <v>144</v>
      </c>
      <c r="M1505" t="s">
        <v>26</v>
      </c>
      <c r="N1505" t="s">
        <v>85</v>
      </c>
      <c r="O1505" t="s">
        <v>839</v>
      </c>
      <c r="P1505" t="s">
        <v>72</v>
      </c>
      <c r="Q1505">
        <v>21</v>
      </c>
      <c r="R1505" t="s">
        <v>214</v>
      </c>
      <c r="S1505" s="2" t="s">
        <v>7</v>
      </c>
      <c r="T1505" s="2">
        <v>18</v>
      </c>
      <c r="U1505" s="17"/>
      <c r="V1505">
        <v>500</v>
      </c>
      <c r="W1505">
        <v>12</v>
      </c>
      <c r="X1505">
        <f>(10.07-7)/7*100/Q1505</f>
        <v>2.0884353741496602</v>
      </c>
      <c r="Y1505" s="6">
        <f t="shared" si="29"/>
        <v>0.42234665616460182</v>
      </c>
      <c r="Z1505">
        <f>(10.55-10.07)/(10.07/X1505)</f>
        <v>9.9548061528484388E-2</v>
      </c>
      <c r="AA1505" s="6"/>
      <c r="AB1505" s="6"/>
    </row>
    <row r="1506" spans="1:28" x14ac:dyDescent="0.2">
      <c r="A1506" t="s">
        <v>222</v>
      </c>
      <c r="B1506">
        <v>2018</v>
      </c>
      <c r="C1506" t="s">
        <v>816</v>
      </c>
      <c r="D1506" t="s">
        <v>820</v>
      </c>
      <c r="E1506" t="s">
        <v>34</v>
      </c>
      <c r="F1506" t="s">
        <v>325</v>
      </c>
      <c r="G1506">
        <v>32.666544000000002</v>
      </c>
      <c r="H1506">
        <v>-117.247394</v>
      </c>
      <c r="I1506" t="s">
        <v>766</v>
      </c>
      <c r="J1506" t="s">
        <v>7</v>
      </c>
      <c r="K1506" t="s">
        <v>144</v>
      </c>
      <c r="L1506" t="s">
        <v>144</v>
      </c>
      <c r="M1506" t="s">
        <v>26</v>
      </c>
      <c r="N1506" t="s">
        <v>85</v>
      </c>
      <c r="O1506" t="s">
        <v>839</v>
      </c>
      <c r="P1506" t="s">
        <v>72</v>
      </c>
      <c r="Q1506">
        <v>28</v>
      </c>
      <c r="R1506" t="s">
        <v>213</v>
      </c>
      <c r="S1506" s="2" t="s">
        <v>7</v>
      </c>
      <c r="T1506" s="2">
        <v>18</v>
      </c>
      <c r="U1506" s="17"/>
      <c r="V1506">
        <v>500</v>
      </c>
      <c r="W1506">
        <v>12</v>
      </c>
      <c r="X1506">
        <f>(11.85-7)/7*100/Q1506</f>
        <v>2.4744897959183669</v>
      </c>
      <c r="Y1506" s="6">
        <f t="shared" si="29"/>
        <v>0.5847194023709994</v>
      </c>
      <c r="Z1506">
        <f>(12.51-11.85)/(11.85/X1506)</f>
        <v>0.13781968483595972</v>
      </c>
      <c r="AA1506" s="6"/>
      <c r="AB1506" s="6"/>
    </row>
    <row r="1507" spans="1:28" x14ac:dyDescent="0.2">
      <c r="A1507" t="s">
        <v>222</v>
      </c>
      <c r="B1507">
        <v>2018</v>
      </c>
      <c r="C1507" t="s">
        <v>816</v>
      </c>
      <c r="D1507" t="s">
        <v>820</v>
      </c>
      <c r="E1507" t="s">
        <v>34</v>
      </c>
      <c r="F1507" t="s">
        <v>325</v>
      </c>
      <c r="G1507">
        <v>32.666544000000002</v>
      </c>
      <c r="H1507">
        <v>-117.247394</v>
      </c>
      <c r="I1507" t="s">
        <v>766</v>
      </c>
      <c r="J1507" t="s">
        <v>14</v>
      </c>
      <c r="K1507" t="s">
        <v>144</v>
      </c>
      <c r="L1507" t="s">
        <v>144</v>
      </c>
      <c r="M1507" t="s">
        <v>26</v>
      </c>
      <c r="N1507" t="s">
        <v>85</v>
      </c>
      <c r="O1507" t="s">
        <v>839</v>
      </c>
      <c r="P1507" t="s">
        <v>72</v>
      </c>
      <c r="Q1507">
        <v>7</v>
      </c>
      <c r="R1507" t="s">
        <v>214</v>
      </c>
      <c r="S1507" s="2" t="s">
        <v>9</v>
      </c>
      <c r="T1507" s="2">
        <v>18</v>
      </c>
      <c r="U1507" t="s">
        <v>28</v>
      </c>
      <c r="V1507" t="s">
        <v>28</v>
      </c>
      <c r="W1507">
        <v>15</v>
      </c>
      <c r="X1507">
        <f>(6.55-7)/7*100/Q1507</f>
        <v>-0.91836734693877575</v>
      </c>
      <c r="Y1507" s="6">
        <f t="shared" si="29"/>
        <v>0.21414793310899619</v>
      </c>
      <c r="Z1507">
        <f>ABS((6.55-6.19)/(6.55/X1507))</f>
        <v>5.0475151892818135E-2</v>
      </c>
      <c r="AA1507" s="6"/>
      <c r="AB1507" s="6"/>
    </row>
    <row r="1508" spans="1:28" x14ac:dyDescent="0.2">
      <c r="A1508" t="s">
        <v>222</v>
      </c>
      <c r="B1508">
        <v>2018</v>
      </c>
      <c r="C1508" t="s">
        <v>816</v>
      </c>
      <c r="D1508" t="s">
        <v>820</v>
      </c>
      <c r="E1508" t="s">
        <v>34</v>
      </c>
      <c r="F1508" t="s">
        <v>325</v>
      </c>
      <c r="G1508">
        <v>32.666544000000002</v>
      </c>
      <c r="H1508">
        <v>-117.247394</v>
      </c>
      <c r="I1508" t="s">
        <v>766</v>
      </c>
      <c r="J1508" t="s">
        <v>14</v>
      </c>
      <c r="K1508" t="s">
        <v>144</v>
      </c>
      <c r="L1508" t="s">
        <v>144</v>
      </c>
      <c r="M1508" t="s">
        <v>26</v>
      </c>
      <c r="N1508" t="s">
        <v>85</v>
      </c>
      <c r="O1508" t="s">
        <v>839</v>
      </c>
      <c r="P1508" t="s">
        <v>72</v>
      </c>
      <c r="Q1508">
        <v>14</v>
      </c>
      <c r="R1508" t="s">
        <v>214</v>
      </c>
      <c r="S1508" s="2" t="s">
        <v>9</v>
      </c>
      <c r="T1508" s="2">
        <v>18</v>
      </c>
      <c r="U1508" t="s">
        <v>28</v>
      </c>
      <c r="V1508" t="s">
        <v>28</v>
      </c>
      <c r="W1508">
        <v>15</v>
      </c>
      <c r="X1508">
        <f>(7.81-7)/7*10/Q1508</f>
        <v>8.265306122448976E-2</v>
      </c>
      <c r="Y1508" s="6">
        <f t="shared" si="29"/>
        <v>1.7061914388869778E-2</v>
      </c>
      <c r="Z1508">
        <f>(7.81-7.43)/(7.81/X1508)</f>
        <v>4.0215317881313831E-3</v>
      </c>
      <c r="AA1508" s="6"/>
      <c r="AB1508" s="6"/>
    </row>
    <row r="1509" spans="1:28" x14ac:dyDescent="0.2">
      <c r="A1509" t="s">
        <v>222</v>
      </c>
      <c r="B1509">
        <v>2018</v>
      </c>
      <c r="C1509" t="s">
        <v>816</v>
      </c>
      <c r="D1509" t="s">
        <v>820</v>
      </c>
      <c r="E1509" t="s">
        <v>34</v>
      </c>
      <c r="F1509" t="s">
        <v>325</v>
      </c>
      <c r="G1509">
        <v>32.666544000000002</v>
      </c>
      <c r="H1509">
        <v>-117.247394</v>
      </c>
      <c r="I1509" t="s">
        <v>766</v>
      </c>
      <c r="J1509" t="s">
        <v>14</v>
      </c>
      <c r="K1509" t="s">
        <v>144</v>
      </c>
      <c r="L1509" t="s">
        <v>144</v>
      </c>
      <c r="M1509" t="s">
        <v>26</v>
      </c>
      <c r="N1509" t="s">
        <v>85</v>
      </c>
      <c r="O1509" t="s">
        <v>839</v>
      </c>
      <c r="P1509" t="s">
        <v>72</v>
      </c>
      <c r="Q1509">
        <v>21</v>
      </c>
      <c r="R1509" t="s">
        <v>214</v>
      </c>
      <c r="S1509" s="2" t="s">
        <v>9</v>
      </c>
      <c r="T1509" s="2">
        <v>18</v>
      </c>
      <c r="U1509" t="s">
        <v>28</v>
      </c>
      <c r="V1509" t="s">
        <v>28</v>
      </c>
      <c r="W1509">
        <v>15</v>
      </c>
      <c r="X1509">
        <f>(7.8-7)/7*100/Q1509</f>
        <v>0.54421768707482976</v>
      </c>
      <c r="Y1509" s="6">
        <f t="shared" si="29"/>
        <v>0.10952569713826167</v>
      </c>
      <c r="Z1509">
        <f>(7.8-7.43)/(7.8/X1509)</f>
        <v>2.5815454386882958E-2</v>
      </c>
      <c r="AA1509" s="6"/>
      <c r="AB1509" s="6"/>
    </row>
    <row r="1510" spans="1:28" x14ac:dyDescent="0.2">
      <c r="A1510" t="s">
        <v>222</v>
      </c>
      <c r="B1510">
        <v>2018</v>
      </c>
      <c r="C1510" t="s">
        <v>816</v>
      </c>
      <c r="D1510" t="s">
        <v>820</v>
      </c>
      <c r="E1510" t="s">
        <v>34</v>
      </c>
      <c r="F1510" t="s">
        <v>325</v>
      </c>
      <c r="G1510">
        <v>32.666544000000002</v>
      </c>
      <c r="H1510">
        <v>-117.247394</v>
      </c>
      <c r="I1510" t="s">
        <v>766</v>
      </c>
      <c r="J1510" t="s">
        <v>14</v>
      </c>
      <c r="K1510" t="s">
        <v>144</v>
      </c>
      <c r="L1510" t="s">
        <v>144</v>
      </c>
      <c r="M1510" t="s">
        <v>26</v>
      </c>
      <c r="N1510" t="s">
        <v>85</v>
      </c>
      <c r="O1510" t="s">
        <v>839</v>
      </c>
      <c r="P1510" t="s">
        <v>72</v>
      </c>
      <c r="Q1510">
        <v>28</v>
      </c>
      <c r="R1510" t="s">
        <v>213</v>
      </c>
      <c r="S1510" s="2" t="s">
        <v>9</v>
      </c>
      <c r="T1510" s="2">
        <v>18</v>
      </c>
      <c r="U1510" t="s">
        <v>28</v>
      </c>
      <c r="V1510" t="s">
        <v>28</v>
      </c>
      <c r="W1510">
        <v>15</v>
      </c>
      <c r="X1510">
        <f>(7.04-7)/7*100/Q1510</f>
        <v>2.0408163265306142E-2</v>
      </c>
      <c r="Y1510" s="6">
        <f t="shared" si="29"/>
        <v>1.0454094921299263E-2</v>
      </c>
      <c r="Z1510">
        <f>(7.04-6.19)/(7.04/X1510)</f>
        <v>2.4640538033395189E-3</v>
      </c>
      <c r="AA1510" s="6"/>
      <c r="AB1510" s="6"/>
    </row>
    <row r="1511" spans="1:28" x14ac:dyDescent="0.2">
      <c r="A1511" t="s">
        <v>222</v>
      </c>
      <c r="B1511">
        <v>2018</v>
      </c>
      <c r="C1511" t="s">
        <v>816</v>
      </c>
      <c r="D1511" t="s">
        <v>820</v>
      </c>
      <c r="E1511" t="s">
        <v>34</v>
      </c>
      <c r="F1511" t="s">
        <v>325</v>
      </c>
      <c r="G1511">
        <v>32.666544000000002</v>
      </c>
      <c r="H1511">
        <v>-117.247394</v>
      </c>
      <c r="I1511" t="s">
        <v>766</v>
      </c>
      <c r="J1511" t="s">
        <v>5</v>
      </c>
      <c r="K1511" t="s">
        <v>144</v>
      </c>
      <c r="L1511" t="s">
        <v>144</v>
      </c>
      <c r="M1511" t="s">
        <v>26</v>
      </c>
      <c r="N1511" t="s">
        <v>85</v>
      </c>
      <c r="O1511" t="s">
        <v>839</v>
      </c>
      <c r="P1511" t="s">
        <v>72</v>
      </c>
      <c r="Q1511">
        <v>7</v>
      </c>
      <c r="R1511" t="s">
        <v>214</v>
      </c>
      <c r="S1511" s="2" t="s">
        <v>27</v>
      </c>
      <c r="T1511" s="2">
        <v>18</v>
      </c>
      <c r="U1511" s="17"/>
      <c r="V1511">
        <v>1300</v>
      </c>
      <c r="W1511" t="s">
        <v>28</v>
      </c>
      <c r="X1511">
        <f>(6.64-7)/7*100/Q1511</f>
        <v>-0.73469387755102111</v>
      </c>
      <c r="Y1511" s="6">
        <f t="shared" si="29"/>
        <v>0.16899626046553326</v>
      </c>
      <c r="Z1511">
        <f>ABS((6.64-6.28)/(6.64/X1511))</f>
        <v>3.9832800590115541E-2</v>
      </c>
      <c r="AA1511" s="6"/>
      <c r="AB1511" s="6"/>
    </row>
    <row r="1512" spans="1:28" x14ac:dyDescent="0.2">
      <c r="A1512" t="s">
        <v>222</v>
      </c>
      <c r="B1512">
        <v>2018</v>
      </c>
      <c r="C1512" t="s">
        <v>816</v>
      </c>
      <c r="D1512" t="s">
        <v>820</v>
      </c>
      <c r="E1512" t="s">
        <v>34</v>
      </c>
      <c r="F1512" t="s">
        <v>325</v>
      </c>
      <c r="G1512">
        <v>32.666544000000002</v>
      </c>
      <c r="H1512">
        <v>-117.247394</v>
      </c>
      <c r="I1512" t="s">
        <v>766</v>
      </c>
      <c r="J1512" t="s">
        <v>5</v>
      </c>
      <c r="K1512" t="s">
        <v>144</v>
      </c>
      <c r="L1512" t="s">
        <v>144</v>
      </c>
      <c r="M1512" t="s">
        <v>26</v>
      </c>
      <c r="N1512" t="s">
        <v>85</v>
      </c>
      <c r="O1512" t="s">
        <v>839</v>
      </c>
      <c r="P1512" t="s">
        <v>72</v>
      </c>
      <c r="Q1512">
        <v>14</v>
      </c>
      <c r="R1512" t="s">
        <v>214</v>
      </c>
      <c r="S1512" s="2" t="s">
        <v>27</v>
      </c>
      <c r="T1512" s="2">
        <v>18</v>
      </c>
      <c r="U1512" s="17"/>
      <c r="V1512">
        <v>1300</v>
      </c>
      <c r="W1512" t="s">
        <v>28</v>
      </c>
      <c r="X1512">
        <f>(8.85-7)/7*100/Q1512</f>
        <v>1.8877551020408159</v>
      </c>
      <c r="Y1512" s="6">
        <f t="shared" si="29"/>
        <v>0.47058922414490345</v>
      </c>
      <c r="Z1512">
        <f>(8.85-8.33)/(8.85/X1512)</f>
        <v>0.11091894384872582</v>
      </c>
      <c r="AA1512" s="6"/>
      <c r="AB1512" s="6"/>
    </row>
    <row r="1513" spans="1:28" x14ac:dyDescent="0.2">
      <c r="A1513" t="s">
        <v>222</v>
      </c>
      <c r="B1513">
        <v>2018</v>
      </c>
      <c r="C1513" t="s">
        <v>816</v>
      </c>
      <c r="D1513" t="s">
        <v>820</v>
      </c>
      <c r="E1513" t="s">
        <v>34</v>
      </c>
      <c r="F1513" t="s">
        <v>325</v>
      </c>
      <c r="G1513">
        <v>32.666544000000002</v>
      </c>
      <c r="H1513">
        <v>-117.247394</v>
      </c>
      <c r="I1513" t="s">
        <v>766</v>
      </c>
      <c r="J1513" t="s">
        <v>5</v>
      </c>
      <c r="K1513" t="s">
        <v>144</v>
      </c>
      <c r="L1513" t="s">
        <v>144</v>
      </c>
      <c r="M1513" t="s">
        <v>26</v>
      </c>
      <c r="N1513" t="s">
        <v>85</v>
      </c>
      <c r="O1513" t="s">
        <v>839</v>
      </c>
      <c r="P1513" t="s">
        <v>72</v>
      </c>
      <c r="Q1513">
        <v>21</v>
      </c>
      <c r="R1513" t="s">
        <v>214</v>
      </c>
      <c r="S1513" s="2" t="s">
        <v>27</v>
      </c>
      <c r="T1513" s="2">
        <v>18</v>
      </c>
      <c r="U1513" s="17"/>
      <c r="V1513">
        <v>1300</v>
      </c>
      <c r="W1513" t="s">
        <v>28</v>
      </c>
      <c r="X1513">
        <f>(9.6-7)/7*100/Q1513</f>
        <v>1.768707482993197</v>
      </c>
      <c r="Y1513" s="6">
        <f t="shared" si="29"/>
        <v>0.42209945611645877</v>
      </c>
      <c r="Z1513">
        <f>(9.6-9.06)/(9.6/X1513)</f>
        <v>9.948979591836718E-2</v>
      </c>
      <c r="AA1513" s="6"/>
      <c r="AB1513" s="6"/>
    </row>
    <row r="1514" spans="1:28" x14ac:dyDescent="0.2">
      <c r="A1514" t="s">
        <v>222</v>
      </c>
      <c r="B1514">
        <v>2018</v>
      </c>
      <c r="C1514" t="s">
        <v>816</v>
      </c>
      <c r="D1514" t="s">
        <v>820</v>
      </c>
      <c r="E1514" t="s">
        <v>34</v>
      </c>
      <c r="F1514" t="s">
        <v>325</v>
      </c>
      <c r="G1514">
        <v>32.666544000000002</v>
      </c>
      <c r="H1514">
        <v>-117.247394</v>
      </c>
      <c r="I1514" t="s">
        <v>766</v>
      </c>
      <c r="J1514" t="s">
        <v>5</v>
      </c>
      <c r="K1514" t="s">
        <v>144</v>
      </c>
      <c r="L1514" t="s">
        <v>144</v>
      </c>
      <c r="M1514" t="s">
        <v>26</v>
      </c>
      <c r="N1514" t="s">
        <v>85</v>
      </c>
      <c r="O1514" t="s">
        <v>839</v>
      </c>
      <c r="P1514" t="s">
        <v>72</v>
      </c>
      <c r="Q1514">
        <v>28</v>
      </c>
      <c r="R1514" t="s">
        <v>213</v>
      </c>
      <c r="S1514" s="2" t="s">
        <v>27</v>
      </c>
      <c r="T1514" s="2">
        <v>18</v>
      </c>
      <c r="U1514" s="17"/>
      <c r="V1514">
        <v>1300</v>
      </c>
      <c r="W1514" t="s">
        <v>28</v>
      </c>
      <c r="X1514">
        <f>(11.557)/7*100/Q1514</f>
        <v>5.8964285714285714</v>
      </c>
      <c r="Y1514" s="6">
        <f t="shared" si="29"/>
        <v>2.0282420019544767</v>
      </c>
      <c r="Z1514">
        <f>(11.557-10.62)/(11.557/X1514)</f>
        <v>0.47806122448979649</v>
      </c>
      <c r="AA1514" s="6"/>
      <c r="AB1514" s="6"/>
    </row>
    <row r="1515" spans="1:28" x14ac:dyDescent="0.2">
      <c r="A1515" t="s">
        <v>222</v>
      </c>
      <c r="B1515">
        <v>2018</v>
      </c>
      <c r="C1515" t="s">
        <v>816</v>
      </c>
      <c r="D1515" t="s">
        <v>820</v>
      </c>
      <c r="E1515" t="s">
        <v>34</v>
      </c>
      <c r="F1515" t="s">
        <v>325</v>
      </c>
      <c r="G1515">
        <v>32.666544000000002</v>
      </c>
      <c r="H1515">
        <v>-117.247394</v>
      </c>
      <c r="I1515" t="s">
        <v>766</v>
      </c>
      <c r="J1515" t="s">
        <v>16</v>
      </c>
      <c r="K1515" t="s">
        <v>144</v>
      </c>
      <c r="L1515" t="s">
        <v>144</v>
      </c>
      <c r="M1515" t="s">
        <v>26</v>
      </c>
      <c r="N1515" t="s">
        <v>85</v>
      </c>
      <c r="O1515" t="s">
        <v>839</v>
      </c>
      <c r="P1515" t="s">
        <v>72</v>
      </c>
      <c r="Q1515">
        <v>7</v>
      </c>
      <c r="R1515" t="s">
        <v>214</v>
      </c>
      <c r="S1515" s="2" t="s">
        <v>13</v>
      </c>
      <c r="T1515" s="2">
        <v>18</v>
      </c>
      <c r="U1515" s="17"/>
      <c r="V1515">
        <v>1300</v>
      </c>
      <c r="W1515">
        <v>15</v>
      </c>
      <c r="X1515">
        <f>(6.77-7)/7*100/Q1515</f>
        <v>-0.46938775510204167</v>
      </c>
      <c r="Y1515" s="6">
        <f t="shared" si="29"/>
        <v>0.1176628412308128</v>
      </c>
      <c r="Z1515">
        <f>ABS((7.17-6.77)/(6.77/X1515))</f>
        <v>2.7733397642661278E-2</v>
      </c>
      <c r="AA1515" s="6"/>
      <c r="AB1515" s="6"/>
    </row>
    <row r="1516" spans="1:28" x14ac:dyDescent="0.2">
      <c r="A1516" t="s">
        <v>222</v>
      </c>
      <c r="B1516">
        <v>2018</v>
      </c>
      <c r="C1516" t="s">
        <v>816</v>
      </c>
      <c r="D1516" t="s">
        <v>820</v>
      </c>
      <c r="E1516" t="s">
        <v>34</v>
      </c>
      <c r="F1516" t="s">
        <v>325</v>
      </c>
      <c r="G1516">
        <v>32.666544000000002</v>
      </c>
      <c r="H1516">
        <v>-117.247394</v>
      </c>
      <c r="I1516" t="s">
        <v>766</v>
      </c>
      <c r="J1516" t="s">
        <v>16</v>
      </c>
      <c r="K1516" t="s">
        <v>144</v>
      </c>
      <c r="L1516" t="s">
        <v>144</v>
      </c>
      <c r="M1516" t="s">
        <v>26</v>
      </c>
      <c r="N1516" t="s">
        <v>85</v>
      </c>
      <c r="O1516" t="s">
        <v>839</v>
      </c>
      <c r="P1516" t="s">
        <v>72</v>
      </c>
      <c r="Q1516">
        <v>14</v>
      </c>
      <c r="R1516" t="s">
        <v>214</v>
      </c>
      <c r="S1516" s="2" t="s">
        <v>13</v>
      </c>
      <c r="T1516" s="2">
        <v>18</v>
      </c>
      <c r="U1516" s="17"/>
      <c r="V1516">
        <v>1300</v>
      </c>
      <c r="W1516">
        <v>15</v>
      </c>
      <c r="X1516">
        <f>(9.6-7)/7*100/Q1516</f>
        <v>2.6530612244897958</v>
      </c>
      <c r="Y1516" s="6">
        <f t="shared" si="29"/>
        <v>0.58624924460619365</v>
      </c>
      <c r="Z1516">
        <f>(10.1-9.6)/(9.6/X1516)</f>
        <v>0.13818027210884354</v>
      </c>
      <c r="AA1516" s="6"/>
      <c r="AB1516" s="6"/>
    </row>
    <row r="1517" spans="1:28" x14ac:dyDescent="0.2">
      <c r="A1517" t="s">
        <v>222</v>
      </c>
      <c r="B1517">
        <v>2018</v>
      </c>
      <c r="C1517" t="s">
        <v>816</v>
      </c>
      <c r="D1517" t="s">
        <v>820</v>
      </c>
      <c r="E1517" t="s">
        <v>34</v>
      </c>
      <c r="F1517" t="s">
        <v>325</v>
      </c>
      <c r="G1517">
        <v>32.666544000000002</v>
      </c>
      <c r="H1517">
        <v>-117.247394</v>
      </c>
      <c r="I1517" t="s">
        <v>766</v>
      </c>
      <c r="J1517" t="s">
        <v>16</v>
      </c>
      <c r="K1517" t="s">
        <v>144</v>
      </c>
      <c r="L1517" t="s">
        <v>144</v>
      </c>
      <c r="M1517" t="s">
        <v>26</v>
      </c>
      <c r="N1517" t="s">
        <v>85</v>
      </c>
      <c r="O1517" t="s">
        <v>839</v>
      </c>
      <c r="P1517" t="s">
        <v>72</v>
      </c>
      <c r="Q1517">
        <v>21</v>
      </c>
      <c r="R1517" t="s">
        <v>214</v>
      </c>
      <c r="S1517" s="2" t="s">
        <v>13</v>
      </c>
      <c r="T1517" s="2">
        <v>18</v>
      </c>
      <c r="U1517" s="17"/>
      <c r="V1517">
        <v>1300</v>
      </c>
      <c r="W1517">
        <v>15</v>
      </c>
      <c r="X1517">
        <f>(11.7-7)/7*100/Q1517</f>
        <v>3.1972789115646258</v>
      </c>
      <c r="Y1517" s="6">
        <f t="shared" si="29"/>
        <v>0.69563618452679876</v>
      </c>
      <c r="Z1517">
        <f>(12.3-11.7)/(11.7/X1517)</f>
        <v>0.16396302110587865</v>
      </c>
      <c r="AA1517" s="6"/>
      <c r="AB1517" s="6"/>
    </row>
    <row r="1518" spans="1:28" x14ac:dyDescent="0.2">
      <c r="A1518" t="s">
        <v>222</v>
      </c>
      <c r="B1518">
        <v>2018</v>
      </c>
      <c r="C1518" t="s">
        <v>816</v>
      </c>
      <c r="D1518" t="s">
        <v>820</v>
      </c>
      <c r="E1518" t="s">
        <v>34</v>
      </c>
      <c r="F1518" t="s">
        <v>325</v>
      </c>
      <c r="G1518">
        <v>32.666544000000002</v>
      </c>
      <c r="H1518">
        <v>-117.247394</v>
      </c>
      <c r="I1518" t="s">
        <v>766</v>
      </c>
      <c r="J1518" t="s">
        <v>16</v>
      </c>
      <c r="K1518" t="s">
        <v>144</v>
      </c>
      <c r="L1518" t="s">
        <v>144</v>
      </c>
      <c r="M1518" t="s">
        <v>26</v>
      </c>
      <c r="N1518" t="s">
        <v>85</v>
      </c>
      <c r="O1518" t="s">
        <v>839</v>
      </c>
      <c r="P1518" t="s">
        <v>72</v>
      </c>
      <c r="Q1518">
        <v>28</v>
      </c>
      <c r="R1518" t="s">
        <v>213</v>
      </c>
      <c r="S1518" s="2" t="s">
        <v>13</v>
      </c>
      <c r="T1518" s="2">
        <v>18</v>
      </c>
      <c r="U1518" s="17"/>
      <c r="V1518">
        <v>1300</v>
      </c>
      <c r="W1518">
        <v>15</v>
      </c>
      <c r="X1518">
        <f>(14.75-7)/7*100/Q1518</f>
        <v>3.9540816326530615</v>
      </c>
      <c r="Y1518" s="6">
        <f t="shared" si="29"/>
        <v>1.0236049392133182</v>
      </c>
      <c r="Z1518">
        <f>(15.65-14.75)/(14.75/X1518)</f>
        <v>0.24126599792459369</v>
      </c>
      <c r="AA1518" s="6"/>
      <c r="AB1518" s="6"/>
    </row>
    <row r="1519" spans="1:28" x14ac:dyDescent="0.2">
      <c r="A1519" t="s">
        <v>223</v>
      </c>
      <c r="B1519">
        <v>1997</v>
      </c>
      <c r="C1519" t="s">
        <v>826</v>
      </c>
      <c r="D1519" t="s">
        <v>824</v>
      </c>
      <c r="E1519" t="s">
        <v>48</v>
      </c>
      <c r="F1519" t="s">
        <v>314</v>
      </c>
      <c r="G1519">
        <v>43.053229000000002</v>
      </c>
      <c r="H1519">
        <v>-70.712676000000002</v>
      </c>
      <c r="J1519" t="s">
        <v>7</v>
      </c>
      <c r="K1519" t="s">
        <v>224</v>
      </c>
      <c r="L1519" t="s">
        <v>143</v>
      </c>
      <c r="M1519" t="s">
        <v>26</v>
      </c>
      <c r="N1519" t="s">
        <v>85</v>
      </c>
      <c r="O1519" t="s">
        <v>462</v>
      </c>
      <c r="P1519" t="s">
        <v>72</v>
      </c>
      <c r="Q1519">
        <v>7</v>
      </c>
      <c r="R1519" t="s">
        <v>214</v>
      </c>
      <c r="S1519" s="2" t="s">
        <v>7</v>
      </c>
      <c r="T1519" s="2">
        <v>75</v>
      </c>
      <c r="U1519" t="s">
        <v>28</v>
      </c>
      <c r="V1519" t="s">
        <v>28</v>
      </c>
      <c r="W1519">
        <v>12</v>
      </c>
      <c r="X1519">
        <v>29.1</v>
      </c>
      <c r="Y1519" s="6" t="s">
        <v>28</v>
      </c>
      <c r="Z1519" t="s">
        <v>28</v>
      </c>
      <c r="AA1519" s="6"/>
      <c r="AB1519" s="6"/>
    </row>
    <row r="1520" spans="1:28" x14ac:dyDescent="0.2">
      <c r="A1520" t="s">
        <v>223</v>
      </c>
      <c r="B1520">
        <v>1997</v>
      </c>
      <c r="C1520" t="s">
        <v>826</v>
      </c>
      <c r="D1520" t="s">
        <v>824</v>
      </c>
      <c r="E1520" t="s">
        <v>48</v>
      </c>
      <c r="F1520" t="s">
        <v>314</v>
      </c>
      <c r="G1520">
        <v>43.053229000000002</v>
      </c>
      <c r="H1520">
        <v>-70.712676000000002</v>
      </c>
      <c r="J1520" t="s">
        <v>14</v>
      </c>
      <c r="K1520" t="s">
        <v>224</v>
      </c>
      <c r="L1520" t="s">
        <v>143</v>
      </c>
      <c r="M1520" t="s">
        <v>26</v>
      </c>
      <c r="N1520" t="s">
        <v>85</v>
      </c>
      <c r="O1520" t="s">
        <v>462</v>
      </c>
      <c r="P1520" t="s">
        <v>72</v>
      </c>
      <c r="Q1520">
        <v>7</v>
      </c>
      <c r="R1520" t="s">
        <v>214</v>
      </c>
      <c r="S1520" s="2" t="s">
        <v>9</v>
      </c>
      <c r="T1520" s="2">
        <v>75</v>
      </c>
      <c r="U1520" t="s">
        <v>28</v>
      </c>
      <c r="V1520" t="s">
        <v>28</v>
      </c>
      <c r="W1520">
        <v>20</v>
      </c>
      <c r="X1520">
        <v>8.8000000000000007</v>
      </c>
      <c r="Y1520" s="6" t="s">
        <v>28</v>
      </c>
      <c r="Z1520" t="s">
        <v>28</v>
      </c>
      <c r="AA1520" s="6"/>
      <c r="AB1520" s="6"/>
    </row>
    <row r="1521" spans="1:28" x14ac:dyDescent="0.2">
      <c r="A1521" t="s">
        <v>223</v>
      </c>
      <c r="B1521">
        <v>1997</v>
      </c>
      <c r="C1521" t="s">
        <v>826</v>
      </c>
      <c r="D1521" t="s">
        <v>824</v>
      </c>
      <c r="E1521" t="s">
        <v>48</v>
      </c>
      <c r="F1521" t="s">
        <v>314</v>
      </c>
      <c r="G1521">
        <v>43.053229000000002</v>
      </c>
      <c r="H1521">
        <v>-70.712676000000002</v>
      </c>
      <c r="J1521" t="s">
        <v>7</v>
      </c>
      <c r="K1521" t="s">
        <v>224</v>
      </c>
      <c r="L1521" t="s">
        <v>143</v>
      </c>
      <c r="M1521" t="s">
        <v>12</v>
      </c>
      <c r="N1521" t="s">
        <v>85</v>
      </c>
      <c r="O1521" s="6" t="s">
        <v>843</v>
      </c>
      <c r="P1521" t="s">
        <v>74</v>
      </c>
      <c r="Q1521">
        <v>7</v>
      </c>
      <c r="R1521" t="s">
        <v>213</v>
      </c>
      <c r="S1521" s="2" t="s">
        <v>7</v>
      </c>
      <c r="T1521" s="2">
        <v>75</v>
      </c>
      <c r="U1521" t="s">
        <v>28</v>
      </c>
      <c r="V1521" t="s">
        <v>28</v>
      </c>
      <c r="W1521">
        <v>12</v>
      </c>
      <c r="X1521">
        <v>0.1</v>
      </c>
      <c r="Y1521" s="6">
        <f t="shared" si="29"/>
        <v>0.86602540378443882</v>
      </c>
      <c r="Z1521">
        <v>0.1</v>
      </c>
      <c r="AA1521" s="6"/>
      <c r="AB1521" s="6"/>
    </row>
    <row r="1522" spans="1:28" x14ac:dyDescent="0.2">
      <c r="A1522" t="s">
        <v>223</v>
      </c>
      <c r="B1522">
        <v>1997</v>
      </c>
      <c r="C1522" t="s">
        <v>826</v>
      </c>
      <c r="D1522" t="s">
        <v>824</v>
      </c>
      <c r="E1522" t="s">
        <v>48</v>
      </c>
      <c r="F1522" t="s">
        <v>314</v>
      </c>
      <c r="G1522">
        <v>43.053229000000002</v>
      </c>
      <c r="H1522">
        <v>-70.712676000000002</v>
      </c>
      <c r="J1522" t="s">
        <v>14</v>
      </c>
      <c r="K1522" t="s">
        <v>224</v>
      </c>
      <c r="L1522" t="s">
        <v>143</v>
      </c>
      <c r="M1522" t="s">
        <v>12</v>
      </c>
      <c r="N1522" t="s">
        <v>85</v>
      </c>
      <c r="O1522" s="6" t="s">
        <v>843</v>
      </c>
      <c r="P1522" t="s">
        <v>74</v>
      </c>
      <c r="Q1522">
        <v>7</v>
      </c>
      <c r="R1522" t="s">
        <v>213</v>
      </c>
      <c r="S1522" s="2" t="s">
        <v>9</v>
      </c>
      <c r="T1522" s="2">
        <v>75</v>
      </c>
      <c r="U1522" t="s">
        <v>28</v>
      </c>
      <c r="V1522" t="s">
        <v>28</v>
      </c>
      <c r="W1522">
        <v>20</v>
      </c>
      <c r="X1522">
        <f>1.7-3.4</f>
        <v>-1.7</v>
      </c>
      <c r="Y1522" s="6">
        <f t="shared" si="29"/>
        <v>1.7320508075688776</v>
      </c>
      <c r="Z1522">
        <v>0.2</v>
      </c>
      <c r="AA1522" s="6"/>
      <c r="AB1522" s="6"/>
    </row>
    <row r="1523" spans="1:28" x14ac:dyDescent="0.2">
      <c r="A1523" t="s">
        <v>223</v>
      </c>
      <c r="B1523">
        <v>1997</v>
      </c>
      <c r="C1523" t="s">
        <v>826</v>
      </c>
      <c r="D1523" t="s">
        <v>824</v>
      </c>
      <c r="E1523" t="s">
        <v>48</v>
      </c>
      <c r="F1523" t="s">
        <v>314</v>
      </c>
      <c r="G1523">
        <v>43.053229000000002</v>
      </c>
      <c r="H1523">
        <v>-70.712676000000002</v>
      </c>
      <c r="J1523" t="s">
        <v>7</v>
      </c>
      <c r="K1523" t="s">
        <v>225</v>
      </c>
      <c r="L1523" t="s">
        <v>143</v>
      </c>
      <c r="M1523" t="s">
        <v>26</v>
      </c>
      <c r="N1523" t="s">
        <v>85</v>
      </c>
      <c r="O1523" t="s">
        <v>839</v>
      </c>
      <c r="P1523" t="s">
        <v>72</v>
      </c>
      <c r="Q1523">
        <v>10</v>
      </c>
      <c r="R1523" t="s">
        <v>213</v>
      </c>
      <c r="S1523" s="2" t="s">
        <v>7</v>
      </c>
      <c r="T1523" s="2">
        <v>8</v>
      </c>
      <c r="U1523" t="s">
        <v>28</v>
      </c>
      <c r="V1523" t="s">
        <v>28</v>
      </c>
      <c r="W1523">
        <v>12</v>
      </c>
      <c r="X1523">
        <v>4.7</v>
      </c>
      <c r="Y1523" s="6">
        <f t="shared" si="29"/>
        <v>1.4142135623730951</v>
      </c>
      <c r="Z1523">
        <v>0.5</v>
      </c>
      <c r="AA1523" s="6"/>
      <c r="AB1523" s="6"/>
    </row>
    <row r="1524" spans="1:28" x14ac:dyDescent="0.2">
      <c r="A1524" t="s">
        <v>223</v>
      </c>
      <c r="B1524">
        <v>1997</v>
      </c>
      <c r="C1524" t="s">
        <v>826</v>
      </c>
      <c r="D1524" t="s">
        <v>824</v>
      </c>
      <c r="E1524" t="s">
        <v>48</v>
      </c>
      <c r="F1524" t="s">
        <v>314</v>
      </c>
      <c r="G1524">
        <v>43.053229000000002</v>
      </c>
      <c r="H1524">
        <v>-70.712676000000002</v>
      </c>
      <c r="J1524" t="s">
        <v>14</v>
      </c>
      <c r="K1524" t="s">
        <v>225</v>
      </c>
      <c r="L1524" t="s">
        <v>143</v>
      </c>
      <c r="M1524" t="s">
        <v>26</v>
      </c>
      <c r="N1524" t="s">
        <v>85</v>
      </c>
      <c r="O1524" t="s">
        <v>839</v>
      </c>
      <c r="P1524" t="s">
        <v>72</v>
      </c>
      <c r="Q1524">
        <v>10</v>
      </c>
      <c r="R1524" t="s">
        <v>213</v>
      </c>
      <c r="S1524" s="2" t="s">
        <v>9</v>
      </c>
      <c r="T1524" s="2">
        <v>8</v>
      </c>
      <c r="U1524" t="s">
        <v>28</v>
      </c>
      <c r="V1524" t="s">
        <v>28</v>
      </c>
      <c r="W1524">
        <v>20</v>
      </c>
      <c r="X1524">
        <v>2.2999999999999998</v>
      </c>
      <c r="Y1524" s="6">
        <f t="shared" si="29"/>
        <v>1.4142135623730951</v>
      </c>
      <c r="Z1524">
        <v>0.5</v>
      </c>
      <c r="AA1524" s="6"/>
      <c r="AB1524" s="6"/>
    </row>
    <row r="1525" spans="1:28" x14ac:dyDescent="0.2">
      <c r="A1525" t="s">
        <v>232</v>
      </c>
      <c r="B1525">
        <v>1978</v>
      </c>
      <c r="C1525" t="s">
        <v>816</v>
      </c>
      <c r="D1525" t="s">
        <v>820</v>
      </c>
      <c r="E1525" t="s">
        <v>34</v>
      </c>
      <c r="F1525" t="s">
        <v>226</v>
      </c>
      <c r="G1525">
        <v>34.389916999999997</v>
      </c>
      <c r="H1525">
        <v>-119.70008300000001</v>
      </c>
      <c r="I1525" t="s">
        <v>139</v>
      </c>
      <c r="J1525" t="s">
        <v>7</v>
      </c>
      <c r="K1525" t="s">
        <v>41</v>
      </c>
      <c r="L1525" t="s">
        <v>3</v>
      </c>
      <c r="M1525" t="s">
        <v>26</v>
      </c>
      <c r="N1525" t="s">
        <v>85</v>
      </c>
      <c r="O1525" s="6" t="s">
        <v>356</v>
      </c>
      <c r="P1525" t="s">
        <v>65</v>
      </c>
      <c r="Q1525">
        <v>7</v>
      </c>
      <c r="R1525" t="s">
        <v>213</v>
      </c>
      <c r="S1525" s="2" t="s">
        <v>7</v>
      </c>
      <c r="T1525" s="2">
        <v>20</v>
      </c>
      <c r="U1525" t="s">
        <v>28</v>
      </c>
      <c r="V1525" t="s">
        <v>28</v>
      </c>
      <c r="W1525">
        <v>12</v>
      </c>
      <c r="X1525">
        <f>15.8</f>
        <v>15.8</v>
      </c>
      <c r="Y1525" s="6">
        <f t="shared" si="29"/>
        <v>12.929161950258029</v>
      </c>
      <c r="Z1525">
        <f>0.98*2.086*SQRT(2)</f>
        <v>2.8910485012880707</v>
      </c>
      <c r="AA1525" s="6"/>
      <c r="AB1525" s="6"/>
    </row>
    <row r="1526" spans="1:28" x14ac:dyDescent="0.2">
      <c r="A1526" t="s">
        <v>232</v>
      </c>
      <c r="B1526">
        <v>1978</v>
      </c>
      <c r="C1526" t="s">
        <v>816</v>
      </c>
      <c r="D1526" t="s">
        <v>820</v>
      </c>
      <c r="E1526" t="s">
        <v>34</v>
      </c>
      <c r="F1526" t="s">
        <v>226</v>
      </c>
      <c r="G1526">
        <v>34.389916999999997</v>
      </c>
      <c r="H1526">
        <v>-119.70008300000001</v>
      </c>
      <c r="I1526" t="s">
        <v>139</v>
      </c>
      <c r="J1526" t="s">
        <v>14</v>
      </c>
      <c r="K1526" t="s">
        <v>41</v>
      </c>
      <c r="L1526" t="s">
        <v>3</v>
      </c>
      <c r="M1526" t="s">
        <v>26</v>
      </c>
      <c r="N1526" t="s">
        <v>85</v>
      </c>
      <c r="O1526" s="6" t="s">
        <v>356</v>
      </c>
      <c r="P1526" t="s">
        <v>65</v>
      </c>
      <c r="Q1526">
        <v>7</v>
      </c>
      <c r="R1526" t="s">
        <v>213</v>
      </c>
      <c r="S1526" s="2" t="s">
        <v>9</v>
      </c>
      <c r="T1526" s="2">
        <v>20</v>
      </c>
      <c r="U1526" t="s">
        <v>28</v>
      </c>
      <c r="V1526" t="s">
        <v>28</v>
      </c>
      <c r="W1526">
        <v>17</v>
      </c>
      <c r="X1526">
        <f>19.64</f>
        <v>19.64</v>
      </c>
      <c r="Y1526" s="6">
        <f t="shared" si="29"/>
        <v>12.929161950258029</v>
      </c>
      <c r="Z1526">
        <f>0.98*2.086*SQRT(2)</f>
        <v>2.8910485012880707</v>
      </c>
      <c r="AA1526" s="6"/>
      <c r="AB1526" s="6"/>
    </row>
    <row r="1527" spans="1:28" x14ac:dyDescent="0.2">
      <c r="A1527" t="s">
        <v>232</v>
      </c>
      <c r="B1527">
        <v>1978</v>
      </c>
      <c r="C1527" t="s">
        <v>816</v>
      </c>
      <c r="D1527" t="s">
        <v>820</v>
      </c>
      <c r="E1527" t="s">
        <v>34</v>
      </c>
      <c r="F1527" t="s">
        <v>226</v>
      </c>
      <c r="G1527">
        <v>34.389916999999997</v>
      </c>
      <c r="H1527">
        <v>-119.70008300000001</v>
      </c>
      <c r="I1527" t="s">
        <v>139</v>
      </c>
      <c r="J1527" t="s">
        <v>14</v>
      </c>
      <c r="K1527" t="s">
        <v>41</v>
      </c>
      <c r="L1527" t="s">
        <v>3</v>
      </c>
      <c r="M1527" t="s">
        <v>26</v>
      </c>
      <c r="N1527" t="s">
        <v>85</v>
      </c>
      <c r="O1527" s="6" t="s">
        <v>356</v>
      </c>
      <c r="P1527" t="s">
        <v>65</v>
      </c>
      <c r="Q1527">
        <v>7</v>
      </c>
      <c r="R1527" t="s">
        <v>213</v>
      </c>
      <c r="S1527" s="2" t="s">
        <v>27</v>
      </c>
      <c r="T1527" s="2">
        <v>20</v>
      </c>
      <c r="U1527" t="s">
        <v>28</v>
      </c>
      <c r="V1527" t="s">
        <v>28</v>
      </c>
      <c r="W1527">
        <v>20</v>
      </c>
      <c r="X1527">
        <f>12.43</f>
        <v>12.43</v>
      </c>
      <c r="Y1527" s="6">
        <f t="shared" si="29"/>
        <v>12.929161950258029</v>
      </c>
      <c r="Z1527">
        <f>0.98*2.086*SQRT(2)</f>
        <v>2.8910485012880707</v>
      </c>
      <c r="AA1527" s="6"/>
      <c r="AB1527" s="6"/>
    </row>
    <row r="1528" spans="1:28" x14ac:dyDescent="0.2">
      <c r="A1528" t="s">
        <v>232</v>
      </c>
      <c r="B1528">
        <v>1978</v>
      </c>
      <c r="C1528" t="s">
        <v>816</v>
      </c>
      <c r="D1528" t="s">
        <v>820</v>
      </c>
      <c r="E1528" t="s">
        <v>34</v>
      </c>
      <c r="F1528" t="s">
        <v>229</v>
      </c>
      <c r="G1528">
        <v>36.808788999999997</v>
      </c>
      <c r="H1528">
        <v>-121.93911199999999</v>
      </c>
      <c r="I1528" t="s">
        <v>139</v>
      </c>
      <c r="J1528" t="s">
        <v>7</v>
      </c>
      <c r="K1528" t="s">
        <v>41</v>
      </c>
      <c r="L1528" t="s">
        <v>3</v>
      </c>
      <c r="M1528" t="s">
        <v>26</v>
      </c>
      <c r="N1528" t="s">
        <v>85</v>
      </c>
      <c r="O1528" s="6" t="s">
        <v>356</v>
      </c>
      <c r="P1528" t="s">
        <v>65</v>
      </c>
      <c r="Q1528">
        <v>7</v>
      </c>
      <c r="R1528" t="s">
        <v>213</v>
      </c>
      <c r="S1528" s="2" t="s">
        <v>7</v>
      </c>
      <c r="T1528" s="2">
        <v>20</v>
      </c>
      <c r="U1528" t="s">
        <v>28</v>
      </c>
      <c r="V1528" t="s">
        <v>28</v>
      </c>
      <c r="W1528">
        <v>12</v>
      </c>
      <c r="X1528">
        <f>15.8</f>
        <v>15.8</v>
      </c>
      <c r="Y1528" s="6">
        <f t="shared" si="29"/>
        <v>8.0477436629157051</v>
      </c>
      <c r="Z1528">
        <f>(19.24-18.63)*2.086*SQRT(2)</f>
        <v>1.7995301895772671</v>
      </c>
      <c r="AA1528" s="6"/>
      <c r="AB1528" s="6"/>
    </row>
    <row r="1529" spans="1:28" x14ac:dyDescent="0.2">
      <c r="A1529" t="s">
        <v>232</v>
      </c>
      <c r="B1529">
        <v>1978</v>
      </c>
      <c r="C1529" t="s">
        <v>816</v>
      </c>
      <c r="D1529" t="s">
        <v>820</v>
      </c>
      <c r="E1529" t="s">
        <v>34</v>
      </c>
      <c r="F1529" t="s">
        <v>229</v>
      </c>
      <c r="G1529">
        <v>36.808788999999997</v>
      </c>
      <c r="H1529">
        <v>-121.93911199999999</v>
      </c>
      <c r="I1529" t="s">
        <v>139</v>
      </c>
      <c r="J1529" t="s">
        <v>14</v>
      </c>
      <c r="K1529" t="s">
        <v>41</v>
      </c>
      <c r="L1529" t="s">
        <v>3</v>
      </c>
      <c r="M1529" t="s">
        <v>26</v>
      </c>
      <c r="N1529" t="s">
        <v>85</v>
      </c>
      <c r="O1529" s="6" t="s">
        <v>356</v>
      </c>
      <c r="P1529" t="s">
        <v>65</v>
      </c>
      <c r="Q1529">
        <v>7</v>
      </c>
      <c r="R1529" t="s">
        <v>213</v>
      </c>
      <c r="S1529" s="2" t="s">
        <v>9</v>
      </c>
      <c r="T1529" s="2">
        <v>20</v>
      </c>
      <c r="U1529" t="s">
        <v>28</v>
      </c>
      <c r="V1529" t="s">
        <v>28</v>
      </c>
      <c r="W1529">
        <v>17</v>
      </c>
      <c r="X1529">
        <f>19.03</f>
        <v>19.03</v>
      </c>
      <c r="Y1529" s="6">
        <f t="shared" si="29"/>
        <v>8.0477436629157051</v>
      </c>
      <c r="Z1529">
        <f>(19.24-18.63)*2.086*SQRT(2)</f>
        <v>1.7995301895772671</v>
      </c>
      <c r="AA1529" s="6"/>
      <c r="AB1529" s="6"/>
    </row>
    <row r="1530" spans="1:28" x14ac:dyDescent="0.2">
      <c r="A1530" t="s">
        <v>232</v>
      </c>
      <c r="B1530">
        <v>1978</v>
      </c>
      <c r="C1530" t="s">
        <v>816</v>
      </c>
      <c r="D1530" t="s">
        <v>820</v>
      </c>
      <c r="E1530" t="s">
        <v>34</v>
      </c>
      <c r="F1530" t="s">
        <v>229</v>
      </c>
      <c r="G1530">
        <v>36.808788999999997</v>
      </c>
      <c r="H1530">
        <v>-121.93911199999999</v>
      </c>
      <c r="I1530" t="s">
        <v>139</v>
      </c>
      <c r="J1530" t="s">
        <v>14</v>
      </c>
      <c r="K1530" t="s">
        <v>41</v>
      </c>
      <c r="L1530" t="s">
        <v>3</v>
      </c>
      <c r="M1530" t="s">
        <v>26</v>
      </c>
      <c r="N1530" t="s">
        <v>85</v>
      </c>
      <c r="O1530" s="6" t="s">
        <v>356</v>
      </c>
      <c r="P1530" t="s">
        <v>65</v>
      </c>
      <c r="Q1530">
        <v>7</v>
      </c>
      <c r="R1530" t="s">
        <v>213</v>
      </c>
      <c r="S1530" s="2" t="s">
        <v>27</v>
      </c>
      <c r="T1530" s="2">
        <v>20</v>
      </c>
      <c r="U1530" t="s">
        <v>28</v>
      </c>
      <c r="V1530" t="s">
        <v>28</v>
      </c>
      <c r="W1530">
        <v>20</v>
      </c>
      <c r="X1530">
        <f>12.05</f>
        <v>12.05</v>
      </c>
      <c r="Y1530" s="6">
        <f t="shared" si="29"/>
        <v>8.0477436629157051</v>
      </c>
      <c r="Z1530">
        <f>(19.24-18.63)*2.086*SQRT(2)</f>
        <v>1.7995301895772671</v>
      </c>
      <c r="AA1530" s="6"/>
      <c r="AB1530" s="6"/>
    </row>
    <row r="1531" spans="1:28" x14ac:dyDescent="0.2">
      <c r="A1531" t="s">
        <v>232</v>
      </c>
      <c r="B1531">
        <v>1978</v>
      </c>
      <c r="C1531" t="s">
        <v>816</v>
      </c>
      <c r="D1531" t="s">
        <v>817</v>
      </c>
      <c r="E1531" t="s">
        <v>227</v>
      </c>
      <c r="F1531" t="s">
        <v>226</v>
      </c>
      <c r="G1531">
        <v>34.389916999999997</v>
      </c>
      <c r="H1531">
        <v>-119.70008300000001</v>
      </c>
      <c r="I1531" t="s">
        <v>139</v>
      </c>
      <c r="J1531" t="s">
        <v>7</v>
      </c>
      <c r="K1531" t="s">
        <v>41</v>
      </c>
      <c r="L1531" t="s">
        <v>3</v>
      </c>
      <c r="M1531" t="s">
        <v>26</v>
      </c>
      <c r="N1531" t="s">
        <v>85</v>
      </c>
      <c r="O1531" s="6" t="s">
        <v>356</v>
      </c>
      <c r="P1531" t="s">
        <v>65</v>
      </c>
      <c r="Q1531">
        <v>7</v>
      </c>
      <c r="R1531" t="s">
        <v>213</v>
      </c>
      <c r="S1531" s="2" t="s">
        <v>7</v>
      </c>
      <c r="T1531" s="2">
        <v>20</v>
      </c>
      <c r="U1531" t="s">
        <v>28</v>
      </c>
      <c r="V1531" t="s">
        <v>28</v>
      </c>
      <c r="W1531">
        <v>12</v>
      </c>
      <c r="X1531">
        <f>11.11</f>
        <v>11.11</v>
      </c>
      <c r="Y1531" s="6">
        <f t="shared" si="29"/>
        <v>6.068790303182352</v>
      </c>
      <c r="Z1531">
        <f>(11.66-11.2)*2.086*SQRT(2)</f>
        <v>1.3570227659107297</v>
      </c>
      <c r="AA1531" s="6"/>
      <c r="AB1531" s="6"/>
    </row>
    <row r="1532" spans="1:28" x14ac:dyDescent="0.2">
      <c r="A1532" t="s">
        <v>232</v>
      </c>
      <c r="B1532">
        <v>1978</v>
      </c>
      <c r="C1532" t="s">
        <v>816</v>
      </c>
      <c r="D1532" t="s">
        <v>817</v>
      </c>
      <c r="E1532" t="s">
        <v>227</v>
      </c>
      <c r="F1532" t="s">
        <v>226</v>
      </c>
      <c r="G1532">
        <v>34.389916999999997</v>
      </c>
      <c r="H1532">
        <v>-119.70008300000001</v>
      </c>
      <c r="I1532" t="s">
        <v>139</v>
      </c>
      <c r="J1532" t="s">
        <v>14</v>
      </c>
      <c r="K1532" t="s">
        <v>41</v>
      </c>
      <c r="L1532" t="s">
        <v>3</v>
      </c>
      <c r="M1532" t="s">
        <v>26</v>
      </c>
      <c r="N1532" t="s">
        <v>85</v>
      </c>
      <c r="O1532" s="6" t="s">
        <v>356</v>
      </c>
      <c r="P1532" t="s">
        <v>65</v>
      </c>
      <c r="Q1532">
        <v>7</v>
      </c>
      <c r="R1532" t="s">
        <v>213</v>
      </c>
      <c r="S1532" s="2" t="s">
        <v>9</v>
      </c>
      <c r="T1532" s="2">
        <v>20</v>
      </c>
      <c r="U1532" t="s">
        <v>28</v>
      </c>
      <c r="V1532" t="s">
        <v>28</v>
      </c>
      <c r="W1532">
        <v>17</v>
      </c>
      <c r="X1532">
        <f>11.55</f>
        <v>11.55</v>
      </c>
      <c r="Y1532" s="6">
        <f t="shared" si="29"/>
        <v>6.068790303182352</v>
      </c>
      <c r="Z1532">
        <f>(11.66-11.2)*2.086*SQRT(2)</f>
        <v>1.3570227659107297</v>
      </c>
      <c r="AA1532" s="6"/>
      <c r="AB1532" s="6"/>
    </row>
    <row r="1533" spans="1:28" x14ac:dyDescent="0.2">
      <c r="A1533" t="s">
        <v>232</v>
      </c>
      <c r="B1533">
        <v>1978</v>
      </c>
      <c r="C1533" t="s">
        <v>816</v>
      </c>
      <c r="D1533" t="s">
        <v>817</v>
      </c>
      <c r="E1533" t="s">
        <v>227</v>
      </c>
      <c r="F1533" t="s">
        <v>226</v>
      </c>
      <c r="G1533">
        <v>34.389916999999997</v>
      </c>
      <c r="H1533">
        <v>-119.70008300000001</v>
      </c>
      <c r="I1533" t="s">
        <v>139</v>
      </c>
      <c r="J1533" t="s">
        <v>14</v>
      </c>
      <c r="K1533" t="s">
        <v>41</v>
      </c>
      <c r="L1533" t="s">
        <v>3</v>
      </c>
      <c r="M1533" t="s">
        <v>26</v>
      </c>
      <c r="N1533" t="s">
        <v>85</v>
      </c>
      <c r="O1533" s="6" t="s">
        <v>356</v>
      </c>
      <c r="P1533" t="s">
        <v>65</v>
      </c>
      <c r="Q1533">
        <v>7</v>
      </c>
      <c r="R1533" t="s">
        <v>213</v>
      </c>
      <c r="S1533" s="2" t="s">
        <v>27</v>
      </c>
      <c r="T1533" s="2">
        <v>20</v>
      </c>
      <c r="U1533" t="s">
        <v>28</v>
      </c>
      <c r="V1533" t="s">
        <v>28</v>
      </c>
      <c r="W1533">
        <v>20</v>
      </c>
      <c r="X1533">
        <f>6.63</f>
        <v>6.63</v>
      </c>
      <c r="Y1533" s="6">
        <f t="shared" si="29"/>
        <v>6.068790303182352</v>
      </c>
      <c r="Z1533">
        <f>(11.66-11.2)*2.086*SQRT(2)</f>
        <v>1.3570227659107297</v>
      </c>
      <c r="AA1533" s="6"/>
      <c r="AB1533" s="6"/>
    </row>
    <row r="1534" spans="1:28" x14ac:dyDescent="0.2">
      <c r="A1534" t="s">
        <v>232</v>
      </c>
      <c r="B1534">
        <v>1978</v>
      </c>
      <c r="C1534" t="s">
        <v>807</v>
      </c>
      <c r="D1534" t="s">
        <v>823</v>
      </c>
      <c r="E1534" t="s">
        <v>138</v>
      </c>
      <c r="F1534" t="s">
        <v>226</v>
      </c>
      <c r="G1534">
        <v>34.389916999999997</v>
      </c>
      <c r="H1534">
        <v>-119.70008300000001</v>
      </c>
      <c r="I1534" t="s">
        <v>139</v>
      </c>
      <c r="J1534" t="s">
        <v>7</v>
      </c>
      <c r="K1534" t="s">
        <v>41</v>
      </c>
      <c r="L1534" t="s">
        <v>3</v>
      </c>
      <c r="M1534" t="s">
        <v>26</v>
      </c>
      <c r="N1534" t="s">
        <v>85</v>
      </c>
      <c r="O1534" s="6" t="s">
        <v>356</v>
      </c>
      <c r="P1534" t="s">
        <v>65</v>
      </c>
      <c r="Q1534">
        <v>7</v>
      </c>
      <c r="R1534" t="s">
        <v>213</v>
      </c>
      <c r="S1534" s="2" t="s">
        <v>7</v>
      </c>
      <c r="T1534" s="2">
        <v>20</v>
      </c>
      <c r="U1534" t="s">
        <v>28</v>
      </c>
      <c r="V1534" t="s">
        <v>28</v>
      </c>
      <c r="W1534">
        <v>12</v>
      </c>
      <c r="X1534">
        <f>16.83</f>
        <v>16.829999999999998</v>
      </c>
      <c r="Y1534" s="6">
        <f t="shared" si="29"/>
        <v>8.1796738868979038</v>
      </c>
      <c r="Z1534">
        <f>(19.31-18.69)*2.086*SQRT(2)</f>
        <v>1.8290306844883637</v>
      </c>
      <c r="AA1534" s="6"/>
      <c r="AB1534" s="6"/>
    </row>
    <row r="1535" spans="1:28" x14ac:dyDescent="0.2">
      <c r="A1535" t="s">
        <v>232</v>
      </c>
      <c r="B1535">
        <v>1978</v>
      </c>
      <c r="C1535" t="s">
        <v>807</v>
      </c>
      <c r="D1535" t="s">
        <v>823</v>
      </c>
      <c r="E1535" t="s">
        <v>138</v>
      </c>
      <c r="F1535" t="s">
        <v>226</v>
      </c>
      <c r="G1535">
        <v>34.389916999999997</v>
      </c>
      <c r="H1535">
        <v>-119.70008300000001</v>
      </c>
      <c r="I1535" t="s">
        <v>139</v>
      </c>
      <c r="J1535" t="s">
        <v>14</v>
      </c>
      <c r="K1535" t="s">
        <v>41</v>
      </c>
      <c r="L1535" t="s">
        <v>3</v>
      </c>
      <c r="M1535" t="s">
        <v>26</v>
      </c>
      <c r="N1535" t="s">
        <v>85</v>
      </c>
      <c r="O1535" s="6" t="s">
        <v>356</v>
      </c>
      <c r="P1535" t="s">
        <v>65</v>
      </c>
      <c r="Q1535">
        <v>7</v>
      </c>
      <c r="R1535" t="s">
        <v>213</v>
      </c>
      <c r="S1535" s="2" t="s">
        <v>9</v>
      </c>
      <c r="T1535" s="2">
        <v>20</v>
      </c>
      <c r="U1535" t="s">
        <v>28</v>
      </c>
      <c r="V1535" t="s">
        <v>28</v>
      </c>
      <c r="W1535">
        <v>15</v>
      </c>
      <c r="X1535">
        <f>19.66</f>
        <v>19.66</v>
      </c>
      <c r="Y1535" s="6">
        <f t="shared" si="29"/>
        <v>8.1796738868979038</v>
      </c>
      <c r="Z1535">
        <f>(19.31-18.69)*2.086*SQRT(2)</f>
        <v>1.8290306844883637</v>
      </c>
      <c r="AA1535" s="6"/>
      <c r="AB1535" s="6"/>
    </row>
    <row r="1536" spans="1:28" x14ac:dyDescent="0.2">
      <c r="A1536" t="s">
        <v>232</v>
      </c>
      <c r="B1536">
        <v>1978</v>
      </c>
      <c r="C1536" t="s">
        <v>807</v>
      </c>
      <c r="D1536" t="s">
        <v>823</v>
      </c>
      <c r="E1536" t="s">
        <v>138</v>
      </c>
      <c r="F1536" t="s">
        <v>226</v>
      </c>
      <c r="G1536">
        <v>34.389916999999997</v>
      </c>
      <c r="H1536">
        <v>-119.70008300000001</v>
      </c>
      <c r="I1536" t="s">
        <v>139</v>
      </c>
      <c r="J1536" t="s">
        <v>14</v>
      </c>
      <c r="K1536" t="s">
        <v>41</v>
      </c>
      <c r="L1536" t="s">
        <v>3</v>
      </c>
      <c r="M1536" t="s">
        <v>26</v>
      </c>
      <c r="N1536" t="s">
        <v>85</v>
      </c>
      <c r="O1536" s="6" t="s">
        <v>356</v>
      </c>
      <c r="P1536" t="s">
        <v>65</v>
      </c>
      <c r="Q1536">
        <v>7</v>
      </c>
      <c r="R1536" t="s">
        <v>213</v>
      </c>
      <c r="S1536" s="2" t="s">
        <v>27</v>
      </c>
      <c r="T1536" s="2">
        <v>20</v>
      </c>
      <c r="U1536" t="s">
        <v>28</v>
      </c>
      <c r="V1536" t="s">
        <v>28</v>
      </c>
      <c r="W1536">
        <v>20</v>
      </c>
      <c r="X1536">
        <f>10.13</f>
        <v>10.130000000000001</v>
      </c>
      <c r="Y1536" s="6">
        <f t="shared" si="29"/>
        <v>8.1796738868979038</v>
      </c>
      <c r="Z1536">
        <f>(19.31-18.69)*2.086*SQRT(2)</f>
        <v>1.8290306844883637</v>
      </c>
      <c r="AA1536" s="6"/>
      <c r="AB1536" s="6"/>
    </row>
    <row r="1537" spans="1:28" x14ac:dyDescent="0.2">
      <c r="A1537" t="s">
        <v>232</v>
      </c>
      <c r="B1537">
        <v>1978</v>
      </c>
      <c r="C1537" t="s">
        <v>826</v>
      </c>
      <c r="D1537" t="s">
        <v>813</v>
      </c>
      <c r="E1537" t="s">
        <v>158</v>
      </c>
      <c r="F1537" t="s">
        <v>226</v>
      </c>
      <c r="G1537">
        <v>34.389916999999997</v>
      </c>
      <c r="H1537">
        <v>-119.70008300000001</v>
      </c>
      <c r="I1537" t="s">
        <v>139</v>
      </c>
      <c r="J1537" t="s">
        <v>7</v>
      </c>
      <c r="K1537" t="s">
        <v>41</v>
      </c>
      <c r="L1537" t="s">
        <v>3</v>
      </c>
      <c r="M1537" t="s">
        <v>26</v>
      </c>
      <c r="N1537" t="s">
        <v>85</v>
      </c>
      <c r="O1537" s="6" t="s">
        <v>356</v>
      </c>
      <c r="P1537" t="s">
        <v>65</v>
      </c>
      <c r="Q1537">
        <v>7</v>
      </c>
      <c r="R1537" t="s">
        <v>213</v>
      </c>
      <c r="S1537" s="2" t="s">
        <v>7</v>
      </c>
      <c r="T1537" s="2">
        <v>20</v>
      </c>
      <c r="U1537" t="s">
        <v>28</v>
      </c>
      <c r="V1537" t="s">
        <v>28</v>
      </c>
      <c r="W1537">
        <v>12</v>
      </c>
      <c r="X1537">
        <f>15.6</f>
        <v>15.6</v>
      </c>
      <c r="Y1537" s="6">
        <f t="shared" si="29"/>
        <v>5.5410694072534401</v>
      </c>
      <c r="Z1537">
        <f>(15.57-15.15)*2.086*SQRT(2)</f>
        <v>1.2390207862663158</v>
      </c>
      <c r="AA1537" s="6"/>
      <c r="AB1537" s="6"/>
    </row>
    <row r="1538" spans="1:28" x14ac:dyDescent="0.2">
      <c r="A1538" t="s">
        <v>232</v>
      </c>
      <c r="B1538">
        <v>1978</v>
      </c>
      <c r="C1538" t="s">
        <v>826</v>
      </c>
      <c r="D1538" t="s">
        <v>813</v>
      </c>
      <c r="E1538" t="s">
        <v>158</v>
      </c>
      <c r="F1538" t="s">
        <v>226</v>
      </c>
      <c r="G1538">
        <v>34.389916999999997</v>
      </c>
      <c r="H1538">
        <v>-119.70008300000001</v>
      </c>
      <c r="I1538" t="s">
        <v>139</v>
      </c>
      <c r="J1538" t="s">
        <v>14</v>
      </c>
      <c r="K1538" t="s">
        <v>41</v>
      </c>
      <c r="L1538" t="s">
        <v>3</v>
      </c>
      <c r="M1538" t="s">
        <v>26</v>
      </c>
      <c r="N1538" t="s">
        <v>85</v>
      </c>
      <c r="O1538" s="6" t="s">
        <v>356</v>
      </c>
      <c r="P1538" t="s">
        <v>65</v>
      </c>
      <c r="Q1538">
        <v>7</v>
      </c>
      <c r="R1538" t="s">
        <v>213</v>
      </c>
      <c r="S1538" s="2" t="s">
        <v>9</v>
      </c>
      <c r="T1538" s="2">
        <v>20</v>
      </c>
      <c r="U1538" t="s">
        <v>28</v>
      </c>
      <c r="V1538" t="s">
        <v>28</v>
      </c>
      <c r="W1538">
        <v>17</v>
      </c>
      <c r="X1538">
        <f>15</f>
        <v>15</v>
      </c>
      <c r="Y1538" s="6">
        <f t="shared" si="29"/>
        <v>5.5410694072534401</v>
      </c>
      <c r="Z1538">
        <f>(15.57-15.15)*2.086*SQRT(2)</f>
        <v>1.2390207862663158</v>
      </c>
      <c r="AA1538" s="6"/>
      <c r="AB1538" s="6"/>
    </row>
    <row r="1539" spans="1:28" x14ac:dyDescent="0.2">
      <c r="A1539" t="s">
        <v>232</v>
      </c>
      <c r="B1539">
        <v>1978</v>
      </c>
      <c r="C1539" t="s">
        <v>826</v>
      </c>
      <c r="D1539" t="s">
        <v>813</v>
      </c>
      <c r="E1539" t="s">
        <v>158</v>
      </c>
      <c r="F1539" t="s">
        <v>226</v>
      </c>
      <c r="G1539">
        <v>34.389916999999997</v>
      </c>
      <c r="H1539">
        <v>-119.70008300000001</v>
      </c>
      <c r="I1539" t="s">
        <v>139</v>
      </c>
      <c r="J1539" t="s">
        <v>14</v>
      </c>
      <c r="K1539" t="s">
        <v>41</v>
      </c>
      <c r="L1539" t="s">
        <v>3</v>
      </c>
      <c r="M1539" t="s">
        <v>26</v>
      </c>
      <c r="N1539" t="s">
        <v>85</v>
      </c>
      <c r="O1539" s="6" t="s">
        <v>356</v>
      </c>
      <c r="P1539" t="s">
        <v>65</v>
      </c>
      <c r="Q1539">
        <v>7</v>
      </c>
      <c r="R1539" t="s">
        <v>213</v>
      </c>
      <c r="S1539" s="2" t="s">
        <v>27</v>
      </c>
      <c r="T1539" s="2">
        <v>20</v>
      </c>
      <c r="U1539" t="s">
        <v>28</v>
      </c>
      <c r="V1539" t="s">
        <v>28</v>
      </c>
      <c r="W1539">
        <v>20</v>
      </c>
      <c r="X1539">
        <f>13.34</f>
        <v>13.34</v>
      </c>
      <c r="Y1539" s="6">
        <f t="shared" si="29"/>
        <v>5.5410694072534401</v>
      </c>
      <c r="Z1539">
        <f>(15.57-15.15)*2.086*SQRT(2)</f>
        <v>1.2390207862663158</v>
      </c>
      <c r="AA1539" s="6"/>
      <c r="AB1539" s="6"/>
    </row>
    <row r="1540" spans="1:28" x14ac:dyDescent="0.2">
      <c r="A1540" t="s">
        <v>232</v>
      </c>
      <c r="B1540">
        <v>1978</v>
      </c>
      <c r="C1540" t="s">
        <v>816</v>
      </c>
      <c r="D1540" t="s">
        <v>820</v>
      </c>
      <c r="E1540" t="s">
        <v>34</v>
      </c>
      <c r="F1540" t="s">
        <v>226</v>
      </c>
      <c r="G1540">
        <v>34.389916999999997</v>
      </c>
      <c r="H1540">
        <v>-119.70008300000001</v>
      </c>
      <c r="I1540" t="s">
        <v>139</v>
      </c>
      <c r="J1540" t="s">
        <v>7</v>
      </c>
      <c r="K1540" t="s">
        <v>41</v>
      </c>
      <c r="L1540" t="s">
        <v>3</v>
      </c>
      <c r="M1540" t="s">
        <v>727</v>
      </c>
      <c r="N1540" t="s">
        <v>85</v>
      </c>
      <c r="O1540" s="6" t="s">
        <v>228</v>
      </c>
      <c r="P1540" t="s">
        <v>70</v>
      </c>
      <c r="Q1540">
        <v>14</v>
      </c>
      <c r="R1540" t="s">
        <v>213</v>
      </c>
      <c r="S1540" s="2" t="s">
        <v>7</v>
      </c>
      <c r="T1540" s="2">
        <v>250</v>
      </c>
      <c r="U1540" t="s">
        <v>28</v>
      </c>
      <c r="V1540" t="s">
        <v>28</v>
      </c>
      <c r="W1540">
        <v>12</v>
      </c>
      <c r="X1540">
        <v>60.77</v>
      </c>
      <c r="Y1540">
        <f t="shared" ref="Y1540:Y1554" si="30">SQRT(T1540) * (AB1540-AA1540)/3.92</f>
        <v>39.770481797525754</v>
      </c>
      <c r="AA1540">
        <v>55.46</v>
      </c>
      <c r="AB1540">
        <v>65.319999999999993</v>
      </c>
    </row>
    <row r="1541" spans="1:28" x14ac:dyDescent="0.2">
      <c r="A1541" t="s">
        <v>232</v>
      </c>
      <c r="B1541">
        <v>1978</v>
      </c>
      <c r="C1541" t="s">
        <v>816</v>
      </c>
      <c r="D1541" t="s">
        <v>820</v>
      </c>
      <c r="E1541" t="s">
        <v>34</v>
      </c>
      <c r="F1541" t="s">
        <v>226</v>
      </c>
      <c r="G1541">
        <v>34.389916999999997</v>
      </c>
      <c r="H1541">
        <v>-119.70008300000001</v>
      </c>
      <c r="I1541" t="s">
        <v>139</v>
      </c>
      <c r="J1541" t="s">
        <v>14</v>
      </c>
      <c r="K1541" t="s">
        <v>41</v>
      </c>
      <c r="L1541" t="s">
        <v>3</v>
      </c>
      <c r="M1541" t="s">
        <v>727</v>
      </c>
      <c r="N1541" t="s">
        <v>85</v>
      </c>
      <c r="O1541" s="6" t="s">
        <v>228</v>
      </c>
      <c r="P1541" t="s">
        <v>70</v>
      </c>
      <c r="Q1541">
        <v>14</v>
      </c>
      <c r="R1541" t="s">
        <v>213</v>
      </c>
      <c r="S1541" s="2" t="s">
        <v>9</v>
      </c>
      <c r="T1541" s="2">
        <v>250</v>
      </c>
      <c r="U1541" t="s">
        <v>28</v>
      </c>
      <c r="V1541" t="s">
        <v>28</v>
      </c>
      <c r="W1541">
        <v>17</v>
      </c>
      <c r="X1541">
        <v>45.05</v>
      </c>
      <c r="Y1541">
        <f t="shared" si="30"/>
        <v>50.499638144525633</v>
      </c>
      <c r="AA1541">
        <v>38.590000000000003</v>
      </c>
      <c r="AB1541">
        <v>51.11</v>
      </c>
    </row>
    <row r="1542" spans="1:28" x14ac:dyDescent="0.2">
      <c r="A1542" t="s">
        <v>232</v>
      </c>
      <c r="B1542">
        <v>1978</v>
      </c>
      <c r="C1542" t="s">
        <v>816</v>
      </c>
      <c r="D1542" t="s">
        <v>820</v>
      </c>
      <c r="E1542" t="s">
        <v>34</v>
      </c>
      <c r="F1542" t="s">
        <v>226</v>
      </c>
      <c r="G1542">
        <v>34.389916999999997</v>
      </c>
      <c r="H1542">
        <v>-119.70008300000001</v>
      </c>
      <c r="I1542" t="s">
        <v>139</v>
      </c>
      <c r="J1542" t="s">
        <v>14</v>
      </c>
      <c r="K1542" t="s">
        <v>41</v>
      </c>
      <c r="L1542" t="s">
        <v>3</v>
      </c>
      <c r="M1542" t="s">
        <v>727</v>
      </c>
      <c r="N1542" t="s">
        <v>85</v>
      </c>
      <c r="O1542" s="6" t="s">
        <v>228</v>
      </c>
      <c r="P1542" t="s">
        <v>70</v>
      </c>
      <c r="Q1542">
        <v>14</v>
      </c>
      <c r="R1542" t="s">
        <v>213</v>
      </c>
      <c r="S1542" s="2" t="s">
        <v>27</v>
      </c>
      <c r="T1542" s="2">
        <v>250</v>
      </c>
      <c r="U1542" t="s">
        <v>28</v>
      </c>
      <c r="V1542" t="s">
        <v>28</v>
      </c>
      <c r="W1542">
        <v>20</v>
      </c>
      <c r="X1542">
        <v>0</v>
      </c>
      <c r="Y1542">
        <f t="shared" si="30"/>
        <v>0</v>
      </c>
      <c r="AA1542" s="6">
        <v>0</v>
      </c>
      <c r="AB1542" s="6">
        <v>0</v>
      </c>
    </row>
    <row r="1543" spans="1:28" x14ac:dyDescent="0.2">
      <c r="A1543" t="s">
        <v>232</v>
      </c>
      <c r="B1543">
        <v>1978</v>
      </c>
      <c r="C1543" t="s">
        <v>816</v>
      </c>
      <c r="D1543" t="s">
        <v>820</v>
      </c>
      <c r="E1543" t="s">
        <v>34</v>
      </c>
      <c r="F1543" t="s">
        <v>229</v>
      </c>
      <c r="G1543">
        <v>36.808788999999997</v>
      </c>
      <c r="H1543">
        <v>-121.93911199999999</v>
      </c>
      <c r="I1543" t="s">
        <v>139</v>
      </c>
      <c r="J1543" t="s">
        <v>7</v>
      </c>
      <c r="K1543" t="s">
        <v>41</v>
      </c>
      <c r="L1543" t="s">
        <v>3</v>
      </c>
      <c r="M1543" t="s">
        <v>727</v>
      </c>
      <c r="N1543" t="s">
        <v>85</v>
      </c>
      <c r="O1543" s="6" t="s">
        <v>228</v>
      </c>
      <c r="P1543" t="s">
        <v>70</v>
      </c>
      <c r="Q1543">
        <v>14</v>
      </c>
      <c r="R1543" t="s">
        <v>213</v>
      </c>
      <c r="S1543" s="2" t="s">
        <v>7</v>
      </c>
      <c r="T1543" s="2">
        <v>250</v>
      </c>
      <c r="U1543" t="s">
        <v>28</v>
      </c>
      <c r="V1543" t="s">
        <v>28</v>
      </c>
      <c r="W1543">
        <v>12</v>
      </c>
      <c r="X1543">
        <v>69.11</v>
      </c>
      <c r="Y1543">
        <f t="shared" si="30"/>
        <v>27.548924003762785</v>
      </c>
      <c r="AA1543">
        <v>65.69</v>
      </c>
      <c r="AB1543">
        <v>72.52</v>
      </c>
    </row>
    <row r="1544" spans="1:28" x14ac:dyDescent="0.2">
      <c r="A1544" t="s">
        <v>232</v>
      </c>
      <c r="B1544">
        <v>1978</v>
      </c>
      <c r="C1544" t="s">
        <v>816</v>
      </c>
      <c r="D1544" t="s">
        <v>820</v>
      </c>
      <c r="E1544" t="s">
        <v>34</v>
      </c>
      <c r="F1544" t="s">
        <v>229</v>
      </c>
      <c r="G1544">
        <v>36.808788999999997</v>
      </c>
      <c r="H1544">
        <v>-121.93911199999999</v>
      </c>
      <c r="I1544" t="s">
        <v>139</v>
      </c>
      <c r="J1544" t="s">
        <v>14</v>
      </c>
      <c r="K1544" t="s">
        <v>41</v>
      </c>
      <c r="L1544" t="s">
        <v>3</v>
      </c>
      <c r="M1544" t="s">
        <v>727</v>
      </c>
      <c r="N1544" t="s">
        <v>85</v>
      </c>
      <c r="O1544" s="6" t="s">
        <v>228</v>
      </c>
      <c r="P1544" t="s">
        <v>70</v>
      </c>
      <c r="Q1544">
        <v>14</v>
      </c>
      <c r="R1544" t="s">
        <v>213</v>
      </c>
      <c r="S1544" s="2" t="s">
        <v>9</v>
      </c>
      <c r="T1544" s="2">
        <v>250</v>
      </c>
      <c r="U1544" t="s">
        <v>28</v>
      </c>
      <c r="V1544" t="s">
        <v>28</v>
      </c>
      <c r="W1544">
        <v>17</v>
      </c>
      <c r="X1544">
        <v>50.73</v>
      </c>
      <c r="Y1544">
        <f t="shared" si="30"/>
        <v>24.523785935999697</v>
      </c>
      <c r="AA1544">
        <v>47.69</v>
      </c>
      <c r="AB1544">
        <v>53.77</v>
      </c>
    </row>
    <row r="1545" spans="1:28" x14ac:dyDescent="0.2">
      <c r="A1545" t="s">
        <v>232</v>
      </c>
      <c r="B1545">
        <v>1978</v>
      </c>
      <c r="C1545" t="s">
        <v>816</v>
      </c>
      <c r="D1545" t="s">
        <v>820</v>
      </c>
      <c r="E1545" t="s">
        <v>34</v>
      </c>
      <c r="F1545" t="s">
        <v>229</v>
      </c>
      <c r="G1545">
        <v>36.808788999999997</v>
      </c>
      <c r="H1545">
        <v>-121.93911199999999</v>
      </c>
      <c r="I1545" t="s">
        <v>139</v>
      </c>
      <c r="J1545" t="s">
        <v>14</v>
      </c>
      <c r="K1545" t="s">
        <v>41</v>
      </c>
      <c r="L1545" t="s">
        <v>3</v>
      </c>
      <c r="M1545" t="s">
        <v>727</v>
      </c>
      <c r="N1545" t="s">
        <v>85</v>
      </c>
      <c r="O1545" s="6" t="s">
        <v>228</v>
      </c>
      <c r="P1545" t="s">
        <v>70</v>
      </c>
      <c r="Q1545">
        <v>14</v>
      </c>
      <c r="R1545" t="s">
        <v>213</v>
      </c>
      <c r="S1545" s="2" t="s">
        <v>27</v>
      </c>
      <c r="T1545" s="2">
        <v>250</v>
      </c>
      <c r="U1545" t="s">
        <v>28</v>
      </c>
      <c r="V1545" t="s">
        <v>28</v>
      </c>
      <c r="W1545">
        <v>20</v>
      </c>
      <c r="X1545">
        <v>0</v>
      </c>
      <c r="Y1545">
        <f t="shared" si="30"/>
        <v>0</v>
      </c>
      <c r="AA1545">
        <v>0</v>
      </c>
      <c r="AB1545">
        <v>0</v>
      </c>
    </row>
    <row r="1546" spans="1:28" x14ac:dyDescent="0.2">
      <c r="A1546" t="s">
        <v>232</v>
      </c>
      <c r="B1546">
        <v>1978</v>
      </c>
      <c r="C1546" t="s">
        <v>816</v>
      </c>
      <c r="D1546" t="s">
        <v>817</v>
      </c>
      <c r="E1546" t="s">
        <v>227</v>
      </c>
      <c r="F1546" t="s">
        <v>226</v>
      </c>
      <c r="G1546">
        <v>34.389916999999997</v>
      </c>
      <c r="H1546">
        <v>-119.70008300000001</v>
      </c>
      <c r="I1546" t="s">
        <v>139</v>
      </c>
      <c r="J1546" t="s">
        <v>7</v>
      </c>
      <c r="K1546" t="s">
        <v>41</v>
      </c>
      <c r="L1546" t="s">
        <v>3</v>
      </c>
      <c r="M1546" t="s">
        <v>727</v>
      </c>
      <c r="N1546" t="s">
        <v>85</v>
      </c>
      <c r="O1546" s="6" t="s">
        <v>228</v>
      </c>
      <c r="P1546" t="s">
        <v>70</v>
      </c>
      <c r="Q1546">
        <v>14</v>
      </c>
      <c r="R1546" t="s">
        <v>213</v>
      </c>
      <c r="S1546" s="2" t="s">
        <v>7</v>
      </c>
      <c r="T1546" s="2">
        <v>250</v>
      </c>
      <c r="U1546" t="s">
        <v>28</v>
      </c>
      <c r="V1546" t="s">
        <v>28</v>
      </c>
      <c r="W1546">
        <v>12</v>
      </c>
      <c r="X1546">
        <v>55.83</v>
      </c>
      <c r="Y1546">
        <f t="shared" si="30"/>
        <v>32.106798692525899</v>
      </c>
      <c r="AA1546">
        <v>51.66</v>
      </c>
      <c r="AB1546">
        <v>59.62</v>
      </c>
    </row>
    <row r="1547" spans="1:28" x14ac:dyDescent="0.2">
      <c r="A1547" t="s">
        <v>232</v>
      </c>
      <c r="B1547">
        <v>1978</v>
      </c>
      <c r="C1547" t="s">
        <v>816</v>
      </c>
      <c r="D1547" t="s">
        <v>817</v>
      </c>
      <c r="E1547" t="s">
        <v>227</v>
      </c>
      <c r="F1547" t="s">
        <v>226</v>
      </c>
      <c r="G1547">
        <v>34.389916999999997</v>
      </c>
      <c r="H1547">
        <v>-119.70008300000001</v>
      </c>
      <c r="I1547" t="s">
        <v>139</v>
      </c>
      <c r="J1547" t="s">
        <v>14</v>
      </c>
      <c r="K1547" t="s">
        <v>41</v>
      </c>
      <c r="L1547" t="s">
        <v>3</v>
      </c>
      <c r="M1547" t="s">
        <v>727</v>
      </c>
      <c r="N1547" t="s">
        <v>85</v>
      </c>
      <c r="O1547" s="6" t="s">
        <v>228</v>
      </c>
      <c r="P1547" t="s">
        <v>70</v>
      </c>
      <c r="Q1547">
        <v>14</v>
      </c>
      <c r="R1547" t="s">
        <v>213</v>
      </c>
      <c r="S1547" s="2" t="s">
        <v>9</v>
      </c>
      <c r="T1547" s="2">
        <v>250</v>
      </c>
      <c r="U1547" t="s">
        <v>28</v>
      </c>
      <c r="V1547" t="s">
        <v>28</v>
      </c>
      <c r="W1547">
        <v>17</v>
      </c>
      <c r="X1547">
        <v>28.74</v>
      </c>
      <c r="Y1547">
        <f t="shared" si="30"/>
        <v>91.762521388814562</v>
      </c>
      <c r="AA1547">
        <v>17.37</v>
      </c>
      <c r="AB1547">
        <v>40.119999999999997</v>
      </c>
    </row>
    <row r="1548" spans="1:28" x14ac:dyDescent="0.2">
      <c r="A1548" t="s">
        <v>232</v>
      </c>
      <c r="B1548">
        <v>1978</v>
      </c>
      <c r="C1548" t="s">
        <v>816</v>
      </c>
      <c r="D1548" t="s">
        <v>817</v>
      </c>
      <c r="E1548" t="s">
        <v>227</v>
      </c>
      <c r="F1548" t="s">
        <v>226</v>
      </c>
      <c r="G1548">
        <v>34.389916999999997</v>
      </c>
      <c r="H1548">
        <v>-119.70008300000001</v>
      </c>
      <c r="I1548" t="s">
        <v>139</v>
      </c>
      <c r="J1548" t="s">
        <v>14</v>
      </c>
      <c r="K1548" t="s">
        <v>41</v>
      </c>
      <c r="L1548" t="s">
        <v>3</v>
      </c>
      <c r="M1548" t="s">
        <v>727</v>
      </c>
      <c r="N1548" t="s">
        <v>85</v>
      </c>
      <c r="O1548" s="6" t="s">
        <v>228</v>
      </c>
      <c r="P1548" t="s">
        <v>70</v>
      </c>
      <c r="Q1548">
        <v>14</v>
      </c>
      <c r="R1548" t="s">
        <v>213</v>
      </c>
      <c r="S1548" s="2" t="s">
        <v>27</v>
      </c>
      <c r="T1548" s="2">
        <v>250</v>
      </c>
      <c r="U1548" t="s">
        <v>28</v>
      </c>
      <c r="V1548" t="s">
        <v>28</v>
      </c>
      <c r="W1548">
        <v>20</v>
      </c>
      <c r="X1548">
        <v>0.66</v>
      </c>
      <c r="Y1548">
        <f t="shared" si="30"/>
        <v>0</v>
      </c>
      <c r="AA1548">
        <v>0</v>
      </c>
      <c r="AB1548">
        <v>0</v>
      </c>
    </row>
    <row r="1549" spans="1:28" x14ac:dyDescent="0.2">
      <c r="A1549" t="s">
        <v>232</v>
      </c>
      <c r="B1549">
        <v>1978</v>
      </c>
      <c r="C1549" t="s">
        <v>807</v>
      </c>
      <c r="D1549" t="s">
        <v>823</v>
      </c>
      <c r="E1549" t="s">
        <v>138</v>
      </c>
      <c r="F1549" t="s">
        <v>226</v>
      </c>
      <c r="G1549">
        <v>34.389916999999997</v>
      </c>
      <c r="H1549">
        <v>-119.70008300000001</v>
      </c>
      <c r="I1549" t="s">
        <v>139</v>
      </c>
      <c r="J1549" t="s">
        <v>7</v>
      </c>
      <c r="K1549" t="s">
        <v>41</v>
      </c>
      <c r="L1549" t="s">
        <v>3</v>
      </c>
      <c r="M1549" t="s">
        <v>727</v>
      </c>
      <c r="N1549" t="s">
        <v>85</v>
      </c>
      <c r="O1549" s="6" t="s">
        <v>228</v>
      </c>
      <c r="P1549" t="s">
        <v>70</v>
      </c>
      <c r="Q1549">
        <v>14</v>
      </c>
      <c r="R1549" t="s">
        <v>213</v>
      </c>
      <c r="S1549" s="2" t="s">
        <v>7</v>
      </c>
      <c r="T1549" s="2">
        <v>250</v>
      </c>
      <c r="U1549" t="s">
        <v>28</v>
      </c>
      <c r="V1549" t="s">
        <v>28</v>
      </c>
      <c r="W1549">
        <v>12</v>
      </c>
      <c r="X1549">
        <v>43.15</v>
      </c>
      <c r="Y1549">
        <f t="shared" si="30"/>
        <v>49.168577394709899</v>
      </c>
      <c r="AA1549">
        <v>37.049999999999997</v>
      </c>
      <c r="AB1549">
        <v>49.24</v>
      </c>
    </row>
    <row r="1550" spans="1:28" x14ac:dyDescent="0.2">
      <c r="A1550" t="s">
        <v>232</v>
      </c>
      <c r="B1550">
        <v>1978</v>
      </c>
      <c r="C1550" t="s">
        <v>807</v>
      </c>
      <c r="D1550" t="s">
        <v>823</v>
      </c>
      <c r="E1550" t="s">
        <v>138</v>
      </c>
      <c r="F1550" t="s">
        <v>226</v>
      </c>
      <c r="G1550">
        <v>34.389916999999997</v>
      </c>
      <c r="H1550">
        <v>-119.70008300000001</v>
      </c>
      <c r="I1550" t="s">
        <v>139</v>
      </c>
      <c r="J1550" t="s">
        <v>14</v>
      </c>
      <c r="K1550" t="s">
        <v>41</v>
      </c>
      <c r="L1550" t="s">
        <v>3</v>
      </c>
      <c r="M1550" t="s">
        <v>727</v>
      </c>
      <c r="N1550" t="s">
        <v>85</v>
      </c>
      <c r="O1550" s="6" t="s">
        <v>228</v>
      </c>
      <c r="P1550" t="s">
        <v>70</v>
      </c>
      <c r="Q1550">
        <v>14</v>
      </c>
      <c r="R1550" t="s">
        <v>213</v>
      </c>
      <c r="S1550" s="2" t="s">
        <v>9</v>
      </c>
      <c r="T1550" s="2">
        <v>250</v>
      </c>
      <c r="U1550" t="s">
        <v>28</v>
      </c>
      <c r="V1550" t="s">
        <v>28</v>
      </c>
      <c r="W1550">
        <v>17</v>
      </c>
      <c r="X1550">
        <v>8.3000000000000007</v>
      </c>
      <c r="Y1550">
        <f t="shared" si="30"/>
        <v>26.096857731236497</v>
      </c>
      <c r="AA1550">
        <v>4.88</v>
      </c>
      <c r="AB1550">
        <v>11.35</v>
      </c>
    </row>
    <row r="1551" spans="1:28" x14ac:dyDescent="0.2">
      <c r="A1551" t="s">
        <v>232</v>
      </c>
      <c r="B1551">
        <v>1978</v>
      </c>
      <c r="C1551" t="s">
        <v>807</v>
      </c>
      <c r="D1551" t="s">
        <v>823</v>
      </c>
      <c r="E1551" t="s">
        <v>138</v>
      </c>
      <c r="F1551" t="s">
        <v>226</v>
      </c>
      <c r="G1551">
        <v>34.389916999999997</v>
      </c>
      <c r="H1551">
        <v>-119.70008300000001</v>
      </c>
      <c r="I1551" t="s">
        <v>139</v>
      </c>
      <c r="J1551" t="s">
        <v>14</v>
      </c>
      <c r="K1551" t="s">
        <v>41</v>
      </c>
      <c r="L1551" t="s">
        <v>3</v>
      </c>
      <c r="M1551" t="s">
        <v>727</v>
      </c>
      <c r="N1551" t="s">
        <v>85</v>
      </c>
      <c r="O1551" s="6" t="s">
        <v>228</v>
      </c>
      <c r="P1551" t="s">
        <v>70</v>
      </c>
      <c r="Q1551">
        <v>14</v>
      </c>
      <c r="R1551" t="s">
        <v>213</v>
      </c>
      <c r="S1551" s="2" t="s">
        <v>27</v>
      </c>
      <c r="T1551" s="2">
        <v>250</v>
      </c>
      <c r="U1551" t="s">
        <v>28</v>
      </c>
      <c r="V1551" t="s">
        <v>28</v>
      </c>
      <c r="W1551">
        <v>20</v>
      </c>
      <c r="X1551">
        <v>0.66</v>
      </c>
      <c r="Y1551">
        <f t="shared" si="30"/>
        <v>0</v>
      </c>
      <c r="AA1551">
        <v>0</v>
      </c>
      <c r="AB1551">
        <v>0</v>
      </c>
    </row>
    <row r="1552" spans="1:28" x14ac:dyDescent="0.2">
      <c r="A1552" t="s">
        <v>232</v>
      </c>
      <c r="B1552">
        <v>1978</v>
      </c>
      <c r="C1552" t="s">
        <v>826</v>
      </c>
      <c r="D1552" t="s">
        <v>813</v>
      </c>
      <c r="E1552" t="s">
        <v>158</v>
      </c>
      <c r="F1552" t="s">
        <v>226</v>
      </c>
      <c r="G1552">
        <v>34.389916999999997</v>
      </c>
      <c r="H1552">
        <v>-119.70008300000001</v>
      </c>
      <c r="I1552" t="s">
        <v>139</v>
      </c>
      <c r="J1552" t="s">
        <v>7</v>
      </c>
      <c r="K1552" t="s">
        <v>41</v>
      </c>
      <c r="L1552" t="s">
        <v>3</v>
      </c>
      <c r="M1552" t="s">
        <v>727</v>
      </c>
      <c r="N1552" t="s">
        <v>85</v>
      </c>
      <c r="O1552" s="6" t="s">
        <v>228</v>
      </c>
      <c r="P1552" t="s">
        <v>70</v>
      </c>
      <c r="Q1552">
        <v>14</v>
      </c>
      <c r="R1552" t="s">
        <v>213</v>
      </c>
      <c r="S1552" s="2" t="s">
        <v>7</v>
      </c>
      <c r="T1552" s="2">
        <v>250</v>
      </c>
      <c r="U1552" t="s">
        <v>28</v>
      </c>
      <c r="V1552" t="s">
        <v>28</v>
      </c>
      <c r="W1552">
        <v>12</v>
      </c>
      <c r="X1552">
        <v>99.72</v>
      </c>
      <c r="Y1552">
        <f t="shared" si="30"/>
        <v>18.634850497420825</v>
      </c>
      <c r="AA1552">
        <v>97.41</v>
      </c>
      <c r="AB1552">
        <f>(X1552-AA1552)+X1552</f>
        <v>102.03</v>
      </c>
    </row>
    <row r="1553" spans="1:28" x14ac:dyDescent="0.2">
      <c r="A1553" t="s">
        <v>232</v>
      </c>
      <c r="B1553">
        <v>1978</v>
      </c>
      <c r="C1553" t="s">
        <v>826</v>
      </c>
      <c r="D1553" t="s">
        <v>813</v>
      </c>
      <c r="E1553" t="s">
        <v>158</v>
      </c>
      <c r="F1553" t="s">
        <v>226</v>
      </c>
      <c r="G1553">
        <v>34.389916999999997</v>
      </c>
      <c r="H1553">
        <v>-119.70008300000001</v>
      </c>
      <c r="I1553" t="s">
        <v>139</v>
      </c>
      <c r="J1553" t="s">
        <v>14</v>
      </c>
      <c r="K1553" t="s">
        <v>41</v>
      </c>
      <c r="L1553" t="s">
        <v>3</v>
      </c>
      <c r="M1553" t="s">
        <v>727</v>
      </c>
      <c r="N1553" t="s">
        <v>85</v>
      </c>
      <c r="O1553" s="6" t="s">
        <v>228</v>
      </c>
      <c r="P1553" t="s">
        <v>70</v>
      </c>
      <c r="Q1553">
        <v>14</v>
      </c>
      <c r="R1553" t="s">
        <v>213</v>
      </c>
      <c r="S1553" s="2" t="s">
        <v>9</v>
      </c>
      <c r="T1553" s="2">
        <v>250</v>
      </c>
      <c r="U1553" t="s">
        <v>28</v>
      </c>
      <c r="V1553" t="s">
        <v>28</v>
      </c>
      <c r="W1553">
        <v>17</v>
      </c>
      <c r="X1553">
        <v>98</v>
      </c>
      <c r="Y1553">
        <f t="shared" si="30"/>
        <v>24.927137678368119</v>
      </c>
      <c r="AA1553">
        <v>94.91</v>
      </c>
      <c r="AB1553">
        <f>(X1553-AA1553)+X1553</f>
        <v>101.09</v>
      </c>
    </row>
    <row r="1554" spans="1:28" x14ac:dyDescent="0.2">
      <c r="A1554" t="s">
        <v>232</v>
      </c>
      <c r="B1554">
        <v>1978</v>
      </c>
      <c r="C1554" t="s">
        <v>826</v>
      </c>
      <c r="D1554" t="s">
        <v>813</v>
      </c>
      <c r="E1554" t="s">
        <v>158</v>
      </c>
      <c r="F1554" t="s">
        <v>226</v>
      </c>
      <c r="G1554">
        <v>34.389916999999997</v>
      </c>
      <c r="H1554">
        <v>-119.70008300000001</v>
      </c>
      <c r="I1554" t="s">
        <v>139</v>
      </c>
      <c r="J1554" t="s">
        <v>14</v>
      </c>
      <c r="K1554" t="s">
        <v>41</v>
      </c>
      <c r="L1554" t="s">
        <v>3</v>
      </c>
      <c r="M1554" t="s">
        <v>727</v>
      </c>
      <c r="N1554" t="s">
        <v>85</v>
      </c>
      <c r="O1554" s="6" t="s">
        <v>228</v>
      </c>
      <c r="P1554" t="s">
        <v>70</v>
      </c>
      <c r="Q1554">
        <v>14</v>
      </c>
      <c r="R1554" t="s">
        <v>213</v>
      </c>
      <c r="S1554" s="2" t="s">
        <v>27</v>
      </c>
      <c r="T1554" s="2">
        <v>250</v>
      </c>
      <c r="U1554" t="s">
        <v>28</v>
      </c>
      <c r="V1554" t="s">
        <v>28</v>
      </c>
      <c r="W1554">
        <v>20</v>
      </c>
      <c r="X1554">
        <v>0.67</v>
      </c>
      <c r="Y1554">
        <f t="shared" si="30"/>
        <v>0</v>
      </c>
      <c r="AA1554">
        <v>0</v>
      </c>
      <c r="AB1554">
        <v>0</v>
      </c>
    </row>
    <row r="1555" spans="1:28" x14ac:dyDescent="0.2">
      <c r="A1555" t="s">
        <v>232</v>
      </c>
      <c r="B1555">
        <v>1978</v>
      </c>
      <c r="C1555" t="s">
        <v>816</v>
      </c>
      <c r="D1555" t="s">
        <v>827</v>
      </c>
      <c r="E1555" t="s">
        <v>230</v>
      </c>
      <c r="F1555" t="s">
        <v>229</v>
      </c>
      <c r="G1555">
        <v>36.808788999999997</v>
      </c>
      <c r="H1555">
        <v>-121.93911199999999</v>
      </c>
      <c r="I1555" t="s">
        <v>769</v>
      </c>
      <c r="J1555" t="s">
        <v>7</v>
      </c>
      <c r="K1555" t="s">
        <v>41</v>
      </c>
      <c r="L1555" t="s">
        <v>3</v>
      </c>
      <c r="M1555" t="s">
        <v>26</v>
      </c>
      <c r="N1555" t="s">
        <v>85</v>
      </c>
      <c r="O1555" s="6" t="s">
        <v>356</v>
      </c>
      <c r="P1555" t="s">
        <v>65</v>
      </c>
      <c r="Q1555">
        <v>7</v>
      </c>
      <c r="R1555" t="s">
        <v>213</v>
      </c>
      <c r="S1555" s="2" t="s">
        <v>7</v>
      </c>
      <c r="T1555" s="2">
        <v>20</v>
      </c>
      <c r="U1555" t="s">
        <v>28</v>
      </c>
      <c r="V1555" t="s">
        <v>28</v>
      </c>
      <c r="W1555">
        <v>12</v>
      </c>
      <c r="X1555">
        <f>12.51</f>
        <v>12.51</v>
      </c>
      <c r="Y1555" s="6">
        <f t="shared" ref="Y1555:Y1566" si="31">Z1555*SQRT(T1555)</f>
        <v>3.6940462715022857</v>
      </c>
      <c r="Z1555">
        <f>(13.44-13.16)*2.086*SQRT(2)</f>
        <v>0.82601385751087542</v>
      </c>
      <c r="AA1555" s="6"/>
      <c r="AB1555" s="6"/>
    </row>
    <row r="1556" spans="1:28" x14ac:dyDescent="0.2">
      <c r="A1556" t="s">
        <v>232</v>
      </c>
      <c r="B1556">
        <v>1978</v>
      </c>
      <c r="C1556" t="s">
        <v>816</v>
      </c>
      <c r="D1556" t="s">
        <v>827</v>
      </c>
      <c r="E1556" t="s">
        <v>230</v>
      </c>
      <c r="F1556" t="s">
        <v>229</v>
      </c>
      <c r="G1556">
        <v>36.808788999999997</v>
      </c>
      <c r="H1556">
        <v>-121.93911199999999</v>
      </c>
      <c r="I1556" t="s">
        <v>769</v>
      </c>
      <c r="J1556" t="s">
        <v>14</v>
      </c>
      <c r="K1556" t="s">
        <v>41</v>
      </c>
      <c r="L1556" t="s">
        <v>3</v>
      </c>
      <c r="M1556" t="s">
        <v>26</v>
      </c>
      <c r="N1556" t="s">
        <v>85</v>
      </c>
      <c r="O1556" s="6" t="s">
        <v>356</v>
      </c>
      <c r="P1556" t="s">
        <v>65</v>
      </c>
      <c r="Q1556">
        <v>7</v>
      </c>
      <c r="R1556" t="s">
        <v>213</v>
      </c>
      <c r="S1556" s="2" t="s">
        <v>9</v>
      </c>
      <c r="T1556" s="2">
        <v>20</v>
      </c>
      <c r="U1556" t="s">
        <v>28</v>
      </c>
      <c r="V1556" t="s">
        <v>28</v>
      </c>
      <c r="W1556">
        <v>17</v>
      </c>
      <c r="X1556">
        <f>8.49</f>
        <v>8.49</v>
      </c>
      <c r="Y1556" s="6">
        <f t="shared" si="31"/>
        <v>3.6940462715022857</v>
      </c>
      <c r="Z1556">
        <f>(13.44-13.16)*2.086*SQRT(2)</f>
        <v>0.82601385751087542</v>
      </c>
      <c r="AA1556" s="6"/>
      <c r="AB1556" s="6"/>
    </row>
    <row r="1557" spans="1:28" x14ac:dyDescent="0.2">
      <c r="A1557" t="s">
        <v>232</v>
      </c>
      <c r="B1557">
        <v>1978</v>
      </c>
      <c r="C1557" t="s">
        <v>816</v>
      </c>
      <c r="D1557" t="s">
        <v>827</v>
      </c>
      <c r="E1557" t="s">
        <v>230</v>
      </c>
      <c r="F1557" t="s">
        <v>229</v>
      </c>
      <c r="G1557">
        <v>36.808788999999997</v>
      </c>
      <c r="H1557">
        <v>-121.93911199999999</v>
      </c>
      <c r="I1557" t="s">
        <v>769</v>
      </c>
      <c r="J1557" t="s">
        <v>14</v>
      </c>
      <c r="K1557" t="s">
        <v>41</v>
      </c>
      <c r="L1557" t="s">
        <v>3</v>
      </c>
      <c r="M1557" t="s">
        <v>26</v>
      </c>
      <c r="N1557" t="s">
        <v>85</v>
      </c>
      <c r="O1557" s="6" t="s">
        <v>356</v>
      </c>
      <c r="P1557" t="s">
        <v>65</v>
      </c>
      <c r="Q1557">
        <v>7</v>
      </c>
      <c r="R1557" t="s">
        <v>213</v>
      </c>
      <c r="S1557" s="2" t="s">
        <v>27</v>
      </c>
      <c r="T1557" s="2">
        <v>20</v>
      </c>
      <c r="U1557" t="s">
        <v>28</v>
      </c>
      <c r="V1557" t="s">
        <v>28</v>
      </c>
      <c r="W1557">
        <v>20</v>
      </c>
      <c r="X1557">
        <f>5.1</f>
        <v>5.0999999999999996</v>
      </c>
      <c r="Y1557" s="6">
        <f t="shared" si="31"/>
        <v>3.6940462715022857</v>
      </c>
      <c r="Z1557">
        <f>(13.44-13.16)*2.086*SQRT(2)</f>
        <v>0.82601385751087542</v>
      </c>
      <c r="AA1557" s="6"/>
      <c r="AB1557" s="6"/>
    </row>
    <row r="1558" spans="1:28" x14ac:dyDescent="0.2">
      <c r="A1558" t="s">
        <v>232</v>
      </c>
      <c r="B1558">
        <v>1978</v>
      </c>
      <c r="C1558" t="s">
        <v>807</v>
      </c>
      <c r="D1558" t="s">
        <v>808</v>
      </c>
      <c r="E1558" t="s">
        <v>153</v>
      </c>
      <c r="F1558" t="s">
        <v>229</v>
      </c>
      <c r="G1558">
        <v>36.808788999999997</v>
      </c>
      <c r="H1558">
        <v>-121.93911199999999</v>
      </c>
      <c r="I1558" t="s">
        <v>769</v>
      </c>
      <c r="J1558" t="s">
        <v>7</v>
      </c>
      <c r="K1558" t="s">
        <v>41</v>
      </c>
      <c r="L1558" t="s">
        <v>3</v>
      </c>
      <c r="M1558" t="s">
        <v>26</v>
      </c>
      <c r="N1558" t="s">
        <v>85</v>
      </c>
      <c r="O1558" s="6" t="s">
        <v>356</v>
      </c>
      <c r="P1558" t="s">
        <v>65</v>
      </c>
      <c r="Q1558">
        <v>7</v>
      </c>
      <c r="R1558" t="s">
        <v>213</v>
      </c>
      <c r="S1558" s="2" t="s">
        <v>7</v>
      </c>
      <c r="T1558" s="2">
        <v>20</v>
      </c>
      <c r="U1558" t="s">
        <v>28</v>
      </c>
      <c r="V1558" t="s">
        <v>28</v>
      </c>
      <c r="W1558">
        <v>12</v>
      </c>
      <c r="X1558">
        <v>13.54</v>
      </c>
      <c r="Y1558" s="6">
        <f t="shared" si="31"/>
        <v>5.5410694072534401</v>
      </c>
      <c r="Z1558">
        <f>(13.55-13.13)*2.086*SQRT(2)</f>
        <v>1.2390207862663158</v>
      </c>
      <c r="AA1558" s="6"/>
      <c r="AB1558" s="6"/>
    </row>
    <row r="1559" spans="1:28" x14ac:dyDescent="0.2">
      <c r="A1559" t="s">
        <v>232</v>
      </c>
      <c r="B1559">
        <v>1978</v>
      </c>
      <c r="C1559" t="s">
        <v>807</v>
      </c>
      <c r="D1559" t="s">
        <v>808</v>
      </c>
      <c r="E1559" t="s">
        <v>153</v>
      </c>
      <c r="F1559" t="s">
        <v>229</v>
      </c>
      <c r="G1559">
        <v>36.808788999999997</v>
      </c>
      <c r="H1559">
        <v>-121.93911199999999</v>
      </c>
      <c r="I1559" t="s">
        <v>769</v>
      </c>
      <c r="J1559" t="s">
        <v>14</v>
      </c>
      <c r="K1559" t="s">
        <v>41</v>
      </c>
      <c r="L1559" t="s">
        <v>3</v>
      </c>
      <c r="M1559" t="s">
        <v>26</v>
      </c>
      <c r="N1559" t="s">
        <v>85</v>
      </c>
      <c r="O1559" s="6" t="s">
        <v>356</v>
      </c>
      <c r="P1559" t="s">
        <v>65</v>
      </c>
      <c r="Q1559">
        <v>7</v>
      </c>
      <c r="R1559" t="s">
        <v>213</v>
      </c>
      <c r="S1559" s="2" t="s">
        <v>9</v>
      </c>
      <c r="T1559" s="2">
        <v>20</v>
      </c>
      <c r="U1559" t="s">
        <v>28</v>
      </c>
      <c r="V1559" t="s">
        <v>28</v>
      </c>
      <c r="W1559">
        <v>17</v>
      </c>
      <c r="X1559">
        <v>9.65</v>
      </c>
      <c r="Y1559" s="6">
        <f t="shared" si="31"/>
        <v>5.5410694072534401</v>
      </c>
      <c r="Z1559">
        <f>(13.55-13.13)*2.086*SQRT(2)</f>
        <v>1.2390207862663158</v>
      </c>
      <c r="AA1559" s="6"/>
      <c r="AB1559" s="6"/>
    </row>
    <row r="1560" spans="1:28" x14ac:dyDescent="0.2">
      <c r="A1560" t="s">
        <v>232</v>
      </c>
      <c r="B1560">
        <v>1978</v>
      </c>
      <c r="C1560" t="s">
        <v>807</v>
      </c>
      <c r="D1560" t="s">
        <v>808</v>
      </c>
      <c r="E1560" t="s">
        <v>153</v>
      </c>
      <c r="F1560" t="s">
        <v>229</v>
      </c>
      <c r="G1560">
        <v>36.808788999999997</v>
      </c>
      <c r="H1560">
        <v>-121.93911199999999</v>
      </c>
      <c r="I1560" t="s">
        <v>769</v>
      </c>
      <c r="J1560" t="s">
        <v>14</v>
      </c>
      <c r="K1560" t="s">
        <v>41</v>
      </c>
      <c r="L1560" t="s">
        <v>3</v>
      </c>
      <c r="M1560" t="s">
        <v>26</v>
      </c>
      <c r="N1560" t="s">
        <v>85</v>
      </c>
      <c r="O1560" s="6" t="s">
        <v>356</v>
      </c>
      <c r="P1560" t="s">
        <v>65</v>
      </c>
      <c r="Q1560">
        <v>7</v>
      </c>
      <c r="R1560" t="s">
        <v>213</v>
      </c>
      <c r="S1560" s="2" t="s">
        <v>27</v>
      </c>
      <c r="T1560" s="2">
        <v>20</v>
      </c>
      <c r="U1560" t="s">
        <v>28</v>
      </c>
      <c r="V1560" t="s">
        <v>28</v>
      </c>
      <c r="W1560">
        <v>20</v>
      </c>
      <c r="X1560">
        <v>6.86</v>
      </c>
      <c r="Y1560" s="6">
        <f t="shared" si="31"/>
        <v>5.5410694072534401</v>
      </c>
      <c r="Z1560">
        <f>(13.55-13.13)*2.086*SQRT(2)</f>
        <v>1.2390207862663158</v>
      </c>
      <c r="AA1560" s="6"/>
      <c r="AB1560" s="6"/>
    </row>
    <row r="1561" spans="1:28" x14ac:dyDescent="0.2">
      <c r="A1561" t="s">
        <v>232</v>
      </c>
      <c r="B1561">
        <v>1978</v>
      </c>
      <c r="C1561" t="s">
        <v>816</v>
      </c>
      <c r="D1561" t="s">
        <v>827</v>
      </c>
      <c r="E1561" t="s">
        <v>340</v>
      </c>
      <c r="F1561" t="s">
        <v>229</v>
      </c>
      <c r="G1561">
        <v>36.808788999999997</v>
      </c>
      <c r="H1561">
        <v>-121.93911199999999</v>
      </c>
      <c r="I1561" t="s">
        <v>769</v>
      </c>
      <c r="J1561" t="s">
        <v>7</v>
      </c>
      <c r="K1561" t="s">
        <v>41</v>
      </c>
      <c r="L1561" t="s">
        <v>3</v>
      </c>
      <c r="M1561" t="s">
        <v>26</v>
      </c>
      <c r="N1561" t="s">
        <v>85</v>
      </c>
      <c r="O1561" s="6" t="s">
        <v>356</v>
      </c>
      <c r="P1561" t="s">
        <v>65</v>
      </c>
      <c r="Q1561">
        <v>7</v>
      </c>
      <c r="R1561" t="s">
        <v>213</v>
      </c>
      <c r="S1561" s="2" t="s">
        <v>7</v>
      </c>
      <c r="T1561" s="2">
        <v>20</v>
      </c>
      <c r="U1561" t="s">
        <v>28</v>
      </c>
      <c r="V1561" t="s">
        <v>28</v>
      </c>
      <c r="W1561">
        <v>12</v>
      </c>
      <c r="X1561">
        <v>15.67</v>
      </c>
      <c r="Y1561" s="6">
        <f t="shared" si="31"/>
        <v>3.4301858235378417</v>
      </c>
      <c r="Z1561">
        <f>(15.58-15.32)*2.086*SQRT(2)</f>
        <v>0.76701286768867116</v>
      </c>
      <c r="AA1561" s="6"/>
      <c r="AB1561" s="6"/>
    </row>
    <row r="1562" spans="1:28" x14ac:dyDescent="0.2">
      <c r="A1562" t="s">
        <v>232</v>
      </c>
      <c r="B1562">
        <v>1978</v>
      </c>
      <c r="C1562" t="s">
        <v>816</v>
      </c>
      <c r="D1562" t="s">
        <v>827</v>
      </c>
      <c r="E1562" t="s">
        <v>340</v>
      </c>
      <c r="F1562" t="s">
        <v>229</v>
      </c>
      <c r="G1562">
        <v>36.808788999999997</v>
      </c>
      <c r="H1562">
        <v>-121.93911199999999</v>
      </c>
      <c r="I1562" t="s">
        <v>769</v>
      </c>
      <c r="J1562" t="s">
        <v>14</v>
      </c>
      <c r="K1562" t="s">
        <v>41</v>
      </c>
      <c r="L1562" t="s">
        <v>3</v>
      </c>
      <c r="M1562" t="s">
        <v>26</v>
      </c>
      <c r="N1562" t="s">
        <v>85</v>
      </c>
      <c r="O1562" s="6" t="s">
        <v>356</v>
      </c>
      <c r="P1562" t="s">
        <v>65</v>
      </c>
      <c r="Q1562">
        <v>7</v>
      </c>
      <c r="R1562" t="s">
        <v>213</v>
      </c>
      <c r="S1562" s="2" t="s">
        <v>9</v>
      </c>
      <c r="T1562" s="2">
        <v>20</v>
      </c>
      <c r="U1562" t="s">
        <v>28</v>
      </c>
      <c r="V1562" t="s">
        <v>28</v>
      </c>
      <c r="W1562">
        <v>17</v>
      </c>
      <c r="X1562">
        <v>12.54</v>
      </c>
      <c r="Y1562" s="6">
        <f t="shared" si="31"/>
        <v>3.4301858235378417</v>
      </c>
      <c r="Z1562">
        <f>(15.58-15.32)*2.086*SQRT(2)</f>
        <v>0.76701286768867116</v>
      </c>
      <c r="AA1562" s="6"/>
      <c r="AB1562" s="6"/>
    </row>
    <row r="1563" spans="1:28" x14ac:dyDescent="0.2">
      <c r="A1563" t="s">
        <v>232</v>
      </c>
      <c r="B1563">
        <v>1978</v>
      </c>
      <c r="C1563" t="s">
        <v>816</v>
      </c>
      <c r="D1563" t="s">
        <v>827</v>
      </c>
      <c r="E1563" t="s">
        <v>340</v>
      </c>
      <c r="F1563" t="s">
        <v>229</v>
      </c>
      <c r="G1563">
        <v>36.808788999999997</v>
      </c>
      <c r="H1563">
        <v>-121.93911199999999</v>
      </c>
      <c r="I1563" t="s">
        <v>769</v>
      </c>
      <c r="J1563" t="s">
        <v>14</v>
      </c>
      <c r="K1563" t="s">
        <v>41</v>
      </c>
      <c r="L1563" t="s">
        <v>3</v>
      </c>
      <c r="M1563" t="s">
        <v>26</v>
      </c>
      <c r="N1563" t="s">
        <v>85</v>
      </c>
      <c r="O1563" s="6" t="s">
        <v>356</v>
      </c>
      <c r="P1563" t="s">
        <v>65</v>
      </c>
      <c r="Q1563">
        <v>7</v>
      </c>
      <c r="R1563" t="s">
        <v>213</v>
      </c>
      <c r="S1563" s="2" t="s">
        <v>27</v>
      </c>
      <c r="T1563" s="2">
        <v>20</v>
      </c>
      <c r="U1563" t="s">
        <v>28</v>
      </c>
      <c r="V1563" t="s">
        <v>28</v>
      </c>
      <c r="W1563">
        <v>20</v>
      </c>
      <c r="X1563">
        <v>7.64</v>
      </c>
      <c r="Y1563" s="6">
        <f t="shared" si="31"/>
        <v>3.4301858235378417</v>
      </c>
      <c r="Z1563">
        <f>(15.58-15.32)*2.086*SQRT(2)</f>
        <v>0.76701286768867116</v>
      </c>
      <c r="AA1563" s="6"/>
      <c r="AB1563" s="6"/>
    </row>
    <row r="1564" spans="1:28" x14ac:dyDescent="0.2">
      <c r="A1564" t="s">
        <v>232</v>
      </c>
      <c r="B1564">
        <v>1978</v>
      </c>
      <c r="C1564" t="s">
        <v>816</v>
      </c>
      <c r="D1564" t="s">
        <v>817</v>
      </c>
      <c r="E1564" t="s">
        <v>231</v>
      </c>
      <c r="F1564" t="s">
        <v>229</v>
      </c>
      <c r="G1564">
        <v>36.808788999999997</v>
      </c>
      <c r="H1564">
        <v>-121.93911199999999</v>
      </c>
      <c r="I1564" t="s">
        <v>769</v>
      </c>
      <c r="J1564" t="s">
        <v>7</v>
      </c>
      <c r="K1564" t="s">
        <v>41</v>
      </c>
      <c r="L1564" t="s">
        <v>3</v>
      </c>
      <c r="M1564" t="s">
        <v>26</v>
      </c>
      <c r="N1564" t="s">
        <v>85</v>
      </c>
      <c r="O1564" s="6" t="s">
        <v>356</v>
      </c>
      <c r="P1564" t="s">
        <v>65</v>
      </c>
      <c r="Q1564">
        <v>7</v>
      </c>
      <c r="R1564" t="s">
        <v>213</v>
      </c>
      <c r="S1564" s="2" t="s">
        <v>7</v>
      </c>
      <c r="T1564" s="2">
        <v>20</v>
      </c>
      <c r="U1564" t="s">
        <v>28</v>
      </c>
      <c r="V1564" t="s">
        <v>28</v>
      </c>
      <c r="W1564">
        <v>12</v>
      </c>
      <c r="X1564">
        <v>15.67</v>
      </c>
      <c r="Y1564" s="6">
        <f t="shared" si="31"/>
        <v>4.4856276153956411</v>
      </c>
      <c r="Z1564">
        <f>(15.61-15.27)*2.086*SQRT(2)</f>
        <v>1.0030168269774935</v>
      </c>
      <c r="AA1564" s="6"/>
      <c r="AB1564" s="6"/>
    </row>
    <row r="1565" spans="1:28" x14ac:dyDescent="0.2">
      <c r="A1565" t="s">
        <v>232</v>
      </c>
      <c r="B1565">
        <v>1978</v>
      </c>
      <c r="C1565" t="s">
        <v>816</v>
      </c>
      <c r="D1565" t="s">
        <v>817</v>
      </c>
      <c r="E1565" t="s">
        <v>231</v>
      </c>
      <c r="F1565" t="s">
        <v>229</v>
      </c>
      <c r="G1565">
        <v>36.808788999999997</v>
      </c>
      <c r="H1565">
        <v>-121.93911199999999</v>
      </c>
      <c r="I1565" t="s">
        <v>769</v>
      </c>
      <c r="J1565" t="s">
        <v>14</v>
      </c>
      <c r="K1565" t="s">
        <v>41</v>
      </c>
      <c r="L1565" t="s">
        <v>3</v>
      </c>
      <c r="M1565" t="s">
        <v>26</v>
      </c>
      <c r="N1565" t="s">
        <v>85</v>
      </c>
      <c r="O1565" s="6" t="s">
        <v>356</v>
      </c>
      <c r="P1565" t="s">
        <v>65</v>
      </c>
      <c r="Q1565">
        <v>7</v>
      </c>
      <c r="R1565" t="s">
        <v>213</v>
      </c>
      <c r="S1565" s="2" t="s">
        <v>9</v>
      </c>
      <c r="T1565" s="2">
        <v>20</v>
      </c>
      <c r="U1565" t="s">
        <v>28</v>
      </c>
      <c r="V1565" t="s">
        <v>28</v>
      </c>
      <c r="W1565">
        <v>17</v>
      </c>
      <c r="X1565">
        <v>12.17</v>
      </c>
      <c r="Y1565" s="6">
        <f t="shared" si="31"/>
        <v>4.4856276153956411</v>
      </c>
      <c r="Z1565">
        <f>(15.61-15.27)*2.086*SQRT(2)</f>
        <v>1.0030168269774935</v>
      </c>
      <c r="AA1565" s="6"/>
      <c r="AB1565" s="6"/>
    </row>
    <row r="1566" spans="1:28" x14ac:dyDescent="0.2">
      <c r="A1566" t="s">
        <v>232</v>
      </c>
      <c r="B1566">
        <v>1978</v>
      </c>
      <c r="C1566" t="s">
        <v>816</v>
      </c>
      <c r="D1566" t="s">
        <v>817</v>
      </c>
      <c r="E1566" t="s">
        <v>231</v>
      </c>
      <c r="F1566" t="s">
        <v>229</v>
      </c>
      <c r="G1566">
        <v>36.808788999999997</v>
      </c>
      <c r="H1566">
        <v>-121.93911199999999</v>
      </c>
      <c r="I1566" t="s">
        <v>769</v>
      </c>
      <c r="J1566" t="s">
        <v>14</v>
      </c>
      <c r="K1566" t="s">
        <v>41</v>
      </c>
      <c r="L1566" t="s">
        <v>3</v>
      </c>
      <c r="M1566" t="s">
        <v>26</v>
      </c>
      <c r="N1566" t="s">
        <v>85</v>
      </c>
      <c r="O1566" s="6" t="s">
        <v>356</v>
      </c>
      <c r="P1566" t="s">
        <v>65</v>
      </c>
      <c r="Q1566">
        <v>7</v>
      </c>
      <c r="R1566" t="s">
        <v>213</v>
      </c>
      <c r="S1566" s="2" t="s">
        <v>27</v>
      </c>
      <c r="T1566" s="2">
        <v>20</v>
      </c>
      <c r="U1566" t="s">
        <v>28</v>
      </c>
      <c r="V1566" t="s">
        <v>28</v>
      </c>
      <c r="W1566">
        <v>20</v>
      </c>
      <c r="X1566">
        <v>6.99</v>
      </c>
      <c r="Y1566" s="6">
        <f t="shared" si="31"/>
        <v>4.4856276153956411</v>
      </c>
      <c r="Z1566">
        <f>(15.61-15.27)*2.086*SQRT(2)</f>
        <v>1.0030168269774935</v>
      </c>
      <c r="AA1566" s="6"/>
      <c r="AB1566" s="6"/>
    </row>
    <row r="1567" spans="1:28" x14ac:dyDescent="0.2">
      <c r="A1567" t="s">
        <v>232</v>
      </c>
      <c r="B1567">
        <v>1978</v>
      </c>
      <c r="C1567" t="s">
        <v>816</v>
      </c>
      <c r="D1567" t="s">
        <v>827</v>
      </c>
      <c r="E1567" t="s">
        <v>230</v>
      </c>
      <c r="F1567" t="s">
        <v>229</v>
      </c>
      <c r="G1567">
        <v>36.808788999999997</v>
      </c>
      <c r="H1567">
        <v>-121.93911199999999</v>
      </c>
      <c r="I1567" t="s">
        <v>769</v>
      </c>
      <c r="J1567" t="s">
        <v>7</v>
      </c>
      <c r="K1567" t="s">
        <v>41</v>
      </c>
      <c r="L1567" t="s">
        <v>3</v>
      </c>
      <c r="M1567" t="s">
        <v>727</v>
      </c>
      <c r="N1567" t="s">
        <v>85</v>
      </c>
      <c r="O1567" s="6" t="s">
        <v>228</v>
      </c>
      <c r="P1567" t="s">
        <v>70</v>
      </c>
      <c r="Q1567">
        <v>14</v>
      </c>
      <c r="R1567" t="s">
        <v>213</v>
      </c>
      <c r="S1567" s="2" t="s">
        <v>7</v>
      </c>
      <c r="T1567" s="2">
        <v>250</v>
      </c>
      <c r="U1567" t="s">
        <v>28</v>
      </c>
      <c r="V1567" t="s">
        <v>28</v>
      </c>
      <c r="W1567">
        <v>12</v>
      </c>
      <c r="X1567">
        <v>89.62</v>
      </c>
      <c r="Y1567">
        <f t="shared" ref="Y1567:Y1578" si="32">SQRT(T1567) * (AB1567-AA1567)/3.92</f>
        <v>44.570367531709927</v>
      </c>
      <c r="AA1567">
        <v>83.67</v>
      </c>
      <c r="AB1567">
        <v>94.72</v>
      </c>
    </row>
    <row r="1568" spans="1:28" x14ac:dyDescent="0.2">
      <c r="A1568" t="s">
        <v>232</v>
      </c>
      <c r="B1568">
        <v>1978</v>
      </c>
      <c r="C1568" t="s">
        <v>816</v>
      </c>
      <c r="D1568" t="s">
        <v>827</v>
      </c>
      <c r="E1568" t="s">
        <v>230</v>
      </c>
      <c r="F1568" t="s">
        <v>229</v>
      </c>
      <c r="G1568">
        <v>36.808788999999997</v>
      </c>
      <c r="H1568">
        <v>-121.93911199999999</v>
      </c>
      <c r="I1568" t="s">
        <v>769</v>
      </c>
      <c r="J1568" t="s">
        <v>14</v>
      </c>
      <c r="K1568" t="s">
        <v>41</v>
      </c>
      <c r="L1568" t="s">
        <v>3</v>
      </c>
      <c r="M1568" t="s">
        <v>727</v>
      </c>
      <c r="N1568" t="s">
        <v>85</v>
      </c>
      <c r="O1568" s="6" t="s">
        <v>228</v>
      </c>
      <c r="P1568" t="s">
        <v>70</v>
      </c>
      <c r="Q1568">
        <v>14</v>
      </c>
      <c r="R1568" t="s">
        <v>213</v>
      </c>
      <c r="S1568" s="2" t="s">
        <v>9</v>
      </c>
      <c r="T1568" s="2">
        <v>250</v>
      </c>
      <c r="U1568" t="s">
        <v>28</v>
      </c>
      <c r="V1568" t="s">
        <v>28</v>
      </c>
      <c r="W1568">
        <v>17</v>
      </c>
      <c r="X1568">
        <v>0.45</v>
      </c>
      <c r="Y1568">
        <f t="shared" si="32"/>
        <v>0</v>
      </c>
      <c r="AA1568">
        <v>0.45</v>
      </c>
      <c r="AB1568">
        <v>0.45</v>
      </c>
    </row>
    <row r="1569" spans="1:28" x14ac:dyDescent="0.2">
      <c r="A1569" t="s">
        <v>232</v>
      </c>
      <c r="B1569">
        <v>1978</v>
      </c>
      <c r="C1569" t="s">
        <v>816</v>
      </c>
      <c r="D1569" t="s">
        <v>827</v>
      </c>
      <c r="E1569" t="s">
        <v>230</v>
      </c>
      <c r="F1569" t="s">
        <v>229</v>
      </c>
      <c r="G1569">
        <v>36.808788999999997</v>
      </c>
      <c r="H1569">
        <v>-121.93911199999999</v>
      </c>
      <c r="I1569" t="s">
        <v>769</v>
      </c>
      <c r="J1569" t="s">
        <v>14</v>
      </c>
      <c r="K1569" t="s">
        <v>41</v>
      </c>
      <c r="L1569" t="s">
        <v>3</v>
      </c>
      <c r="M1569" t="s">
        <v>727</v>
      </c>
      <c r="N1569" t="s">
        <v>85</v>
      </c>
      <c r="O1569" s="6" t="s">
        <v>228</v>
      </c>
      <c r="P1569" t="s">
        <v>70</v>
      </c>
      <c r="Q1569">
        <v>14</v>
      </c>
      <c r="R1569" t="s">
        <v>213</v>
      </c>
      <c r="S1569" s="2" t="s">
        <v>27</v>
      </c>
      <c r="T1569" s="2">
        <v>250</v>
      </c>
      <c r="U1569" t="s">
        <v>28</v>
      </c>
      <c r="V1569" t="s">
        <v>28</v>
      </c>
      <c r="W1569">
        <v>20</v>
      </c>
      <c r="X1569">
        <v>0.6</v>
      </c>
      <c r="Y1569">
        <f t="shared" si="32"/>
        <v>0</v>
      </c>
      <c r="AA1569" s="6">
        <v>0.6</v>
      </c>
      <c r="AB1569" s="6">
        <v>0.6</v>
      </c>
    </row>
    <row r="1570" spans="1:28" x14ac:dyDescent="0.2">
      <c r="A1570" t="s">
        <v>232</v>
      </c>
      <c r="B1570">
        <v>1978</v>
      </c>
      <c r="C1570" t="s">
        <v>807</v>
      </c>
      <c r="D1570" t="s">
        <v>808</v>
      </c>
      <c r="E1570" t="s">
        <v>153</v>
      </c>
      <c r="F1570" t="s">
        <v>229</v>
      </c>
      <c r="G1570">
        <v>36.808788999999997</v>
      </c>
      <c r="H1570">
        <v>-121.93911199999999</v>
      </c>
      <c r="I1570" t="s">
        <v>769</v>
      </c>
      <c r="J1570" t="s">
        <v>7</v>
      </c>
      <c r="K1570" t="s">
        <v>41</v>
      </c>
      <c r="L1570" t="s">
        <v>3</v>
      </c>
      <c r="M1570" t="s">
        <v>727</v>
      </c>
      <c r="N1570" t="s">
        <v>85</v>
      </c>
      <c r="O1570" s="6" t="s">
        <v>228</v>
      </c>
      <c r="P1570" t="s">
        <v>70</v>
      </c>
      <c r="Q1570">
        <v>14</v>
      </c>
      <c r="R1570" t="s">
        <v>213</v>
      </c>
      <c r="S1570" s="2" t="s">
        <v>7</v>
      </c>
      <c r="T1570" s="2">
        <v>250</v>
      </c>
      <c r="U1570" t="s">
        <v>28</v>
      </c>
      <c r="V1570" t="s">
        <v>28</v>
      </c>
      <c r="W1570">
        <v>12</v>
      </c>
      <c r="X1570">
        <v>28.06</v>
      </c>
      <c r="Y1570">
        <f t="shared" si="32"/>
        <v>46.143439326946762</v>
      </c>
      <c r="AA1570">
        <v>22.27</v>
      </c>
      <c r="AB1570">
        <v>33.71</v>
      </c>
    </row>
    <row r="1571" spans="1:28" x14ac:dyDescent="0.2">
      <c r="A1571" t="s">
        <v>232</v>
      </c>
      <c r="B1571">
        <v>1978</v>
      </c>
      <c r="C1571" t="s">
        <v>807</v>
      </c>
      <c r="D1571" t="s">
        <v>808</v>
      </c>
      <c r="E1571" t="s">
        <v>153</v>
      </c>
      <c r="F1571" t="s">
        <v>229</v>
      </c>
      <c r="G1571">
        <v>36.808788999999997</v>
      </c>
      <c r="H1571">
        <v>-121.93911199999999</v>
      </c>
      <c r="I1571" t="s">
        <v>769</v>
      </c>
      <c r="J1571" t="s">
        <v>14</v>
      </c>
      <c r="K1571" t="s">
        <v>41</v>
      </c>
      <c r="L1571" t="s">
        <v>3</v>
      </c>
      <c r="M1571" t="s">
        <v>727</v>
      </c>
      <c r="N1571" t="s">
        <v>85</v>
      </c>
      <c r="O1571" s="6" t="s">
        <v>228</v>
      </c>
      <c r="P1571" t="s">
        <v>70</v>
      </c>
      <c r="Q1571">
        <v>14</v>
      </c>
      <c r="R1571" t="s">
        <v>213</v>
      </c>
      <c r="S1571" s="2" t="s">
        <v>9</v>
      </c>
      <c r="T1571" s="2">
        <v>250</v>
      </c>
      <c r="U1571" t="s">
        <v>28</v>
      </c>
      <c r="V1571" t="s">
        <v>28</v>
      </c>
      <c r="W1571">
        <v>17</v>
      </c>
      <c r="X1571">
        <v>0.18</v>
      </c>
      <c r="Y1571">
        <f t="shared" si="32"/>
        <v>0</v>
      </c>
      <c r="AA1571">
        <v>0.18</v>
      </c>
      <c r="AB1571">
        <v>0.18</v>
      </c>
    </row>
    <row r="1572" spans="1:28" x14ac:dyDescent="0.2">
      <c r="A1572" t="s">
        <v>232</v>
      </c>
      <c r="B1572">
        <v>1978</v>
      </c>
      <c r="C1572" t="s">
        <v>807</v>
      </c>
      <c r="D1572" t="s">
        <v>808</v>
      </c>
      <c r="E1572" t="s">
        <v>153</v>
      </c>
      <c r="F1572" t="s">
        <v>229</v>
      </c>
      <c r="G1572">
        <v>36.808788999999997</v>
      </c>
      <c r="H1572">
        <v>-121.93911199999999</v>
      </c>
      <c r="I1572" t="s">
        <v>769</v>
      </c>
      <c r="J1572" t="s">
        <v>14</v>
      </c>
      <c r="K1572" t="s">
        <v>41</v>
      </c>
      <c r="L1572" t="s">
        <v>3</v>
      </c>
      <c r="M1572" t="s">
        <v>727</v>
      </c>
      <c r="N1572" t="s">
        <v>85</v>
      </c>
      <c r="O1572" s="6" t="s">
        <v>228</v>
      </c>
      <c r="P1572" t="s">
        <v>70</v>
      </c>
      <c r="Q1572">
        <v>14</v>
      </c>
      <c r="R1572" t="s">
        <v>213</v>
      </c>
      <c r="S1572" s="2" t="s">
        <v>27</v>
      </c>
      <c r="T1572" s="2">
        <v>250</v>
      </c>
      <c r="U1572" t="s">
        <v>28</v>
      </c>
      <c r="V1572" t="s">
        <v>28</v>
      </c>
      <c r="W1572">
        <v>20</v>
      </c>
      <c r="X1572">
        <v>0.28999999999999998</v>
      </c>
      <c r="Y1572">
        <f t="shared" si="32"/>
        <v>0</v>
      </c>
      <c r="AA1572">
        <v>0.28999999999999998</v>
      </c>
      <c r="AB1572">
        <v>0.28999999999999998</v>
      </c>
    </row>
    <row r="1573" spans="1:28" x14ac:dyDescent="0.2">
      <c r="A1573" t="s">
        <v>232</v>
      </c>
      <c r="B1573">
        <v>1978</v>
      </c>
      <c r="C1573" t="s">
        <v>816</v>
      </c>
      <c r="D1573" t="s">
        <v>827</v>
      </c>
      <c r="E1573" t="s">
        <v>340</v>
      </c>
      <c r="F1573" t="s">
        <v>229</v>
      </c>
      <c r="G1573">
        <v>36.808788999999997</v>
      </c>
      <c r="H1573">
        <v>-121.93911199999999</v>
      </c>
      <c r="I1573" t="s">
        <v>769</v>
      </c>
      <c r="J1573" t="s">
        <v>7</v>
      </c>
      <c r="K1573" t="s">
        <v>41</v>
      </c>
      <c r="L1573" t="s">
        <v>3</v>
      </c>
      <c r="M1573" t="s">
        <v>727</v>
      </c>
      <c r="N1573" t="s">
        <v>85</v>
      </c>
      <c r="O1573" s="6" t="s">
        <v>228</v>
      </c>
      <c r="P1573" t="s">
        <v>70</v>
      </c>
      <c r="Q1573">
        <v>14</v>
      </c>
      <c r="R1573" t="s">
        <v>213</v>
      </c>
      <c r="S1573" s="2" t="s">
        <v>7</v>
      </c>
      <c r="T1573" s="2">
        <v>250</v>
      </c>
      <c r="U1573" t="s">
        <v>28</v>
      </c>
      <c r="V1573" t="s">
        <v>28</v>
      </c>
      <c r="W1573">
        <v>12</v>
      </c>
      <c r="X1573">
        <v>32.67</v>
      </c>
      <c r="Y1573">
        <f t="shared" si="32"/>
        <v>21.135631300104976</v>
      </c>
      <c r="AA1573">
        <v>30.13</v>
      </c>
      <c r="AB1573">
        <v>35.369999999999997</v>
      </c>
    </row>
    <row r="1574" spans="1:28" x14ac:dyDescent="0.2">
      <c r="A1574" t="s">
        <v>232</v>
      </c>
      <c r="B1574">
        <v>1978</v>
      </c>
      <c r="C1574" t="s">
        <v>816</v>
      </c>
      <c r="D1574" t="s">
        <v>827</v>
      </c>
      <c r="E1574" t="s">
        <v>340</v>
      </c>
      <c r="F1574" t="s">
        <v>229</v>
      </c>
      <c r="G1574">
        <v>36.808788999999997</v>
      </c>
      <c r="H1574">
        <v>-121.93911199999999</v>
      </c>
      <c r="I1574" t="s">
        <v>769</v>
      </c>
      <c r="J1574" t="s">
        <v>14</v>
      </c>
      <c r="K1574" t="s">
        <v>41</v>
      </c>
      <c r="L1574" t="s">
        <v>3</v>
      </c>
      <c r="M1574" t="s">
        <v>727</v>
      </c>
      <c r="N1574" t="s">
        <v>85</v>
      </c>
      <c r="O1574" s="6" t="s">
        <v>228</v>
      </c>
      <c r="P1574" t="s">
        <v>70</v>
      </c>
      <c r="Q1574">
        <v>14</v>
      </c>
      <c r="R1574" t="s">
        <v>213</v>
      </c>
      <c r="S1574" s="2" t="s">
        <v>9</v>
      </c>
      <c r="T1574" s="2">
        <v>250</v>
      </c>
      <c r="U1574" t="s">
        <v>28</v>
      </c>
      <c r="V1574" t="s">
        <v>28</v>
      </c>
      <c r="W1574">
        <v>17</v>
      </c>
      <c r="X1574">
        <v>0.18</v>
      </c>
      <c r="Y1574">
        <f t="shared" si="32"/>
        <v>0</v>
      </c>
      <c r="AA1574">
        <v>0.18</v>
      </c>
      <c r="AB1574">
        <v>0.18</v>
      </c>
    </row>
    <row r="1575" spans="1:28" x14ac:dyDescent="0.2">
      <c r="A1575" t="s">
        <v>232</v>
      </c>
      <c r="B1575">
        <v>1978</v>
      </c>
      <c r="C1575" t="s">
        <v>816</v>
      </c>
      <c r="D1575" t="s">
        <v>827</v>
      </c>
      <c r="E1575" t="s">
        <v>340</v>
      </c>
      <c r="F1575" t="s">
        <v>229</v>
      </c>
      <c r="G1575">
        <v>36.808788999999997</v>
      </c>
      <c r="H1575">
        <v>-121.93911199999999</v>
      </c>
      <c r="I1575" t="s">
        <v>769</v>
      </c>
      <c r="J1575" t="s">
        <v>14</v>
      </c>
      <c r="K1575" t="s">
        <v>41</v>
      </c>
      <c r="L1575" t="s">
        <v>3</v>
      </c>
      <c r="M1575" t="s">
        <v>727</v>
      </c>
      <c r="N1575" t="s">
        <v>85</v>
      </c>
      <c r="O1575" s="6" t="s">
        <v>228</v>
      </c>
      <c r="P1575" t="s">
        <v>70</v>
      </c>
      <c r="Q1575">
        <v>14</v>
      </c>
      <c r="R1575" t="s">
        <v>213</v>
      </c>
      <c r="S1575" s="2" t="s">
        <v>27</v>
      </c>
      <c r="T1575" s="2">
        <v>250</v>
      </c>
      <c r="U1575" t="s">
        <v>28</v>
      </c>
      <c r="V1575" t="s">
        <v>28</v>
      </c>
      <c r="W1575">
        <v>20</v>
      </c>
      <c r="X1575">
        <v>0.28999999999999998</v>
      </c>
      <c r="Y1575">
        <f t="shared" si="32"/>
        <v>0</v>
      </c>
      <c r="AA1575">
        <v>0.28999999999999998</v>
      </c>
      <c r="AB1575">
        <v>0.28999999999999998</v>
      </c>
    </row>
    <row r="1576" spans="1:28" x14ac:dyDescent="0.2">
      <c r="A1576" t="s">
        <v>232</v>
      </c>
      <c r="B1576">
        <v>1978</v>
      </c>
      <c r="C1576" t="s">
        <v>816</v>
      </c>
      <c r="D1576" t="s">
        <v>817</v>
      </c>
      <c r="E1576" t="s">
        <v>231</v>
      </c>
      <c r="F1576" t="s">
        <v>229</v>
      </c>
      <c r="G1576">
        <v>36.808788999999997</v>
      </c>
      <c r="H1576">
        <v>-121.93911199999999</v>
      </c>
      <c r="I1576" t="s">
        <v>769</v>
      </c>
      <c r="J1576" t="s">
        <v>7</v>
      </c>
      <c r="K1576" t="s">
        <v>41</v>
      </c>
      <c r="L1576" t="s">
        <v>3</v>
      </c>
      <c r="M1576" t="s">
        <v>727</v>
      </c>
      <c r="N1576" t="s">
        <v>85</v>
      </c>
      <c r="O1576" s="6" t="s">
        <v>228</v>
      </c>
      <c r="P1576" t="s">
        <v>70</v>
      </c>
      <c r="Q1576">
        <v>14</v>
      </c>
      <c r="R1576" t="s">
        <v>213</v>
      </c>
      <c r="S1576" s="2" t="s">
        <v>7</v>
      </c>
      <c r="T1576" s="2">
        <v>250</v>
      </c>
      <c r="U1576" t="s">
        <v>28</v>
      </c>
      <c r="V1576" t="s">
        <v>28</v>
      </c>
      <c r="W1576">
        <v>12</v>
      </c>
      <c r="X1576">
        <v>62.64</v>
      </c>
      <c r="Y1576">
        <f t="shared" si="32"/>
        <v>28.395962662736462</v>
      </c>
      <c r="AA1576">
        <v>59.26</v>
      </c>
      <c r="AB1576">
        <v>66.3</v>
      </c>
    </row>
    <row r="1577" spans="1:28" x14ac:dyDescent="0.2">
      <c r="A1577" t="s">
        <v>232</v>
      </c>
      <c r="B1577">
        <v>1978</v>
      </c>
      <c r="C1577" t="s">
        <v>816</v>
      </c>
      <c r="D1577" t="s">
        <v>817</v>
      </c>
      <c r="E1577" t="s">
        <v>231</v>
      </c>
      <c r="F1577" t="s">
        <v>229</v>
      </c>
      <c r="G1577">
        <v>36.808788999999997</v>
      </c>
      <c r="H1577">
        <v>-121.93911199999999</v>
      </c>
      <c r="I1577" t="s">
        <v>769</v>
      </c>
      <c r="J1577" t="s">
        <v>14</v>
      </c>
      <c r="K1577" t="s">
        <v>41</v>
      </c>
      <c r="L1577" t="s">
        <v>3</v>
      </c>
      <c r="M1577" t="s">
        <v>727</v>
      </c>
      <c r="N1577" t="s">
        <v>85</v>
      </c>
      <c r="O1577" s="6" t="s">
        <v>228</v>
      </c>
      <c r="P1577" t="s">
        <v>70</v>
      </c>
      <c r="Q1577">
        <v>14</v>
      </c>
      <c r="R1577" t="s">
        <v>213</v>
      </c>
      <c r="S1577" s="2" t="s">
        <v>9</v>
      </c>
      <c r="T1577" s="2">
        <v>250</v>
      </c>
      <c r="U1577" t="s">
        <v>28</v>
      </c>
      <c r="V1577" t="s">
        <v>28</v>
      </c>
      <c r="W1577">
        <v>17</v>
      </c>
      <c r="X1577">
        <v>0.45</v>
      </c>
      <c r="Y1577">
        <f t="shared" si="32"/>
        <v>0</v>
      </c>
      <c r="AA1577">
        <v>0.45</v>
      </c>
      <c r="AB1577">
        <v>0.45</v>
      </c>
    </row>
    <row r="1578" spans="1:28" x14ac:dyDescent="0.2">
      <c r="A1578" t="s">
        <v>232</v>
      </c>
      <c r="B1578">
        <v>1978</v>
      </c>
      <c r="C1578" t="s">
        <v>816</v>
      </c>
      <c r="D1578" t="s">
        <v>817</v>
      </c>
      <c r="E1578" t="s">
        <v>231</v>
      </c>
      <c r="F1578" t="s">
        <v>229</v>
      </c>
      <c r="G1578">
        <v>36.808788999999997</v>
      </c>
      <c r="H1578">
        <v>-121.93911199999999</v>
      </c>
      <c r="I1578" t="s">
        <v>769</v>
      </c>
      <c r="J1578" t="s">
        <v>14</v>
      </c>
      <c r="K1578" t="s">
        <v>41</v>
      </c>
      <c r="L1578" t="s">
        <v>3</v>
      </c>
      <c r="M1578" t="s">
        <v>727</v>
      </c>
      <c r="N1578" t="s">
        <v>85</v>
      </c>
      <c r="O1578" s="6" t="s">
        <v>228</v>
      </c>
      <c r="P1578" t="s">
        <v>70</v>
      </c>
      <c r="Q1578">
        <v>14</v>
      </c>
      <c r="R1578" t="s">
        <v>213</v>
      </c>
      <c r="S1578" s="2" t="s">
        <v>27</v>
      </c>
      <c r="T1578" s="2">
        <v>250</v>
      </c>
      <c r="U1578" t="s">
        <v>28</v>
      </c>
      <c r="V1578" t="s">
        <v>28</v>
      </c>
      <c r="W1578">
        <v>20</v>
      </c>
      <c r="X1578">
        <v>0.32</v>
      </c>
      <c r="Y1578">
        <f t="shared" si="32"/>
        <v>0</v>
      </c>
      <c r="AA1578">
        <v>0.32</v>
      </c>
      <c r="AB1578">
        <v>0.32</v>
      </c>
    </row>
    <row r="1579" spans="1:28" x14ac:dyDescent="0.2">
      <c r="A1579" t="s">
        <v>236</v>
      </c>
      <c r="B1579">
        <v>2018</v>
      </c>
      <c r="C1579" t="s">
        <v>816</v>
      </c>
      <c r="D1579" t="s">
        <v>817</v>
      </c>
      <c r="E1579" t="s">
        <v>31</v>
      </c>
      <c r="F1579" t="s">
        <v>235</v>
      </c>
      <c r="G1579">
        <v>50.156798999999999</v>
      </c>
      <c r="H1579">
        <v>-5.0178229999999999</v>
      </c>
      <c r="I1579" t="s">
        <v>772</v>
      </c>
      <c r="J1579" t="s">
        <v>7</v>
      </c>
      <c r="K1579" t="s">
        <v>144</v>
      </c>
      <c r="L1579" t="s">
        <v>144</v>
      </c>
      <c r="M1579" t="s">
        <v>637</v>
      </c>
      <c r="N1579" t="s">
        <v>86</v>
      </c>
      <c r="O1579" s="6" t="s">
        <v>233</v>
      </c>
      <c r="P1579" t="s">
        <v>234</v>
      </c>
      <c r="Q1579">
        <f>1/24</f>
        <v>4.1666666666666664E-2</v>
      </c>
      <c r="R1579" t="s">
        <v>213</v>
      </c>
      <c r="S1579" s="2" t="s">
        <v>7</v>
      </c>
      <c r="T1579" s="2">
        <v>5</v>
      </c>
      <c r="U1579" t="s">
        <v>28</v>
      </c>
      <c r="V1579" t="s">
        <v>28</v>
      </c>
      <c r="W1579">
        <v>8</v>
      </c>
      <c r="X1579">
        <v>1</v>
      </c>
      <c r="Y1579" s="6">
        <f t="shared" ref="Y1579:Y1592" si="33">Z1579*SQRT(T1579)</f>
        <v>0</v>
      </c>
      <c r="Z1579">
        <v>0</v>
      </c>
      <c r="AA1579" s="6"/>
      <c r="AB1579" s="6"/>
    </row>
    <row r="1580" spans="1:28" x14ac:dyDescent="0.2">
      <c r="A1580" t="s">
        <v>236</v>
      </c>
      <c r="B1580">
        <v>2018</v>
      </c>
      <c r="C1580" t="s">
        <v>816</v>
      </c>
      <c r="D1580" t="s">
        <v>817</v>
      </c>
      <c r="E1580" t="s">
        <v>121</v>
      </c>
      <c r="F1580" t="s">
        <v>235</v>
      </c>
      <c r="G1580">
        <v>50.156798999999999</v>
      </c>
      <c r="H1580">
        <v>-5.0178229999999999</v>
      </c>
      <c r="I1580" t="s">
        <v>772</v>
      </c>
      <c r="J1580" t="s">
        <v>7</v>
      </c>
      <c r="K1580" t="s">
        <v>144</v>
      </c>
      <c r="L1580" t="s">
        <v>144</v>
      </c>
      <c r="M1580" t="s">
        <v>637</v>
      </c>
      <c r="N1580" t="s">
        <v>86</v>
      </c>
      <c r="O1580" s="6" t="s">
        <v>233</v>
      </c>
      <c r="P1580" t="s">
        <v>234</v>
      </c>
      <c r="Q1580">
        <f t="shared" ref="Q1580:Q1600" si="34">1/24</f>
        <v>4.1666666666666664E-2</v>
      </c>
      <c r="R1580" t="s">
        <v>213</v>
      </c>
      <c r="S1580" s="2" t="s">
        <v>7</v>
      </c>
      <c r="T1580" s="2">
        <v>5</v>
      </c>
      <c r="U1580" t="s">
        <v>28</v>
      </c>
      <c r="V1580" t="s">
        <v>28</v>
      </c>
      <c r="W1580">
        <v>8</v>
      </c>
      <c r="X1580">
        <v>0.98</v>
      </c>
      <c r="Y1580" s="6">
        <f t="shared" si="33"/>
        <v>0</v>
      </c>
      <c r="Z1580">
        <v>0</v>
      </c>
      <c r="AA1580" s="6"/>
      <c r="AB1580" s="6"/>
    </row>
    <row r="1581" spans="1:28" x14ac:dyDescent="0.2">
      <c r="A1581" t="s">
        <v>236</v>
      </c>
      <c r="B1581">
        <v>2018</v>
      </c>
      <c r="C1581" t="s">
        <v>816</v>
      </c>
      <c r="D1581" t="s">
        <v>817</v>
      </c>
      <c r="E1581" t="s">
        <v>31</v>
      </c>
      <c r="F1581" t="s">
        <v>235</v>
      </c>
      <c r="G1581">
        <v>50.156798999999999</v>
      </c>
      <c r="H1581">
        <v>-5.0178229999999999</v>
      </c>
      <c r="I1581" t="s">
        <v>772</v>
      </c>
      <c r="J1581" t="s">
        <v>14</v>
      </c>
      <c r="K1581" t="s">
        <v>144</v>
      </c>
      <c r="L1581" t="s">
        <v>144</v>
      </c>
      <c r="M1581" t="s">
        <v>637</v>
      </c>
      <c r="N1581" t="s">
        <v>86</v>
      </c>
      <c r="O1581" s="6" t="s">
        <v>233</v>
      </c>
      <c r="P1581" t="s">
        <v>234</v>
      </c>
      <c r="Q1581">
        <f t="shared" si="34"/>
        <v>4.1666666666666664E-2</v>
      </c>
      <c r="R1581" t="s">
        <v>213</v>
      </c>
      <c r="S1581" s="2" t="s">
        <v>9</v>
      </c>
      <c r="T1581" s="2">
        <v>5</v>
      </c>
      <c r="U1581" t="s">
        <v>28</v>
      </c>
      <c r="V1581" t="s">
        <v>28</v>
      </c>
      <c r="W1581">
        <v>12</v>
      </c>
      <c r="X1581">
        <v>2.11</v>
      </c>
      <c r="Y1581" s="6">
        <f t="shared" si="33"/>
        <v>1.2521980673998825</v>
      </c>
      <c r="Z1581">
        <f>2.67-X1581</f>
        <v>0.56000000000000005</v>
      </c>
      <c r="AA1581" s="6"/>
      <c r="AB1581" s="6"/>
    </row>
    <row r="1582" spans="1:28" x14ac:dyDescent="0.2">
      <c r="A1582" t="s">
        <v>236</v>
      </c>
      <c r="B1582">
        <v>2018</v>
      </c>
      <c r="C1582" t="s">
        <v>816</v>
      </c>
      <c r="D1582" t="s">
        <v>817</v>
      </c>
      <c r="E1582" t="s">
        <v>121</v>
      </c>
      <c r="F1582" t="s">
        <v>235</v>
      </c>
      <c r="G1582">
        <v>50.156798999999999</v>
      </c>
      <c r="H1582">
        <v>-5.0178229999999999</v>
      </c>
      <c r="I1582" t="s">
        <v>772</v>
      </c>
      <c r="J1582" t="s">
        <v>14</v>
      </c>
      <c r="K1582" t="s">
        <v>144</v>
      </c>
      <c r="L1582" t="s">
        <v>144</v>
      </c>
      <c r="M1582" t="s">
        <v>637</v>
      </c>
      <c r="N1582" t="s">
        <v>86</v>
      </c>
      <c r="O1582" s="6" t="s">
        <v>233</v>
      </c>
      <c r="P1582" t="s">
        <v>234</v>
      </c>
      <c r="Q1582">
        <f t="shared" si="34"/>
        <v>4.1666666666666664E-2</v>
      </c>
      <c r="R1582" t="s">
        <v>213</v>
      </c>
      <c r="S1582" s="2" t="s">
        <v>9</v>
      </c>
      <c r="T1582" s="2">
        <v>5</v>
      </c>
      <c r="U1582" t="s">
        <v>28</v>
      </c>
      <c r="V1582" t="s">
        <v>28</v>
      </c>
      <c r="W1582">
        <v>12</v>
      </c>
      <c r="X1582">
        <v>1.88</v>
      </c>
      <c r="Y1582" s="6">
        <f t="shared" si="33"/>
        <v>0.67082039324993759</v>
      </c>
      <c r="Z1582">
        <f>2.18-X1582</f>
        <v>0.30000000000000027</v>
      </c>
      <c r="AA1582" s="6"/>
      <c r="AB1582" s="6"/>
    </row>
    <row r="1583" spans="1:28" x14ac:dyDescent="0.2">
      <c r="A1583" t="s">
        <v>236</v>
      </c>
      <c r="B1583">
        <v>2018</v>
      </c>
      <c r="C1583" t="s">
        <v>816</v>
      </c>
      <c r="D1583" t="s">
        <v>817</v>
      </c>
      <c r="E1583" t="s">
        <v>31</v>
      </c>
      <c r="F1583" t="s">
        <v>235</v>
      </c>
      <c r="G1583">
        <v>50.156798999999999</v>
      </c>
      <c r="H1583">
        <v>-5.0178229999999999</v>
      </c>
      <c r="I1583" t="s">
        <v>772</v>
      </c>
      <c r="J1583" t="s">
        <v>14</v>
      </c>
      <c r="K1583" t="s">
        <v>144</v>
      </c>
      <c r="L1583" t="s">
        <v>144</v>
      </c>
      <c r="M1583" t="s">
        <v>637</v>
      </c>
      <c r="N1583" t="s">
        <v>86</v>
      </c>
      <c r="O1583" s="6" t="s">
        <v>233</v>
      </c>
      <c r="P1583" t="s">
        <v>234</v>
      </c>
      <c r="Q1583">
        <f t="shared" si="34"/>
        <v>4.1666666666666664E-2</v>
      </c>
      <c r="R1583" t="s">
        <v>213</v>
      </c>
      <c r="S1583" t="s">
        <v>27</v>
      </c>
      <c r="T1583" s="2">
        <v>5</v>
      </c>
      <c r="U1583" t="s">
        <v>28</v>
      </c>
      <c r="V1583" t="s">
        <v>28</v>
      </c>
      <c r="W1583">
        <v>16</v>
      </c>
      <c r="X1583">
        <v>1.88</v>
      </c>
      <c r="Y1583" s="6">
        <f t="shared" si="33"/>
        <v>0.44721359549995837</v>
      </c>
      <c r="Z1583">
        <f>2.08-X1583</f>
        <v>0.20000000000000018</v>
      </c>
      <c r="AA1583" s="6"/>
      <c r="AB1583" s="6"/>
    </row>
    <row r="1584" spans="1:28" x14ac:dyDescent="0.2">
      <c r="A1584" t="s">
        <v>236</v>
      </c>
      <c r="B1584">
        <v>2018</v>
      </c>
      <c r="C1584" t="s">
        <v>816</v>
      </c>
      <c r="D1584" t="s">
        <v>817</v>
      </c>
      <c r="E1584" t="s">
        <v>121</v>
      </c>
      <c r="F1584" t="s">
        <v>235</v>
      </c>
      <c r="G1584">
        <v>50.156798999999999</v>
      </c>
      <c r="H1584">
        <v>-5.0178229999999999</v>
      </c>
      <c r="I1584" t="s">
        <v>772</v>
      </c>
      <c r="J1584" t="s">
        <v>14</v>
      </c>
      <c r="K1584" t="s">
        <v>144</v>
      </c>
      <c r="L1584" t="s">
        <v>144</v>
      </c>
      <c r="M1584" t="s">
        <v>637</v>
      </c>
      <c r="N1584" t="s">
        <v>86</v>
      </c>
      <c r="O1584" s="6" t="s">
        <v>233</v>
      </c>
      <c r="P1584" t="s">
        <v>234</v>
      </c>
      <c r="Q1584">
        <f t="shared" si="34"/>
        <v>4.1666666666666664E-2</v>
      </c>
      <c r="R1584" t="s">
        <v>213</v>
      </c>
      <c r="S1584" s="2" t="s">
        <v>27</v>
      </c>
      <c r="T1584" s="2">
        <v>5</v>
      </c>
      <c r="U1584" t="s">
        <v>28</v>
      </c>
      <c r="V1584" t="s">
        <v>28</v>
      </c>
      <c r="W1584">
        <v>16</v>
      </c>
      <c r="X1584">
        <v>3.11</v>
      </c>
      <c r="Y1584" s="6">
        <f t="shared" si="33"/>
        <v>0.84970583144992085</v>
      </c>
      <c r="Z1584">
        <f>3.49-X1584</f>
        <v>0.38000000000000034</v>
      </c>
      <c r="AA1584" s="6"/>
      <c r="AB1584" s="6"/>
    </row>
    <row r="1585" spans="1:28" x14ac:dyDescent="0.2">
      <c r="A1585" t="s">
        <v>236</v>
      </c>
      <c r="B1585">
        <v>2018</v>
      </c>
      <c r="C1585" t="s">
        <v>816</v>
      </c>
      <c r="D1585" t="s">
        <v>817</v>
      </c>
      <c r="E1585" t="s">
        <v>31</v>
      </c>
      <c r="F1585" t="s">
        <v>235</v>
      </c>
      <c r="G1585">
        <v>50.156798999999999</v>
      </c>
      <c r="H1585">
        <v>-5.0178229999999999</v>
      </c>
      <c r="I1585" t="s">
        <v>772</v>
      </c>
      <c r="J1585" t="s">
        <v>14</v>
      </c>
      <c r="K1585" t="s">
        <v>144</v>
      </c>
      <c r="L1585" t="s">
        <v>144</v>
      </c>
      <c r="M1585" t="s">
        <v>637</v>
      </c>
      <c r="N1585" t="s">
        <v>86</v>
      </c>
      <c r="O1585" s="6" t="s">
        <v>233</v>
      </c>
      <c r="P1585" t="s">
        <v>234</v>
      </c>
      <c r="Q1585">
        <f t="shared" si="34"/>
        <v>4.1666666666666664E-2</v>
      </c>
      <c r="R1585" t="s">
        <v>213</v>
      </c>
      <c r="S1585" s="2" t="s">
        <v>13</v>
      </c>
      <c r="T1585" s="2">
        <v>5</v>
      </c>
      <c r="U1585" t="s">
        <v>28</v>
      </c>
      <c r="V1585" t="s">
        <v>28</v>
      </c>
      <c r="W1585">
        <v>20</v>
      </c>
      <c r="X1585">
        <v>4.29</v>
      </c>
      <c r="Y1585" s="6">
        <f t="shared" si="33"/>
        <v>1.9453791404248173</v>
      </c>
      <c r="Z1585">
        <f>5.16-X1585</f>
        <v>0.87000000000000011</v>
      </c>
      <c r="AA1585" s="6"/>
      <c r="AB1585" s="6"/>
    </row>
    <row r="1586" spans="1:28" x14ac:dyDescent="0.2">
      <c r="A1586" t="s">
        <v>236</v>
      </c>
      <c r="B1586">
        <v>2018</v>
      </c>
      <c r="C1586" t="s">
        <v>816</v>
      </c>
      <c r="D1586" t="s">
        <v>817</v>
      </c>
      <c r="E1586" t="s">
        <v>121</v>
      </c>
      <c r="F1586" t="s">
        <v>235</v>
      </c>
      <c r="G1586">
        <v>50.156798999999999</v>
      </c>
      <c r="H1586">
        <v>-5.0178229999999999</v>
      </c>
      <c r="I1586" t="s">
        <v>772</v>
      </c>
      <c r="J1586" t="s">
        <v>14</v>
      </c>
      <c r="K1586" t="s">
        <v>144</v>
      </c>
      <c r="L1586" t="s">
        <v>144</v>
      </c>
      <c r="M1586" t="s">
        <v>637</v>
      </c>
      <c r="N1586" t="s">
        <v>86</v>
      </c>
      <c r="O1586" s="6" t="s">
        <v>233</v>
      </c>
      <c r="P1586" t="s">
        <v>234</v>
      </c>
      <c r="Q1586">
        <f t="shared" si="34"/>
        <v>4.1666666666666664E-2</v>
      </c>
      <c r="R1586" t="s">
        <v>213</v>
      </c>
      <c r="S1586" s="2" t="s">
        <v>13</v>
      </c>
      <c r="T1586" s="2">
        <v>5</v>
      </c>
      <c r="U1586" t="s">
        <v>28</v>
      </c>
      <c r="V1586" t="s">
        <v>28</v>
      </c>
      <c r="W1586">
        <v>20</v>
      </c>
      <c r="X1586">
        <v>5.88</v>
      </c>
      <c r="Y1586" s="6">
        <f t="shared" si="33"/>
        <v>1.0509519494249007</v>
      </c>
      <c r="Z1586">
        <f>6.35-X1586</f>
        <v>0.46999999999999975</v>
      </c>
      <c r="AA1586" s="6"/>
      <c r="AB1586" s="6"/>
    </row>
    <row r="1587" spans="1:28" x14ac:dyDescent="0.2">
      <c r="A1587" t="s">
        <v>236</v>
      </c>
      <c r="B1587">
        <v>2018</v>
      </c>
      <c r="C1587" t="s">
        <v>816</v>
      </c>
      <c r="D1587" t="s">
        <v>817</v>
      </c>
      <c r="E1587" t="s">
        <v>31</v>
      </c>
      <c r="F1587" t="s">
        <v>235</v>
      </c>
      <c r="G1587">
        <v>50.156798999999999</v>
      </c>
      <c r="H1587">
        <v>-5.0178229999999999</v>
      </c>
      <c r="I1587" t="s">
        <v>772</v>
      </c>
      <c r="J1587" t="s">
        <v>14</v>
      </c>
      <c r="K1587" t="s">
        <v>144</v>
      </c>
      <c r="L1587" t="s">
        <v>144</v>
      </c>
      <c r="M1587" t="s">
        <v>637</v>
      </c>
      <c r="N1587" t="s">
        <v>86</v>
      </c>
      <c r="O1587" s="6" t="s">
        <v>233</v>
      </c>
      <c r="P1587" t="s">
        <v>234</v>
      </c>
      <c r="Q1587">
        <f t="shared" si="34"/>
        <v>4.1666666666666664E-2</v>
      </c>
      <c r="R1587" t="s">
        <v>213</v>
      </c>
      <c r="S1587" s="2" t="s">
        <v>15</v>
      </c>
      <c r="T1587" s="2">
        <v>5</v>
      </c>
      <c r="U1587" t="s">
        <v>28</v>
      </c>
      <c r="V1587" t="s">
        <v>28</v>
      </c>
      <c r="W1587">
        <v>24</v>
      </c>
      <c r="X1587">
        <v>13.03</v>
      </c>
      <c r="Y1587" s="6">
        <f t="shared" si="33"/>
        <v>14.579163213298633</v>
      </c>
      <c r="Z1587">
        <f>19.55-X1587</f>
        <v>6.5200000000000014</v>
      </c>
      <c r="AA1587" s="6"/>
      <c r="AB1587" s="6"/>
    </row>
    <row r="1588" spans="1:28" x14ac:dyDescent="0.2">
      <c r="A1588" t="s">
        <v>236</v>
      </c>
      <c r="B1588">
        <v>2018</v>
      </c>
      <c r="C1588" t="s">
        <v>816</v>
      </c>
      <c r="D1588" t="s">
        <v>817</v>
      </c>
      <c r="E1588" t="s">
        <v>121</v>
      </c>
      <c r="F1588" t="s">
        <v>235</v>
      </c>
      <c r="G1588">
        <v>50.156798999999999</v>
      </c>
      <c r="H1588">
        <v>-5.0178229999999999</v>
      </c>
      <c r="I1588" t="s">
        <v>772</v>
      </c>
      <c r="J1588" t="s">
        <v>14</v>
      </c>
      <c r="K1588" t="s">
        <v>144</v>
      </c>
      <c r="L1588" t="s">
        <v>144</v>
      </c>
      <c r="M1588" t="s">
        <v>637</v>
      </c>
      <c r="N1588" t="s">
        <v>86</v>
      </c>
      <c r="O1588" s="6" t="s">
        <v>233</v>
      </c>
      <c r="P1588" t="s">
        <v>234</v>
      </c>
      <c r="Q1588">
        <f t="shared" si="34"/>
        <v>4.1666666666666664E-2</v>
      </c>
      <c r="R1588" t="s">
        <v>213</v>
      </c>
      <c r="S1588" s="2" t="s">
        <v>15</v>
      </c>
      <c r="T1588" s="2">
        <v>5</v>
      </c>
      <c r="U1588" t="s">
        <v>28</v>
      </c>
      <c r="V1588" t="s">
        <v>28</v>
      </c>
      <c r="W1588">
        <v>24</v>
      </c>
      <c r="X1588">
        <v>14.57</v>
      </c>
      <c r="Y1588" s="6">
        <f t="shared" si="33"/>
        <v>5.2323990673495082</v>
      </c>
      <c r="Z1588">
        <f>16.91-X1588</f>
        <v>2.34</v>
      </c>
      <c r="AA1588" s="6"/>
      <c r="AB1588" s="6"/>
    </row>
    <row r="1589" spans="1:28" x14ac:dyDescent="0.2">
      <c r="A1589" t="s">
        <v>236</v>
      </c>
      <c r="B1589">
        <v>2018</v>
      </c>
      <c r="C1589" t="s">
        <v>816</v>
      </c>
      <c r="D1589" t="s">
        <v>817</v>
      </c>
      <c r="E1589" t="s">
        <v>31</v>
      </c>
      <c r="F1589" t="s">
        <v>235</v>
      </c>
      <c r="G1589">
        <v>50.156798999999999</v>
      </c>
      <c r="H1589">
        <v>-5.0178229999999999</v>
      </c>
      <c r="I1589" t="s">
        <v>772</v>
      </c>
      <c r="J1589" t="s">
        <v>14</v>
      </c>
      <c r="K1589" t="s">
        <v>144</v>
      </c>
      <c r="L1589" t="s">
        <v>144</v>
      </c>
      <c r="M1589" t="s">
        <v>637</v>
      </c>
      <c r="N1589" t="s">
        <v>86</v>
      </c>
      <c r="O1589" s="6" t="s">
        <v>233</v>
      </c>
      <c r="P1589" t="s">
        <v>234</v>
      </c>
      <c r="Q1589">
        <f t="shared" si="34"/>
        <v>4.1666666666666664E-2</v>
      </c>
      <c r="R1589" t="s">
        <v>213</v>
      </c>
      <c r="S1589" s="2" t="s">
        <v>37</v>
      </c>
      <c r="T1589" s="2">
        <v>5</v>
      </c>
      <c r="U1589" t="s">
        <v>28</v>
      </c>
      <c r="V1589" t="s">
        <v>28</v>
      </c>
      <c r="W1589">
        <v>28</v>
      </c>
      <c r="X1589">
        <v>1.1000000000000001</v>
      </c>
      <c r="Y1589" s="6">
        <f t="shared" si="33"/>
        <v>0.53665631459994956</v>
      </c>
      <c r="Z1589">
        <f>1.34-X1589</f>
        <v>0.24</v>
      </c>
      <c r="AA1589" s="6"/>
      <c r="AB1589" s="6"/>
    </row>
    <row r="1590" spans="1:28" x14ac:dyDescent="0.2">
      <c r="A1590" t="s">
        <v>236</v>
      </c>
      <c r="B1590">
        <v>2018</v>
      </c>
      <c r="C1590" t="s">
        <v>816</v>
      </c>
      <c r="D1590" t="s">
        <v>817</v>
      </c>
      <c r="E1590" t="s">
        <v>121</v>
      </c>
      <c r="F1590" t="s">
        <v>235</v>
      </c>
      <c r="G1590">
        <v>50.156798999999999</v>
      </c>
      <c r="H1590">
        <v>-5.0178229999999999</v>
      </c>
      <c r="I1590" t="s">
        <v>772</v>
      </c>
      <c r="J1590" t="s">
        <v>14</v>
      </c>
      <c r="K1590" t="s">
        <v>144</v>
      </c>
      <c r="L1590" t="s">
        <v>144</v>
      </c>
      <c r="M1590" t="s">
        <v>637</v>
      </c>
      <c r="N1590" t="s">
        <v>86</v>
      </c>
      <c r="O1590" s="6" t="s">
        <v>233</v>
      </c>
      <c r="P1590" t="s">
        <v>234</v>
      </c>
      <c r="Q1590">
        <f t="shared" si="34"/>
        <v>4.1666666666666664E-2</v>
      </c>
      <c r="R1590" t="s">
        <v>213</v>
      </c>
      <c r="S1590" s="2" t="s">
        <v>37</v>
      </c>
      <c r="T1590" s="2">
        <v>5</v>
      </c>
      <c r="U1590" t="s">
        <v>28</v>
      </c>
      <c r="V1590" t="s">
        <v>28</v>
      </c>
      <c r="W1590">
        <v>28</v>
      </c>
      <c r="X1590">
        <v>3.24</v>
      </c>
      <c r="Y1590" s="6">
        <f t="shared" si="33"/>
        <v>0.51429563482495166</v>
      </c>
      <c r="Z1590">
        <f>3.47-X1590</f>
        <v>0.22999999999999998</v>
      </c>
      <c r="AA1590" s="6"/>
      <c r="AB1590" s="6"/>
    </row>
    <row r="1591" spans="1:28" x14ac:dyDescent="0.2">
      <c r="A1591" t="s">
        <v>236</v>
      </c>
      <c r="B1591">
        <v>2018</v>
      </c>
      <c r="C1591" t="s">
        <v>816</v>
      </c>
      <c r="D1591" t="s">
        <v>817</v>
      </c>
      <c r="E1591" t="s">
        <v>31</v>
      </c>
      <c r="F1591" t="s">
        <v>235</v>
      </c>
      <c r="G1591">
        <v>50.156798999999999</v>
      </c>
      <c r="H1591">
        <v>-5.0178229999999999</v>
      </c>
      <c r="I1591" t="s">
        <v>772</v>
      </c>
      <c r="J1591" t="s">
        <v>14</v>
      </c>
      <c r="K1591" t="s">
        <v>144</v>
      </c>
      <c r="L1591" t="s">
        <v>144</v>
      </c>
      <c r="M1591" t="s">
        <v>637</v>
      </c>
      <c r="N1591" t="s">
        <v>86</v>
      </c>
      <c r="O1591" s="6" t="s">
        <v>233</v>
      </c>
      <c r="P1591" t="s">
        <v>234</v>
      </c>
      <c r="Q1591">
        <f t="shared" si="34"/>
        <v>4.1666666666666664E-2</v>
      </c>
      <c r="R1591" t="s">
        <v>213</v>
      </c>
      <c r="S1591" s="2" t="s">
        <v>116</v>
      </c>
      <c r="T1591" s="2">
        <v>5</v>
      </c>
      <c r="U1591" t="s">
        <v>28</v>
      </c>
      <c r="V1591" t="s">
        <v>28</v>
      </c>
      <c r="W1591">
        <v>32</v>
      </c>
      <c r="X1591">
        <v>0.64</v>
      </c>
      <c r="Y1591" s="6">
        <f t="shared" si="33"/>
        <v>0.40249223594996203</v>
      </c>
      <c r="Z1591">
        <f>0.82-X1591</f>
        <v>0.17999999999999994</v>
      </c>
      <c r="AA1591" s="6"/>
      <c r="AB1591" s="6"/>
    </row>
    <row r="1592" spans="1:28" x14ac:dyDescent="0.2">
      <c r="A1592" t="s">
        <v>236</v>
      </c>
      <c r="B1592">
        <v>2018</v>
      </c>
      <c r="C1592" t="s">
        <v>816</v>
      </c>
      <c r="D1592" t="s">
        <v>817</v>
      </c>
      <c r="E1592" t="s">
        <v>121</v>
      </c>
      <c r="F1592" t="s">
        <v>235</v>
      </c>
      <c r="G1592">
        <v>50.156798999999999</v>
      </c>
      <c r="H1592">
        <v>-5.0178229999999999</v>
      </c>
      <c r="I1592" t="s">
        <v>772</v>
      </c>
      <c r="J1592" t="s">
        <v>14</v>
      </c>
      <c r="K1592" t="s">
        <v>144</v>
      </c>
      <c r="L1592" t="s">
        <v>144</v>
      </c>
      <c r="M1592" t="s">
        <v>637</v>
      </c>
      <c r="N1592" t="s">
        <v>86</v>
      </c>
      <c r="O1592" s="6" t="s">
        <v>233</v>
      </c>
      <c r="P1592" t="s">
        <v>234</v>
      </c>
      <c r="Q1592">
        <f t="shared" si="34"/>
        <v>4.1666666666666664E-2</v>
      </c>
      <c r="R1592" t="s">
        <v>213</v>
      </c>
      <c r="S1592" s="2" t="s">
        <v>116</v>
      </c>
      <c r="T1592" s="2">
        <v>5</v>
      </c>
      <c r="U1592" t="s">
        <v>28</v>
      </c>
      <c r="V1592" t="s">
        <v>28</v>
      </c>
      <c r="W1592">
        <v>32</v>
      </c>
      <c r="X1592">
        <v>1.98</v>
      </c>
      <c r="Y1592" s="6">
        <f t="shared" si="33"/>
        <v>2.8174456516497357</v>
      </c>
      <c r="Z1592">
        <f>3.24-X1592</f>
        <v>1.2600000000000002</v>
      </c>
      <c r="AA1592" s="6"/>
      <c r="AB1592" s="6"/>
    </row>
    <row r="1593" spans="1:28" x14ac:dyDescent="0.2">
      <c r="A1593" t="s">
        <v>236</v>
      </c>
      <c r="B1593">
        <v>2018</v>
      </c>
      <c r="C1593" t="s">
        <v>816</v>
      </c>
      <c r="D1593" t="s">
        <v>817</v>
      </c>
      <c r="E1593" t="s">
        <v>31</v>
      </c>
      <c r="F1593" t="s">
        <v>235</v>
      </c>
      <c r="G1593">
        <v>50.156798999999999</v>
      </c>
      <c r="H1593">
        <v>-5.0178229999999999</v>
      </c>
      <c r="I1593" t="s">
        <v>765</v>
      </c>
      <c r="J1593" t="s">
        <v>7</v>
      </c>
      <c r="K1593" t="s">
        <v>144</v>
      </c>
      <c r="L1593" t="s">
        <v>144</v>
      </c>
      <c r="M1593" t="s">
        <v>726</v>
      </c>
      <c r="N1593" t="s">
        <v>85</v>
      </c>
      <c r="O1593" s="6" t="s">
        <v>84</v>
      </c>
      <c r="Q1593">
        <f t="shared" si="34"/>
        <v>4.1666666666666664E-2</v>
      </c>
      <c r="R1593" t="s">
        <v>213</v>
      </c>
      <c r="S1593" s="2" t="s">
        <v>7</v>
      </c>
      <c r="T1593" s="2">
        <v>15</v>
      </c>
      <c r="U1593" t="s">
        <v>28</v>
      </c>
      <c r="V1593" t="s">
        <v>28</v>
      </c>
      <c r="W1593">
        <v>15</v>
      </c>
      <c r="X1593">
        <v>0.93223181344772166</v>
      </c>
      <c r="Y1593">
        <v>0.25900434800528349</v>
      </c>
      <c r="AA1593">
        <v>0.80115993718294631</v>
      </c>
      <c r="AB1593">
        <v>1.063303689712497</v>
      </c>
    </row>
    <row r="1594" spans="1:28" x14ac:dyDescent="0.2">
      <c r="A1594" t="s">
        <v>236</v>
      </c>
      <c r="B1594">
        <v>2018</v>
      </c>
      <c r="C1594" t="s">
        <v>816</v>
      </c>
      <c r="D1594" t="s">
        <v>817</v>
      </c>
      <c r="E1594" t="s">
        <v>31</v>
      </c>
      <c r="F1594" t="s">
        <v>235</v>
      </c>
      <c r="G1594">
        <v>50.156798999999999</v>
      </c>
      <c r="H1594">
        <v>-5.0178229999999999</v>
      </c>
      <c r="I1594" t="s">
        <v>765</v>
      </c>
      <c r="J1594" t="s">
        <v>14</v>
      </c>
      <c r="K1594" t="s">
        <v>144</v>
      </c>
      <c r="L1594" t="s">
        <v>144</v>
      </c>
      <c r="M1594" t="s">
        <v>726</v>
      </c>
      <c r="N1594" t="s">
        <v>85</v>
      </c>
      <c r="O1594" s="6" t="s">
        <v>84</v>
      </c>
      <c r="Q1594">
        <f t="shared" si="34"/>
        <v>4.1666666666666664E-2</v>
      </c>
      <c r="R1594" t="s">
        <v>213</v>
      </c>
      <c r="S1594" s="2" t="s">
        <v>15</v>
      </c>
      <c r="T1594" s="2">
        <v>5</v>
      </c>
      <c r="U1594" t="s">
        <v>28</v>
      </c>
      <c r="V1594" t="s">
        <v>28</v>
      </c>
      <c r="W1594">
        <v>24</v>
      </c>
      <c r="X1594">
        <v>0.9370862680718105</v>
      </c>
      <c r="Y1594">
        <v>2.1072110799712534E-2</v>
      </c>
      <c r="AA1594">
        <v>0.91861608797833527</v>
      </c>
      <c r="AB1594">
        <v>0.95555644816528573</v>
      </c>
    </row>
    <row r="1595" spans="1:28" x14ac:dyDescent="0.2">
      <c r="A1595" t="s">
        <v>236</v>
      </c>
      <c r="B1595">
        <v>2018</v>
      </c>
      <c r="C1595" t="s">
        <v>816</v>
      </c>
      <c r="D1595" t="s">
        <v>817</v>
      </c>
      <c r="E1595" t="s">
        <v>31</v>
      </c>
      <c r="F1595" t="s">
        <v>235</v>
      </c>
      <c r="G1595">
        <v>50.156798999999999</v>
      </c>
      <c r="H1595">
        <v>-5.0178229999999999</v>
      </c>
      <c r="I1595" t="s">
        <v>765</v>
      </c>
      <c r="J1595" t="s">
        <v>14</v>
      </c>
      <c r="K1595" t="s">
        <v>144</v>
      </c>
      <c r="L1595" t="s">
        <v>144</v>
      </c>
      <c r="M1595" t="s">
        <v>726</v>
      </c>
      <c r="N1595" t="s">
        <v>85</v>
      </c>
      <c r="O1595" s="6" t="s">
        <v>84</v>
      </c>
      <c r="Q1595">
        <f t="shared" si="34"/>
        <v>4.1666666666666664E-2</v>
      </c>
      <c r="R1595" t="s">
        <v>213</v>
      </c>
      <c r="S1595" s="2" t="s">
        <v>37</v>
      </c>
      <c r="T1595" s="2">
        <v>5</v>
      </c>
      <c r="U1595" t="s">
        <v>28</v>
      </c>
      <c r="V1595" t="s">
        <v>28</v>
      </c>
      <c r="W1595">
        <v>28</v>
      </c>
      <c r="X1595">
        <v>0.89299899380395065</v>
      </c>
      <c r="Y1595">
        <v>1.5000621185225663E-2</v>
      </c>
      <c r="AA1595">
        <v>0.87985061121244978</v>
      </c>
      <c r="AB1595">
        <v>0.90614737639545151</v>
      </c>
    </row>
    <row r="1596" spans="1:28" x14ac:dyDescent="0.2">
      <c r="A1596" t="s">
        <v>236</v>
      </c>
      <c r="B1596">
        <v>2018</v>
      </c>
      <c r="C1596" t="s">
        <v>816</v>
      </c>
      <c r="D1596" t="s">
        <v>817</v>
      </c>
      <c r="E1596" t="s">
        <v>31</v>
      </c>
      <c r="F1596" t="s">
        <v>235</v>
      </c>
      <c r="G1596">
        <v>50.156798999999999</v>
      </c>
      <c r="H1596">
        <v>-5.0178229999999999</v>
      </c>
      <c r="I1596" t="s">
        <v>765</v>
      </c>
      <c r="J1596" t="s">
        <v>14</v>
      </c>
      <c r="K1596" t="s">
        <v>144</v>
      </c>
      <c r="L1596" t="s">
        <v>144</v>
      </c>
      <c r="M1596" t="s">
        <v>726</v>
      </c>
      <c r="N1596" t="s">
        <v>85</v>
      </c>
      <c r="O1596" s="6" t="s">
        <v>84</v>
      </c>
      <c r="Q1596">
        <f t="shared" si="34"/>
        <v>4.1666666666666664E-2</v>
      </c>
      <c r="R1596" t="s">
        <v>213</v>
      </c>
      <c r="S1596" s="2" t="s">
        <v>116</v>
      </c>
      <c r="T1596" s="2">
        <v>5</v>
      </c>
      <c r="U1596" t="s">
        <v>28</v>
      </c>
      <c r="V1596" t="s">
        <v>28</v>
      </c>
      <c r="W1596">
        <v>32</v>
      </c>
      <c r="X1596">
        <v>0.60941058094582423</v>
      </c>
      <c r="Y1596">
        <v>0.34402077472408449</v>
      </c>
      <c r="AA1596">
        <v>0.30786861747354599</v>
      </c>
      <c r="AB1596">
        <v>0.91095254441810247</v>
      </c>
    </row>
    <row r="1597" spans="1:28" x14ac:dyDescent="0.2">
      <c r="A1597" t="s">
        <v>236</v>
      </c>
      <c r="B1597">
        <v>2018</v>
      </c>
      <c r="C1597" t="s">
        <v>816</v>
      </c>
      <c r="D1597" t="s">
        <v>817</v>
      </c>
      <c r="E1597" t="s">
        <v>121</v>
      </c>
      <c r="F1597" t="s">
        <v>235</v>
      </c>
      <c r="G1597">
        <v>50.156798999999999</v>
      </c>
      <c r="H1597">
        <v>-5.0178229999999999</v>
      </c>
      <c r="I1597" t="s">
        <v>765</v>
      </c>
      <c r="J1597" t="s">
        <v>7</v>
      </c>
      <c r="K1597" t="s">
        <v>144</v>
      </c>
      <c r="L1597" t="s">
        <v>144</v>
      </c>
      <c r="M1597" t="s">
        <v>726</v>
      </c>
      <c r="N1597" t="s">
        <v>85</v>
      </c>
      <c r="O1597" s="6" t="s">
        <v>84</v>
      </c>
      <c r="Q1597">
        <f t="shared" si="34"/>
        <v>4.1666666666666664E-2</v>
      </c>
      <c r="R1597" t="s">
        <v>213</v>
      </c>
      <c r="S1597" s="2" t="s">
        <v>7</v>
      </c>
      <c r="T1597" s="2">
        <v>15</v>
      </c>
      <c r="U1597" t="s">
        <v>28</v>
      </c>
      <c r="V1597" t="s">
        <v>28</v>
      </c>
      <c r="W1597">
        <v>15</v>
      </c>
      <c r="X1597">
        <v>1.0433445767651039</v>
      </c>
      <c r="Y1597">
        <v>2.9844512099486659E-2</v>
      </c>
      <c r="AA1597">
        <v>1.0282414473110506</v>
      </c>
      <c r="AB1597">
        <v>1.0584477062191573</v>
      </c>
    </row>
    <row r="1598" spans="1:28" x14ac:dyDescent="0.2">
      <c r="A1598" t="s">
        <v>236</v>
      </c>
      <c r="B1598">
        <v>2018</v>
      </c>
      <c r="C1598" t="s">
        <v>816</v>
      </c>
      <c r="D1598" t="s">
        <v>817</v>
      </c>
      <c r="E1598" t="s">
        <v>121</v>
      </c>
      <c r="F1598" t="s">
        <v>235</v>
      </c>
      <c r="G1598">
        <v>50.156798999999999</v>
      </c>
      <c r="H1598">
        <v>-5.0178229999999999</v>
      </c>
      <c r="I1598" t="s">
        <v>765</v>
      </c>
      <c r="J1598" t="s">
        <v>14</v>
      </c>
      <c r="K1598" t="s">
        <v>144</v>
      </c>
      <c r="L1598" t="s">
        <v>144</v>
      </c>
      <c r="M1598" t="s">
        <v>726</v>
      </c>
      <c r="N1598" t="s">
        <v>85</v>
      </c>
      <c r="O1598" s="6" t="s">
        <v>84</v>
      </c>
      <c r="Q1598">
        <f t="shared" si="34"/>
        <v>4.1666666666666664E-2</v>
      </c>
      <c r="R1598" t="s">
        <v>213</v>
      </c>
      <c r="S1598" s="2" t="s">
        <v>15</v>
      </c>
      <c r="T1598" s="2">
        <v>5</v>
      </c>
      <c r="U1598" t="s">
        <v>28</v>
      </c>
      <c r="V1598" t="s">
        <v>28</v>
      </c>
      <c r="W1598">
        <v>24</v>
      </c>
      <c r="X1598">
        <v>0.95449851999724644</v>
      </c>
      <c r="Y1598">
        <v>4.4554830348192812E-2</v>
      </c>
      <c r="AA1598">
        <v>0.91544520690548992</v>
      </c>
      <c r="AB1598">
        <v>0.99355183308900297</v>
      </c>
    </row>
    <row r="1599" spans="1:28" x14ac:dyDescent="0.2">
      <c r="A1599" t="s">
        <v>236</v>
      </c>
      <c r="B1599">
        <v>2018</v>
      </c>
      <c r="C1599" t="s">
        <v>816</v>
      </c>
      <c r="D1599" t="s">
        <v>817</v>
      </c>
      <c r="E1599" t="s">
        <v>121</v>
      </c>
      <c r="F1599" t="s">
        <v>235</v>
      </c>
      <c r="G1599">
        <v>50.156798999999999</v>
      </c>
      <c r="H1599">
        <v>-5.0178229999999999</v>
      </c>
      <c r="I1599" t="s">
        <v>765</v>
      </c>
      <c r="J1599" t="s">
        <v>14</v>
      </c>
      <c r="K1599" t="s">
        <v>144</v>
      </c>
      <c r="L1599" t="s">
        <v>144</v>
      </c>
      <c r="M1599" t="s">
        <v>726</v>
      </c>
      <c r="N1599" t="s">
        <v>85</v>
      </c>
      <c r="O1599" s="6" t="s">
        <v>84</v>
      </c>
      <c r="Q1599">
        <f t="shared" si="34"/>
        <v>4.1666666666666664E-2</v>
      </c>
      <c r="R1599" t="s">
        <v>213</v>
      </c>
      <c r="S1599" s="2" t="s">
        <v>37</v>
      </c>
      <c r="T1599" s="2">
        <v>5</v>
      </c>
      <c r="U1599" t="s">
        <v>28</v>
      </c>
      <c r="V1599" t="s">
        <v>28</v>
      </c>
      <c r="W1599">
        <v>28</v>
      </c>
      <c r="X1599">
        <v>0.95794038686583605</v>
      </c>
      <c r="Y1599">
        <v>1.5265756320222279E-2</v>
      </c>
      <c r="AA1599">
        <v>0.94455960735221178</v>
      </c>
      <c r="AB1599">
        <v>0.97132116637946031</v>
      </c>
    </row>
    <row r="1600" spans="1:28" x14ac:dyDescent="0.2">
      <c r="A1600" t="s">
        <v>236</v>
      </c>
      <c r="B1600">
        <v>2018</v>
      </c>
      <c r="C1600" t="s">
        <v>816</v>
      </c>
      <c r="D1600" t="s">
        <v>817</v>
      </c>
      <c r="E1600" t="s">
        <v>121</v>
      </c>
      <c r="F1600" t="s">
        <v>235</v>
      </c>
      <c r="G1600">
        <v>50.156798999999999</v>
      </c>
      <c r="H1600">
        <v>-5.0178229999999999</v>
      </c>
      <c r="I1600" t="s">
        <v>765</v>
      </c>
      <c r="J1600" t="s">
        <v>14</v>
      </c>
      <c r="K1600" t="s">
        <v>144</v>
      </c>
      <c r="L1600" t="s">
        <v>144</v>
      </c>
      <c r="M1600" t="s">
        <v>726</v>
      </c>
      <c r="N1600" t="s">
        <v>85</v>
      </c>
      <c r="O1600" s="6" t="s">
        <v>84</v>
      </c>
      <c r="Q1600">
        <f t="shared" si="34"/>
        <v>4.1666666666666664E-2</v>
      </c>
      <c r="R1600" t="s">
        <v>213</v>
      </c>
      <c r="S1600" s="2" t="s">
        <v>116</v>
      </c>
      <c r="T1600" s="2">
        <v>5</v>
      </c>
      <c r="U1600" t="s">
        <v>28</v>
      </c>
      <c r="V1600" t="s">
        <v>28</v>
      </c>
      <c r="W1600">
        <v>32</v>
      </c>
      <c r="X1600">
        <v>0.53128656983547873</v>
      </c>
      <c r="Y1600">
        <v>0.16421738018287588</v>
      </c>
      <c r="AA1600">
        <v>0.38734633455075407</v>
      </c>
      <c r="AB1600">
        <v>0.67522680512020339</v>
      </c>
    </row>
    <row r="1601" spans="1:28" x14ac:dyDescent="0.2">
      <c r="A1601" t="s">
        <v>237</v>
      </c>
      <c r="B1601">
        <v>1988</v>
      </c>
      <c r="C1601" t="s">
        <v>826</v>
      </c>
      <c r="D1601" t="s">
        <v>824</v>
      </c>
      <c r="E1601" t="s">
        <v>48</v>
      </c>
      <c r="F1601" t="s">
        <v>320</v>
      </c>
      <c r="G1601">
        <v>40.968463999999997</v>
      </c>
      <c r="H1601">
        <v>-73.155413999999993</v>
      </c>
      <c r="I1601" t="s">
        <v>771</v>
      </c>
      <c r="J1601" t="s">
        <v>7</v>
      </c>
      <c r="K1601" t="s">
        <v>3</v>
      </c>
      <c r="L1601" t="s">
        <v>3</v>
      </c>
      <c r="M1601" t="s">
        <v>727</v>
      </c>
      <c r="N1601" t="s">
        <v>86</v>
      </c>
      <c r="O1601" s="6" t="s">
        <v>42</v>
      </c>
      <c r="P1601" t="s">
        <v>758</v>
      </c>
      <c r="Q1601">
        <v>21</v>
      </c>
      <c r="R1601" t="s">
        <v>213</v>
      </c>
      <c r="S1601" s="2" t="s">
        <v>7</v>
      </c>
      <c r="T1601" s="2">
        <v>6</v>
      </c>
      <c r="U1601" t="s">
        <v>28</v>
      </c>
      <c r="V1601" t="s">
        <v>28</v>
      </c>
      <c r="W1601">
        <v>11</v>
      </c>
      <c r="X1601">
        <v>1.0669999999999999</v>
      </c>
      <c r="Y1601" s="6">
        <f>Z1601*SQRT(T1601)</f>
        <v>0.43355968447262261</v>
      </c>
      <c r="Z1601">
        <f>1.244-X1601</f>
        <v>0.17700000000000005</v>
      </c>
      <c r="AA1601" s="6"/>
      <c r="AB1601" s="6"/>
    </row>
    <row r="1602" spans="1:28" x14ac:dyDescent="0.2">
      <c r="A1602" t="s">
        <v>237</v>
      </c>
      <c r="B1602">
        <v>1988</v>
      </c>
      <c r="C1602" t="s">
        <v>826</v>
      </c>
      <c r="D1602" t="s">
        <v>824</v>
      </c>
      <c r="E1602" t="s">
        <v>48</v>
      </c>
      <c r="F1602" t="s">
        <v>320</v>
      </c>
      <c r="G1602">
        <v>40.968463999999997</v>
      </c>
      <c r="H1602">
        <v>-73.155413999999993</v>
      </c>
      <c r="I1602" t="s">
        <v>771</v>
      </c>
      <c r="J1602" t="s">
        <v>14</v>
      </c>
      <c r="K1602" t="s">
        <v>3</v>
      </c>
      <c r="L1602" t="s">
        <v>3</v>
      </c>
      <c r="M1602" t="s">
        <v>727</v>
      </c>
      <c r="N1602" t="s">
        <v>86</v>
      </c>
      <c r="O1602" s="6" t="s">
        <v>42</v>
      </c>
      <c r="P1602" t="s">
        <v>758</v>
      </c>
      <c r="Q1602">
        <v>21</v>
      </c>
      <c r="R1602" t="s">
        <v>213</v>
      </c>
      <c r="S1602" s="2" t="s">
        <v>9</v>
      </c>
      <c r="T1602" s="2">
        <v>6</v>
      </c>
      <c r="U1602" t="s">
        <v>28</v>
      </c>
      <c r="V1602" t="s">
        <v>28</v>
      </c>
      <c r="W1602">
        <v>14</v>
      </c>
      <c r="X1602">
        <v>1.0980000000000001</v>
      </c>
      <c r="Y1602" s="6">
        <f>Z1602*SQRT(T1602)</f>
        <v>0.17636326148038842</v>
      </c>
      <c r="Z1602">
        <f>1.17-X1602</f>
        <v>7.1999999999999842E-2</v>
      </c>
      <c r="AA1602" s="6"/>
      <c r="AB1602" s="6"/>
    </row>
    <row r="1603" spans="1:28" x14ac:dyDescent="0.2">
      <c r="A1603" t="s">
        <v>237</v>
      </c>
      <c r="B1603">
        <v>1988</v>
      </c>
      <c r="C1603" t="s">
        <v>826</v>
      </c>
      <c r="D1603" t="s">
        <v>824</v>
      </c>
      <c r="E1603" t="s">
        <v>48</v>
      </c>
      <c r="F1603" t="s">
        <v>320</v>
      </c>
      <c r="G1603">
        <v>40.968463999999997</v>
      </c>
      <c r="H1603">
        <v>-73.155413999999993</v>
      </c>
      <c r="I1603" t="s">
        <v>771</v>
      </c>
      <c r="J1603" t="s">
        <v>14</v>
      </c>
      <c r="K1603" t="s">
        <v>3</v>
      </c>
      <c r="L1603" t="s">
        <v>3</v>
      </c>
      <c r="M1603" t="s">
        <v>727</v>
      </c>
      <c r="N1603" t="s">
        <v>86</v>
      </c>
      <c r="O1603" s="6" t="s">
        <v>42</v>
      </c>
      <c r="P1603" t="s">
        <v>758</v>
      </c>
      <c r="Q1603">
        <v>21</v>
      </c>
      <c r="R1603" t="s">
        <v>213</v>
      </c>
      <c r="S1603" s="2" t="s">
        <v>27</v>
      </c>
      <c r="T1603" s="2">
        <v>6</v>
      </c>
      <c r="U1603" t="s">
        <v>28</v>
      </c>
      <c r="V1603" t="s">
        <v>28</v>
      </c>
      <c r="W1603">
        <v>17</v>
      </c>
      <c r="X1603">
        <v>0.58399999999999996</v>
      </c>
      <c r="Y1603" s="6">
        <f>Z1603*SQRT(T1603)</f>
        <v>0.16901479225203941</v>
      </c>
      <c r="Z1603">
        <f>0.653-X1603</f>
        <v>6.9000000000000061E-2</v>
      </c>
      <c r="AA1603" s="6"/>
      <c r="AB1603" s="6"/>
    </row>
    <row r="1604" spans="1:28" x14ac:dyDescent="0.2">
      <c r="A1604" t="s">
        <v>237</v>
      </c>
      <c r="B1604">
        <v>1988</v>
      </c>
      <c r="C1604" t="s">
        <v>826</v>
      </c>
      <c r="D1604" t="s">
        <v>824</v>
      </c>
      <c r="E1604" t="s">
        <v>48</v>
      </c>
      <c r="F1604" t="s">
        <v>320</v>
      </c>
      <c r="G1604">
        <v>40.968463999999997</v>
      </c>
      <c r="H1604">
        <v>-73.155413999999993</v>
      </c>
      <c r="I1604" t="s">
        <v>771</v>
      </c>
      <c r="J1604" t="s">
        <v>14</v>
      </c>
      <c r="K1604" t="s">
        <v>3</v>
      </c>
      <c r="L1604" t="s">
        <v>3</v>
      </c>
      <c r="M1604" t="s">
        <v>727</v>
      </c>
      <c r="N1604" t="s">
        <v>86</v>
      </c>
      <c r="O1604" s="6" t="s">
        <v>42</v>
      </c>
      <c r="P1604" t="s">
        <v>758</v>
      </c>
      <c r="Q1604">
        <v>21</v>
      </c>
      <c r="R1604" t="s">
        <v>213</v>
      </c>
      <c r="S1604" s="2" t="s">
        <v>13</v>
      </c>
      <c r="T1604" s="2">
        <v>6</v>
      </c>
      <c r="U1604" t="s">
        <v>28</v>
      </c>
      <c r="V1604" t="s">
        <v>28</v>
      </c>
      <c r="W1604">
        <v>20</v>
      </c>
      <c r="X1604">
        <v>0.48699999999999999</v>
      </c>
      <c r="Y1604" s="6">
        <f>Z1604*SQRT(T1604)</f>
        <v>0.19595917942265415</v>
      </c>
      <c r="Z1604">
        <f>0.567-X1604</f>
        <v>7.999999999999996E-2</v>
      </c>
      <c r="AA1604" s="6"/>
      <c r="AB1604" s="6"/>
    </row>
    <row r="1605" spans="1:28" x14ac:dyDescent="0.2">
      <c r="A1605" t="s">
        <v>238</v>
      </c>
      <c r="B1605">
        <v>1987</v>
      </c>
      <c r="C1605" t="s">
        <v>826</v>
      </c>
      <c r="D1605" t="s">
        <v>824</v>
      </c>
      <c r="E1605" t="s">
        <v>48</v>
      </c>
      <c r="F1605" t="s">
        <v>307</v>
      </c>
      <c r="G1605">
        <v>54.193665000000003</v>
      </c>
      <c r="H1605">
        <v>7.8804689999999997</v>
      </c>
      <c r="J1605" t="s">
        <v>7</v>
      </c>
      <c r="K1605" t="s">
        <v>240</v>
      </c>
      <c r="L1605" t="s">
        <v>143</v>
      </c>
      <c r="M1605" t="s">
        <v>73</v>
      </c>
      <c r="N1605" t="s">
        <v>85</v>
      </c>
      <c r="O1605" s="6" t="s">
        <v>834</v>
      </c>
      <c r="P1605" t="s">
        <v>239</v>
      </c>
      <c r="Q1605">
        <v>30</v>
      </c>
      <c r="R1605" t="s">
        <v>213</v>
      </c>
      <c r="S1605" s="2" t="s">
        <v>7</v>
      </c>
      <c r="T1605" s="2">
        <v>40</v>
      </c>
      <c r="U1605" t="s">
        <v>28</v>
      </c>
      <c r="V1605" t="s">
        <v>28</v>
      </c>
      <c r="W1605">
        <v>10</v>
      </c>
      <c r="X1605">
        <v>6.61</v>
      </c>
      <c r="Y1605">
        <f t="shared" ref="Y1605:Y1636" si="35">SQRT(T1605) * (AB1605-AA1605)/3.92</f>
        <v>1.3875299937473493</v>
      </c>
      <c r="AA1605" s="6">
        <f>X1605-0.43</f>
        <v>6.1800000000000006</v>
      </c>
      <c r="AB1605" s="6">
        <f>X1605+0.43</f>
        <v>7.04</v>
      </c>
    </row>
    <row r="1606" spans="1:28" x14ac:dyDescent="0.2">
      <c r="A1606" t="s">
        <v>238</v>
      </c>
      <c r="B1606">
        <v>1987</v>
      </c>
      <c r="C1606" t="s">
        <v>826</v>
      </c>
      <c r="D1606" t="s">
        <v>824</v>
      </c>
      <c r="E1606" t="s">
        <v>48</v>
      </c>
      <c r="F1606" t="s">
        <v>307</v>
      </c>
      <c r="G1606">
        <v>54.193665000000003</v>
      </c>
      <c r="H1606">
        <v>7.8804689999999997</v>
      </c>
      <c r="J1606" t="s">
        <v>14</v>
      </c>
      <c r="K1606" t="s">
        <v>240</v>
      </c>
      <c r="L1606" t="s">
        <v>143</v>
      </c>
      <c r="M1606" t="s">
        <v>73</v>
      </c>
      <c r="N1606" t="s">
        <v>85</v>
      </c>
      <c r="O1606" s="6" t="s">
        <v>834</v>
      </c>
      <c r="P1606" t="s">
        <v>239</v>
      </c>
      <c r="Q1606">
        <v>30</v>
      </c>
      <c r="R1606" t="s">
        <v>213</v>
      </c>
      <c r="S1606" s="2" t="s">
        <v>9</v>
      </c>
      <c r="T1606" s="2">
        <v>40</v>
      </c>
      <c r="U1606" t="s">
        <v>28</v>
      </c>
      <c r="V1606" t="s">
        <v>28</v>
      </c>
      <c r="W1606">
        <v>15</v>
      </c>
      <c r="X1606">
        <v>7.53</v>
      </c>
      <c r="Y1606">
        <f t="shared" si="35"/>
        <v>5.0983660235367738</v>
      </c>
      <c r="AA1606" s="6">
        <f>X1606-1.58</f>
        <v>5.95</v>
      </c>
      <c r="AB1606" s="6">
        <f>X1606+1.58</f>
        <v>9.11</v>
      </c>
    </row>
    <row r="1607" spans="1:28" x14ac:dyDescent="0.2">
      <c r="A1607" t="s">
        <v>238</v>
      </c>
      <c r="B1607">
        <v>1987</v>
      </c>
      <c r="C1607" t="s">
        <v>826</v>
      </c>
      <c r="D1607" t="s">
        <v>824</v>
      </c>
      <c r="E1607" t="s">
        <v>48</v>
      </c>
      <c r="F1607" t="s">
        <v>307</v>
      </c>
      <c r="G1607">
        <v>54.193665000000003</v>
      </c>
      <c r="H1607">
        <v>7.8804689999999997</v>
      </c>
      <c r="J1607" t="s">
        <v>14</v>
      </c>
      <c r="K1607" t="s">
        <v>240</v>
      </c>
      <c r="L1607" t="s">
        <v>143</v>
      </c>
      <c r="M1607" t="s">
        <v>73</v>
      </c>
      <c r="N1607" t="s">
        <v>85</v>
      </c>
      <c r="O1607" s="6" t="s">
        <v>834</v>
      </c>
      <c r="P1607" t="s">
        <v>239</v>
      </c>
      <c r="Q1607">
        <v>30</v>
      </c>
      <c r="R1607" t="s">
        <v>213</v>
      </c>
      <c r="S1607" s="2" t="s">
        <v>27</v>
      </c>
      <c r="T1607" s="2">
        <v>40</v>
      </c>
      <c r="U1607" t="s">
        <v>28</v>
      </c>
      <c r="V1607" t="s">
        <v>28</v>
      </c>
      <c r="W1607">
        <v>20</v>
      </c>
      <c r="X1607">
        <v>7.69</v>
      </c>
      <c r="Y1607">
        <f t="shared" si="35"/>
        <v>4.8079527690315151</v>
      </c>
      <c r="AA1607">
        <f>X1607-1.49</f>
        <v>6.2</v>
      </c>
      <c r="AB1607">
        <f>X1607+1.49</f>
        <v>9.18</v>
      </c>
    </row>
    <row r="1608" spans="1:28" x14ac:dyDescent="0.2">
      <c r="A1608" t="s">
        <v>238</v>
      </c>
      <c r="B1608">
        <v>1987</v>
      </c>
      <c r="C1608" t="s">
        <v>826</v>
      </c>
      <c r="D1608" t="s">
        <v>824</v>
      </c>
      <c r="E1608" t="s">
        <v>48</v>
      </c>
      <c r="F1608" t="s">
        <v>307</v>
      </c>
      <c r="G1608">
        <v>54.193665000000003</v>
      </c>
      <c r="H1608">
        <v>7.8804689999999997</v>
      </c>
      <c r="J1608" t="s">
        <v>7</v>
      </c>
      <c r="K1608" t="s">
        <v>240</v>
      </c>
      <c r="L1608" t="s">
        <v>143</v>
      </c>
      <c r="M1608" t="s">
        <v>553</v>
      </c>
      <c r="N1608" t="s">
        <v>85</v>
      </c>
      <c r="O1608" s="6" t="s">
        <v>61</v>
      </c>
      <c r="P1608" t="s">
        <v>147</v>
      </c>
      <c r="Q1608">
        <v>30</v>
      </c>
      <c r="R1608" t="s">
        <v>213</v>
      </c>
      <c r="S1608" s="2" t="s">
        <v>7</v>
      </c>
      <c r="T1608" s="2">
        <v>6</v>
      </c>
      <c r="U1608" t="s">
        <v>28</v>
      </c>
      <c r="V1608" t="s">
        <v>28</v>
      </c>
      <c r="W1608">
        <v>10</v>
      </c>
      <c r="X1608">
        <v>0.26</v>
      </c>
      <c r="Y1608">
        <f t="shared" si="35"/>
        <v>0.13872110278006772</v>
      </c>
      <c r="AA1608">
        <f>X1608-(AB1608-X1608)</f>
        <v>0.14900000000000002</v>
      </c>
      <c r="AB1608">
        <v>0.371</v>
      </c>
    </row>
    <row r="1609" spans="1:28" x14ac:dyDescent="0.2">
      <c r="A1609" t="s">
        <v>238</v>
      </c>
      <c r="B1609">
        <v>1987</v>
      </c>
      <c r="C1609" t="s">
        <v>826</v>
      </c>
      <c r="D1609" t="s">
        <v>824</v>
      </c>
      <c r="E1609" t="s">
        <v>48</v>
      </c>
      <c r="F1609" t="s">
        <v>307</v>
      </c>
      <c r="G1609">
        <v>54.193665000000003</v>
      </c>
      <c r="H1609">
        <v>7.8804689999999997</v>
      </c>
      <c r="J1609" t="s">
        <v>14</v>
      </c>
      <c r="K1609" t="s">
        <v>240</v>
      </c>
      <c r="L1609" t="s">
        <v>143</v>
      </c>
      <c r="M1609" t="s">
        <v>553</v>
      </c>
      <c r="N1609" t="s">
        <v>85</v>
      </c>
      <c r="O1609" s="6" t="s">
        <v>61</v>
      </c>
      <c r="P1609" t="s">
        <v>147</v>
      </c>
      <c r="Q1609">
        <v>30</v>
      </c>
      <c r="R1609" t="s">
        <v>213</v>
      </c>
      <c r="S1609" s="2" t="s">
        <v>9</v>
      </c>
      <c r="T1609" s="2">
        <v>6</v>
      </c>
      <c r="U1609" t="s">
        <v>28</v>
      </c>
      <c r="V1609" t="s">
        <v>28</v>
      </c>
      <c r="W1609">
        <v>15</v>
      </c>
      <c r="X1609">
        <v>0.35799999999999998</v>
      </c>
      <c r="Y1609">
        <f t="shared" si="35"/>
        <v>7.4359510048775043E-2</v>
      </c>
      <c r="AA1609">
        <v>0.29699999999999999</v>
      </c>
      <c r="AB1609">
        <v>0.41599999999999998</v>
      </c>
    </row>
    <row r="1610" spans="1:28" x14ac:dyDescent="0.2">
      <c r="A1610" t="s">
        <v>238</v>
      </c>
      <c r="B1610">
        <v>1987</v>
      </c>
      <c r="C1610" t="s">
        <v>826</v>
      </c>
      <c r="D1610" t="s">
        <v>824</v>
      </c>
      <c r="E1610" t="s">
        <v>48</v>
      </c>
      <c r="F1610" t="s">
        <v>307</v>
      </c>
      <c r="G1610">
        <v>54.193665000000003</v>
      </c>
      <c r="H1610">
        <v>7.8804689999999997</v>
      </c>
      <c r="J1610" t="s">
        <v>14</v>
      </c>
      <c r="K1610" t="s">
        <v>240</v>
      </c>
      <c r="L1610" t="s">
        <v>143</v>
      </c>
      <c r="M1610" t="s">
        <v>553</v>
      </c>
      <c r="N1610" t="s">
        <v>85</v>
      </c>
      <c r="O1610" s="6" t="s">
        <v>61</v>
      </c>
      <c r="P1610" t="s">
        <v>147</v>
      </c>
      <c r="Q1610">
        <v>30</v>
      </c>
      <c r="R1610" t="s">
        <v>213</v>
      </c>
      <c r="S1610" s="2" t="s">
        <v>27</v>
      </c>
      <c r="T1610" s="2">
        <v>6</v>
      </c>
      <c r="U1610" t="s">
        <v>28</v>
      </c>
      <c r="V1610" t="s">
        <v>28</v>
      </c>
      <c r="W1610">
        <v>20</v>
      </c>
      <c r="X1610">
        <v>0.45400000000000001</v>
      </c>
      <c r="Y1610">
        <f t="shared" si="35"/>
        <v>0.11310143965401923</v>
      </c>
      <c r="AA1610">
        <v>0.36099999999999999</v>
      </c>
      <c r="AB1610">
        <v>0.54200000000000004</v>
      </c>
    </row>
    <row r="1611" spans="1:28" x14ac:dyDescent="0.2">
      <c r="A1611" t="s">
        <v>238</v>
      </c>
      <c r="B1611">
        <v>1987</v>
      </c>
      <c r="C1611" t="s">
        <v>826</v>
      </c>
      <c r="D1611" t="s">
        <v>824</v>
      </c>
      <c r="E1611" t="s">
        <v>48</v>
      </c>
      <c r="F1611" t="s">
        <v>307</v>
      </c>
      <c r="G1611">
        <v>54.193665000000003</v>
      </c>
      <c r="H1611">
        <v>7.8804689999999997</v>
      </c>
      <c r="J1611" t="s">
        <v>7</v>
      </c>
      <c r="K1611" t="s">
        <v>240</v>
      </c>
      <c r="L1611" t="s">
        <v>143</v>
      </c>
      <c r="M1611" t="s">
        <v>553</v>
      </c>
      <c r="N1611" t="s">
        <v>85</v>
      </c>
      <c r="O1611" s="6" t="s">
        <v>241</v>
      </c>
      <c r="P1611" t="s">
        <v>147</v>
      </c>
      <c r="Q1611">
        <v>30</v>
      </c>
      <c r="R1611" t="s">
        <v>213</v>
      </c>
      <c r="S1611" s="2" t="s">
        <v>7</v>
      </c>
      <c r="T1611" s="2">
        <v>6</v>
      </c>
      <c r="U1611" t="s">
        <v>28</v>
      </c>
      <c r="V1611" t="s">
        <v>28</v>
      </c>
      <c r="W1611">
        <v>10</v>
      </c>
      <c r="X1611">
        <v>5.0999999999999997E-2</v>
      </c>
      <c r="Y1611">
        <f t="shared" si="35"/>
        <v>2.3745053629020598E-2</v>
      </c>
      <c r="AA1611">
        <v>3.3000000000000002E-2</v>
      </c>
      <c r="AB1611">
        <v>7.0999999999999994E-2</v>
      </c>
    </row>
    <row r="1612" spans="1:28" x14ac:dyDescent="0.2">
      <c r="A1612" t="s">
        <v>238</v>
      </c>
      <c r="B1612">
        <v>1987</v>
      </c>
      <c r="C1612" t="s">
        <v>826</v>
      </c>
      <c r="D1612" t="s">
        <v>824</v>
      </c>
      <c r="E1612" t="s">
        <v>48</v>
      </c>
      <c r="F1612" t="s">
        <v>307</v>
      </c>
      <c r="G1612">
        <v>54.193665000000003</v>
      </c>
      <c r="H1612">
        <v>7.8804689999999997</v>
      </c>
      <c r="J1612" t="s">
        <v>14</v>
      </c>
      <c r="K1612" t="s">
        <v>240</v>
      </c>
      <c r="L1612" t="s">
        <v>143</v>
      </c>
      <c r="M1612" t="s">
        <v>553</v>
      </c>
      <c r="N1612" t="s">
        <v>85</v>
      </c>
      <c r="O1612" s="6" t="s">
        <v>241</v>
      </c>
      <c r="P1612" t="s">
        <v>147</v>
      </c>
      <c r="Q1612">
        <v>30</v>
      </c>
      <c r="R1612" t="s">
        <v>213</v>
      </c>
      <c r="S1612" s="2" t="s">
        <v>9</v>
      </c>
      <c r="T1612" s="2">
        <v>6</v>
      </c>
      <c r="U1612" t="s">
        <v>28</v>
      </c>
      <c r="V1612" t="s">
        <v>28</v>
      </c>
      <c r="W1612">
        <v>15</v>
      </c>
      <c r="X1612">
        <v>6.5000000000000002E-2</v>
      </c>
      <c r="Y1612">
        <f t="shared" si="35"/>
        <v>1.3122266479195595E-2</v>
      </c>
      <c r="AA1612">
        <v>5.3999999999999999E-2</v>
      </c>
      <c r="AB1612">
        <v>7.4999999999999997E-2</v>
      </c>
    </row>
    <row r="1613" spans="1:28" x14ac:dyDescent="0.2">
      <c r="A1613" t="s">
        <v>238</v>
      </c>
      <c r="B1613">
        <v>1987</v>
      </c>
      <c r="C1613" t="s">
        <v>826</v>
      </c>
      <c r="D1613" t="s">
        <v>824</v>
      </c>
      <c r="E1613" t="s">
        <v>48</v>
      </c>
      <c r="F1613" t="s">
        <v>307</v>
      </c>
      <c r="G1613">
        <v>54.193665000000003</v>
      </c>
      <c r="H1613">
        <v>7.8804689999999997</v>
      </c>
      <c r="J1613" t="s">
        <v>14</v>
      </c>
      <c r="K1613" t="s">
        <v>240</v>
      </c>
      <c r="L1613" t="s">
        <v>143</v>
      </c>
      <c r="M1613" t="s">
        <v>553</v>
      </c>
      <c r="N1613" t="s">
        <v>85</v>
      </c>
      <c r="O1613" s="6" t="s">
        <v>241</v>
      </c>
      <c r="P1613" t="s">
        <v>147</v>
      </c>
      <c r="Q1613">
        <v>30</v>
      </c>
      <c r="R1613" t="s">
        <v>213</v>
      </c>
      <c r="S1613" s="2" t="s">
        <v>27</v>
      </c>
      <c r="T1613" s="2">
        <v>6</v>
      </c>
      <c r="U1613" t="s">
        <v>28</v>
      </c>
      <c r="V1613" t="s">
        <v>28</v>
      </c>
      <c r="W1613">
        <v>20</v>
      </c>
      <c r="X1613">
        <v>0.08</v>
      </c>
      <c r="Y1613">
        <f t="shared" si="35"/>
        <v>1.937096480262207E-2</v>
      </c>
      <c r="AA1613">
        <v>6.5000000000000002E-2</v>
      </c>
      <c r="AB1613">
        <v>9.6000000000000002E-2</v>
      </c>
    </row>
    <row r="1614" spans="1:28" x14ac:dyDescent="0.2">
      <c r="A1614" t="s">
        <v>238</v>
      </c>
      <c r="B1614">
        <v>1987</v>
      </c>
      <c r="C1614" t="s">
        <v>826</v>
      </c>
      <c r="D1614" t="s">
        <v>824</v>
      </c>
      <c r="E1614" t="s">
        <v>48</v>
      </c>
      <c r="F1614" t="s">
        <v>307</v>
      </c>
      <c r="G1614">
        <v>54.193665000000003</v>
      </c>
      <c r="H1614">
        <v>7.8804689999999997</v>
      </c>
      <c r="J1614" t="s">
        <v>7</v>
      </c>
      <c r="K1614" t="s">
        <v>240</v>
      </c>
      <c r="L1614" t="s">
        <v>143</v>
      </c>
      <c r="M1614" t="s">
        <v>553</v>
      </c>
      <c r="N1614" t="s">
        <v>85</v>
      </c>
      <c r="O1614" s="6" t="s">
        <v>242</v>
      </c>
      <c r="P1614" t="s">
        <v>147</v>
      </c>
      <c r="Q1614">
        <v>30</v>
      </c>
      <c r="R1614" t="s">
        <v>213</v>
      </c>
      <c r="S1614" s="2" t="s">
        <v>7</v>
      </c>
      <c r="T1614" s="2">
        <v>6</v>
      </c>
      <c r="U1614" t="s">
        <v>28</v>
      </c>
      <c r="V1614" t="s">
        <v>28</v>
      </c>
      <c r="W1614">
        <v>10</v>
      </c>
      <c r="X1614">
        <v>0.13100000000000001</v>
      </c>
      <c r="Y1614">
        <f t="shared" si="35"/>
        <v>6.2486983234264735E-2</v>
      </c>
      <c r="AA1614">
        <v>8.1000000000000003E-2</v>
      </c>
      <c r="AB1614">
        <f>X1614+(X1614-AA1614)</f>
        <v>0.18099999999999999</v>
      </c>
    </row>
    <row r="1615" spans="1:28" x14ac:dyDescent="0.2">
      <c r="A1615" t="s">
        <v>238</v>
      </c>
      <c r="B1615">
        <v>1987</v>
      </c>
      <c r="C1615" t="s">
        <v>826</v>
      </c>
      <c r="D1615" t="s">
        <v>824</v>
      </c>
      <c r="E1615" t="s">
        <v>48</v>
      </c>
      <c r="F1615" t="s">
        <v>307</v>
      </c>
      <c r="G1615">
        <v>54.193665000000003</v>
      </c>
      <c r="H1615">
        <v>7.8804689999999997</v>
      </c>
      <c r="J1615" t="s">
        <v>14</v>
      </c>
      <c r="K1615" t="s">
        <v>240</v>
      </c>
      <c r="L1615" t="s">
        <v>143</v>
      </c>
      <c r="M1615" t="s">
        <v>553</v>
      </c>
      <c r="N1615" t="s">
        <v>85</v>
      </c>
      <c r="O1615" s="6" t="s">
        <v>242</v>
      </c>
      <c r="P1615" t="s">
        <v>147</v>
      </c>
      <c r="Q1615">
        <v>30</v>
      </c>
      <c r="R1615" t="s">
        <v>213</v>
      </c>
      <c r="S1615" s="2" t="s">
        <v>9</v>
      </c>
      <c r="T1615" s="2">
        <v>6</v>
      </c>
      <c r="U1615" t="s">
        <v>28</v>
      </c>
      <c r="V1615" t="s">
        <v>28</v>
      </c>
      <c r="W1615">
        <v>15</v>
      </c>
      <c r="X1615">
        <v>0.19400000000000001</v>
      </c>
      <c r="Y1615">
        <f t="shared" si="35"/>
        <v>4.1241408934614733E-2</v>
      </c>
      <c r="AA1615">
        <v>0.158</v>
      </c>
      <c r="AB1615">
        <v>0.224</v>
      </c>
    </row>
    <row r="1616" spans="1:28" x14ac:dyDescent="0.2">
      <c r="A1616" t="s">
        <v>238</v>
      </c>
      <c r="B1616">
        <v>1987</v>
      </c>
      <c r="C1616" t="s">
        <v>826</v>
      </c>
      <c r="D1616" t="s">
        <v>824</v>
      </c>
      <c r="E1616" t="s">
        <v>48</v>
      </c>
      <c r="F1616" t="s">
        <v>307</v>
      </c>
      <c r="G1616">
        <v>54.193665000000003</v>
      </c>
      <c r="H1616">
        <v>7.8804689999999997</v>
      </c>
      <c r="J1616" t="s">
        <v>14</v>
      </c>
      <c r="K1616" t="s">
        <v>240</v>
      </c>
      <c r="L1616" t="s">
        <v>143</v>
      </c>
      <c r="M1616" t="s">
        <v>553</v>
      </c>
      <c r="N1616" t="s">
        <v>85</v>
      </c>
      <c r="O1616" s="6" t="s">
        <v>242</v>
      </c>
      <c r="P1616" t="s">
        <v>147</v>
      </c>
      <c r="Q1616">
        <v>30</v>
      </c>
      <c r="R1616" t="s">
        <v>213</v>
      </c>
      <c r="S1616" s="2" t="s">
        <v>27</v>
      </c>
      <c r="T1616" s="2">
        <v>6</v>
      </c>
      <c r="U1616" t="s">
        <v>28</v>
      </c>
      <c r="V1616" t="s">
        <v>28</v>
      </c>
      <c r="W1616">
        <v>20</v>
      </c>
      <c r="X1616">
        <v>0.21199999999999999</v>
      </c>
      <c r="Y1616">
        <f t="shared" si="35"/>
        <v>3.6867320108216195E-2</v>
      </c>
      <c r="AA1616">
        <v>0.17899999999999999</v>
      </c>
      <c r="AB1616">
        <v>0.23799999999999999</v>
      </c>
    </row>
    <row r="1617" spans="1:28" x14ac:dyDescent="0.2">
      <c r="A1617" t="s">
        <v>238</v>
      </c>
      <c r="B1617">
        <v>1987</v>
      </c>
      <c r="C1617" t="s">
        <v>826</v>
      </c>
      <c r="D1617" t="s">
        <v>824</v>
      </c>
      <c r="E1617" t="s">
        <v>48</v>
      </c>
      <c r="F1617" t="s">
        <v>307</v>
      </c>
      <c r="G1617">
        <v>54.193665000000003</v>
      </c>
      <c r="H1617">
        <v>7.8804689999999997</v>
      </c>
      <c r="J1617" t="s">
        <v>7</v>
      </c>
      <c r="K1617" t="s">
        <v>240</v>
      </c>
      <c r="L1617" t="s">
        <v>143</v>
      </c>
      <c r="M1617" t="s">
        <v>553</v>
      </c>
      <c r="N1617" t="s">
        <v>86</v>
      </c>
      <c r="O1617" s="6" t="s">
        <v>243</v>
      </c>
      <c r="P1617" t="s">
        <v>67</v>
      </c>
      <c r="Q1617">
        <v>30</v>
      </c>
      <c r="R1617" t="s">
        <v>213</v>
      </c>
      <c r="S1617" s="2" t="s">
        <v>7</v>
      </c>
      <c r="T1617" s="2">
        <v>6</v>
      </c>
      <c r="U1617" t="s">
        <v>28</v>
      </c>
      <c r="V1617" t="s">
        <v>28</v>
      </c>
      <c r="W1617">
        <v>10</v>
      </c>
      <c r="X1617">
        <v>4.9690000000000003</v>
      </c>
      <c r="Y1617">
        <f t="shared" si="35"/>
        <v>2.2114143366606291</v>
      </c>
      <c r="AA1617">
        <v>3.266</v>
      </c>
      <c r="AB1617">
        <v>6.8049999999999997</v>
      </c>
    </row>
    <row r="1618" spans="1:28" x14ac:dyDescent="0.2">
      <c r="A1618" t="s">
        <v>238</v>
      </c>
      <c r="B1618">
        <v>1987</v>
      </c>
      <c r="C1618" t="s">
        <v>826</v>
      </c>
      <c r="D1618" t="s">
        <v>824</v>
      </c>
      <c r="E1618" t="s">
        <v>48</v>
      </c>
      <c r="F1618" t="s">
        <v>307</v>
      </c>
      <c r="G1618">
        <v>54.193665000000003</v>
      </c>
      <c r="H1618">
        <v>7.8804689999999997</v>
      </c>
      <c r="J1618" t="s">
        <v>14</v>
      </c>
      <c r="K1618" t="s">
        <v>240</v>
      </c>
      <c r="L1618" t="s">
        <v>143</v>
      </c>
      <c r="M1618" t="s">
        <v>553</v>
      </c>
      <c r="N1618" t="s">
        <v>86</v>
      </c>
      <c r="O1618" s="6" t="s">
        <v>243</v>
      </c>
      <c r="P1618" t="s">
        <v>67</v>
      </c>
      <c r="Q1618">
        <v>30</v>
      </c>
      <c r="R1618" t="s">
        <v>213</v>
      </c>
      <c r="S1618" s="2" t="s">
        <v>9</v>
      </c>
      <c r="T1618" s="2">
        <v>6</v>
      </c>
      <c r="U1618" t="s">
        <v>28</v>
      </c>
      <c r="V1618" t="s">
        <v>28</v>
      </c>
      <c r="W1618">
        <v>15</v>
      </c>
      <c r="X1618">
        <v>7.181</v>
      </c>
      <c r="Y1618">
        <f t="shared" si="35"/>
        <v>1.1197667395580242</v>
      </c>
      <c r="AA1618">
        <v>6.2030000000000003</v>
      </c>
      <c r="AB1618">
        <v>7.9950000000000001</v>
      </c>
    </row>
    <row r="1619" spans="1:28" x14ac:dyDescent="0.2">
      <c r="A1619" t="s">
        <v>238</v>
      </c>
      <c r="B1619">
        <v>1987</v>
      </c>
      <c r="C1619" t="s">
        <v>826</v>
      </c>
      <c r="D1619" t="s">
        <v>824</v>
      </c>
      <c r="E1619" t="s">
        <v>48</v>
      </c>
      <c r="F1619" t="s">
        <v>307</v>
      </c>
      <c r="G1619">
        <v>54.193665000000003</v>
      </c>
      <c r="H1619">
        <v>7.8804689999999997</v>
      </c>
      <c r="J1619" t="s">
        <v>14</v>
      </c>
      <c r="K1619" t="s">
        <v>240</v>
      </c>
      <c r="L1619" t="s">
        <v>143</v>
      </c>
      <c r="M1619" t="s">
        <v>553</v>
      </c>
      <c r="N1619" t="s">
        <v>86</v>
      </c>
      <c r="O1619" s="6" t="s">
        <v>243</v>
      </c>
      <c r="P1619" t="s">
        <v>67</v>
      </c>
      <c r="Q1619">
        <v>30</v>
      </c>
      <c r="R1619" t="s">
        <v>213</v>
      </c>
      <c r="S1619" s="2" t="s">
        <v>27</v>
      </c>
      <c r="T1619" s="2">
        <v>6</v>
      </c>
      <c r="U1619" t="s">
        <v>28</v>
      </c>
      <c r="V1619" t="s">
        <v>28</v>
      </c>
      <c r="W1619">
        <v>20</v>
      </c>
      <c r="X1619">
        <v>8.15</v>
      </c>
      <c r="Y1619">
        <f t="shared" si="35"/>
        <v>2.0733181037129045</v>
      </c>
      <c r="AA1619">
        <v>6.492</v>
      </c>
      <c r="AB1619">
        <v>9.81</v>
      </c>
    </row>
    <row r="1620" spans="1:28" x14ac:dyDescent="0.2">
      <c r="A1620" t="s">
        <v>244</v>
      </c>
      <c r="B1620">
        <v>1987</v>
      </c>
      <c r="C1620" t="s">
        <v>826</v>
      </c>
      <c r="D1620" t="s">
        <v>824</v>
      </c>
      <c r="E1620" t="s">
        <v>48</v>
      </c>
      <c r="F1620" t="s">
        <v>307</v>
      </c>
      <c r="G1620">
        <v>54.193665000000003</v>
      </c>
      <c r="H1620">
        <v>7.8804689999999997</v>
      </c>
      <c r="J1620" t="s">
        <v>7</v>
      </c>
      <c r="K1620" t="s">
        <v>245</v>
      </c>
      <c r="L1620" t="s">
        <v>143</v>
      </c>
      <c r="M1620" t="s">
        <v>26</v>
      </c>
      <c r="N1620" t="s">
        <v>85</v>
      </c>
      <c r="O1620" t="s">
        <v>839</v>
      </c>
      <c r="P1620" t="s">
        <v>246</v>
      </c>
      <c r="Q1620">
        <v>30</v>
      </c>
      <c r="R1620" t="s">
        <v>213</v>
      </c>
      <c r="S1620" s="2" t="s">
        <v>7</v>
      </c>
      <c r="T1620" s="2">
        <v>80</v>
      </c>
      <c r="U1620" t="s">
        <v>28</v>
      </c>
      <c r="V1620" t="s">
        <v>28</v>
      </c>
      <c r="W1620">
        <v>10</v>
      </c>
      <c r="X1620">
        <v>0.59370000000000001</v>
      </c>
      <c r="Y1620">
        <f t="shared" si="35"/>
        <v>0.15835012003927085</v>
      </c>
      <c r="AA1620">
        <v>0.56069999999999998</v>
      </c>
      <c r="AB1620">
        <v>0.63009999999999999</v>
      </c>
    </row>
    <row r="1621" spans="1:28" x14ac:dyDescent="0.2">
      <c r="A1621" t="s">
        <v>244</v>
      </c>
      <c r="B1621">
        <v>1987</v>
      </c>
      <c r="C1621" t="s">
        <v>826</v>
      </c>
      <c r="D1621" t="s">
        <v>824</v>
      </c>
      <c r="E1621" t="s">
        <v>48</v>
      </c>
      <c r="F1621" t="s">
        <v>307</v>
      </c>
      <c r="G1621">
        <v>54.193665000000003</v>
      </c>
      <c r="H1621">
        <v>7.8804689999999997</v>
      </c>
      <c r="J1621" t="s">
        <v>14</v>
      </c>
      <c r="K1621" t="s">
        <v>245</v>
      </c>
      <c r="L1621" t="s">
        <v>143</v>
      </c>
      <c r="M1621" t="s">
        <v>26</v>
      </c>
      <c r="N1621" t="s">
        <v>85</v>
      </c>
      <c r="O1621" t="s">
        <v>839</v>
      </c>
      <c r="P1621" t="s">
        <v>246</v>
      </c>
      <c r="Q1621">
        <v>30</v>
      </c>
      <c r="R1621" t="s">
        <v>213</v>
      </c>
      <c r="S1621" s="2" t="s">
        <v>9</v>
      </c>
      <c r="T1621" s="2">
        <v>80</v>
      </c>
      <c r="U1621" t="s">
        <v>28</v>
      </c>
      <c r="V1621" t="s">
        <v>28</v>
      </c>
      <c r="W1621">
        <v>15</v>
      </c>
      <c r="X1621">
        <v>0.69610000000000005</v>
      </c>
      <c r="Y1621">
        <f t="shared" si="35"/>
        <v>0.17979811900712592</v>
      </c>
      <c r="AA1621">
        <v>0.65810000000000002</v>
      </c>
      <c r="AB1621">
        <v>0.7369</v>
      </c>
    </row>
    <row r="1622" spans="1:28" x14ac:dyDescent="0.2">
      <c r="A1622" t="s">
        <v>244</v>
      </c>
      <c r="B1622">
        <v>1987</v>
      </c>
      <c r="C1622" t="s">
        <v>826</v>
      </c>
      <c r="D1622" t="s">
        <v>824</v>
      </c>
      <c r="E1622" t="s">
        <v>48</v>
      </c>
      <c r="F1622" t="s">
        <v>307</v>
      </c>
      <c r="G1622">
        <v>54.193665000000003</v>
      </c>
      <c r="H1622">
        <v>7.8804689999999997</v>
      </c>
      <c r="J1622" t="s">
        <v>14</v>
      </c>
      <c r="K1622" t="s">
        <v>245</v>
      </c>
      <c r="L1622" t="s">
        <v>143</v>
      </c>
      <c r="M1622" t="s">
        <v>26</v>
      </c>
      <c r="N1622" t="s">
        <v>85</v>
      </c>
      <c r="O1622" t="s">
        <v>839</v>
      </c>
      <c r="P1622" t="s">
        <v>246</v>
      </c>
      <c r="Q1622">
        <v>30</v>
      </c>
      <c r="R1622" t="s">
        <v>213</v>
      </c>
      <c r="S1622" s="2" t="s">
        <v>27</v>
      </c>
      <c r="T1622" s="2">
        <v>80</v>
      </c>
      <c r="U1622" t="s">
        <v>28</v>
      </c>
      <c r="V1622" t="s">
        <v>28</v>
      </c>
      <c r="W1622">
        <v>20</v>
      </c>
      <c r="X1622">
        <v>0.5585</v>
      </c>
      <c r="Y1622">
        <f t="shared" si="35"/>
        <v>0.11362876048927494</v>
      </c>
      <c r="AA1622">
        <v>0.53390000000000004</v>
      </c>
      <c r="AB1622">
        <v>0.5837</v>
      </c>
    </row>
    <row r="1623" spans="1:28" x14ac:dyDescent="0.2">
      <c r="A1623" t="s">
        <v>244</v>
      </c>
      <c r="B1623">
        <v>1987</v>
      </c>
      <c r="C1623" t="s">
        <v>826</v>
      </c>
      <c r="D1623" t="s">
        <v>824</v>
      </c>
      <c r="E1623" t="s">
        <v>48</v>
      </c>
      <c r="F1623" t="s">
        <v>307</v>
      </c>
      <c r="G1623">
        <v>54.193665000000003</v>
      </c>
      <c r="H1623">
        <v>7.8804689999999997</v>
      </c>
      <c r="J1623" t="s">
        <v>7</v>
      </c>
      <c r="K1623" t="s">
        <v>245</v>
      </c>
      <c r="L1623" t="s">
        <v>143</v>
      </c>
      <c r="M1623" t="s">
        <v>638</v>
      </c>
      <c r="N1623" t="s">
        <v>85</v>
      </c>
      <c r="O1623" s="6" t="s">
        <v>348</v>
      </c>
      <c r="P1623" t="s">
        <v>147</v>
      </c>
      <c r="Q1623">
        <v>30</v>
      </c>
      <c r="R1623" t="s">
        <v>213</v>
      </c>
      <c r="S1623" s="2" t="s">
        <v>7</v>
      </c>
      <c r="T1623" s="2">
        <v>11</v>
      </c>
      <c r="U1623" t="s">
        <v>28</v>
      </c>
      <c r="V1623" t="s">
        <v>28</v>
      </c>
      <c r="W1623">
        <v>10</v>
      </c>
      <c r="X1623">
        <v>0.94920000000000004</v>
      </c>
      <c r="Y1623">
        <f t="shared" si="35"/>
        <v>0.17716868140316849</v>
      </c>
      <c r="AA1623">
        <v>0.84389999999999998</v>
      </c>
      <c r="AB1623">
        <v>1.0532999999999999</v>
      </c>
    </row>
    <row r="1624" spans="1:28" x14ac:dyDescent="0.2">
      <c r="A1624" t="s">
        <v>244</v>
      </c>
      <c r="B1624">
        <v>1987</v>
      </c>
      <c r="C1624" t="s">
        <v>826</v>
      </c>
      <c r="D1624" t="s">
        <v>824</v>
      </c>
      <c r="E1624" t="s">
        <v>48</v>
      </c>
      <c r="F1624" t="s">
        <v>307</v>
      </c>
      <c r="G1624">
        <v>54.193665000000003</v>
      </c>
      <c r="H1624">
        <v>7.8804689999999997</v>
      </c>
      <c r="J1624" t="s">
        <v>14</v>
      </c>
      <c r="K1624" t="s">
        <v>245</v>
      </c>
      <c r="L1624" t="s">
        <v>143</v>
      </c>
      <c r="M1624" t="s">
        <v>638</v>
      </c>
      <c r="N1624" t="s">
        <v>85</v>
      </c>
      <c r="O1624" s="6" t="s">
        <v>348</v>
      </c>
      <c r="P1624" t="s">
        <v>147</v>
      </c>
      <c r="Q1624">
        <v>30</v>
      </c>
      <c r="R1624" t="s">
        <v>213</v>
      </c>
      <c r="S1624" s="2" t="s">
        <v>9</v>
      </c>
      <c r="T1624" s="2">
        <v>11</v>
      </c>
      <c r="U1624" t="s">
        <v>28</v>
      </c>
      <c r="V1624" t="s">
        <v>28</v>
      </c>
      <c r="W1624">
        <v>15</v>
      </c>
      <c r="X1624">
        <v>0.84389999999999998</v>
      </c>
      <c r="Y1624">
        <f t="shared" si="35"/>
        <v>0.21050414485725091</v>
      </c>
      <c r="AA1624">
        <v>0.71950000000000003</v>
      </c>
      <c r="AB1624">
        <v>0.96830000000000005</v>
      </c>
    </row>
    <row r="1625" spans="1:28" x14ac:dyDescent="0.2">
      <c r="A1625" t="s">
        <v>244</v>
      </c>
      <c r="B1625">
        <v>1987</v>
      </c>
      <c r="C1625" t="s">
        <v>826</v>
      </c>
      <c r="D1625" t="s">
        <v>824</v>
      </c>
      <c r="E1625" t="s">
        <v>48</v>
      </c>
      <c r="F1625" t="s">
        <v>307</v>
      </c>
      <c r="G1625">
        <v>54.193665000000003</v>
      </c>
      <c r="H1625">
        <v>7.8804689999999997</v>
      </c>
      <c r="J1625" t="s">
        <v>14</v>
      </c>
      <c r="K1625" t="s">
        <v>245</v>
      </c>
      <c r="L1625" t="s">
        <v>143</v>
      </c>
      <c r="M1625" t="s">
        <v>638</v>
      </c>
      <c r="N1625" t="s">
        <v>85</v>
      </c>
      <c r="O1625" s="6" t="s">
        <v>348</v>
      </c>
      <c r="P1625" t="s">
        <v>147</v>
      </c>
      <c r="Q1625">
        <v>30</v>
      </c>
      <c r="R1625" t="s">
        <v>213</v>
      </c>
      <c r="S1625" s="2" t="s">
        <v>27</v>
      </c>
      <c r="T1625" s="2">
        <v>11</v>
      </c>
      <c r="U1625" t="s">
        <v>28</v>
      </c>
      <c r="V1625" t="s">
        <v>28</v>
      </c>
      <c r="W1625">
        <v>20</v>
      </c>
      <c r="X1625">
        <v>0.82230000000000003</v>
      </c>
      <c r="Y1625">
        <f t="shared" si="35"/>
        <v>0.16540820064144915</v>
      </c>
      <c r="AA1625">
        <v>0.72840000000000005</v>
      </c>
      <c r="AB1625">
        <v>0.92390000000000005</v>
      </c>
    </row>
    <row r="1626" spans="1:28" x14ac:dyDescent="0.2">
      <c r="A1626" t="s">
        <v>244</v>
      </c>
      <c r="B1626">
        <v>1987</v>
      </c>
      <c r="C1626" t="s">
        <v>826</v>
      </c>
      <c r="D1626" t="s">
        <v>824</v>
      </c>
      <c r="E1626" t="s">
        <v>48</v>
      </c>
      <c r="F1626" t="s">
        <v>307</v>
      </c>
      <c r="G1626">
        <v>54.193665000000003</v>
      </c>
      <c r="H1626">
        <v>7.8804689999999997</v>
      </c>
      <c r="J1626" t="s">
        <v>7</v>
      </c>
      <c r="K1626" t="s">
        <v>245</v>
      </c>
      <c r="L1626" t="s">
        <v>143</v>
      </c>
      <c r="M1626" s="6" t="s">
        <v>638</v>
      </c>
      <c r="N1626" t="s">
        <v>85</v>
      </c>
      <c r="O1626" s="6" t="s">
        <v>247</v>
      </c>
      <c r="P1626" t="s">
        <v>147</v>
      </c>
      <c r="Q1626">
        <v>30</v>
      </c>
      <c r="R1626" t="s">
        <v>213</v>
      </c>
      <c r="S1626" s="2" t="s">
        <v>7</v>
      </c>
      <c r="T1626" s="2">
        <v>11</v>
      </c>
      <c r="U1626" t="s">
        <v>28</v>
      </c>
      <c r="V1626" t="s">
        <v>28</v>
      </c>
      <c r="W1626">
        <v>10</v>
      </c>
      <c r="X1626">
        <v>0.33250000000000002</v>
      </c>
      <c r="Y1626">
        <f t="shared" si="35"/>
        <v>0.10093707589015287</v>
      </c>
      <c r="AA1626">
        <v>0.27160000000000001</v>
      </c>
      <c r="AB1626">
        <v>0.39090000000000003</v>
      </c>
    </row>
    <row r="1627" spans="1:28" x14ac:dyDescent="0.2">
      <c r="A1627" t="s">
        <v>244</v>
      </c>
      <c r="B1627">
        <v>1987</v>
      </c>
      <c r="C1627" t="s">
        <v>826</v>
      </c>
      <c r="D1627" t="s">
        <v>824</v>
      </c>
      <c r="E1627" t="s">
        <v>48</v>
      </c>
      <c r="F1627" t="s">
        <v>307</v>
      </c>
      <c r="G1627">
        <v>54.193665000000003</v>
      </c>
      <c r="H1627">
        <v>7.8804689999999997</v>
      </c>
      <c r="J1627" t="s">
        <v>14</v>
      </c>
      <c r="K1627" t="s">
        <v>245</v>
      </c>
      <c r="L1627" t="s">
        <v>143</v>
      </c>
      <c r="M1627" s="6" t="s">
        <v>638</v>
      </c>
      <c r="N1627" t="s">
        <v>85</v>
      </c>
      <c r="O1627" s="6" t="s">
        <v>247</v>
      </c>
      <c r="P1627" t="s">
        <v>147</v>
      </c>
      <c r="Q1627">
        <v>30</v>
      </c>
      <c r="R1627" t="s">
        <v>213</v>
      </c>
      <c r="S1627" s="2" t="s">
        <v>9</v>
      </c>
      <c r="T1627" s="2">
        <v>11</v>
      </c>
      <c r="U1627" t="s">
        <v>28</v>
      </c>
      <c r="V1627" t="s">
        <v>28</v>
      </c>
      <c r="W1627">
        <v>15</v>
      </c>
      <c r="X1627">
        <v>0.34770000000000001</v>
      </c>
      <c r="Y1627">
        <f t="shared" si="35"/>
        <v>9.7721980430114458E-2</v>
      </c>
      <c r="AA1627">
        <v>0.29310000000000003</v>
      </c>
      <c r="AB1627">
        <v>0.40860000000000002</v>
      </c>
    </row>
    <row r="1628" spans="1:28" x14ac:dyDescent="0.2">
      <c r="A1628" t="s">
        <v>244</v>
      </c>
      <c r="B1628">
        <v>1987</v>
      </c>
      <c r="C1628" t="s">
        <v>826</v>
      </c>
      <c r="D1628" t="s">
        <v>824</v>
      </c>
      <c r="E1628" t="s">
        <v>48</v>
      </c>
      <c r="F1628" t="s">
        <v>307</v>
      </c>
      <c r="G1628">
        <v>54.193665000000003</v>
      </c>
      <c r="H1628">
        <v>7.8804689999999997</v>
      </c>
      <c r="J1628" t="s">
        <v>14</v>
      </c>
      <c r="K1628" t="s">
        <v>245</v>
      </c>
      <c r="L1628" t="s">
        <v>143</v>
      </c>
      <c r="M1628" s="6" t="s">
        <v>638</v>
      </c>
      <c r="N1628" t="s">
        <v>85</v>
      </c>
      <c r="O1628" s="6" t="s">
        <v>247</v>
      </c>
      <c r="P1628" t="s">
        <v>147</v>
      </c>
      <c r="Q1628">
        <v>30</v>
      </c>
      <c r="R1628" t="s">
        <v>213</v>
      </c>
      <c r="S1628" s="2" t="s">
        <v>27</v>
      </c>
      <c r="T1628" s="2">
        <v>11</v>
      </c>
      <c r="U1628" t="s">
        <v>28</v>
      </c>
      <c r="V1628" t="s">
        <v>28</v>
      </c>
      <c r="W1628">
        <v>20</v>
      </c>
      <c r="X1628">
        <v>0.39850000000000002</v>
      </c>
      <c r="Y1628">
        <f t="shared" si="35"/>
        <v>0.11912774757194904</v>
      </c>
      <c r="AA1628">
        <v>0.32490000000000002</v>
      </c>
      <c r="AB1628">
        <v>0.4657</v>
      </c>
    </row>
    <row r="1629" spans="1:28" x14ac:dyDescent="0.2">
      <c r="A1629" t="s">
        <v>244</v>
      </c>
      <c r="B1629">
        <v>1987</v>
      </c>
      <c r="C1629" t="s">
        <v>826</v>
      </c>
      <c r="D1629" t="s">
        <v>824</v>
      </c>
      <c r="E1629" t="s">
        <v>48</v>
      </c>
      <c r="F1629" t="s">
        <v>307</v>
      </c>
      <c r="G1629">
        <v>54.193665000000003</v>
      </c>
      <c r="H1629">
        <v>7.8804689999999997</v>
      </c>
      <c r="J1629" t="s">
        <v>7</v>
      </c>
      <c r="K1629" t="s">
        <v>245</v>
      </c>
      <c r="L1629" t="s">
        <v>143</v>
      </c>
      <c r="M1629" s="6" t="s">
        <v>638</v>
      </c>
      <c r="N1629" s="6" t="s">
        <v>85</v>
      </c>
      <c r="O1629" s="6" t="s">
        <v>248</v>
      </c>
      <c r="P1629" t="s">
        <v>147</v>
      </c>
      <c r="Q1629">
        <v>30</v>
      </c>
      <c r="R1629" t="s">
        <v>213</v>
      </c>
      <c r="S1629" s="2" t="s">
        <v>7</v>
      </c>
      <c r="T1629" s="2">
        <v>11</v>
      </c>
      <c r="U1629" t="s">
        <v>28</v>
      </c>
      <c r="V1629" t="s">
        <v>28</v>
      </c>
      <c r="W1629">
        <v>10</v>
      </c>
      <c r="X1629">
        <v>0.38890000000000002</v>
      </c>
      <c r="Y1629">
        <f t="shared" si="35"/>
        <v>0.33013953908078497</v>
      </c>
      <c r="AA1629">
        <v>0.1951</v>
      </c>
      <c r="AB1629">
        <v>0.58530000000000004</v>
      </c>
    </row>
    <row r="1630" spans="1:28" x14ac:dyDescent="0.2">
      <c r="A1630" t="s">
        <v>244</v>
      </c>
      <c r="B1630">
        <v>1987</v>
      </c>
      <c r="C1630" t="s">
        <v>826</v>
      </c>
      <c r="D1630" t="s">
        <v>824</v>
      </c>
      <c r="E1630" t="s">
        <v>48</v>
      </c>
      <c r="F1630" t="s">
        <v>307</v>
      </c>
      <c r="G1630">
        <v>54.193665000000003</v>
      </c>
      <c r="H1630">
        <v>7.8804689999999997</v>
      </c>
      <c r="J1630" t="s">
        <v>14</v>
      </c>
      <c r="K1630" t="s">
        <v>245</v>
      </c>
      <c r="L1630" t="s">
        <v>143</v>
      </c>
      <c r="M1630" s="6" t="s">
        <v>638</v>
      </c>
      <c r="N1630" s="6" t="s">
        <v>85</v>
      </c>
      <c r="O1630" s="6" t="s">
        <v>248</v>
      </c>
      <c r="P1630" t="s">
        <v>147</v>
      </c>
      <c r="Q1630">
        <v>30</v>
      </c>
      <c r="R1630" t="s">
        <v>213</v>
      </c>
      <c r="S1630" s="2" t="s">
        <v>9</v>
      </c>
      <c r="T1630" s="2">
        <v>11</v>
      </c>
      <c r="U1630" t="s">
        <v>28</v>
      </c>
      <c r="V1630" t="s">
        <v>28</v>
      </c>
      <c r="W1630">
        <v>15</v>
      </c>
      <c r="X1630">
        <v>0.40050000000000002</v>
      </c>
      <c r="Y1630">
        <f t="shared" si="35"/>
        <v>0.2536541102419767</v>
      </c>
      <c r="AA1630">
        <v>0.25190000000000001</v>
      </c>
      <c r="AB1630">
        <v>0.55169999999999997</v>
      </c>
    </row>
    <row r="1631" spans="1:28" x14ac:dyDescent="0.2">
      <c r="A1631" t="s">
        <v>244</v>
      </c>
      <c r="B1631">
        <v>1987</v>
      </c>
      <c r="C1631" t="s">
        <v>826</v>
      </c>
      <c r="D1631" t="s">
        <v>824</v>
      </c>
      <c r="E1631" t="s">
        <v>48</v>
      </c>
      <c r="F1631" t="s">
        <v>307</v>
      </c>
      <c r="G1631">
        <v>54.193665000000003</v>
      </c>
      <c r="H1631">
        <v>7.8804689999999997</v>
      </c>
      <c r="J1631" t="s">
        <v>14</v>
      </c>
      <c r="K1631" t="s">
        <v>245</v>
      </c>
      <c r="L1631" t="s">
        <v>143</v>
      </c>
      <c r="M1631" s="6" t="s">
        <v>638</v>
      </c>
      <c r="N1631" s="6" t="s">
        <v>85</v>
      </c>
      <c r="O1631" s="6" t="s">
        <v>248</v>
      </c>
      <c r="P1631" t="s">
        <v>147</v>
      </c>
      <c r="Q1631">
        <v>30</v>
      </c>
      <c r="R1631" t="s">
        <v>213</v>
      </c>
      <c r="S1631" s="2" t="s">
        <v>27</v>
      </c>
      <c r="T1631" s="2">
        <v>11</v>
      </c>
      <c r="U1631" t="s">
        <v>28</v>
      </c>
      <c r="V1631" t="s">
        <v>28</v>
      </c>
      <c r="W1631">
        <v>20</v>
      </c>
      <c r="X1631">
        <v>0.47160000000000002</v>
      </c>
      <c r="Y1631">
        <f t="shared" si="35"/>
        <v>0.25356950246671256</v>
      </c>
      <c r="AA1631">
        <v>0.32169999999999999</v>
      </c>
      <c r="AB1631">
        <v>0.62139999999999995</v>
      </c>
    </row>
    <row r="1632" spans="1:28" x14ac:dyDescent="0.2">
      <c r="A1632" t="s">
        <v>244</v>
      </c>
      <c r="B1632">
        <v>1987</v>
      </c>
      <c r="C1632" t="s">
        <v>826</v>
      </c>
      <c r="D1632" t="s">
        <v>824</v>
      </c>
      <c r="E1632" t="s">
        <v>48</v>
      </c>
      <c r="F1632" t="s">
        <v>307</v>
      </c>
      <c r="G1632">
        <v>54.193665000000003</v>
      </c>
      <c r="H1632">
        <v>7.8804689999999997</v>
      </c>
      <c r="J1632" t="s">
        <v>7</v>
      </c>
      <c r="K1632" t="s">
        <v>245</v>
      </c>
      <c r="L1632" t="s">
        <v>143</v>
      </c>
      <c r="M1632" t="s">
        <v>638</v>
      </c>
      <c r="N1632" s="6" t="s">
        <v>85</v>
      </c>
      <c r="O1632" t="s">
        <v>107</v>
      </c>
      <c r="P1632" t="s">
        <v>147</v>
      </c>
      <c r="Q1632">
        <v>30</v>
      </c>
      <c r="R1632" t="s">
        <v>213</v>
      </c>
      <c r="S1632" s="2" t="s">
        <v>7</v>
      </c>
      <c r="T1632" s="2">
        <v>11</v>
      </c>
      <c r="U1632" t="s">
        <v>28</v>
      </c>
      <c r="V1632" t="s">
        <v>28</v>
      </c>
      <c r="W1632">
        <v>10</v>
      </c>
      <c r="X1632">
        <v>2.9249999999999998</v>
      </c>
      <c r="Y1632">
        <f t="shared" si="35"/>
        <v>1.0144472254173784</v>
      </c>
      <c r="AA1632">
        <v>2.3260000000000001</v>
      </c>
      <c r="AB1632">
        <v>3.5249999999999999</v>
      </c>
    </row>
    <row r="1633" spans="1:28" x14ac:dyDescent="0.2">
      <c r="A1633" t="s">
        <v>244</v>
      </c>
      <c r="B1633">
        <v>1987</v>
      </c>
      <c r="C1633" t="s">
        <v>826</v>
      </c>
      <c r="D1633" t="s">
        <v>824</v>
      </c>
      <c r="E1633" t="s">
        <v>48</v>
      </c>
      <c r="F1633" t="s">
        <v>307</v>
      </c>
      <c r="G1633">
        <v>54.193665000000003</v>
      </c>
      <c r="H1633">
        <v>7.8804689999999997</v>
      </c>
      <c r="J1633" t="s">
        <v>14</v>
      </c>
      <c r="K1633" t="s">
        <v>245</v>
      </c>
      <c r="L1633" t="s">
        <v>143</v>
      </c>
      <c r="M1633" t="s">
        <v>638</v>
      </c>
      <c r="N1633" s="6" t="s">
        <v>85</v>
      </c>
      <c r="O1633" t="s">
        <v>107</v>
      </c>
      <c r="P1633" t="s">
        <v>147</v>
      </c>
      <c r="Q1633">
        <v>30</v>
      </c>
      <c r="R1633" t="s">
        <v>213</v>
      </c>
      <c r="S1633" s="2" t="s">
        <v>9</v>
      </c>
      <c r="T1633" s="2">
        <v>11</v>
      </c>
      <c r="U1633" t="s">
        <v>28</v>
      </c>
      <c r="V1633" t="s">
        <v>28</v>
      </c>
      <c r="W1633">
        <v>15</v>
      </c>
      <c r="X1633">
        <v>2.512</v>
      </c>
      <c r="Y1633">
        <f t="shared" si="35"/>
        <v>0.87061400746829243</v>
      </c>
      <c r="AA1633">
        <v>2.0049999999999999</v>
      </c>
      <c r="AB1633">
        <v>3.0339999999999998</v>
      </c>
    </row>
    <row r="1634" spans="1:28" x14ac:dyDescent="0.2">
      <c r="A1634" t="s">
        <v>244</v>
      </c>
      <c r="B1634">
        <v>1987</v>
      </c>
      <c r="C1634" t="s">
        <v>826</v>
      </c>
      <c r="D1634" t="s">
        <v>824</v>
      </c>
      <c r="E1634" t="s">
        <v>48</v>
      </c>
      <c r="F1634" t="s">
        <v>307</v>
      </c>
      <c r="G1634">
        <v>54.193665000000003</v>
      </c>
      <c r="H1634">
        <v>7.8804689999999997</v>
      </c>
      <c r="J1634" t="s">
        <v>14</v>
      </c>
      <c r="K1634" t="s">
        <v>245</v>
      </c>
      <c r="L1634" t="s">
        <v>143</v>
      </c>
      <c r="M1634" t="s">
        <v>638</v>
      </c>
      <c r="N1634" s="6" t="s">
        <v>85</v>
      </c>
      <c r="O1634" t="s">
        <v>107</v>
      </c>
      <c r="P1634" t="s">
        <v>147</v>
      </c>
      <c r="Q1634">
        <v>30</v>
      </c>
      <c r="R1634" t="s">
        <v>213</v>
      </c>
      <c r="S1634" s="2" t="s">
        <v>27</v>
      </c>
      <c r="T1634" s="2">
        <v>11</v>
      </c>
      <c r="U1634" t="s">
        <v>28</v>
      </c>
      <c r="V1634" t="s">
        <v>28</v>
      </c>
      <c r="W1634">
        <v>20</v>
      </c>
      <c r="X1634">
        <v>3.137</v>
      </c>
      <c r="Y1634">
        <f t="shared" si="35"/>
        <v>0.48057216350047599</v>
      </c>
      <c r="AA1634">
        <v>2.8530000000000002</v>
      </c>
      <c r="AB1634">
        <v>3.4209999999999998</v>
      </c>
    </row>
    <row r="1635" spans="1:28" x14ac:dyDescent="0.2">
      <c r="A1635" t="s">
        <v>244</v>
      </c>
      <c r="B1635">
        <v>1987</v>
      </c>
      <c r="C1635" t="s">
        <v>826</v>
      </c>
      <c r="D1635" t="s">
        <v>824</v>
      </c>
      <c r="E1635" t="s">
        <v>48</v>
      </c>
      <c r="F1635" t="s">
        <v>307</v>
      </c>
      <c r="G1635">
        <v>54.193665000000003</v>
      </c>
      <c r="H1635">
        <v>7.8804689999999997</v>
      </c>
      <c r="J1635" t="s">
        <v>7</v>
      </c>
      <c r="K1635" t="s">
        <v>245</v>
      </c>
      <c r="L1635" t="s">
        <v>143</v>
      </c>
      <c r="M1635" t="s">
        <v>638</v>
      </c>
      <c r="N1635" s="6" t="s">
        <v>86</v>
      </c>
      <c r="O1635" s="6" t="s">
        <v>249</v>
      </c>
      <c r="P1635" t="s">
        <v>147</v>
      </c>
      <c r="Q1635">
        <v>30</v>
      </c>
      <c r="R1635" t="s">
        <v>213</v>
      </c>
      <c r="S1635" s="2" t="s">
        <v>7</v>
      </c>
      <c r="T1635" s="2">
        <v>15</v>
      </c>
      <c r="U1635" t="s">
        <v>28</v>
      </c>
      <c r="V1635" t="s">
        <v>28</v>
      </c>
      <c r="W1635">
        <v>10</v>
      </c>
      <c r="X1635">
        <v>2.9409999999999998</v>
      </c>
      <c r="Y1635">
        <f t="shared" si="35"/>
        <v>1.1658470276848854</v>
      </c>
      <c r="AA1635">
        <v>2.3740000000000001</v>
      </c>
      <c r="AB1635">
        <v>3.5539999999999998</v>
      </c>
    </row>
    <row r="1636" spans="1:28" x14ac:dyDescent="0.2">
      <c r="A1636" t="s">
        <v>244</v>
      </c>
      <c r="B1636">
        <v>1987</v>
      </c>
      <c r="C1636" t="s">
        <v>826</v>
      </c>
      <c r="D1636" t="s">
        <v>824</v>
      </c>
      <c r="E1636" t="s">
        <v>48</v>
      </c>
      <c r="F1636" t="s">
        <v>307</v>
      </c>
      <c r="G1636">
        <v>54.193665000000003</v>
      </c>
      <c r="H1636">
        <v>7.8804689999999997</v>
      </c>
      <c r="J1636" t="s">
        <v>14</v>
      </c>
      <c r="K1636" t="s">
        <v>245</v>
      </c>
      <c r="L1636" t="s">
        <v>143</v>
      </c>
      <c r="M1636" t="s">
        <v>638</v>
      </c>
      <c r="N1636" s="6" t="s">
        <v>86</v>
      </c>
      <c r="O1636" s="6" t="s">
        <v>249</v>
      </c>
      <c r="P1636" t="s">
        <v>147</v>
      </c>
      <c r="Q1636">
        <v>30</v>
      </c>
      <c r="R1636" t="s">
        <v>213</v>
      </c>
      <c r="S1636" s="2" t="s">
        <v>9</v>
      </c>
      <c r="T1636" s="2">
        <v>15</v>
      </c>
      <c r="U1636" t="s">
        <v>28</v>
      </c>
      <c r="V1636" t="s">
        <v>28</v>
      </c>
      <c r="W1636">
        <v>15</v>
      </c>
      <c r="X1636">
        <v>4.4950000000000001</v>
      </c>
      <c r="Y1636">
        <f t="shared" si="35"/>
        <v>2.1518769714387131</v>
      </c>
      <c r="AA1636">
        <v>3.395</v>
      </c>
      <c r="AB1636">
        <v>5.5730000000000004</v>
      </c>
    </row>
    <row r="1637" spans="1:28" x14ac:dyDescent="0.2">
      <c r="A1637" t="s">
        <v>244</v>
      </c>
      <c r="B1637">
        <v>1987</v>
      </c>
      <c r="C1637" t="s">
        <v>826</v>
      </c>
      <c r="D1637" t="s">
        <v>824</v>
      </c>
      <c r="E1637" t="s">
        <v>48</v>
      </c>
      <c r="F1637" t="s">
        <v>307</v>
      </c>
      <c r="G1637">
        <v>54.193665000000003</v>
      </c>
      <c r="H1637">
        <v>7.8804689999999997</v>
      </c>
      <c r="J1637" t="s">
        <v>14</v>
      </c>
      <c r="K1637" t="s">
        <v>245</v>
      </c>
      <c r="L1637" t="s">
        <v>143</v>
      </c>
      <c r="M1637" t="s">
        <v>638</v>
      </c>
      <c r="N1637" s="6" t="s">
        <v>86</v>
      </c>
      <c r="O1637" s="6" t="s">
        <v>249</v>
      </c>
      <c r="P1637" t="s">
        <v>147</v>
      </c>
      <c r="Q1637">
        <v>30</v>
      </c>
      <c r="R1637" t="s">
        <v>213</v>
      </c>
      <c r="S1637" s="2" t="s">
        <v>27</v>
      </c>
      <c r="T1637" s="2">
        <v>15</v>
      </c>
      <c r="U1637" t="s">
        <v>28</v>
      </c>
      <c r="V1637" t="s">
        <v>28</v>
      </c>
      <c r="W1637">
        <v>20</v>
      </c>
      <c r="X1637">
        <v>3.5539999999999998</v>
      </c>
      <c r="Y1637">
        <f t="shared" ref="Y1637:Y1670" si="36">SQRT(T1637) * (AB1637-AA1637)/3.92</f>
        <v>1.2330314326701166</v>
      </c>
      <c r="AA1637">
        <v>2.9409999999999998</v>
      </c>
      <c r="AB1637">
        <v>4.1890000000000001</v>
      </c>
    </row>
    <row r="1638" spans="1:28" x14ac:dyDescent="0.2">
      <c r="A1638" t="s">
        <v>244</v>
      </c>
      <c r="B1638">
        <v>1987</v>
      </c>
      <c r="C1638" t="s">
        <v>826</v>
      </c>
      <c r="D1638" t="s">
        <v>824</v>
      </c>
      <c r="E1638" t="s">
        <v>48</v>
      </c>
      <c r="F1638" t="s">
        <v>307</v>
      </c>
      <c r="G1638">
        <v>54.193665000000003</v>
      </c>
      <c r="H1638">
        <v>7.8804689999999997</v>
      </c>
      <c r="J1638" t="s">
        <v>7</v>
      </c>
      <c r="K1638" t="s">
        <v>245</v>
      </c>
      <c r="L1638" t="s">
        <v>143</v>
      </c>
      <c r="M1638" t="s">
        <v>638</v>
      </c>
      <c r="N1638" s="6" t="s">
        <v>85</v>
      </c>
      <c r="O1638" s="6" t="s">
        <v>276</v>
      </c>
      <c r="P1638" t="s">
        <v>147</v>
      </c>
      <c r="Q1638">
        <v>30</v>
      </c>
      <c r="R1638" t="s">
        <v>213</v>
      </c>
      <c r="S1638" s="2" t="s">
        <v>7</v>
      </c>
      <c r="T1638" s="2">
        <v>15</v>
      </c>
      <c r="U1638" t="s">
        <v>28</v>
      </c>
      <c r="V1638" t="s">
        <v>28</v>
      </c>
      <c r="W1638">
        <v>10</v>
      </c>
      <c r="X1638">
        <v>0.73</v>
      </c>
      <c r="Y1638">
        <f t="shared" si="36"/>
        <v>0.49400297783257874</v>
      </c>
      <c r="AA1638">
        <v>0.49099999999999999</v>
      </c>
      <c r="AB1638">
        <v>0.99099999999999999</v>
      </c>
    </row>
    <row r="1639" spans="1:28" x14ac:dyDescent="0.2">
      <c r="A1639" t="s">
        <v>244</v>
      </c>
      <c r="B1639">
        <v>1987</v>
      </c>
      <c r="C1639" t="s">
        <v>826</v>
      </c>
      <c r="D1639" t="s">
        <v>824</v>
      </c>
      <c r="E1639" t="s">
        <v>48</v>
      </c>
      <c r="F1639" t="s">
        <v>307</v>
      </c>
      <c r="G1639">
        <v>54.193665000000003</v>
      </c>
      <c r="H1639">
        <v>7.8804689999999997</v>
      </c>
      <c r="J1639" t="s">
        <v>14</v>
      </c>
      <c r="K1639" t="s">
        <v>245</v>
      </c>
      <c r="L1639" t="s">
        <v>143</v>
      </c>
      <c r="M1639" t="s">
        <v>638</v>
      </c>
      <c r="N1639" s="6" t="s">
        <v>85</v>
      </c>
      <c r="O1639" s="6" t="s">
        <v>276</v>
      </c>
      <c r="P1639" t="s">
        <v>147</v>
      </c>
      <c r="Q1639">
        <v>30</v>
      </c>
      <c r="R1639" t="s">
        <v>213</v>
      </c>
      <c r="S1639" s="2" t="s">
        <v>9</v>
      </c>
      <c r="T1639" s="2">
        <v>15</v>
      </c>
      <c r="U1639" t="s">
        <v>28</v>
      </c>
      <c r="V1639" t="s">
        <v>28</v>
      </c>
      <c r="W1639">
        <v>15</v>
      </c>
      <c r="X1639">
        <v>0.83199999999999996</v>
      </c>
      <c r="Y1639">
        <f t="shared" si="36"/>
        <v>0.61651571633505819</v>
      </c>
      <c r="AA1639">
        <v>0.53700000000000003</v>
      </c>
      <c r="AB1639">
        <v>1.161</v>
      </c>
    </row>
    <row r="1640" spans="1:28" x14ac:dyDescent="0.2">
      <c r="A1640" t="s">
        <v>244</v>
      </c>
      <c r="B1640">
        <v>1987</v>
      </c>
      <c r="C1640" t="s">
        <v>826</v>
      </c>
      <c r="D1640" t="s">
        <v>824</v>
      </c>
      <c r="E1640" t="s">
        <v>48</v>
      </c>
      <c r="F1640" t="s">
        <v>307</v>
      </c>
      <c r="G1640">
        <v>54.193665000000003</v>
      </c>
      <c r="H1640">
        <v>7.8804689999999997</v>
      </c>
      <c r="J1640" t="s">
        <v>14</v>
      </c>
      <c r="K1640" t="s">
        <v>245</v>
      </c>
      <c r="L1640" t="s">
        <v>143</v>
      </c>
      <c r="M1640" t="s">
        <v>638</v>
      </c>
      <c r="N1640" s="6" t="s">
        <v>85</v>
      </c>
      <c r="O1640" s="6" t="s">
        <v>276</v>
      </c>
      <c r="P1640" t="s">
        <v>147</v>
      </c>
      <c r="Q1640">
        <v>30</v>
      </c>
      <c r="R1640" t="s">
        <v>213</v>
      </c>
      <c r="S1640" s="2" t="s">
        <v>27</v>
      </c>
      <c r="T1640" s="2">
        <v>15</v>
      </c>
      <c r="U1640" t="s">
        <v>28</v>
      </c>
      <c r="V1640" t="s">
        <v>28</v>
      </c>
      <c r="W1640">
        <v>20</v>
      </c>
      <c r="X1640">
        <v>1.0469999999999999</v>
      </c>
      <c r="Y1640">
        <f t="shared" si="36"/>
        <v>0.53846324583751071</v>
      </c>
      <c r="AA1640">
        <v>0.78600000000000003</v>
      </c>
      <c r="AB1640">
        <v>1.331</v>
      </c>
    </row>
    <row r="1641" spans="1:28" x14ac:dyDescent="0.2">
      <c r="A1641" t="s">
        <v>244</v>
      </c>
      <c r="B1641">
        <v>1987</v>
      </c>
      <c r="C1641" t="s">
        <v>826</v>
      </c>
      <c r="D1641" t="s">
        <v>824</v>
      </c>
      <c r="E1641" t="s">
        <v>48</v>
      </c>
      <c r="F1641" t="s">
        <v>307</v>
      </c>
      <c r="G1641">
        <v>54.193665000000003</v>
      </c>
      <c r="H1641">
        <v>7.8804689999999997</v>
      </c>
      <c r="J1641" t="s">
        <v>7</v>
      </c>
      <c r="K1641" t="s">
        <v>245</v>
      </c>
      <c r="L1641" t="s">
        <v>143</v>
      </c>
      <c r="M1641" s="6" t="s">
        <v>664</v>
      </c>
      <c r="N1641" s="6" t="s">
        <v>85</v>
      </c>
      <c r="O1641" s="6" t="s">
        <v>844</v>
      </c>
      <c r="P1641" t="s">
        <v>250</v>
      </c>
      <c r="Q1641">
        <v>30</v>
      </c>
      <c r="R1641" t="s">
        <v>213</v>
      </c>
      <c r="S1641" s="2" t="s">
        <v>7</v>
      </c>
      <c r="T1641" s="2">
        <v>9</v>
      </c>
      <c r="U1641" t="s">
        <v>28</v>
      </c>
      <c r="V1641" t="s">
        <v>28</v>
      </c>
      <c r="W1641">
        <v>10</v>
      </c>
      <c r="X1641">
        <v>19.32</v>
      </c>
      <c r="Y1641">
        <f t="shared" si="36"/>
        <v>6.0841836734693873</v>
      </c>
      <c r="AA1641">
        <v>15.45</v>
      </c>
      <c r="AB1641">
        <v>23.4</v>
      </c>
    </row>
    <row r="1642" spans="1:28" x14ac:dyDescent="0.2">
      <c r="A1642" t="s">
        <v>244</v>
      </c>
      <c r="B1642">
        <v>1987</v>
      </c>
      <c r="C1642" t="s">
        <v>826</v>
      </c>
      <c r="D1642" t="s">
        <v>824</v>
      </c>
      <c r="E1642" t="s">
        <v>48</v>
      </c>
      <c r="F1642" t="s">
        <v>307</v>
      </c>
      <c r="G1642">
        <v>54.193665000000003</v>
      </c>
      <c r="H1642">
        <v>7.8804689999999997</v>
      </c>
      <c r="J1642" t="s">
        <v>14</v>
      </c>
      <c r="K1642" t="s">
        <v>245</v>
      </c>
      <c r="L1642" t="s">
        <v>143</v>
      </c>
      <c r="M1642" s="6" t="s">
        <v>664</v>
      </c>
      <c r="N1642" s="6" t="s">
        <v>85</v>
      </c>
      <c r="O1642" s="6" t="s">
        <v>844</v>
      </c>
      <c r="P1642" t="s">
        <v>250</v>
      </c>
      <c r="Q1642">
        <v>30</v>
      </c>
      <c r="R1642" t="s">
        <v>213</v>
      </c>
      <c r="S1642" s="2" t="s">
        <v>9</v>
      </c>
      <c r="T1642" s="2">
        <v>9</v>
      </c>
      <c r="U1642" t="s">
        <v>28</v>
      </c>
      <c r="V1642" t="s">
        <v>28</v>
      </c>
      <c r="W1642">
        <v>15</v>
      </c>
      <c r="X1642">
        <v>14.35</v>
      </c>
      <c r="Y1642">
        <f t="shared" si="36"/>
        <v>5.2806122448979584</v>
      </c>
      <c r="AA1642">
        <v>11</v>
      </c>
      <c r="AB1642">
        <v>17.899999999999999</v>
      </c>
    </row>
    <row r="1643" spans="1:28" x14ac:dyDescent="0.2">
      <c r="A1643" t="s">
        <v>244</v>
      </c>
      <c r="B1643">
        <v>1987</v>
      </c>
      <c r="C1643" t="s">
        <v>826</v>
      </c>
      <c r="D1643" t="s">
        <v>824</v>
      </c>
      <c r="E1643" t="s">
        <v>48</v>
      </c>
      <c r="F1643" t="s">
        <v>307</v>
      </c>
      <c r="G1643">
        <v>54.193665000000003</v>
      </c>
      <c r="H1643">
        <v>7.8804689999999997</v>
      </c>
      <c r="J1643" t="s">
        <v>14</v>
      </c>
      <c r="K1643" t="s">
        <v>245</v>
      </c>
      <c r="L1643" t="s">
        <v>143</v>
      </c>
      <c r="M1643" s="6" t="s">
        <v>664</v>
      </c>
      <c r="N1643" s="6" t="s">
        <v>85</v>
      </c>
      <c r="O1643" s="6" t="s">
        <v>844</v>
      </c>
      <c r="P1643" t="s">
        <v>250</v>
      </c>
      <c r="Q1643">
        <v>30</v>
      </c>
      <c r="R1643" t="s">
        <v>213</v>
      </c>
      <c r="S1643" s="2" t="s">
        <v>27</v>
      </c>
      <c r="T1643" s="2">
        <v>9</v>
      </c>
      <c r="U1643" t="s">
        <v>28</v>
      </c>
      <c r="V1643" t="s">
        <v>28</v>
      </c>
      <c r="W1643">
        <v>20</v>
      </c>
      <c r="X1643">
        <v>15.72</v>
      </c>
      <c r="Y1643">
        <f t="shared" si="36"/>
        <v>4.5688775510204103</v>
      </c>
      <c r="AA1643">
        <v>12.7</v>
      </c>
      <c r="AB1643">
        <v>18.670000000000002</v>
      </c>
    </row>
    <row r="1644" spans="1:28" x14ac:dyDescent="0.2">
      <c r="A1644" t="s">
        <v>244</v>
      </c>
      <c r="B1644">
        <v>1987</v>
      </c>
      <c r="C1644" t="s">
        <v>826</v>
      </c>
      <c r="D1644" t="s">
        <v>824</v>
      </c>
      <c r="E1644" t="s">
        <v>48</v>
      </c>
      <c r="F1644" t="s">
        <v>307</v>
      </c>
      <c r="G1644">
        <v>54.193665000000003</v>
      </c>
      <c r="H1644">
        <v>7.8804689999999997</v>
      </c>
      <c r="J1644" t="s">
        <v>7</v>
      </c>
      <c r="K1644" t="s">
        <v>245</v>
      </c>
      <c r="L1644" t="s">
        <v>143</v>
      </c>
      <c r="M1644" s="6" t="s">
        <v>664</v>
      </c>
      <c r="N1644" s="6" t="s">
        <v>85</v>
      </c>
      <c r="O1644" s="6" t="s">
        <v>251</v>
      </c>
      <c r="P1644" t="s">
        <v>253</v>
      </c>
      <c r="Q1644">
        <v>30</v>
      </c>
      <c r="R1644" t="s">
        <v>213</v>
      </c>
      <c r="S1644" s="2" t="s">
        <v>7</v>
      </c>
      <c r="T1644" s="2">
        <v>9</v>
      </c>
      <c r="U1644" t="s">
        <v>28</v>
      </c>
      <c r="V1644" t="s">
        <v>28</v>
      </c>
      <c r="W1644">
        <v>10</v>
      </c>
      <c r="X1644">
        <v>0.66100000000000003</v>
      </c>
      <c r="Y1644">
        <f t="shared" si="36"/>
        <v>0.24336734693877549</v>
      </c>
      <c r="AA1644">
        <v>0.505</v>
      </c>
      <c r="AB1644">
        <v>0.82299999999999995</v>
      </c>
    </row>
    <row r="1645" spans="1:28" x14ac:dyDescent="0.2">
      <c r="A1645" t="s">
        <v>244</v>
      </c>
      <c r="B1645">
        <v>1987</v>
      </c>
      <c r="C1645" t="s">
        <v>826</v>
      </c>
      <c r="D1645" t="s">
        <v>824</v>
      </c>
      <c r="E1645" t="s">
        <v>48</v>
      </c>
      <c r="F1645" t="s">
        <v>307</v>
      </c>
      <c r="G1645">
        <v>54.193665000000003</v>
      </c>
      <c r="H1645">
        <v>7.8804689999999997</v>
      </c>
      <c r="J1645" t="s">
        <v>14</v>
      </c>
      <c r="K1645" t="s">
        <v>245</v>
      </c>
      <c r="L1645" t="s">
        <v>143</v>
      </c>
      <c r="M1645" s="6" t="s">
        <v>664</v>
      </c>
      <c r="N1645" s="6" t="s">
        <v>85</v>
      </c>
      <c r="O1645" s="6" t="s">
        <v>251</v>
      </c>
      <c r="P1645" t="s">
        <v>253</v>
      </c>
      <c r="Q1645">
        <v>30</v>
      </c>
      <c r="R1645" t="s">
        <v>213</v>
      </c>
      <c r="S1645" s="2" t="s">
        <v>9</v>
      </c>
      <c r="T1645" s="2">
        <v>9</v>
      </c>
      <c r="U1645" t="s">
        <v>28</v>
      </c>
      <c r="V1645" t="s">
        <v>28</v>
      </c>
      <c r="W1645">
        <v>15</v>
      </c>
      <c r="X1645">
        <v>0.47099999999999997</v>
      </c>
      <c r="Y1645">
        <f t="shared" si="36"/>
        <v>0.17448979591836733</v>
      </c>
      <c r="AA1645">
        <v>0.36499999999999999</v>
      </c>
      <c r="AB1645">
        <v>0.59299999999999997</v>
      </c>
    </row>
    <row r="1646" spans="1:28" x14ac:dyDescent="0.2">
      <c r="A1646" t="s">
        <v>244</v>
      </c>
      <c r="B1646">
        <v>1987</v>
      </c>
      <c r="C1646" t="s">
        <v>826</v>
      </c>
      <c r="D1646" t="s">
        <v>824</v>
      </c>
      <c r="E1646" t="s">
        <v>48</v>
      </c>
      <c r="F1646" t="s">
        <v>307</v>
      </c>
      <c r="G1646">
        <v>54.193665000000003</v>
      </c>
      <c r="H1646">
        <v>7.8804689999999997</v>
      </c>
      <c r="J1646" t="s">
        <v>14</v>
      </c>
      <c r="K1646" t="s">
        <v>245</v>
      </c>
      <c r="L1646" t="s">
        <v>143</v>
      </c>
      <c r="M1646" s="6" t="s">
        <v>664</v>
      </c>
      <c r="N1646" s="6" t="s">
        <v>85</v>
      </c>
      <c r="O1646" s="6" t="s">
        <v>251</v>
      </c>
      <c r="P1646" t="s">
        <v>253</v>
      </c>
      <c r="Q1646">
        <v>30</v>
      </c>
      <c r="R1646" t="s">
        <v>213</v>
      </c>
      <c r="S1646" s="2" t="s">
        <v>27</v>
      </c>
      <c r="T1646" s="2">
        <v>9</v>
      </c>
      <c r="U1646" t="s">
        <v>28</v>
      </c>
      <c r="V1646" t="s">
        <v>28</v>
      </c>
      <c r="W1646">
        <v>20</v>
      </c>
      <c r="X1646">
        <v>0.56100000000000005</v>
      </c>
      <c r="Y1646">
        <f t="shared" si="36"/>
        <v>0.27397959183673465</v>
      </c>
      <c r="AA1646">
        <v>0.38400000000000001</v>
      </c>
      <c r="AB1646">
        <v>0.74199999999999999</v>
      </c>
    </row>
    <row r="1647" spans="1:28" x14ac:dyDescent="0.2">
      <c r="A1647" t="s">
        <v>244</v>
      </c>
      <c r="B1647">
        <v>1987</v>
      </c>
      <c r="C1647" t="s">
        <v>826</v>
      </c>
      <c r="D1647" t="s">
        <v>824</v>
      </c>
      <c r="E1647" t="s">
        <v>48</v>
      </c>
      <c r="F1647" t="s">
        <v>307</v>
      </c>
      <c r="G1647">
        <v>54.193665000000003</v>
      </c>
      <c r="H1647">
        <v>7.8804689999999997</v>
      </c>
      <c r="J1647" t="s">
        <v>7</v>
      </c>
      <c r="K1647" t="s">
        <v>245</v>
      </c>
      <c r="L1647" t="s">
        <v>143</v>
      </c>
      <c r="M1647" s="6" t="s">
        <v>664</v>
      </c>
      <c r="N1647" s="6" t="s">
        <v>85</v>
      </c>
      <c r="O1647" s="6" t="s">
        <v>252</v>
      </c>
      <c r="P1647" t="s">
        <v>253</v>
      </c>
      <c r="Q1647">
        <v>30</v>
      </c>
      <c r="R1647" t="s">
        <v>213</v>
      </c>
      <c r="S1647" s="2" t="s">
        <v>7</v>
      </c>
      <c r="T1647" s="2">
        <v>9</v>
      </c>
      <c r="U1647" t="s">
        <v>28</v>
      </c>
      <c r="V1647" t="s">
        <v>28</v>
      </c>
      <c r="W1647">
        <v>10</v>
      </c>
      <c r="X1647">
        <v>0.95699999999999996</v>
      </c>
      <c r="Y1647">
        <f t="shared" si="36"/>
        <v>0.38647959183673475</v>
      </c>
      <c r="AA1647">
        <v>0.70099999999999996</v>
      </c>
      <c r="AB1647">
        <v>1.206</v>
      </c>
    </row>
    <row r="1648" spans="1:28" x14ac:dyDescent="0.2">
      <c r="A1648" t="s">
        <v>244</v>
      </c>
      <c r="B1648">
        <v>1987</v>
      </c>
      <c r="C1648" t="s">
        <v>826</v>
      </c>
      <c r="D1648" t="s">
        <v>824</v>
      </c>
      <c r="E1648" t="s">
        <v>48</v>
      </c>
      <c r="F1648" t="s">
        <v>307</v>
      </c>
      <c r="G1648">
        <v>54.193665000000003</v>
      </c>
      <c r="H1648">
        <v>7.8804689999999997</v>
      </c>
      <c r="J1648" t="s">
        <v>14</v>
      </c>
      <c r="K1648" t="s">
        <v>245</v>
      </c>
      <c r="L1648" t="s">
        <v>143</v>
      </c>
      <c r="M1648" s="6" t="s">
        <v>664</v>
      </c>
      <c r="N1648" s="6" t="s">
        <v>85</v>
      </c>
      <c r="O1648" s="6" t="s">
        <v>252</v>
      </c>
      <c r="P1648" t="s">
        <v>253</v>
      </c>
      <c r="Q1648">
        <v>30</v>
      </c>
      <c r="R1648" t="s">
        <v>213</v>
      </c>
      <c r="S1648" s="2" t="s">
        <v>9</v>
      </c>
      <c r="T1648" s="2">
        <v>9</v>
      </c>
      <c r="U1648" t="s">
        <v>28</v>
      </c>
      <c r="V1648" t="s">
        <v>28</v>
      </c>
      <c r="W1648">
        <v>15</v>
      </c>
      <c r="X1648">
        <v>0.77900000000000003</v>
      </c>
      <c r="Y1648">
        <f t="shared" si="36"/>
        <v>0.11403061224489798</v>
      </c>
      <c r="AA1648">
        <v>0.71</v>
      </c>
      <c r="AB1648">
        <v>0.85899999999999999</v>
      </c>
    </row>
    <row r="1649" spans="1:28" x14ac:dyDescent="0.2">
      <c r="A1649" t="s">
        <v>244</v>
      </c>
      <c r="B1649">
        <v>1987</v>
      </c>
      <c r="C1649" t="s">
        <v>826</v>
      </c>
      <c r="D1649" t="s">
        <v>824</v>
      </c>
      <c r="E1649" t="s">
        <v>48</v>
      </c>
      <c r="F1649" t="s">
        <v>307</v>
      </c>
      <c r="G1649">
        <v>54.193665000000003</v>
      </c>
      <c r="H1649">
        <v>7.8804689999999997</v>
      </c>
      <c r="J1649" t="s">
        <v>14</v>
      </c>
      <c r="K1649" t="s">
        <v>245</v>
      </c>
      <c r="L1649" t="s">
        <v>143</v>
      </c>
      <c r="M1649" s="6" t="s">
        <v>664</v>
      </c>
      <c r="N1649" s="6" t="s">
        <v>85</v>
      </c>
      <c r="O1649" s="6" t="s">
        <v>252</v>
      </c>
      <c r="P1649" t="s">
        <v>253</v>
      </c>
      <c r="Q1649">
        <v>30</v>
      </c>
      <c r="R1649" t="s">
        <v>213</v>
      </c>
      <c r="S1649" s="2" t="s">
        <v>27</v>
      </c>
      <c r="T1649" s="2">
        <v>9</v>
      </c>
      <c r="U1649" t="s">
        <v>28</v>
      </c>
      <c r="V1649" t="s">
        <v>28</v>
      </c>
      <c r="W1649">
        <v>20</v>
      </c>
      <c r="X1649">
        <v>0.873</v>
      </c>
      <c r="Y1649">
        <f t="shared" si="36"/>
        <v>0.22499999999999995</v>
      </c>
      <c r="AA1649">
        <v>0.72899999999999998</v>
      </c>
      <c r="AB1649">
        <v>1.0229999999999999</v>
      </c>
    </row>
    <row r="1650" spans="1:28" x14ac:dyDescent="0.2">
      <c r="A1650" t="s">
        <v>244</v>
      </c>
      <c r="B1650">
        <v>1987</v>
      </c>
      <c r="C1650" t="s">
        <v>826</v>
      </c>
      <c r="D1650" t="s">
        <v>824</v>
      </c>
      <c r="E1650" t="s">
        <v>48</v>
      </c>
      <c r="F1650" t="s">
        <v>307</v>
      </c>
      <c r="G1650">
        <v>54.193665000000003</v>
      </c>
      <c r="H1650">
        <v>7.8804689999999997</v>
      </c>
      <c r="J1650" t="s">
        <v>7</v>
      </c>
      <c r="K1650" t="s">
        <v>245</v>
      </c>
      <c r="L1650" t="s">
        <v>143</v>
      </c>
      <c r="M1650" s="6" t="s">
        <v>664</v>
      </c>
      <c r="N1650" s="6" t="s">
        <v>85</v>
      </c>
      <c r="O1650" s="6" t="s">
        <v>254</v>
      </c>
      <c r="P1650" t="s">
        <v>78</v>
      </c>
      <c r="Q1650">
        <v>30</v>
      </c>
      <c r="R1650" t="s">
        <v>213</v>
      </c>
      <c r="S1650" s="2" t="s">
        <v>7</v>
      </c>
      <c r="T1650" s="2">
        <v>8</v>
      </c>
      <c r="U1650" t="s">
        <v>28</v>
      </c>
      <c r="V1650" t="s">
        <v>28</v>
      </c>
      <c r="W1650">
        <v>10</v>
      </c>
      <c r="X1650">
        <v>0.28810000000000002</v>
      </c>
      <c r="Y1650">
        <f t="shared" si="36"/>
        <v>6.3856071566336187E-2</v>
      </c>
      <c r="AA1650">
        <v>0.24429999999999999</v>
      </c>
      <c r="AB1650">
        <v>0.33279999999999998</v>
      </c>
    </row>
    <row r="1651" spans="1:28" x14ac:dyDescent="0.2">
      <c r="A1651" t="s">
        <v>244</v>
      </c>
      <c r="B1651">
        <v>1987</v>
      </c>
      <c r="C1651" t="s">
        <v>826</v>
      </c>
      <c r="D1651" t="s">
        <v>824</v>
      </c>
      <c r="E1651" t="s">
        <v>48</v>
      </c>
      <c r="F1651" t="s">
        <v>307</v>
      </c>
      <c r="G1651">
        <v>54.193665000000003</v>
      </c>
      <c r="H1651">
        <v>7.8804689999999997</v>
      </c>
      <c r="J1651" t="s">
        <v>14</v>
      </c>
      <c r="K1651" t="s">
        <v>245</v>
      </c>
      <c r="L1651" t="s">
        <v>143</v>
      </c>
      <c r="M1651" s="6" t="s">
        <v>664</v>
      </c>
      <c r="N1651" s="6" t="s">
        <v>85</v>
      </c>
      <c r="O1651" s="6" t="s">
        <v>254</v>
      </c>
      <c r="P1651" t="s">
        <v>78</v>
      </c>
      <c r="Q1651">
        <v>30</v>
      </c>
      <c r="R1651" t="s">
        <v>213</v>
      </c>
      <c r="S1651" s="2" t="s">
        <v>9</v>
      </c>
      <c r="T1651" s="2">
        <v>8</v>
      </c>
      <c r="U1651" t="s">
        <v>28</v>
      </c>
      <c r="V1651" t="s">
        <v>28</v>
      </c>
      <c r="W1651">
        <v>15</v>
      </c>
      <c r="X1651">
        <v>0.1328</v>
      </c>
      <c r="Y1651">
        <f t="shared" si="36"/>
        <v>2.943873129837872E-2</v>
      </c>
      <c r="AA1651">
        <v>0.1139</v>
      </c>
      <c r="AB1651">
        <v>0.1547</v>
      </c>
    </row>
    <row r="1652" spans="1:28" x14ac:dyDescent="0.2">
      <c r="A1652" t="s">
        <v>244</v>
      </c>
      <c r="B1652">
        <v>1987</v>
      </c>
      <c r="C1652" t="s">
        <v>826</v>
      </c>
      <c r="D1652" t="s">
        <v>824</v>
      </c>
      <c r="E1652" t="s">
        <v>48</v>
      </c>
      <c r="F1652" t="s">
        <v>307</v>
      </c>
      <c r="G1652">
        <v>54.193665000000003</v>
      </c>
      <c r="H1652">
        <v>7.8804689999999997</v>
      </c>
      <c r="J1652" t="s">
        <v>14</v>
      </c>
      <c r="K1652" t="s">
        <v>245</v>
      </c>
      <c r="L1652" t="s">
        <v>143</v>
      </c>
      <c r="M1652" s="6" t="s">
        <v>664</v>
      </c>
      <c r="N1652" s="6" t="s">
        <v>85</v>
      </c>
      <c r="O1652" s="6" t="s">
        <v>254</v>
      </c>
      <c r="P1652" t="s">
        <v>78</v>
      </c>
      <c r="Q1652">
        <v>30</v>
      </c>
      <c r="R1652" t="s">
        <v>213</v>
      </c>
      <c r="S1652" s="2" t="s">
        <v>27</v>
      </c>
      <c r="T1652" s="2">
        <v>8</v>
      </c>
      <c r="U1652" t="s">
        <v>28</v>
      </c>
      <c r="V1652" t="s">
        <v>28</v>
      </c>
      <c r="W1652">
        <v>20</v>
      </c>
      <c r="X1652">
        <v>7.9799999999999996E-2</v>
      </c>
      <c r="Y1652">
        <f t="shared" si="36"/>
        <v>2.6336119911539779E-2</v>
      </c>
      <c r="AA1652">
        <v>6.1800000000000001E-2</v>
      </c>
      <c r="AB1652">
        <v>9.8299999999999998E-2</v>
      </c>
    </row>
    <row r="1653" spans="1:28" x14ac:dyDescent="0.2">
      <c r="A1653" t="s">
        <v>244</v>
      </c>
      <c r="B1653">
        <v>1987</v>
      </c>
      <c r="C1653" t="s">
        <v>826</v>
      </c>
      <c r="D1653" t="s">
        <v>824</v>
      </c>
      <c r="E1653" t="s">
        <v>48</v>
      </c>
      <c r="F1653" t="s">
        <v>307</v>
      </c>
      <c r="G1653">
        <v>54.193665000000003</v>
      </c>
      <c r="H1653">
        <v>7.8804689999999997</v>
      </c>
      <c r="J1653" t="s">
        <v>7</v>
      </c>
      <c r="K1653" t="s">
        <v>245</v>
      </c>
      <c r="L1653" t="s">
        <v>143</v>
      </c>
      <c r="M1653" s="6" t="s">
        <v>664</v>
      </c>
      <c r="N1653" s="6" t="s">
        <v>85</v>
      </c>
      <c r="O1653" s="6" t="s">
        <v>255</v>
      </c>
      <c r="P1653" t="s">
        <v>253</v>
      </c>
      <c r="Q1653">
        <v>30</v>
      </c>
      <c r="R1653" t="s">
        <v>213</v>
      </c>
      <c r="S1653" s="2" t="s">
        <v>7</v>
      </c>
      <c r="T1653" s="2">
        <v>8</v>
      </c>
      <c r="U1653" t="s">
        <v>28</v>
      </c>
      <c r="V1653" t="s">
        <v>28</v>
      </c>
      <c r="W1653">
        <v>10</v>
      </c>
      <c r="X1653">
        <v>154</v>
      </c>
      <c r="Y1653">
        <f t="shared" si="36"/>
        <v>52.095009797621152</v>
      </c>
      <c r="AA1653">
        <v>117.9</v>
      </c>
      <c r="AB1653">
        <v>190.1</v>
      </c>
    </row>
    <row r="1654" spans="1:28" x14ac:dyDescent="0.2">
      <c r="A1654" t="s">
        <v>244</v>
      </c>
      <c r="B1654">
        <v>1987</v>
      </c>
      <c r="C1654" t="s">
        <v>826</v>
      </c>
      <c r="D1654" t="s">
        <v>824</v>
      </c>
      <c r="E1654" t="s">
        <v>48</v>
      </c>
      <c r="F1654" t="s">
        <v>307</v>
      </c>
      <c r="G1654">
        <v>54.193665000000003</v>
      </c>
      <c r="H1654">
        <v>7.8804689999999997</v>
      </c>
      <c r="J1654" t="s">
        <v>14</v>
      </c>
      <c r="K1654" t="s">
        <v>245</v>
      </c>
      <c r="L1654" t="s">
        <v>143</v>
      </c>
      <c r="M1654" s="6" t="s">
        <v>664</v>
      </c>
      <c r="N1654" s="6" t="s">
        <v>85</v>
      </c>
      <c r="O1654" s="6" t="s">
        <v>255</v>
      </c>
      <c r="P1654" t="s">
        <v>253</v>
      </c>
      <c r="Q1654">
        <v>30</v>
      </c>
      <c r="R1654" t="s">
        <v>213</v>
      </c>
      <c r="S1654" s="2" t="s">
        <v>9</v>
      </c>
      <c r="T1654" s="2">
        <v>8</v>
      </c>
      <c r="U1654" t="s">
        <v>28</v>
      </c>
      <c r="V1654" t="s">
        <v>28</v>
      </c>
      <c r="W1654">
        <v>15</v>
      </c>
      <c r="X1654">
        <v>151.30000000000001</v>
      </c>
      <c r="Y1654">
        <f t="shared" si="36"/>
        <v>27.346272456091999</v>
      </c>
      <c r="AA1654">
        <v>133</v>
      </c>
      <c r="AB1654">
        <v>170.9</v>
      </c>
    </row>
    <row r="1655" spans="1:28" x14ac:dyDescent="0.2">
      <c r="A1655" t="s">
        <v>244</v>
      </c>
      <c r="B1655">
        <v>1987</v>
      </c>
      <c r="C1655" t="s">
        <v>826</v>
      </c>
      <c r="D1655" t="s">
        <v>824</v>
      </c>
      <c r="E1655" t="s">
        <v>48</v>
      </c>
      <c r="F1655" t="s">
        <v>307</v>
      </c>
      <c r="G1655">
        <v>54.193665000000003</v>
      </c>
      <c r="H1655">
        <v>7.8804689999999997</v>
      </c>
      <c r="J1655" t="s">
        <v>14</v>
      </c>
      <c r="K1655" t="s">
        <v>245</v>
      </c>
      <c r="L1655" t="s">
        <v>143</v>
      </c>
      <c r="M1655" s="6" t="s">
        <v>664</v>
      </c>
      <c r="N1655" s="6" t="s">
        <v>85</v>
      </c>
      <c r="O1655" s="6" t="s">
        <v>255</v>
      </c>
      <c r="P1655" t="s">
        <v>253</v>
      </c>
      <c r="Q1655">
        <v>30</v>
      </c>
      <c r="R1655" t="s">
        <v>213</v>
      </c>
      <c r="S1655" s="2" t="s">
        <v>27</v>
      </c>
      <c r="T1655" s="2">
        <v>8</v>
      </c>
      <c r="U1655" t="s">
        <v>28</v>
      </c>
      <c r="V1655" t="s">
        <v>28</v>
      </c>
      <c r="W1655">
        <v>20</v>
      </c>
      <c r="X1655">
        <v>83.9</v>
      </c>
      <c r="Y1655">
        <f t="shared" si="36"/>
        <v>17.894130789210593</v>
      </c>
      <c r="AA1655">
        <v>71.7</v>
      </c>
      <c r="AB1655">
        <v>96.5</v>
      </c>
    </row>
    <row r="1656" spans="1:28" x14ac:dyDescent="0.2">
      <c r="A1656" t="s">
        <v>244</v>
      </c>
      <c r="B1656">
        <v>1987</v>
      </c>
      <c r="C1656" t="s">
        <v>826</v>
      </c>
      <c r="D1656" t="s">
        <v>824</v>
      </c>
      <c r="E1656" t="s">
        <v>48</v>
      </c>
      <c r="F1656" t="s">
        <v>307</v>
      </c>
      <c r="G1656">
        <v>54.193665000000003</v>
      </c>
      <c r="H1656">
        <v>7.8804689999999997</v>
      </c>
      <c r="J1656" t="s">
        <v>7</v>
      </c>
      <c r="K1656" t="s">
        <v>245</v>
      </c>
      <c r="L1656" t="s">
        <v>143</v>
      </c>
      <c r="M1656" s="6" t="s">
        <v>664</v>
      </c>
      <c r="N1656" s="6" t="s">
        <v>85</v>
      </c>
      <c r="O1656" s="6" t="s">
        <v>258</v>
      </c>
      <c r="P1656" t="s">
        <v>78</v>
      </c>
      <c r="Q1656">
        <v>30</v>
      </c>
      <c r="R1656" t="s">
        <v>213</v>
      </c>
      <c r="S1656" s="2" t="s">
        <v>7</v>
      </c>
      <c r="T1656" s="2">
        <v>14</v>
      </c>
      <c r="U1656" t="s">
        <v>28</v>
      </c>
      <c r="V1656" t="s">
        <v>28</v>
      </c>
      <c r="W1656">
        <v>10</v>
      </c>
      <c r="X1656">
        <v>1.9330000000000001</v>
      </c>
      <c r="Y1656">
        <f t="shared" si="36"/>
        <v>0.61183734309237148</v>
      </c>
      <c r="AA1656">
        <v>1.62</v>
      </c>
      <c r="AB1656">
        <v>2.2610000000000001</v>
      </c>
    </row>
    <row r="1657" spans="1:28" x14ac:dyDescent="0.2">
      <c r="A1657" t="s">
        <v>244</v>
      </c>
      <c r="B1657">
        <v>1987</v>
      </c>
      <c r="C1657" t="s">
        <v>826</v>
      </c>
      <c r="D1657" t="s">
        <v>824</v>
      </c>
      <c r="E1657" t="s">
        <v>48</v>
      </c>
      <c r="F1657" t="s">
        <v>307</v>
      </c>
      <c r="G1657">
        <v>54.193665000000003</v>
      </c>
      <c r="H1657">
        <v>7.8804689999999997</v>
      </c>
      <c r="J1657" t="s">
        <v>14</v>
      </c>
      <c r="K1657" t="s">
        <v>245</v>
      </c>
      <c r="L1657" t="s">
        <v>143</v>
      </c>
      <c r="M1657" s="6" t="s">
        <v>664</v>
      </c>
      <c r="N1657" s="6" t="s">
        <v>85</v>
      </c>
      <c r="O1657" s="6" t="s">
        <v>258</v>
      </c>
      <c r="P1657" t="s">
        <v>78</v>
      </c>
      <c r="Q1657">
        <v>30</v>
      </c>
      <c r="R1657" t="s">
        <v>213</v>
      </c>
      <c r="S1657" s="2" t="s">
        <v>9</v>
      </c>
      <c r="T1657" s="2">
        <v>14</v>
      </c>
      <c r="U1657" t="s">
        <v>28</v>
      </c>
      <c r="V1657" t="s">
        <v>28</v>
      </c>
      <c r="W1657">
        <v>15</v>
      </c>
      <c r="X1657">
        <v>2.2290000000000001</v>
      </c>
      <c r="Y1657">
        <f t="shared" si="36"/>
        <v>0.73592291969456869</v>
      </c>
      <c r="AA1657">
        <v>1.845</v>
      </c>
      <c r="AB1657">
        <v>2.6160000000000001</v>
      </c>
    </row>
    <row r="1658" spans="1:28" x14ac:dyDescent="0.2">
      <c r="A1658" t="s">
        <v>244</v>
      </c>
      <c r="B1658">
        <v>1987</v>
      </c>
      <c r="C1658" t="s">
        <v>826</v>
      </c>
      <c r="D1658" t="s">
        <v>824</v>
      </c>
      <c r="E1658" t="s">
        <v>48</v>
      </c>
      <c r="F1658" t="s">
        <v>307</v>
      </c>
      <c r="G1658">
        <v>54.193665000000003</v>
      </c>
      <c r="H1658">
        <v>7.8804689999999997</v>
      </c>
      <c r="J1658" t="s">
        <v>14</v>
      </c>
      <c r="K1658" t="s">
        <v>245</v>
      </c>
      <c r="L1658" t="s">
        <v>143</v>
      </c>
      <c r="M1658" s="6" t="s">
        <v>664</v>
      </c>
      <c r="N1658" s="6" t="s">
        <v>85</v>
      </c>
      <c r="O1658" s="6" t="s">
        <v>258</v>
      </c>
      <c r="P1658" t="s">
        <v>78</v>
      </c>
      <c r="Q1658">
        <v>30</v>
      </c>
      <c r="R1658" t="s">
        <v>213</v>
      </c>
      <c r="S1658" s="2" t="s">
        <v>27</v>
      </c>
      <c r="T1658" s="2">
        <v>14</v>
      </c>
      <c r="U1658" t="s">
        <v>28</v>
      </c>
      <c r="V1658" t="s">
        <v>28</v>
      </c>
      <c r="W1658">
        <v>20</v>
      </c>
      <c r="X1658">
        <v>2.1459999999999999</v>
      </c>
      <c r="Y1658">
        <f t="shared" si="36"/>
        <v>0.79414769025406085</v>
      </c>
      <c r="AA1658">
        <v>1.73</v>
      </c>
      <c r="AB1658">
        <v>2.5619999999999998</v>
      </c>
    </row>
    <row r="1659" spans="1:28" x14ac:dyDescent="0.2">
      <c r="A1659" t="s">
        <v>244</v>
      </c>
      <c r="B1659">
        <v>1987</v>
      </c>
      <c r="C1659" t="s">
        <v>826</v>
      </c>
      <c r="D1659" t="s">
        <v>824</v>
      </c>
      <c r="E1659" t="s">
        <v>48</v>
      </c>
      <c r="F1659" t="s">
        <v>307</v>
      </c>
      <c r="G1659">
        <v>54.193665000000003</v>
      </c>
      <c r="H1659">
        <v>7.8804689999999997</v>
      </c>
      <c r="J1659" t="s">
        <v>7</v>
      </c>
      <c r="K1659" t="s">
        <v>245</v>
      </c>
      <c r="L1659" t="s">
        <v>143</v>
      </c>
      <c r="M1659" s="6" t="s">
        <v>664</v>
      </c>
      <c r="N1659" s="6" t="s">
        <v>85</v>
      </c>
      <c r="O1659" s="6" t="s">
        <v>256</v>
      </c>
      <c r="P1659" t="s">
        <v>253</v>
      </c>
      <c r="Q1659">
        <v>30</v>
      </c>
      <c r="R1659" t="s">
        <v>213</v>
      </c>
      <c r="S1659" s="2" t="s">
        <v>7</v>
      </c>
      <c r="T1659" s="2">
        <v>8</v>
      </c>
      <c r="U1659" t="s">
        <v>28</v>
      </c>
      <c r="V1659" t="s">
        <v>28</v>
      </c>
      <c r="W1659">
        <v>10</v>
      </c>
      <c r="X1659">
        <v>0.94799999999999995</v>
      </c>
      <c r="Y1659">
        <f t="shared" si="36"/>
        <v>0.1702828575102299</v>
      </c>
      <c r="AA1659">
        <v>0.82799999999999996</v>
      </c>
      <c r="AB1659">
        <v>1.0640000000000001</v>
      </c>
    </row>
    <row r="1660" spans="1:28" x14ac:dyDescent="0.2">
      <c r="A1660" t="s">
        <v>244</v>
      </c>
      <c r="B1660">
        <v>1987</v>
      </c>
      <c r="C1660" t="s">
        <v>826</v>
      </c>
      <c r="D1660" t="s">
        <v>824</v>
      </c>
      <c r="E1660" t="s">
        <v>48</v>
      </c>
      <c r="F1660" t="s">
        <v>307</v>
      </c>
      <c r="G1660">
        <v>54.193665000000003</v>
      </c>
      <c r="H1660">
        <v>7.8804689999999997</v>
      </c>
      <c r="J1660" t="s">
        <v>14</v>
      </c>
      <c r="K1660" t="s">
        <v>245</v>
      </c>
      <c r="L1660" t="s">
        <v>143</v>
      </c>
      <c r="M1660" s="6" t="s">
        <v>664</v>
      </c>
      <c r="N1660" s="6" t="s">
        <v>85</v>
      </c>
      <c r="O1660" s="6" t="s">
        <v>256</v>
      </c>
      <c r="P1660" t="s">
        <v>253</v>
      </c>
      <c r="Q1660">
        <v>30</v>
      </c>
      <c r="R1660" t="s">
        <v>213</v>
      </c>
      <c r="S1660" s="2" t="s">
        <v>9</v>
      </c>
      <c r="T1660" s="2">
        <v>8</v>
      </c>
      <c r="U1660" t="s">
        <v>28</v>
      </c>
      <c r="V1660" t="s">
        <v>28</v>
      </c>
      <c r="W1660">
        <v>15</v>
      </c>
      <c r="X1660">
        <v>0.91600000000000004</v>
      </c>
      <c r="Y1660">
        <f t="shared" si="36"/>
        <v>0.26408273664722087</v>
      </c>
      <c r="AA1660">
        <v>0.73199999999999998</v>
      </c>
      <c r="AB1660">
        <v>1.0980000000000001</v>
      </c>
    </row>
    <row r="1661" spans="1:28" x14ac:dyDescent="0.2">
      <c r="A1661" t="s">
        <v>244</v>
      </c>
      <c r="B1661">
        <v>1987</v>
      </c>
      <c r="C1661" t="s">
        <v>826</v>
      </c>
      <c r="D1661" t="s">
        <v>824</v>
      </c>
      <c r="E1661" t="s">
        <v>48</v>
      </c>
      <c r="F1661" t="s">
        <v>307</v>
      </c>
      <c r="G1661">
        <v>54.193665000000003</v>
      </c>
      <c r="H1661">
        <v>7.8804689999999997</v>
      </c>
      <c r="J1661" t="s">
        <v>14</v>
      </c>
      <c r="K1661" t="s">
        <v>245</v>
      </c>
      <c r="L1661" t="s">
        <v>143</v>
      </c>
      <c r="M1661" s="6" t="s">
        <v>664</v>
      </c>
      <c r="N1661" s="6" t="s">
        <v>85</v>
      </c>
      <c r="O1661" s="6" t="s">
        <v>256</v>
      </c>
      <c r="P1661" t="s">
        <v>253</v>
      </c>
      <c r="Q1661">
        <v>30</v>
      </c>
      <c r="R1661" t="s">
        <v>213</v>
      </c>
      <c r="S1661" s="2" t="s">
        <v>27</v>
      </c>
      <c r="T1661" s="2">
        <v>8</v>
      </c>
      <c r="U1661" t="s">
        <v>28</v>
      </c>
      <c r="V1661" t="s">
        <v>28</v>
      </c>
      <c r="W1661">
        <v>20</v>
      </c>
      <c r="X1661">
        <v>1.0369999999999999</v>
      </c>
      <c r="Y1661">
        <f t="shared" si="36"/>
        <v>0.36004722837968084</v>
      </c>
      <c r="AA1661">
        <v>0.78700000000000003</v>
      </c>
      <c r="AB1661">
        <v>1.286</v>
      </c>
    </row>
    <row r="1662" spans="1:28" x14ac:dyDescent="0.2">
      <c r="A1662" t="s">
        <v>244</v>
      </c>
      <c r="B1662">
        <v>1987</v>
      </c>
      <c r="C1662" t="s">
        <v>826</v>
      </c>
      <c r="D1662" t="s">
        <v>824</v>
      </c>
      <c r="E1662" t="s">
        <v>48</v>
      </c>
      <c r="F1662" t="s">
        <v>307</v>
      </c>
      <c r="G1662">
        <v>54.193665000000003</v>
      </c>
      <c r="H1662">
        <v>7.8804689999999997</v>
      </c>
      <c r="J1662" t="s">
        <v>7</v>
      </c>
      <c r="K1662" t="s">
        <v>245</v>
      </c>
      <c r="L1662" t="s">
        <v>143</v>
      </c>
      <c r="M1662" s="6" t="s">
        <v>664</v>
      </c>
      <c r="N1662" s="6" t="s">
        <v>85</v>
      </c>
      <c r="O1662" s="6" t="s">
        <v>257</v>
      </c>
      <c r="P1662" t="s">
        <v>253</v>
      </c>
      <c r="Q1662">
        <v>30</v>
      </c>
      <c r="R1662" t="s">
        <v>213</v>
      </c>
      <c r="S1662" s="2" t="s">
        <v>7</v>
      </c>
      <c r="T1662" s="2">
        <v>8</v>
      </c>
      <c r="U1662" t="s">
        <v>28</v>
      </c>
      <c r="V1662" t="s">
        <v>28</v>
      </c>
      <c r="W1662">
        <v>10</v>
      </c>
      <c r="X1662">
        <v>0.22559999999999999</v>
      </c>
      <c r="Y1662">
        <f t="shared" si="36"/>
        <v>7.2153753182300787E-2</v>
      </c>
      <c r="AA1662">
        <v>0.17560000000000001</v>
      </c>
      <c r="AB1662">
        <v>0.27560000000000001</v>
      </c>
    </row>
    <row r="1663" spans="1:28" x14ac:dyDescent="0.2">
      <c r="A1663" t="s">
        <v>244</v>
      </c>
      <c r="B1663">
        <v>1987</v>
      </c>
      <c r="C1663" t="s">
        <v>826</v>
      </c>
      <c r="D1663" t="s">
        <v>824</v>
      </c>
      <c r="E1663" t="s">
        <v>48</v>
      </c>
      <c r="F1663" t="s">
        <v>307</v>
      </c>
      <c r="G1663">
        <v>54.193665000000003</v>
      </c>
      <c r="H1663">
        <v>7.8804689999999997</v>
      </c>
      <c r="J1663" t="s">
        <v>14</v>
      </c>
      <c r="K1663" t="s">
        <v>245</v>
      </c>
      <c r="L1663" t="s">
        <v>143</v>
      </c>
      <c r="M1663" s="6" t="s">
        <v>664</v>
      </c>
      <c r="N1663" s="6" t="s">
        <v>85</v>
      </c>
      <c r="O1663" s="6" t="s">
        <v>257</v>
      </c>
      <c r="P1663" t="s">
        <v>253</v>
      </c>
      <c r="Q1663">
        <v>30</v>
      </c>
      <c r="R1663" t="s">
        <v>213</v>
      </c>
      <c r="S1663" s="2" t="s">
        <v>9</v>
      </c>
      <c r="T1663" s="2">
        <v>8</v>
      </c>
      <c r="U1663" t="s">
        <v>28</v>
      </c>
      <c r="V1663" t="s">
        <v>28</v>
      </c>
      <c r="W1663">
        <v>15</v>
      </c>
      <c r="X1663">
        <v>0.19650000000000001</v>
      </c>
      <c r="Y1663">
        <f t="shared" si="36"/>
        <v>8.1389433589635268E-2</v>
      </c>
      <c r="AA1663">
        <v>0.13980000000000001</v>
      </c>
      <c r="AB1663">
        <v>0.25259999999999999</v>
      </c>
    </row>
    <row r="1664" spans="1:28" x14ac:dyDescent="0.2">
      <c r="A1664" t="s">
        <v>244</v>
      </c>
      <c r="B1664">
        <v>1987</v>
      </c>
      <c r="C1664" t="s">
        <v>826</v>
      </c>
      <c r="D1664" t="s">
        <v>824</v>
      </c>
      <c r="E1664" t="s">
        <v>48</v>
      </c>
      <c r="F1664" t="s">
        <v>307</v>
      </c>
      <c r="G1664">
        <v>54.193665000000003</v>
      </c>
      <c r="H1664">
        <v>7.8804689999999997</v>
      </c>
      <c r="J1664" t="s">
        <v>14</v>
      </c>
      <c r="K1664" t="s">
        <v>245</v>
      </c>
      <c r="L1664" t="s">
        <v>143</v>
      </c>
      <c r="M1664" s="6" t="s">
        <v>664</v>
      </c>
      <c r="N1664" s="6" t="s">
        <v>85</v>
      </c>
      <c r="O1664" s="6" t="s">
        <v>257</v>
      </c>
      <c r="P1664" t="s">
        <v>253</v>
      </c>
      <c r="Q1664">
        <v>30</v>
      </c>
      <c r="R1664" t="s">
        <v>213</v>
      </c>
      <c r="S1664" s="2" t="s">
        <v>27</v>
      </c>
      <c r="T1664" s="2">
        <v>8</v>
      </c>
      <c r="U1664" t="s">
        <v>28</v>
      </c>
      <c r="V1664" t="s">
        <v>28</v>
      </c>
      <c r="W1664">
        <v>20</v>
      </c>
      <c r="X1664">
        <v>0.1951</v>
      </c>
      <c r="Y1664">
        <f t="shared" si="36"/>
        <v>4.3436559415745049E-2</v>
      </c>
      <c r="AA1664">
        <v>0.16470000000000001</v>
      </c>
      <c r="AB1664">
        <v>0.22489999999999999</v>
      </c>
    </row>
    <row r="1665" spans="1:28" x14ac:dyDescent="0.2">
      <c r="A1665" t="s">
        <v>244</v>
      </c>
      <c r="B1665">
        <v>1987</v>
      </c>
      <c r="C1665" t="s">
        <v>826</v>
      </c>
      <c r="D1665" t="s">
        <v>824</v>
      </c>
      <c r="E1665" t="s">
        <v>48</v>
      </c>
      <c r="F1665" t="s">
        <v>307</v>
      </c>
      <c r="G1665">
        <v>54.193665000000003</v>
      </c>
      <c r="H1665">
        <v>7.8804689999999997</v>
      </c>
      <c r="J1665" t="s">
        <v>7</v>
      </c>
      <c r="K1665" t="s">
        <v>245</v>
      </c>
      <c r="L1665" t="s">
        <v>143</v>
      </c>
      <c r="M1665" s="6" t="s">
        <v>664</v>
      </c>
      <c r="N1665" s="6" t="s">
        <v>85</v>
      </c>
      <c r="O1665" s="6" t="s">
        <v>259</v>
      </c>
      <c r="P1665" t="s">
        <v>253</v>
      </c>
      <c r="Q1665">
        <v>30</v>
      </c>
      <c r="R1665" t="s">
        <v>213</v>
      </c>
      <c r="S1665" s="2" t="s">
        <v>7</v>
      </c>
      <c r="T1665" s="2">
        <v>6</v>
      </c>
      <c r="U1665" t="s">
        <v>28</v>
      </c>
      <c r="V1665" t="s">
        <v>28</v>
      </c>
      <c r="W1665">
        <v>10</v>
      </c>
      <c r="X1665">
        <v>1.76</v>
      </c>
      <c r="Y1665">
        <f t="shared" si="36"/>
        <v>0.29493856086572967</v>
      </c>
      <c r="AA1665">
        <v>1.5229999999999999</v>
      </c>
      <c r="AB1665">
        <v>1.9950000000000001</v>
      </c>
    </row>
    <row r="1666" spans="1:28" x14ac:dyDescent="0.2">
      <c r="A1666" t="s">
        <v>244</v>
      </c>
      <c r="B1666">
        <v>1987</v>
      </c>
      <c r="C1666" t="s">
        <v>826</v>
      </c>
      <c r="D1666" t="s">
        <v>824</v>
      </c>
      <c r="E1666" t="s">
        <v>48</v>
      </c>
      <c r="F1666" t="s">
        <v>307</v>
      </c>
      <c r="G1666">
        <v>54.193665000000003</v>
      </c>
      <c r="H1666">
        <v>7.8804689999999997</v>
      </c>
      <c r="J1666" t="s">
        <v>14</v>
      </c>
      <c r="K1666" t="s">
        <v>245</v>
      </c>
      <c r="L1666" t="s">
        <v>143</v>
      </c>
      <c r="M1666" s="6" t="s">
        <v>664</v>
      </c>
      <c r="N1666" s="6" t="s">
        <v>85</v>
      </c>
      <c r="O1666" s="6" t="s">
        <v>259</v>
      </c>
      <c r="P1666" t="s">
        <v>253</v>
      </c>
      <c r="Q1666">
        <v>30</v>
      </c>
      <c r="R1666" t="s">
        <v>213</v>
      </c>
      <c r="S1666" s="2" t="s">
        <v>9</v>
      </c>
      <c r="T1666" s="2">
        <v>6</v>
      </c>
      <c r="U1666" t="s">
        <v>28</v>
      </c>
      <c r="V1666" t="s">
        <v>28</v>
      </c>
      <c r="W1666">
        <v>15</v>
      </c>
      <c r="X1666">
        <v>1.7529999999999999</v>
      </c>
      <c r="Y1666">
        <f t="shared" si="36"/>
        <v>0.24869819327237377</v>
      </c>
      <c r="AA1666">
        <v>1.5529999999999999</v>
      </c>
      <c r="AB1666">
        <v>1.9510000000000001</v>
      </c>
    </row>
    <row r="1667" spans="1:28" x14ac:dyDescent="0.2">
      <c r="A1667" t="s">
        <v>244</v>
      </c>
      <c r="B1667">
        <v>1987</v>
      </c>
      <c r="C1667" t="s">
        <v>826</v>
      </c>
      <c r="D1667" t="s">
        <v>824</v>
      </c>
      <c r="E1667" t="s">
        <v>48</v>
      </c>
      <c r="F1667" t="s">
        <v>307</v>
      </c>
      <c r="G1667">
        <v>54.193665000000003</v>
      </c>
      <c r="H1667">
        <v>7.8804689999999997</v>
      </c>
      <c r="J1667" t="s">
        <v>14</v>
      </c>
      <c r="K1667" t="s">
        <v>245</v>
      </c>
      <c r="L1667" t="s">
        <v>143</v>
      </c>
      <c r="M1667" s="6" t="s">
        <v>664</v>
      </c>
      <c r="N1667" s="6" t="s">
        <v>85</v>
      </c>
      <c r="O1667" s="6" t="s">
        <v>259</v>
      </c>
      <c r="P1667" t="s">
        <v>253</v>
      </c>
      <c r="Q1667">
        <v>30</v>
      </c>
      <c r="R1667" t="s">
        <v>213</v>
      </c>
      <c r="S1667" s="2" t="s">
        <v>27</v>
      </c>
      <c r="T1667" s="2">
        <v>6</v>
      </c>
      <c r="U1667" t="s">
        <v>28</v>
      </c>
      <c r="V1667" t="s">
        <v>28</v>
      </c>
      <c r="W1667">
        <v>20</v>
      </c>
      <c r="X1667">
        <v>1.728</v>
      </c>
      <c r="Y1667">
        <f t="shared" si="36"/>
        <v>0.28931473237464567</v>
      </c>
      <c r="AA1667">
        <v>1.4950000000000001</v>
      </c>
      <c r="AB1667">
        <v>1.958</v>
      </c>
    </row>
    <row r="1668" spans="1:28" x14ac:dyDescent="0.2">
      <c r="A1668" t="s">
        <v>244</v>
      </c>
      <c r="B1668">
        <v>1987</v>
      </c>
      <c r="C1668" t="s">
        <v>826</v>
      </c>
      <c r="D1668" t="s">
        <v>824</v>
      </c>
      <c r="E1668" t="s">
        <v>48</v>
      </c>
      <c r="F1668" t="s">
        <v>307</v>
      </c>
      <c r="G1668">
        <v>54.193665000000003</v>
      </c>
      <c r="H1668">
        <v>7.8804689999999997</v>
      </c>
      <c r="J1668" t="s">
        <v>7</v>
      </c>
      <c r="K1668" t="s">
        <v>245</v>
      </c>
      <c r="L1668" t="s">
        <v>143</v>
      </c>
      <c r="M1668" t="s">
        <v>73</v>
      </c>
      <c r="N1668" t="s">
        <v>85</v>
      </c>
      <c r="O1668" s="6" t="s">
        <v>834</v>
      </c>
      <c r="P1668" t="s">
        <v>78</v>
      </c>
      <c r="Q1668">
        <v>30</v>
      </c>
      <c r="R1668" t="s">
        <v>213</v>
      </c>
      <c r="S1668" s="2" t="s">
        <v>7</v>
      </c>
      <c r="T1668" s="2">
        <v>10</v>
      </c>
      <c r="U1668" t="s">
        <v>28</v>
      </c>
      <c r="V1668" t="s">
        <v>28</v>
      </c>
      <c r="W1668">
        <v>10</v>
      </c>
      <c r="X1668">
        <v>6.6420000000000003</v>
      </c>
      <c r="Y1668">
        <f t="shared" si="36"/>
        <v>1.5835589405384003</v>
      </c>
      <c r="AA1668">
        <v>5.6420000000000003</v>
      </c>
      <c r="AB1668">
        <v>7.6050000000000004</v>
      </c>
    </row>
    <row r="1669" spans="1:28" x14ac:dyDescent="0.2">
      <c r="A1669" t="s">
        <v>244</v>
      </c>
      <c r="B1669">
        <v>1987</v>
      </c>
      <c r="C1669" t="s">
        <v>826</v>
      </c>
      <c r="D1669" t="s">
        <v>824</v>
      </c>
      <c r="E1669" t="s">
        <v>48</v>
      </c>
      <c r="F1669" t="s">
        <v>307</v>
      </c>
      <c r="G1669">
        <v>54.193665000000003</v>
      </c>
      <c r="H1669">
        <v>7.8804689999999997</v>
      </c>
      <c r="J1669" t="s">
        <v>14</v>
      </c>
      <c r="K1669" t="s">
        <v>245</v>
      </c>
      <c r="L1669" t="s">
        <v>143</v>
      </c>
      <c r="M1669" t="s">
        <v>73</v>
      </c>
      <c r="N1669" t="s">
        <v>85</v>
      </c>
      <c r="O1669" s="6" t="s">
        <v>834</v>
      </c>
      <c r="P1669" t="s">
        <v>78</v>
      </c>
      <c r="Q1669">
        <v>30</v>
      </c>
      <c r="R1669" t="s">
        <v>213</v>
      </c>
      <c r="S1669" s="2" t="s">
        <v>9</v>
      </c>
      <c r="T1669" s="2">
        <v>10</v>
      </c>
      <c r="U1669" t="s">
        <v>28</v>
      </c>
      <c r="V1669" t="s">
        <v>28</v>
      </c>
      <c r="W1669">
        <v>15</v>
      </c>
      <c r="X1669">
        <v>7.7530000000000001</v>
      </c>
      <c r="Y1669">
        <f t="shared" si="36"/>
        <v>2.3902624252752309</v>
      </c>
      <c r="AA1669">
        <v>6.2720000000000002</v>
      </c>
      <c r="AB1669">
        <v>9.2349999999999994</v>
      </c>
    </row>
    <row r="1670" spans="1:28" x14ac:dyDescent="0.2">
      <c r="A1670" t="s">
        <v>244</v>
      </c>
      <c r="B1670">
        <v>1987</v>
      </c>
      <c r="C1670" t="s">
        <v>826</v>
      </c>
      <c r="D1670" t="s">
        <v>824</v>
      </c>
      <c r="E1670" t="s">
        <v>48</v>
      </c>
      <c r="F1670" t="s">
        <v>307</v>
      </c>
      <c r="G1670">
        <v>54.193665000000003</v>
      </c>
      <c r="H1670">
        <v>7.8804689999999997</v>
      </c>
      <c r="J1670" t="s">
        <v>14</v>
      </c>
      <c r="K1670" t="s">
        <v>245</v>
      </c>
      <c r="L1670" t="s">
        <v>143</v>
      </c>
      <c r="M1670" t="s">
        <v>73</v>
      </c>
      <c r="N1670" t="s">
        <v>85</v>
      </c>
      <c r="O1670" s="6" t="s">
        <v>834</v>
      </c>
      <c r="P1670" t="s">
        <v>78</v>
      </c>
      <c r="Q1670">
        <v>30</v>
      </c>
      <c r="R1670" t="s">
        <v>213</v>
      </c>
      <c r="S1670" s="2" t="s">
        <v>27</v>
      </c>
      <c r="T1670" s="2">
        <v>10</v>
      </c>
      <c r="U1670" t="s">
        <v>28</v>
      </c>
      <c r="V1670" t="s">
        <v>28</v>
      </c>
      <c r="W1670">
        <v>20</v>
      </c>
      <c r="X1670">
        <v>7.7039999999999997</v>
      </c>
      <c r="Y1670">
        <f t="shared" si="36"/>
        <v>2.3902624252752309</v>
      </c>
      <c r="AA1670">
        <v>6.2720000000000002</v>
      </c>
      <c r="AB1670">
        <v>9.2349999999999994</v>
      </c>
    </row>
    <row r="1671" spans="1:28" x14ac:dyDescent="0.2">
      <c r="A1671" t="s">
        <v>260</v>
      </c>
      <c r="B1671">
        <v>2009</v>
      </c>
      <c r="C1671" t="s">
        <v>807</v>
      </c>
      <c r="D1671" t="s">
        <v>808</v>
      </c>
      <c r="E1671" t="s">
        <v>205</v>
      </c>
      <c r="F1671" t="s">
        <v>424</v>
      </c>
      <c r="G1671">
        <v>78.946886000000006</v>
      </c>
      <c r="H1671">
        <v>11.97106</v>
      </c>
      <c r="I1671" t="s">
        <v>771</v>
      </c>
      <c r="J1671" t="s">
        <v>7</v>
      </c>
      <c r="K1671" t="s">
        <v>144</v>
      </c>
      <c r="L1671" t="s">
        <v>144</v>
      </c>
      <c r="M1671" t="s">
        <v>726</v>
      </c>
      <c r="N1671" t="s">
        <v>85</v>
      </c>
      <c r="O1671" s="6" t="s">
        <v>84</v>
      </c>
      <c r="Q1671">
        <v>2</v>
      </c>
      <c r="R1671" t="s">
        <v>214</v>
      </c>
      <c r="S1671" s="2" t="s">
        <v>7</v>
      </c>
      <c r="T1671" s="2">
        <v>3</v>
      </c>
      <c r="U1671" t="s">
        <v>28</v>
      </c>
      <c r="V1671" t="s">
        <v>28</v>
      </c>
      <c r="W1671">
        <v>4</v>
      </c>
      <c r="X1671">
        <v>0.6411</v>
      </c>
      <c r="Y1671">
        <f>0.7205-X1671</f>
        <v>7.9400000000000026E-2</v>
      </c>
      <c r="AA1671" s="6"/>
      <c r="AB1671" s="6"/>
    </row>
    <row r="1672" spans="1:28" x14ac:dyDescent="0.2">
      <c r="A1672" t="s">
        <v>260</v>
      </c>
      <c r="B1672">
        <v>2009</v>
      </c>
      <c r="C1672" t="s">
        <v>807</v>
      </c>
      <c r="D1672" t="s">
        <v>808</v>
      </c>
      <c r="E1672" t="s">
        <v>205</v>
      </c>
      <c r="F1672" t="s">
        <v>424</v>
      </c>
      <c r="G1672">
        <v>78.946886000000006</v>
      </c>
      <c r="H1672">
        <v>11.97106</v>
      </c>
      <c r="I1672" t="s">
        <v>771</v>
      </c>
      <c r="J1672" t="s">
        <v>7</v>
      </c>
      <c r="K1672" t="s">
        <v>144</v>
      </c>
      <c r="L1672" t="s">
        <v>144</v>
      </c>
      <c r="M1672" t="s">
        <v>726</v>
      </c>
      <c r="N1672" t="s">
        <v>85</v>
      </c>
      <c r="O1672" s="6" t="s">
        <v>84</v>
      </c>
      <c r="Q1672">
        <v>3</v>
      </c>
      <c r="R1672" t="s">
        <v>213</v>
      </c>
      <c r="S1672" s="2" t="s">
        <v>7</v>
      </c>
      <c r="T1672" s="2">
        <v>3</v>
      </c>
      <c r="U1672" t="s">
        <v>28</v>
      </c>
      <c r="V1672" t="s">
        <v>28</v>
      </c>
      <c r="W1672">
        <v>4</v>
      </c>
      <c r="X1672">
        <v>0.57220000000000004</v>
      </c>
      <c r="Y1672">
        <f>0.6119-X1672</f>
        <v>3.9699999999999958E-2</v>
      </c>
      <c r="AA1672" s="6"/>
      <c r="AB1672" s="6"/>
    </row>
    <row r="1673" spans="1:28" x14ac:dyDescent="0.2">
      <c r="A1673" t="s">
        <v>260</v>
      </c>
      <c r="B1673">
        <v>2009</v>
      </c>
      <c r="C1673" t="s">
        <v>807</v>
      </c>
      <c r="D1673" t="s">
        <v>808</v>
      </c>
      <c r="E1673" t="s">
        <v>205</v>
      </c>
      <c r="F1673" t="s">
        <v>424</v>
      </c>
      <c r="G1673">
        <v>78.946886000000006</v>
      </c>
      <c r="H1673">
        <v>11.97106</v>
      </c>
      <c r="I1673" t="s">
        <v>771</v>
      </c>
      <c r="J1673" t="s">
        <v>7</v>
      </c>
      <c r="K1673" t="s">
        <v>144</v>
      </c>
      <c r="L1673" t="s">
        <v>144</v>
      </c>
      <c r="M1673" t="s">
        <v>726</v>
      </c>
      <c r="N1673" t="s">
        <v>85</v>
      </c>
      <c r="O1673" s="6" t="s">
        <v>84</v>
      </c>
      <c r="Q1673">
        <v>6</v>
      </c>
      <c r="R1673" t="s">
        <v>213</v>
      </c>
      <c r="S1673" s="2" t="s">
        <v>7</v>
      </c>
      <c r="T1673" s="2">
        <v>3</v>
      </c>
      <c r="U1673" t="s">
        <v>28</v>
      </c>
      <c r="V1673" t="s">
        <v>28</v>
      </c>
      <c r="W1673">
        <v>4</v>
      </c>
      <c r="X1673">
        <v>0.47420000000000001</v>
      </c>
      <c r="Y1673">
        <f>0.6225-X1673</f>
        <v>0.14830000000000004</v>
      </c>
      <c r="AA1673" s="6"/>
      <c r="AB1673" s="6"/>
    </row>
    <row r="1674" spans="1:28" x14ac:dyDescent="0.2">
      <c r="A1674" t="s">
        <v>260</v>
      </c>
      <c r="B1674">
        <v>2009</v>
      </c>
      <c r="C1674" t="s">
        <v>807</v>
      </c>
      <c r="D1674" t="s">
        <v>808</v>
      </c>
      <c r="E1674" t="s">
        <v>205</v>
      </c>
      <c r="F1674" t="s">
        <v>424</v>
      </c>
      <c r="G1674">
        <v>78.946886000000006</v>
      </c>
      <c r="H1674">
        <v>11.97106</v>
      </c>
      <c r="I1674" t="s">
        <v>771</v>
      </c>
      <c r="J1674" t="s">
        <v>14</v>
      </c>
      <c r="K1674" t="s">
        <v>144</v>
      </c>
      <c r="L1674" t="s">
        <v>144</v>
      </c>
      <c r="M1674" t="s">
        <v>726</v>
      </c>
      <c r="N1674" t="s">
        <v>85</v>
      </c>
      <c r="O1674" s="6" t="s">
        <v>84</v>
      </c>
      <c r="Q1674">
        <v>2</v>
      </c>
      <c r="R1674" t="s">
        <v>214</v>
      </c>
      <c r="S1674" s="2" t="s">
        <v>9</v>
      </c>
      <c r="T1674" s="2">
        <v>3</v>
      </c>
      <c r="U1674" t="s">
        <v>28</v>
      </c>
      <c r="V1674" t="s">
        <v>28</v>
      </c>
      <c r="W1674">
        <v>9</v>
      </c>
      <c r="X1674">
        <v>0.70760000000000001</v>
      </c>
      <c r="Y1674">
        <f>0.7366-X1674</f>
        <v>2.9000000000000026E-2</v>
      </c>
      <c r="AA1674" s="6"/>
      <c r="AB1674" s="6"/>
    </row>
    <row r="1675" spans="1:28" x14ac:dyDescent="0.2">
      <c r="A1675" t="s">
        <v>260</v>
      </c>
      <c r="B1675">
        <v>2009</v>
      </c>
      <c r="C1675" t="s">
        <v>807</v>
      </c>
      <c r="D1675" t="s">
        <v>808</v>
      </c>
      <c r="E1675" t="s">
        <v>205</v>
      </c>
      <c r="F1675" t="s">
        <v>424</v>
      </c>
      <c r="G1675">
        <v>78.946886000000006</v>
      </c>
      <c r="H1675">
        <v>11.97106</v>
      </c>
      <c r="I1675" t="s">
        <v>771</v>
      </c>
      <c r="J1675" t="s">
        <v>14</v>
      </c>
      <c r="K1675" t="s">
        <v>144</v>
      </c>
      <c r="L1675" t="s">
        <v>144</v>
      </c>
      <c r="M1675" t="s">
        <v>726</v>
      </c>
      <c r="N1675" t="s">
        <v>85</v>
      </c>
      <c r="O1675" s="6" t="s">
        <v>84</v>
      </c>
      <c r="Q1675">
        <v>3</v>
      </c>
      <c r="R1675" t="s">
        <v>214</v>
      </c>
      <c r="S1675" s="2" t="s">
        <v>9</v>
      </c>
      <c r="T1675" s="2">
        <v>3</v>
      </c>
      <c r="U1675" t="s">
        <v>28</v>
      </c>
      <c r="V1675" t="s">
        <v>28</v>
      </c>
      <c r="W1675">
        <v>9</v>
      </c>
      <c r="X1675">
        <v>0.61780000000000002</v>
      </c>
      <c r="Y1675">
        <f>0.6495-X1675</f>
        <v>3.169999999999995E-2</v>
      </c>
      <c r="AA1675" s="6"/>
      <c r="AB1675" s="6"/>
    </row>
    <row r="1676" spans="1:28" x14ac:dyDescent="0.2">
      <c r="A1676" t="s">
        <v>260</v>
      </c>
      <c r="B1676">
        <v>2009</v>
      </c>
      <c r="C1676" t="s">
        <v>807</v>
      </c>
      <c r="D1676" t="s">
        <v>808</v>
      </c>
      <c r="E1676" t="s">
        <v>205</v>
      </c>
      <c r="F1676" t="s">
        <v>424</v>
      </c>
      <c r="G1676">
        <v>78.946886000000006</v>
      </c>
      <c r="H1676">
        <v>11.97106</v>
      </c>
      <c r="I1676" t="s">
        <v>771</v>
      </c>
      <c r="J1676" t="s">
        <v>14</v>
      </c>
      <c r="K1676" t="s">
        <v>144</v>
      </c>
      <c r="L1676" t="s">
        <v>144</v>
      </c>
      <c r="M1676" t="s">
        <v>726</v>
      </c>
      <c r="N1676" t="s">
        <v>85</v>
      </c>
      <c r="O1676" s="6" t="s">
        <v>84</v>
      </c>
      <c r="Q1676">
        <v>6</v>
      </c>
      <c r="R1676" t="s">
        <v>213</v>
      </c>
      <c r="S1676" s="2" t="s">
        <v>9</v>
      </c>
      <c r="T1676" s="2">
        <v>3</v>
      </c>
      <c r="U1676" t="s">
        <v>28</v>
      </c>
      <c r="V1676" t="s">
        <v>28</v>
      </c>
      <c r="W1676">
        <v>9</v>
      </c>
      <c r="X1676">
        <v>0.433</v>
      </c>
      <c r="Y1676">
        <f>0.5703-X1676</f>
        <v>0.13730000000000003</v>
      </c>
      <c r="AA1676" s="6"/>
      <c r="AB1676" s="6"/>
    </row>
    <row r="1677" spans="1:28" x14ac:dyDescent="0.2">
      <c r="A1677" t="s">
        <v>260</v>
      </c>
      <c r="B1677">
        <v>2009</v>
      </c>
      <c r="C1677" t="s">
        <v>807</v>
      </c>
      <c r="D1677" t="s">
        <v>808</v>
      </c>
      <c r="E1677" t="s">
        <v>205</v>
      </c>
      <c r="F1677" t="s">
        <v>424</v>
      </c>
      <c r="G1677">
        <v>78.946886000000006</v>
      </c>
      <c r="H1677">
        <v>11.97106</v>
      </c>
      <c r="I1677" t="s">
        <v>771</v>
      </c>
      <c r="J1677" t="s">
        <v>14</v>
      </c>
      <c r="K1677" t="s">
        <v>144</v>
      </c>
      <c r="L1677" t="s">
        <v>144</v>
      </c>
      <c r="M1677" t="s">
        <v>726</v>
      </c>
      <c r="N1677" t="s">
        <v>85</v>
      </c>
      <c r="O1677" s="6" t="s">
        <v>84</v>
      </c>
      <c r="Q1677">
        <v>2</v>
      </c>
      <c r="R1677" t="s">
        <v>214</v>
      </c>
      <c r="S1677" s="2" t="s">
        <v>27</v>
      </c>
      <c r="T1677" s="2">
        <v>3</v>
      </c>
      <c r="U1677" t="s">
        <v>28</v>
      </c>
      <c r="V1677" t="s">
        <v>28</v>
      </c>
      <c r="W1677">
        <v>13</v>
      </c>
      <c r="X1677">
        <v>0.71289999999999998</v>
      </c>
      <c r="Y1677">
        <f>0.7565-X1677</f>
        <v>4.3599999999999972E-2</v>
      </c>
      <c r="AA1677" s="6"/>
      <c r="AB1677" s="6"/>
    </row>
    <row r="1678" spans="1:28" x14ac:dyDescent="0.2">
      <c r="A1678" t="s">
        <v>260</v>
      </c>
      <c r="B1678">
        <v>2009</v>
      </c>
      <c r="C1678" t="s">
        <v>807</v>
      </c>
      <c r="D1678" t="s">
        <v>808</v>
      </c>
      <c r="E1678" t="s">
        <v>205</v>
      </c>
      <c r="F1678" t="s">
        <v>424</v>
      </c>
      <c r="G1678">
        <v>78.946886000000006</v>
      </c>
      <c r="H1678">
        <v>11.97106</v>
      </c>
      <c r="I1678" t="s">
        <v>771</v>
      </c>
      <c r="J1678" t="s">
        <v>14</v>
      </c>
      <c r="K1678" t="s">
        <v>144</v>
      </c>
      <c r="L1678" t="s">
        <v>144</v>
      </c>
      <c r="M1678" t="s">
        <v>726</v>
      </c>
      <c r="N1678" t="s">
        <v>85</v>
      </c>
      <c r="O1678" s="6" t="s">
        <v>84</v>
      </c>
      <c r="Q1678">
        <v>3</v>
      </c>
      <c r="R1678" t="s">
        <v>214</v>
      </c>
      <c r="S1678" s="2" t="s">
        <v>27</v>
      </c>
      <c r="T1678" s="2">
        <v>3</v>
      </c>
      <c r="U1678" t="s">
        <v>28</v>
      </c>
      <c r="V1678" t="s">
        <v>28</v>
      </c>
      <c r="W1678">
        <v>13</v>
      </c>
      <c r="X1678">
        <v>0.72109999999999996</v>
      </c>
      <c r="Y1678">
        <f>0.7456-X1678</f>
        <v>2.4500000000000077E-2</v>
      </c>
      <c r="AA1678" s="6"/>
      <c r="AB1678" s="6"/>
    </row>
    <row r="1679" spans="1:28" x14ac:dyDescent="0.2">
      <c r="A1679" t="s">
        <v>260</v>
      </c>
      <c r="B1679">
        <v>2009</v>
      </c>
      <c r="C1679" t="s">
        <v>807</v>
      </c>
      <c r="D1679" t="s">
        <v>808</v>
      </c>
      <c r="E1679" t="s">
        <v>205</v>
      </c>
      <c r="F1679" t="s">
        <v>424</v>
      </c>
      <c r="G1679">
        <v>78.946886000000006</v>
      </c>
      <c r="H1679">
        <v>11.97106</v>
      </c>
      <c r="I1679" t="s">
        <v>771</v>
      </c>
      <c r="J1679" t="s">
        <v>14</v>
      </c>
      <c r="K1679" t="s">
        <v>144</v>
      </c>
      <c r="L1679" t="s">
        <v>144</v>
      </c>
      <c r="M1679" t="s">
        <v>726</v>
      </c>
      <c r="N1679" t="s">
        <v>85</v>
      </c>
      <c r="O1679" s="6" t="s">
        <v>84</v>
      </c>
      <c r="Q1679">
        <v>6</v>
      </c>
      <c r="R1679" t="s">
        <v>213</v>
      </c>
      <c r="S1679" s="2" t="s">
        <v>27</v>
      </c>
      <c r="T1679" s="2">
        <v>3</v>
      </c>
      <c r="U1679" t="s">
        <v>28</v>
      </c>
      <c r="V1679" t="s">
        <v>28</v>
      </c>
      <c r="W1679">
        <v>13</v>
      </c>
      <c r="X1679">
        <v>0.40539999999999998</v>
      </c>
      <c r="Y1679">
        <f>0.4463-X1679</f>
        <v>4.0899999999999992E-2</v>
      </c>
      <c r="AA1679" s="6"/>
      <c r="AB1679" s="6"/>
    </row>
    <row r="1680" spans="1:28" x14ac:dyDescent="0.2">
      <c r="A1680" t="s">
        <v>260</v>
      </c>
      <c r="B1680">
        <v>2009</v>
      </c>
      <c r="C1680" t="s">
        <v>807</v>
      </c>
      <c r="D1680" t="s">
        <v>808</v>
      </c>
      <c r="E1680" t="s">
        <v>205</v>
      </c>
      <c r="F1680" t="s">
        <v>424</v>
      </c>
      <c r="G1680">
        <v>78.946886000000006</v>
      </c>
      <c r="H1680">
        <v>11.97106</v>
      </c>
      <c r="I1680" t="s">
        <v>771</v>
      </c>
      <c r="J1680" t="s">
        <v>14</v>
      </c>
      <c r="K1680" t="s">
        <v>144</v>
      </c>
      <c r="L1680" t="s">
        <v>144</v>
      </c>
      <c r="M1680" t="s">
        <v>726</v>
      </c>
      <c r="N1680" t="s">
        <v>85</v>
      </c>
      <c r="O1680" s="6" t="s">
        <v>84</v>
      </c>
      <c r="Q1680">
        <v>2</v>
      </c>
      <c r="R1680" t="s">
        <v>214</v>
      </c>
      <c r="S1680" s="2" t="s">
        <v>13</v>
      </c>
      <c r="T1680" s="2">
        <v>3</v>
      </c>
      <c r="U1680" t="s">
        <v>28</v>
      </c>
      <c r="V1680" t="s">
        <v>28</v>
      </c>
      <c r="W1680">
        <v>17</v>
      </c>
      <c r="X1680">
        <v>0.68110000000000004</v>
      </c>
      <c r="Y1680">
        <f>0.8108-X1680</f>
        <v>0.12969999999999993</v>
      </c>
      <c r="AA1680" s="6"/>
      <c r="AB1680" s="6"/>
    </row>
    <row r="1681" spans="1:28" x14ac:dyDescent="0.2">
      <c r="A1681" t="s">
        <v>260</v>
      </c>
      <c r="B1681">
        <v>2009</v>
      </c>
      <c r="C1681" t="s">
        <v>807</v>
      </c>
      <c r="D1681" t="s">
        <v>808</v>
      </c>
      <c r="E1681" t="s">
        <v>205</v>
      </c>
      <c r="F1681" t="s">
        <v>424</v>
      </c>
      <c r="G1681">
        <v>78.946886000000006</v>
      </c>
      <c r="H1681">
        <v>11.97106</v>
      </c>
      <c r="I1681" t="s">
        <v>771</v>
      </c>
      <c r="J1681" t="s">
        <v>14</v>
      </c>
      <c r="K1681" t="s">
        <v>144</v>
      </c>
      <c r="L1681" t="s">
        <v>144</v>
      </c>
      <c r="M1681" t="s">
        <v>726</v>
      </c>
      <c r="N1681" t="s">
        <v>85</v>
      </c>
      <c r="O1681" s="6" t="s">
        <v>84</v>
      </c>
      <c r="Q1681">
        <v>3</v>
      </c>
      <c r="R1681" t="s">
        <v>214</v>
      </c>
      <c r="S1681" s="2" t="s">
        <v>13</v>
      </c>
      <c r="T1681" s="2">
        <v>3</v>
      </c>
      <c r="U1681" t="s">
        <v>28</v>
      </c>
      <c r="V1681" t="s">
        <v>28</v>
      </c>
      <c r="W1681">
        <v>17</v>
      </c>
      <c r="X1681">
        <v>0.57030000000000003</v>
      </c>
      <c r="Y1681">
        <f>0.727-X1681</f>
        <v>0.15669999999999995</v>
      </c>
      <c r="AA1681" s="6"/>
      <c r="AB1681" s="6"/>
    </row>
    <row r="1682" spans="1:28" x14ac:dyDescent="0.2">
      <c r="A1682" t="s">
        <v>260</v>
      </c>
      <c r="B1682">
        <v>2009</v>
      </c>
      <c r="C1682" t="s">
        <v>807</v>
      </c>
      <c r="D1682" t="s">
        <v>808</v>
      </c>
      <c r="E1682" t="s">
        <v>205</v>
      </c>
      <c r="F1682" t="s">
        <v>424</v>
      </c>
      <c r="G1682">
        <v>78.946886000000006</v>
      </c>
      <c r="H1682">
        <v>11.97106</v>
      </c>
      <c r="I1682" t="s">
        <v>771</v>
      </c>
      <c r="J1682" t="s">
        <v>14</v>
      </c>
      <c r="K1682" t="s">
        <v>144</v>
      </c>
      <c r="L1682" t="s">
        <v>144</v>
      </c>
      <c r="M1682" t="s">
        <v>726</v>
      </c>
      <c r="N1682" t="s">
        <v>85</v>
      </c>
      <c r="O1682" s="6" t="s">
        <v>84</v>
      </c>
      <c r="Q1682">
        <v>6</v>
      </c>
      <c r="R1682" t="s">
        <v>213</v>
      </c>
      <c r="S1682" s="2" t="s">
        <v>13</v>
      </c>
      <c r="T1682" s="2">
        <v>3</v>
      </c>
      <c r="U1682" t="s">
        <v>28</v>
      </c>
      <c r="V1682" t="s">
        <v>28</v>
      </c>
      <c r="W1682">
        <v>17</v>
      </c>
      <c r="X1682">
        <v>0.43509999999999999</v>
      </c>
      <c r="Y1682">
        <f>0.4865-X1682</f>
        <v>5.1400000000000001E-2</v>
      </c>
      <c r="AA1682" s="6"/>
      <c r="AB1682" s="6"/>
    </row>
    <row r="1683" spans="1:28" x14ac:dyDescent="0.2">
      <c r="A1683" t="s">
        <v>260</v>
      </c>
      <c r="B1683">
        <v>2009</v>
      </c>
      <c r="C1683" t="s">
        <v>807</v>
      </c>
      <c r="D1683" t="s">
        <v>808</v>
      </c>
      <c r="E1683" t="s">
        <v>205</v>
      </c>
      <c r="F1683" t="s">
        <v>424</v>
      </c>
      <c r="G1683">
        <v>78.946886000000006</v>
      </c>
      <c r="H1683">
        <v>11.97106</v>
      </c>
      <c r="I1683" t="s">
        <v>771</v>
      </c>
      <c r="J1683" t="s">
        <v>14</v>
      </c>
      <c r="K1683" t="s">
        <v>144</v>
      </c>
      <c r="L1683" t="s">
        <v>144</v>
      </c>
      <c r="M1683" t="s">
        <v>726</v>
      </c>
      <c r="N1683" t="s">
        <v>85</v>
      </c>
      <c r="O1683" s="6" t="s">
        <v>84</v>
      </c>
      <c r="Q1683">
        <v>2</v>
      </c>
      <c r="R1683" t="s">
        <v>214</v>
      </c>
      <c r="S1683" s="2" t="s">
        <v>15</v>
      </c>
      <c r="T1683" s="2">
        <v>3</v>
      </c>
      <c r="U1683" t="s">
        <v>28</v>
      </c>
      <c r="V1683" t="s">
        <v>28</v>
      </c>
      <c r="W1683">
        <v>21</v>
      </c>
      <c r="X1683">
        <v>0.42030000000000001</v>
      </c>
      <c r="Y1683">
        <f>0.518-X1683</f>
        <v>9.7700000000000009E-2</v>
      </c>
      <c r="AA1683" s="6"/>
      <c r="AB1683" s="6"/>
    </row>
    <row r="1684" spans="1:28" x14ac:dyDescent="0.2">
      <c r="A1684" t="s">
        <v>260</v>
      </c>
      <c r="B1684">
        <v>2009</v>
      </c>
      <c r="C1684" t="s">
        <v>807</v>
      </c>
      <c r="D1684" t="s">
        <v>808</v>
      </c>
      <c r="E1684" t="s">
        <v>205</v>
      </c>
      <c r="F1684" t="s">
        <v>424</v>
      </c>
      <c r="G1684">
        <v>78.946886000000006</v>
      </c>
      <c r="H1684">
        <v>11.97106</v>
      </c>
      <c r="I1684" t="s">
        <v>771</v>
      </c>
      <c r="J1684" t="s">
        <v>14</v>
      </c>
      <c r="K1684" t="s">
        <v>144</v>
      </c>
      <c r="L1684" t="s">
        <v>144</v>
      </c>
      <c r="M1684" t="s">
        <v>726</v>
      </c>
      <c r="N1684" t="s">
        <v>85</v>
      </c>
      <c r="O1684" s="6" t="s">
        <v>84</v>
      </c>
      <c r="Q1684">
        <v>3</v>
      </c>
      <c r="R1684" t="s">
        <v>213</v>
      </c>
      <c r="S1684" s="2" t="s">
        <v>15</v>
      </c>
      <c r="T1684" s="2">
        <v>3</v>
      </c>
      <c r="U1684" t="s">
        <v>28</v>
      </c>
      <c r="V1684" t="s">
        <v>28</v>
      </c>
      <c r="W1684">
        <v>21</v>
      </c>
      <c r="X1684">
        <v>1.3599999999999999E-2</v>
      </c>
      <c r="Y1684">
        <v>0</v>
      </c>
      <c r="AA1684" s="6"/>
      <c r="AB1684" s="6"/>
    </row>
    <row r="1685" spans="1:28" x14ac:dyDescent="0.2">
      <c r="A1685" t="s">
        <v>260</v>
      </c>
      <c r="B1685">
        <v>2009</v>
      </c>
      <c r="C1685" t="s">
        <v>807</v>
      </c>
      <c r="D1685" t="s">
        <v>808</v>
      </c>
      <c r="E1685" t="s">
        <v>205</v>
      </c>
      <c r="F1685" t="s">
        <v>424</v>
      </c>
      <c r="G1685">
        <v>78.946886000000006</v>
      </c>
      <c r="H1685">
        <v>11.97106</v>
      </c>
      <c r="I1685" t="s">
        <v>766</v>
      </c>
      <c r="J1685" t="s">
        <v>7</v>
      </c>
      <c r="K1685" t="s">
        <v>144</v>
      </c>
      <c r="L1685" t="s">
        <v>144</v>
      </c>
      <c r="M1685" t="s">
        <v>726</v>
      </c>
      <c r="N1685" t="s">
        <v>85</v>
      </c>
      <c r="O1685" s="6" t="s">
        <v>84</v>
      </c>
      <c r="Q1685">
        <v>2</v>
      </c>
      <c r="R1685" t="s">
        <v>214</v>
      </c>
      <c r="S1685" s="2" t="s">
        <v>7</v>
      </c>
      <c r="T1685" s="2">
        <v>3</v>
      </c>
      <c r="U1685" t="s">
        <v>28</v>
      </c>
      <c r="V1685" t="s">
        <v>28</v>
      </c>
      <c r="W1685">
        <v>4</v>
      </c>
      <c r="X1685">
        <v>0.45789999999999997</v>
      </c>
      <c r="Y1685">
        <f>0.5107-X1685</f>
        <v>5.2800000000000069E-2</v>
      </c>
      <c r="AA1685" s="6"/>
      <c r="AB1685" s="6"/>
    </row>
    <row r="1686" spans="1:28" x14ac:dyDescent="0.2">
      <c r="A1686" t="s">
        <v>260</v>
      </c>
      <c r="B1686">
        <v>2009</v>
      </c>
      <c r="C1686" t="s">
        <v>807</v>
      </c>
      <c r="D1686" t="s">
        <v>808</v>
      </c>
      <c r="E1686" t="s">
        <v>205</v>
      </c>
      <c r="F1686" t="s">
        <v>424</v>
      </c>
      <c r="G1686">
        <v>78.946886000000006</v>
      </c>
      <c r="H1686">
        <v>11.97106</v>
      </c>
      <c r="I1686" t="s">
        <v>766</v>
      </c>
      <c r="J1686" t="s">
        <v>7</v>
      </c>
      <c r="K1686" t="s">
        <v>144</v>
      </c>
      <c r="L1686" t="s">
        <v>144</v>
      </c>
      <c r="M1686" t="s">
        <v>726</v>
      </c>
      <c r="N1686" t="s">
        <v>85</v>
      </c>
      <c r="O1686" s="6" t="s">
        <v>84</v>
      </c>
      <c r="Q1686">
        <v>3</v>
      </c>
      <c r="R1686" t="s">
        <v>214</v>
      </c>
      <c r="S1686" s="2" t="s">
        <v>7</v>
      </c>
      <c r="T1686" s="2">
        <v>3</v>
      </c>
      <c r="U1686" t="s">
        <v>28</v>
      </c>
      <c r="V1686" t="s">
        <v>28</v>
      </c>
      <c r="W1686">
        <v>4</v>
      </c>
      <c r="X1686">
        <v>0.35470000000000002</v>
      </c>
      <c r="Y1686">
        <f>0.4277-X1686</f>
        <v>7.3000000000000009E-2</v>
      </c>
      <c r="AA1686" s="6"/>
      <c r="AB1686" s="6"/>
    </row>
    <row r="1687" spans="1:28" x14ac:dyDescent="0.2">
      <c r="A1687" t="s">
        <v>260</v>
      </c>
      <c r="B1687">
        <v>2009</v>
      </c>
      <c r="C1687" t="s">
        <v>807</v>
      </c>
      <c r="D1687" t="s">
        <v>808</v>
      </c>
      <c r="E1687" t="s">
        <v>205</v>
      </c>
      <c r="F1687" t="s">
        <v>424</v>
      </c>
      <c r="G1687">
        <v>78.946886000000006</v>
      </c>
      <c r="H1687">
        <v>11.97106</v>
      </c>
      <c r="I1687" t="s">
        <v>766</v>
      </c>
      <c r="J1687" t="s">
        <v>7</v>
      </c>
      <c r="K1687" t="s">
        <v>144</v>
      </c>
      <c r="L1687" t="s">
        <v>144</v>
      </c>
      <c r="M1687" t="s">
        <v>726</v>
      </c>
      <c r="N1687" t="s">
        <v>85</v>
      </c>
      <c r="O1687" s="6" t="s">
        <v>84</v>
      </c>
      <c r="Q1687">
        <v>6</v>
      </c>
      <c r="R1687" t="s">
        <v>213</v>
      </c>
      <c r="S1687" s="2" t="s">
        <v>7</v>
      </c>
      <c r="T1687" s="2">
        <v>3</v>
      </c>
      <c r="U1687" t="s">
        <v>28</v>
      </c>
      <c r="V1687" t="s">
        <v>28</v>
      </c>
      <c r="W1687">
        <v>4</v>
      </c>
      <c r="X1687">
        <v>0.20380000000000001</v>
      </c>
      <c r="Y1687">
        <f>0.2264-X1687</f>
        <v>2.2599999999999981E-2</v>
      </c>
      <c r="AA1687" s="6"/>
      <c r="AB1687" s="6"/>
    </row>
    <row r="1688" spans="1:28" x14ac:dyDescent="0.2">
      <c r="A1688" t="s">
        <v>260</v>
      </c>
      <c r="B1688">
        <v>2009</v>
      </c>
      <c r="C1688" t="s">
        <v>807</v>
      </c>
      <c r="D1688" t="s">
        <v>808</v>
      </c>
      <c r="E1688" t="s">
        <v>205</v>
      </c>
      <c r="F1688" t="s">
        <v>424</v>
      </c>
      <c r="G1688">
        <v>78.946886000000006</v>
      </c>
      <c r="H1688">
        <v>11.97106</v>
      </c>
      <c r="I1688" t="s">
        <v>766</v>
      </c>
      <c r="J1688" t="s">
        <v>14</v>
      </c>
      <c r="K1688" t="s">
        <v>144</v>
      </c>
      <c r="L1688" t="s">
        <v>144</v>
      </c>
      <c r="M1688" t="s">
        <v>726</v>
      </c>
      <c r="N1688" t="s">
        <v>85</v>
      </c>
      <c r="O1688" s="6" t="s">
        <v>84</v>
      </c>
      <c r="Q1688">
        <v>2</v>
      </c>
      <c r="R1688" t="s">
        <v>214</v>
      </c>
      <c r="S1688" s="2" t="s">
        <v>9</v>
      </c>
      <c r="T1688" s="2">
        <v>3</v>
      </c>
      <c r="U1688" t="s">
        <v>28</v>
      </c>
      <c r="V1688" t="s">
        <v>28</v>
      </c>
      <c r="W1688">
        <v>8</v>
      </c>
      <c r="X1688" s="6">
        <v>0.40129999999999999</v>
      </c>
      <c r="Y1688">
        <f>0.4815-X1688</f>
        <v>8.0199999999999994E-2</v>
      </c>
      <c r="AB1688" s="6"/>
    </row>
    <row r="1689" spans="1:28" x14ac:dyDescent="0.2">
      <c r="A1689" t="s">
        <v>260</v>
      </c>
      <c r="B1689">
        <v>2009</v>
      </c>
      <c r="C1689" t="s">
        <v>807</v>
      </c>
      <c r="D1689" t="s">
        <v>808</v>
      </c>
      <c r="E1689" t="s">
        <v>205</v>
      </c>
      <c r="F1689" t="s">
        <v>424</v>
      </c>
      <c r="G1689">
        <v>78.946886000000006</v>
      </c>
      <c r="H1689">
        <v>11.97106</v>
      </c>
      <c r="I1689" t="s">
        <v>766</v>
      </c>
      <c r="J1689" t="s">
        <v>14</v>
      </c>
      <c r="K1689" t="s">
        <v>144</v>
      </c>
      <c r="L1689" t="s">
        <v>144</v>
      </c>
      <c r="M1689" t="s">
        <v>726</v>
      </c>
      <c r="N1689" t="s">
        <v>85</v>
      </c>
      <c r="O1689" s="6" t="s">
        <v>84</v>
      </c>
      <c r="Q1689">
        <v>3</v>
      </c>
      <c r="R1689" t="s">
        <v>214</v>
      </c>
      <c r="S1689" s="2" t="s">
        <v>9</v>
      </c>
      <c r="T1689" s="2">
        <v>3</v>
      </c>
      <c r="U1689" t="s">
        <v>28</v>
      </c>
      <c r="V1689" t="s">
        <v>28</v>
      </c>
      <c r="W1689">
        <v>8</v>
      </c>
      <c r="X1689" s="6">
        <v>0.24829999999999999</v>
      </c>
      <c r="Y1689">
        <f>0.2984-X1689</f>
        <v>5.0100000000000006E-2</v>
      </c>
      <c r="AB1689" s="6"/>
    </row>
    <row r="1690" spans="1:28" x14ac:dyDescent="0.2">
      <c r="A1690" t="s">
        <v>260</v>
      </c>
      <c r="B1690">
        <v>2009</v>
      </c>
      <c r="C1690" t="s">
        <v>807</v>
      </c>
      <c r="D1690" t="s">
        <v>808</v>
      </c>
      <c r="E1690" t="s">
        <v>205</v>
      </c>
      <c r="F1690" t="s">
        <v>424</v>
      </c>
      <c r="G1690">
        <v>78.946886000000006</v>
      </c>
      <c r="H1690">
        <v>11.97106</v>
      </c>
      <c r="I1690" t="s">
        <v>766</v>
      </c>
      <c r="J1690" t="s">
        <v>14</v>
      </c>
      <c r="K1690" t="s">
        <v>144</v>
      </c>
      <c r="L1690" t="s">
        <v>144</v>
      </c>
      <c r="M1690" t="s">
        <v>726</v>
      </c>
      <c r="N1690" t="s">
        <v>85</v>
      </c>
      <c r="O1690" s="6" t="s">
        <v>84</v>
      </c>
      <c r="Q1690">
        <v>6</v>
      </c>
      <c r="R1690" t="s">
        <v>213</v>
      </c>
      <c r="S1690" s="2" t="s">
        <v>9</v>
      </c>
      <c r="T1690" s="2">
        <v>3</v>
      </c>
      <c r="U1690" t="s">
        <v>28</v>
      </c>
      <c r="V1690" t="s">
        <v>28</v>
      </c>
      <c r="W1690">
        <v>8</v>
      </c>
      <c r="X1690" s="6">
        <v>0.1605</v>
      </c>
      <c r="Y1690">
        <f>0.1931-X1690</f>
        <v>3.259999999999999E-2</v>
      </c>
      <c r="AB1690" s="6"/>
    </row>
    <row r="1691" spans="1:28" x14ac:dyDescent="0.2">
      <c r="A1691" t="s">
        <v>260</v>
      </c>
      <c r="B1691">
        <v>2009</v>
      </c>
      <c r="C1691" t="s">
        <v>807</v>
      </c>
      <c r="D1691" t="s">
        <v>808</v>
      </c>
      <c r="E1691" t="s">
        <v>205</v>
      </c>
      <c r="F1691" t="s">
        <v>424</v>
      </c>
      <c r="G1691">
        <v>78.946886000000006</v>
      </c>
      <c r="H1691">
        <v>11.97106</v>
      </c>
      <c r="I1691" t="s">
        <v>766</v>
      </c>
      <c r="J1691" t="s">
        <v>14</v>
      </c>
      <c r="K1691" t="s">
        <v>144</v>
      </c>
      <c r="L1691" t="s">
        <v>144</v>
      </c>
      <c r="M1691" t="s">
        <v>726</v>
      </c>
      <c r="N1691" t="s">
        <v>85</v>
      </c>
      <c r="O1691" s="6" t="s">
        <v>84</v>
      </c>
      <c r="Q1691">
        <v>2</v>
      </c>
      <c r="R1691" t="s">
        <v>214</v>
      </c>
      <c r="S1691" s="2" t="s">
        <v>27</v>
      </c>
      <c r="T1691" s="2">
        <v>3</v>
      </c>
      <c r="U1691" t="s">
        <v>28</v>
      </c>
      <c r="V1691" t="s">
        <v>28</v>
      </c>
      <c r="W1691">
        <v>15</v>
      </c>
      <c r="X1691">
        <v>0.42630000000000001</v>
      </c>
      <c r="Y1691">
        <f>0.4991-X1691</f>
        <v>7.2799999999999976E-2</v>
      </c>
      <c r="AA1691" s="6"/>
      <c r="AB1691" s="6"/>
    </row>
    <row r="1692" spans="1:28" x14ac:dyDescent="0.2">
      <c r="A1692" t="s">
        <v>260</v>
      </c>
      <c r="B1692">
        <v>2009</v>
      </c>
      <c r="C1692" t="s">
        <v>807</v>
      </c>
      <c r="D1692" t="s">
        <v>808</v>
      </c>
      <c r="E1692" t="s">
        <v>205</v>
      </c>
      <c r="F1692" t="s">
        <v>424</v>
      </c>
      <c r="G1692">
        <v>78.946886000000006</v>
      </c>
      <c r="H1692">
        <v>11.97106</v>
      </c>
      <c r="I1692" t="s">
        <v>766</v>
      </c>
      <c r="J1692" t="s">
        <v>14</v>
      </c>
      <c r="K1692" t="s">
        <v>144</v>
      </c>
      <c r="L1692" t="s">
        <v>144</v>
      </c>
      <c r="M1692" t="s">
        <v>726</v>
      </c>
      <c r="N1692" t="s">
        <v>85</v>
      </c>
      <c r="O1692" s="6" t="s">
        <v>84</v>
      </c>
      <c r="Q1692">
        <v>3</v>
      </c>
      <c r="R1692" t="s">
        <v>214</v>
      </c>
      <c r="S1692" s="2" t="s">
        <v>27</v>
      </c>
      <c r="T1692" s="2">
        <v>3</v>
      </c>
      <c r="U1692" t="s">
        <v>28</v>
      </c>
      <c r="V1692" t="s">
        <v>28</v>
      </c>
      <c r="W1692">
        <v>15</v>
      </c>
      <c r="X1692">
        <v>0.51659999999999995</v>
      </c>
      <c r="Y1692">
        <f>0.5693-X1692</f>
        <v>5.270000000000008E-2</v>
      </c>
      <c r="AA1692" s="6"/>
      <c r="AB1692" s="6"/>
    </row>
    <row r="1693" spans="1:28" x14ac:dyDescent="0.2">
      <c r="A1693" t="s">
        <v>260</v>
      </c>
      <c r="B1693">
        <v>2009</v>
      </c>
      <c r="C1693" t="s">
        <v>807</v>
      </c>
      <c r="D1693" t="s">
        <v>808</v>
      </c>
      <c r="E1693" t="s">
        <v>205</v>
      </c>
      <c r="F1693" t="s">
        <v>424</v>
      </c>
      <c r="G1693">
        <v>78.946886000000006</v>
      </c>
      <c r="H1693">
        <v>11.97106</v>
      </c>
      <c r="I1693" t="s">
        <v>766</v>
      </c>
      <c r="J1693" t="s">
        <v>14</v>
      </c>
      <c r="K1693" t="s">
        <v>144</v>
      </c>
      <c r="L1693" t="s">
        <v>144</v>
      </c>
      <c r="M1693" t="s">
        <v>726</v>
      </c>
      <c r="N1693" t="s">
        <v>85</v>
      </c>
      <c r="O1693" s="6" t="s">
        <v>84</v>
      </c>
      <c r="Q1693">
        <v>6</v>
      </c>
      <c r="R1693" t="s">
        <v>213</v>
      </c>
      <c r="S1693" s="2" t="s">
        <v>27</v>
      </c>
      <c r="T1693" s="2">
        <v>3</v>
      </c>
      <c r="U1693" t="s">
        <v>28</v>
      </c>
      <c r="V1693" t="s">
        <v>28</v>
      </c>
      <c r="W1693">
        <v>15</v>
      </c>
      <c r="X1693">
        <v>0.24579999999999999</v>
      </c>
      <c r="Y1693">
        <f>0.316-X1693</f>
        <v>7.0200000000000012E-2</v>
      </c>
      <c r="AA1693" s="6"/>
      <c r="AB1693" s="6"/>
    </row>
    <row r="1694" spans="1:28" x14ac:dyDescent="0.2">
      <c r="A1694" t="s">
        <v>260</v>
      </c>
      <c r="B1694">
        <v>2009</v>
      </c>
      <c r="C1694" t="s">
        <v>807</v>
      </c>
      <c r="D1694" t="s">
        <v>808</v>
      </c>
      <c r="E1694" t="s">
        <v>205</v>
      </c>
      <c r="F1694" t="s">
        <v>424</v>
      </c>
      <c r="G1694">
        <v>78.946886000000006</v>
      </c>
      <c r="H1694">
        <v>11.97106</v>
      </c>
      <c r="I1694" t="s">
        <v>764</v>
      </c>
      <c r="J1694" t="s">
        <v>7</v>
      </c>
      <c r="K1694" t="s">
        <v>203</v>
      </c>
      <c r="L1694" t="s">
        <v>300</v>
      </c>
      <c r="M1694" t="s">
        <v>727</v>
      </c>
      <c r="N1694" t="s">
        <v>85</v>
      </c>
      <c r="O1694" s="6" t="s">
        <v>71</v>
      </c>
      <c r="P1694" t="s">
        <v>70</v>
      </c>
      <c r="Q1694">
        <v>6</v>
      </c>
      <c r="R1694" t="s">
        <v>213</v>
      </c>
      <c r="S1694" s="2" t="s">
        <v>7</v>
      </c>
      <c r="T1694" s="2">
        <v>3</v>
      </c>
      <c r="U1694" t="s">
        <v>28</v>
      </c>
      <c r="V1694" t="s">
        <v>28</v>
      </c>
      <c r="W1694">
        <v>7</v>
      </c>
      <c r="X1694">
        <v>75.680000000000007</v>
      </c>
      <c r="Y1694">
        <f>85.21-X1694</f>
        <v>9.5299999999999869</v>
      </c>
      <c r="AA1694" s="6"/>
      <c r="AB1694" s="6"/>
    </row>
    <row r="1695" spans="1:28" x14ac:dyDescent="0.2">
      <c r="A1695" t="s">
        <v>260</v>
      </c>
      <c r="B1695">
        <v>2009</v>
      </c>
      <c r="C1695" t="s">
        <v>807</v>
      </c>
      <c r="D1695" t="s">
        <v>808</v>
      </c>
      <c r="E1695" t="s">
        <v>205</v>
      </c>
      <c r="F1695" t="s">
        <v>424</v>
      </c>
      <c r="G1695">
        <v>78.946886000000006</v>
      </c>
      <c r="H1695">
        <v>11.97106</v>
      </c>
      <c r="I1695" t="s">
        <v>764</v>
      </c>
      <c r="J1695" t="s">
        <v>14</v>
      </c>
      <c r="K1695" t="s">
        <v>203</v>
      </c>
      <c r="L1695" t="s">
        <v>300</v>
      </c>
      <c r="M1695" t="s">
        <v>727</v>
      </c>
      <c r="N1695" t="s">
        <v>85</v>
      </c>
      <c r="O1695" s="6" t="s">
        <v>71</v>
      </c>
      <c r="P1695" t="s">
        <v>70</v>
      </c>
      <c r="Q1695">
        <v>6</v>
      </c>
      <c r="R1695" t="s">
        <v>213</v>
      </c>
      <c r="S1695" s="2" t="s">
        <v>9</v>
      </c>
      <c r="T1695" s="2">
        <v>3</v>
      </c>
      <c r="U1695" t="s">
        <v>28</v>
      </c>
      <c r="V1695" t="s">
        <v>28</v>
      </c>
      <c r="W1695">
        <v>12</v>
      </c>
      <c r="X1695">
        <v>65.5</v>
      </c>
      <c r="Y1695">
        <f>76.95-X1695</f>
        <v>11.450000000000003</v>
      </c>
      <c r="AA1695" s="6"/>
      <c r="AB1695" s="6"/>
    </row>
    <row r="1696" spans="1:28" x14ac:dyDescent="0.2">
      <c r="A1696" t="s">
        <v>260</v>
      </c>
      <c r="B1696">
        <v>2009</v>
      </c>
      <c r="C1696" t="s">
        <v>807</v>
      </c>
      <c r="D1696" t="s">
        <v>808</v>
      </c>
      <c r="E1696" t="s">
        <v>205</v>
      </c>
      <c r="F1696" t="s">
        <v>424</v>
      </c>
      <c r="G1696">
        <v>78.946886000000006</v>
      </c>
      <c r="H1696">
        <v>11.97106</v>
      </c>
      <c r="I1696" t="s">
        <v>764</v>
      </c>
      <c r="J1696" t="s">
        <v>14</v>
      </c>
      <c r="K1696" t="s">
        <v>203</v>
      </c>
      <c r="L1696" t="s">
        <v>300</v>
      </c>
      <c r="M1696" t="s">
        <v>727</v>
      </c>
      <c r="N1696" t="s">
        <v>85</v>
      </c>
      <c r="O1696" s="6" t="s">
        <v>71</v>
      </c>
      <c r="P1696" t="s">
        <v>70</v>
      </c>
      <c r="Q1696">
        <v>6</v>
      </c>
      <c r="R1696" t="s">
        <v>213</v>
      </c>
      <c r="S1696" t="s">
        <v>27</v>
      </c>
      <c r="T1696" s="2">
        <v>3</v>
      </c>
      <c r="U1696" t="s">
        <v>28</v>
      </c>
      <c r="V1696" t="s">
        <v>28</v>
      </c>
      <c r="W1696">
        <v>16</v>
      </c>
      <c r="X1696">
        <v>57.23</v>
      </c>
      <c r="Y1696">
        <f>66.61-X1696</f>
        <v>9.3800000000000026</v>
      </c>
      <c r="AA1696" s="6"/>
      <c r="AB1696" s="6"/>
    </row>
    <row r="1697" spans="1:28" x14ac:dyDescent="0.2">
      <c r="A1697" t="s">
        <v>262</v>
      </c>
      <c r="B1697">
        <v>2013</v>
      </c>
      <c r="C1697" t="s">
        <v>826</v>
      </c>
      <c r="D1697" t="s">
        <v>824</v>
      </c>
      <c r="E1697" t="s">
        <v>48</v>
      </c>
      <c r="F1697" t="s">
        <v>341</v>
      </c>
      <c r="G1697">
        <v>78.957817000000006</v>
      </c>
      <c r="H1697">
        <v>12.074287</v>
      </c>
      <c r="I1697" t="s">
        <v>767</v>
      </c>
      <c r="J1697" t="s">
        <v>7</v>
      </c>
      <c r="K1697" t="s">
        <v>261</v>
      </c>
      <c r="L1697" t="s">
        <v>143</v>
      </c>
      <c r="M1697" t="s">
        <v>726</v>
      </c>
      <c r="N1697" t="s">
        <v>85</v>
      </c>
      <c r="O1697" s="6" t="s">
        <v>84</v>
      </c>
      <c r="Q1697">
        <f t="shared" ref="Q1697:Q1712" si="37">1/24</f>
        <v>4.1666666666666664E-2</v>
      </c>
      <c r="R1697" t="s">
        <v>213</v>
      </c>
      <c r="S1697" s="2" t="s">
        <v>7</v>
      </c>
      <c r="T1697" s="2">
        <v>5</v>
      </c>
      <c r="U1697" t="s">
        <v>28</v>
      </c>
      <c r="V1697" t="s">
        <v>28</v>
      </c>
      <c r="W1697">
        <v>2</v>
      </c>
      <c r="X1697">
        <v>0.5524</v>
      </c>
      <c r="Y1697" s="6">
        <f t="shared" ref="Y1697:Y1712" si="38">Z1697*SQRT(T1697)</f>
        <v>0.13997785539148683</v>
      </c>
      <c r="Z1697">
        <f>0.615-X1697</f>
        <v>6.2599999999999989E-2</v>
      </c>
      <c r="AA1697" s="6"/>
      <c r="AB1697" s="6"/>
    </row>
    <row r="1698" spans="1:28" x14ac:dyDescent="0.2">
      <c r="A1698" t="s">
        <v>262</v>
      </c>
      <c r="B1698">
        <v>2013</v>
      </c>
      <c r="C1698" t="s">
        <v>826</v>
      </c>
      <c r="D1698" t="s">
        <v>824</v>
      </c>
      <c r="E1698" t="s">
        <v>48</v>
      </c>
      <c r="F1698" t="s">
        <v>341</v>
      </c>
      <c r="G1698">
        <v>78.957817000000006</v>
      </c>
      <c r="H1698">
        <v>12.074287</v>
      </c>
      <c r="I1698" t="s">
        <v>767</v>
      </c>
      <c r="J1698" t="s">
        <v>14</v>
      </c>
      <c r="K1698" t="s">
        <v>261</v>
      </c>
      <c r="L1698" t="s">
        <v>143</v>
      </c>
      <c r="M1698" t="s">
        <v>726</v>
      </c>
      <c r="N1698" t="s">
        <v>85</v>
      </c>
      <c r="O1698" s="6" t="s">
        <v>84</v>
      </c>
      <c r="Q1698">
        <f t="shared" si="37"/>
        <v>4.1666666666666664E-2</v>
      </c>
      <c r="R1698" t="s">
        <v>213</v>
      </c>
      <c r="S1698" s="2" t="s">
        <v>9</v>
      </c>
      <c r="T1698" s="2">
        <v>5</v>
      </c>
      <c r="U1698" t="s">
        <v>28</v>
      </c>
      <c r="V1698" t="s">
        <v>28</v>
      </c>
      <c r="W1698">
        <v>7</v>
      </c>
      <c r="X1698">
        <v>0.5837</v>
      </c>
      <c r="Y1698" s="6">
        <f t="shared" si="38"/>
        <v>9.0337146290991488E-2</v>
      </c>
      <c r="Z1698">
        <f>0.6241-X1698</f>
        <v>4.0399999999999991E-2</v>
      </c>
      <c r="AA1698" s="6"/>
      <c r="AB1698" s="6"/>
    </row>
    <row r="1699" spans="1:28" x14ac:dyDescent="0.2">
      <c r="A1699" t="s">
        <v>262</v>
      </c>
      <c r="B1699">
        <v>2013</v>
      </c>
      <c r="C1699" t="s">
        <v>816</v>
      </c>
      <c r="D1699" t="s">
        <v>817</v>
      </c>
      <c r="E1699" t="s">
        <v>263</v>
      </c>
      <c r="F1699" t="s">
        <v>341</v>
      </c>
      <c r="G1699">
        <v>78.957817000000006</v>
      </c>
      <c r="H1699">
        <v>12.074287</v>
      </c>
      <c r="I1699" t="s">
        <v>767</v>
      </c>
      <c r="J1699" t="s">
        <v>7</v>
      </c>
      <c r="K1699" t="s">
        <v>261</v>
      </c>
      <c r="L1699" t="s">
        <v>143</v>
      </c>
      <c r="M1699" t="s">
        <v>726</v>
      </c>
      <c r="N1699" t="s">
        <v>85</v>
      </c>
      <c r="O1699" s="6" t="s">
        <v>84</v>
      </c>
      <c r="Q1699">
        <f t="shared" si="37"/>
        <v>4.1666666666666664E-2</v>
      </c>
      <c r="R1699" t="s">
        <v>213</v>
      </c>
      <c r="S1699" s="2" t="s">
        <v>7</v>
      </c>
      <c r="T1699" s="2">
        <v>5</v>
      </c>
      <c r="U1699" t="s">
        <v>28</v>
      </c>
      <c r="V1699" t="s">
        <v>28</v>
      </c>
      <c r="W1699">
        <v>2</v>
      </c>
      <c r="X1699">
        <v>0.6744</v>
      </c>
      <c r="Y1699" s="6">
        <f t="shared" si="38"/>
        <v>4.0696437190496162E-2</v>
      </c>
      <c r="Z1699">
        <f>0.6926-X1699</f>
        <v>1.8199999999999994E-2</v>
      </c>
      <c r="AA1699" s="6"/>
      <c r="AB1699" s="6"/>
    </row>
    <row r="1700" spans="1:28" x14ac:dyDescent="0.2">
      <c r="A1700" t="s">
        <v>262</v>
      </c>
      <c r="B1700">
        <v>2013</v>
      </c>
      <c r="C1700" t="s">
        <v>816</v>
      </c>
      <c r="D1700" t="s">
        <v>817</v>
      </c>
      <c r="E1700" t="s">
        <v>263</v>
      </c>
      <c r="F1700" t="s">
        <v>341</v>
      </c>
      <c r="G1700">
        <v>78.957817000000006</v>
      </c>
      <c r="H1700">
        <v>12.074287</v>
      </c>
      <c r="I1700" t="s">
        <v>767</v>
      </c>
      <c r="J1700" t="s">
        <v>14</v>
      </c>
      <c r="K1700" t="s">
        <v>261</v>
      </c>
      <c r="L1700" t="s">
        <v>143</v>
      </c>
      <c r="M1700" t="s">
        <v>726</v>
      </c>
      <c r="N1700" t="s">
        <v>85</v>
      </c>
      <c r="O1700" s="6" t="s">
        <v>84</v>
      </c>
      <c r="Q1700">
        <f t="shared" si="37"/>
        <v>4.1666666666666664E-2</v>
      </c>
      <c r="R1700" t="s">
        <v>213</v>
      </c>
      <c r="S1700" s="2" t="s">
        <v>9</v>
      </c>
      <c r="T1700" s="2">
        <v>5</v>
      </c>
      <c r="U1700" t="s">
        <v>28</v>
      </c>
      <c r="V1700" t="s">
        <v>28</v>
      </c>
      <c r="W1700">
        <v>7</v>
      </c>
      <c r="X1700">
        <v>0.68740000000000001</v>
      </c>
      <c r="Y1700" s="6">
        <f t="shared" si="38"/>
        <v>4.3379718763495861E-2</v>
      </c>
      <c r="Z1700">
        <f>0.7068-X1700</f>
        <v>1.9399999999999973E-2</v>
      </c>
      <c r="AA1700" s="6"/>
      <c r="AB1700" s="6"/>
    </row>
    <row r="1701" spans="1:28" x14ac:dyDescent="0.2">
      <c r="A1701" t="s">
        <v>262</v>
      </c>
      <c r="B1701">
        <v>2013</v>
      </c>
      <c r="C1701" t="s">
        <v>816</v>
      </c>
      <c r="D1701" t="s">
        <v>817</v>
      </c>
      <c r="E1701" t="s">
        <v>263</v>
      </c>
      <c r="F1701" t="s">
        <v>341</v>
      </c>
      <c r="G1701">
        <v>78.957817000000006</v>
      </c>
      <c r="H1701">
        <v>12.074287</v>
      </c>
      <c r="I1701" t="s">
        <v>767</v>
      </c>
      <c r="J1701" t="s">
        <v>7</v>
      </c>
      <c r="K1701" t="s">
        <v>261</v>
      </c>
      <c r="L1701" t="s">
        <v>143</v>
      </c>
      <c r="M1701" t="s">
        <v>637</v>
      </c>
      <c r="N1701" t="s">
        <v>86</v>
      </c>
      <c r="O1701" s="6" t="s">
        <v>264</v>
      </c>
      <c r="Q1701">
        <f t="shared" si="37"/>
        <v>4.1666666666666664E-2</v>
      </c>
      <c r="R1701" t="s">
        <v>213</v>
      </c>
      <c r="S1701" s="2" t="s">
        <v>7</v>
      </c>
      <c r="T1701" s="2">
        <v>3</v>
      </c>
      <c r="U1701" t="s">
        <v>28</v>
      </c>
      <c r="V1701" t="s">
        <v>28</v>
      </c>
      <c r="W1701">
        <v>2</v>
      </c>
      <c r="X1701">
        <v>41980</v>
      </c>
      <c r="Y1701" s="6">
        <f t="shared" si="38"/>
        <v>5946.1304223839552</v>
      </c>
      <c r="Z1701">
        <f>45413-X1701</f>
        <v>3433</v>
      </c>
      <c r="AA1701" s="6"/>
      <c r="AB1701" s="6"/>
    </row>
    <row r="1702" spans="1:28" x14ac:dyDescent="0.2">
      <c r="A1702" t="s">
        <v>262</v>
      </c>
      <c r="B1702">
        <v>2013</v>
      </c>
      <c r="C1702" t="s">
        <v>816</v>
      </c>
      <c r="D1702" t="s">
        <v>817</v>
      </c>
      <c r="E1702" t="s">
        <v>263</v>
      </c>
      <c r="F1702" t="s">
        <v>341</v>
      </c>
      <c r="G1702">
        <v>78.957817000000006</v>
      </c>
      <c r="H1702">
        <v>12.074287</v>
      </c>
      <c r="I1702" t="s">
        <v>767</v>
      </c>
      <c r="J1702" t="s">
        <v>14</v>
      </c>
      <c r="K1702" t="s">
        <v>261</v>
      </c>
      <c r="L1702" t="s">
        <v>143</v>
      </c>
      <c r="M1702" t="s">
        <v>637</v>
      </c>
      <c r="N1702" t="s">
        <v>86</v>
      </c>
      <c r="O1702" s="6" t="s">
        <v>264</v>
      </c>
      <c r="Q1702">
        <f t="shared" si="37"/>
        <v>4.1666666666666664E-2</v>
      </c>
      <c r="R1702" t="s">
        <v>213</v>
      </c>
      <c r="S1702" s="2" t="s">
        <v>9</v>
      </c>
      <c r="T1702" s="2">
        <v>3</v>
      </c>
      <c r="U1702" t="s">
        <v>28</v>
      </c>
      <c r="V1702" t="s">
        <v>28</v>
      </c>
      <c r="W1702">
        <v>7</v>
      </c>
      <c r="X1702">
        <v>19802</v>
      </c>
      <c r="Y1702" s="6">
        <f t="shared" si="38"/>
        <v>4115.3527187836526</v>
      </c>
      <c r="Z1702">
        <f>22178-X1702</f>
        <v>2376</v>
      </c>
      <c r="AA1702" s="6"/>
      <c r="AB1702" s="6"/>
    </row>
    <row r="1703" spans="1:28" x14ac:dyDescent="0.2">
      <c r="A1703" t="s">
        <v>262</v>
      </c>
      <c r="B1703">
        <v>2013</v>
      </c>
      <c r="C1703" t="s">
        <v>816</v>
      </c>
      <c r="D1703" t="s">
        <v>817</v>
      </c>
      <c r="E1703" t="s">
        <v>263</v>
      </c>
      <c r="F1703" t="s">
        <v>341</v>
      </c>
      <c r="G1703">
        <v>78.957817000000006</v>
      </c>
      <c r="H1703">
        <v>12.074287</v>
      </c>
      <c r="I1703" t="s">
        <v>767</v>
      </c>
      <c r="J1703" t="s">
        <v>7</v>
      </c>
      <c r="K1703" t="s">
        <v>261</v>
      </c>
      <c r="L1703" t="s">
        <v>143</v>
      </c>
      <c r="M1703" t="s">
        <v>637</v>
      </c>
      <c r="N1703" t="s">
        <v>86</v>
      </c>
      <c r="O1703" s="6" t="s">
        <v>265</v>
      </c>
      <c r="Q1703">
        <f t="shared" si="37"/>
        <v>4.1666666666666664E-2</v>
      </c>
      <c r="R1703" t="s">
        <v>213</v>
      </c>
      <c r="S1703" s="2" t="s">
        <v>7</v>
      </c>
      <c r="T1703" s="2">
        <v>3</v>
      </c>
      <c r="U1703" t="s">
        <v>28</v>
      </c>
      <c r="V1703" t="s">
        <v>28</v>
      </c>
      <c r="W1703">
        <v>2</v>
      </c>
      <c r="X1703">
        <v>36556</v>
      </c>
      <c r="Y1703" s="6">
        <f t="shared" si="38"/>
        <v>3670.2156612384506</v>
      </c>
      <c r="Z1703">
        <f>38675-X1703</f>
        <v>2119</v>
      </c>
      <c r="AA1703" s="6"/>
      <c r="AB1703" s="6"/>
    </row>
    <row r="1704" spans="1:28" x14ac:dyDescent="0.2">
      <c r="A1704" t="s">
        <v>262</v>
      </c>
      <c r="B1704">
        <v>2013</v>
      </c>
      <c r="C1704" t="s">
        <v>816</v>
      </c>
      <c r="D1704" t="s">
        <v>817</v>
      </c>
      <c r="E1704" t="s">
        <v>263</v>
      </c>
      <c r="F1704" t="s">
        <v>341</v>
      </c>
      <c r="G1704">
        <v>78.957817000000006</v>
      </c>
      <c r="H1704">
        <v>12.074287</v>
      </c>
      <c r="I1704" t="s">
        <v>767</v>
      </c>
      <c r="J1704" t="s">
        <v>14</v>
      </c>
      <c r="K1704" t="s">
        <v>261</v>
      </c>
      <c r="L1704" t="s">
        <v>143</v>
      </c>
      <c r="M1704" t="s">
        <v>637</v>
      </c>
      <c r="N1704" t="s">
        <v>86</v>
      </c>
      <c r="O1704" s="6" t="s">
        <v>265</v>
      </c>
      <c r="Q1704">
        <f t="shared" si="37"/>
        <v>4.1666666666666664E-2</v>
      </c>
      <c r="R1704" t="s">
        <v>213</v>
      </c>
      <c r="S1704" s="2" t="s">
        <v>9</v>
      </c>
      <c r="T1704" s="2">
        <v>3</v>
      </c>
      <c r="U1704" t="s">
        <v>28</v>
      </c>
      <c r="V1704" t="s">
        <v>28</v>
      </c>
      <c r="W1704">
        <v>7</v>
      </c>
      <c r="X1704">
        <v>19868</v>
      </c>
      <c r="Y1704" s="6">
        <f t="shared" si="38"/>
        <v>916.25487720393608</v>
      </c>
      <c r="Z1704">
        <f>20397-X1704</f>
        <v>529</v>
      </c>
      <c r="AA1704" s="6"/>
      <c r="AB1704" s="6"/>
    </row>
    <row r="1705" spans="1:28" x14ac:dyDescent="0.2">
      <c r="A1705" t="s">
        <v>262</v>
      </c>
      <c r="B1705">
        <v>2013</v>
      </c>
      <c r="C1705" t="s">
        <v>816</v>
      </c>
      <c r="D1705" t="s">
        <v>817</v>
      </c>
      <c r="E1705" t="s">
        <v>263</v>
      </c>
      <c r="F1705" t="s">
        <v>341</v>
      </c>
      <c r="G1705">
        <v>78.957817000000006</v>
      </c>
      <c r="H1705">
        <v>12.074287</v>
      </c>
      <c r="I1705" t="s">
        <v>767</v>
      </c>
      <c r="J1705" t="s">
        <v>7</v>
      </c>
      <c r="K1705" t="s">
        <v>261</v>
      </c>
      <c r="L1705" t="s">
        <v>143</v>
      </c>
      <c r="M1705" t="s">
        <v>637</v>
      </c>
      <c r="N1705" t="s">
        <v>86</v>
      </c>
      <c r="O1705" s="6" t="s">
        <v>266</v>
      </c>
      <c r="Q1705">
        <f t="shared" si="37"/>
        <v>4.1666666666666664E-2</v>
      </c>
      <c r="R1705" t="s">
        <v>213</v>
      </c>
      <c r="S1705" s="2" t="s">
        <v>7</v>
      </c>
      <c r="T1705" s="2">
        <v>3</v>
      </c>
      <c r="U1705" t="s">
        <v>28</v>
      </c>
      <c r="V1705" t="s">
        <v>28</v>
      </c>
      <c r="W1705">
        <v>2</v>
      </c>
      <c r="X1705">
        <v>39075</v>
      </c>
      <c r="Y1705" s="6">
        <f t="shared" si="38"/>
        <v>8547.6707353524089</v>
      </c>
      <c r="Z1705">
        <f>44010-X1705</f>
        <v>4935</v>
      </c>
      <c r="AA1705" s="6"/>
      <c r="AB1705" s="6"/>
    </row>
    <row r="1706" spans="1:28" x14ac:dyDescent="0.2">
      <c r="A1706" t="s">
        <v>262</v>
      </c>
      <c r="B1706">
        <v>2013</v>
      </c>
      <c r="C1706" t="s">
        <v>816</v>
      </c>
      <c r="D1706" t="s">
        <v>817</v>
      </c>
      <c r="E1706" t="s">
        <v>263</v>
      </c>
      <c r="F1706" t="s">
        <v>341</v>
      </c>
      <c r="G1706">
        <v>78.957817000000006</v>
      </c>
      <c r="H1706">
        <v>12.074287</v>
      </c>
      <c r="I1706" t="s">
        <v>767</v>
      </c>
      <c r="J1706" t="s">
        <v>14</v>
      </c>
      <c r="K1706" t="s">
        <v>261</v>
      </c>
      <c r="L1706" t="s">
        <v>143</v>
      </c>
      <c r="M1706" t="s">
        <v>637</v>
      </c>
      <c r="N1706" t="s">
        <v>86</v>
      </c>
      <c r="O1706" s="6" t="s">
        <v>266</v>
      </c>
      <c r="Q1706">
        <f t="shared" si="37"/>
        <v>4.1666666666666664E-2</v>
      </c>
      <c r="R1706" t="s">
        <v>213</v>
      </c>
      <c r="S1706" s="2" t="s">
        <v>9</v>
      </c>
      <c r="T1706" s="2">
        <v>3</v>
      </c>
      <c r="U1706" t="s">
        <v>28</v>
      </c>
      <c r="V1706" t="s">
        <v>28</v>
      </c>
      <c r="W1706">
        <v>7</v>
      </c>
      <c r="X1706">
        <v>48809</v>
      </c>
      <c r="Y1706" s="6">
        <f t="shared" si="38"/>
        <v>10447.730471255467</v>
      </c>
      <c r="Z1706">
        <f>54841-X1706</f>
        <v>6032</v>
      </c>
      <c r="AA1706" s="6"/>
      <c r="AB1706" s="6"/>
    </row>
    <row r="1707" spans="1:28" x14ac:dyDescent="0.2">
      <c r="A1707" t="s">
        <v>262</v>
      </c>
      <c r="B1707">
        <v>2013</v>
      </c>
      <c r="C1707" t="s">
        <v>826</v>
      </c>
      <c r="D1707" t="s">
        <v>824</v>
      </c>
      <c r="E1707" t="s">
        <v>48</v>
      </c>
      <c r="F1707" t="s">
        <v>341</v>
      </c>
      <c r="G1707">
        <v>78.957817000000006</v>
      </c>
      <c r="H1707">
        <v>12.074287</v>
      </c>
      <c r="I1707" t="s">
        <v>767</v>
      </c>
      <c r="J1707" t="s">
        <v>7</v>
      </c>
      <c r="K1707" t="s">
        <v>261</v>
      </c>
      <c r="L1707" t="s">
        <v>143</v>
      </c>
      <c r="M1707" t="s">
        <v>637</v>
      </c>
      <c r="N1707" t="s">
        <v>86</v>
      </c>
      <c r="O1707" s="6" t="s">
        <v>264</v>
      </c>
      <c r="Q1707">
        <f t="shared" si="37"/>
        <v>4.1666666666666664E-2</v>
      </c>
      <c r="R1707" t="s">
        <v>213</v>
      </c>
      <c r="S1707" s="2" t="s">
        <v>7</v>
      </c>
      <c r="T1707" s="2">
        <v>3</v>
      </c>
      <c r="U1707" t="s">
        <v>28</v>
      </c>
      <c r="V1707" t="s">
        <v>28</v>
      </c>
      <c r="W1707">
        <v>2</v>
      </c>
      <c r="X1707">
        <v>43250</v>
      </c>
      <c r="Y1707" s="6">
        <f t="shared" si="38"/>
        <v>9652.7191505813535</v>
      </c>
      <c r="Z1707">
        <f>48823-X1707</f>
        <v>5573</v>
      </c>
      <c r="AA1707" s="6"/>
      <c r="AB1707" s="6"/>
    </row>
    <row r="1708" spans="1:28" x14ac:dyDescent="0.2">
      <c r="A1708" t="s">
        <v>262</v>
      </c>
      <c r="B1708">
        <v>2013</v>
      </c>
      <c r="C1708" t="s">
        <v>826</v>
      </c>
      <c r="D1708" t="s">
        <v>824</v>
      </c>
      <c r="E1708" t="s">
        <v>48</v>
      </c>
      <c r="F1708" t="s">
        <v>341</v>
      </c>
      <c r="G1708">
        <v>78.957817000000006</v>
      </c>
      <c r="H1708">
        <v>12.074287</v>
      </c>
      <c r="I1708" t="s">
        <v>767</v>
      </c>
      <c r="J1708" t="s">
        <v>14</v>
      </c>
      <c r="K1708" t="s">
        <v>261</v>
      </c>
      <c r="L1708" t="s">
        <v>143</v>
      </c>
      <c r="M1708" t="s">
        <v>637</v>
      </c>
      <c r="N1708" t="s">
        <v>86</v>
      </c>
      <c r="O1708" s="6" t="s">
        <v>264</v>
      </c>
      <c r="Q1708">
        <f t="shared" si="37"/>
        <v>4.1666666666666664E-2</v>
      </c>
      <c r="R1708" t="s">
        <v>213</v>
      </c>
      <c r="S1708" s="2" t="s">
        <v>9</v>
      </c>
      <c r="T1708" s="2">
        <v>3</v>
      </c>
      <c r="U1708" t="s">
        <v>28</v>
      </c>
      <c r="V1708" t="s">
        <v>28</v>
      </c>
      <c r="W1708">
        <v>7</v>
      </c>
      <c r="X1708">
        <v>23085</v>
      </c>
      <c r="Y1708" s="6">
        <f t="shared" si="38"/>
        <v>5973.8432353050575</v>
      </c>
      <c r="Z1708">
        <f>26534-X1708</f>
        <v>3449</v>
      </c>
      <c r="AA1708" s="6"/>
      <c r="AB1708" s="6"/>
    </row>
    <row r="1709" spans="1:28" x14ac:dyDescent="0.2">
      <c r="A1709" t="s">
        <v>262</v>
      </c>
      <c r="B1709">
        <v>2013</v>
      </c>
      <c r="C1709" t="s">
        <v>826</v>
      </c>
      <c r="D1709" t="s">
        <v>824</v>
      </c>
      <c r="E1709" t="s">
        <v>48</v>
      </c>
      <c r="F1709" t="s">
        <v>341</v>
      </c>
      <c r="G1709">
        <v>78.957817000000006</v>
      </c>
      <c r="H1709">
        <v>12.074287</v>
      </c>
      <c r="I1709" t="s">
        <v>767</v>
      </c>
      <c r="J1709" t="s">
        <v>7</v>
      </c>
      <c r="K1709" t="s">
        <v>261</v>
      </c>
      <c r="L1709" t="s">
        <v>143</v>
      </c>
      <c r="M1709" t="s">
        <v>637</v>
      </c>
      <c r="N1709" t="s">
        <v>86</v>
      </c>
      <c r="O1709" s="6" t="s">
        <v>265</v>
      </c>
      <c r="Q1709">
        <f t="shared" si="37"/>
        <v>4.1666666666666664E-2</v>
      </c>
      <c r="R1709" t="s">
        <v>213</v>
      </c>
      <c r="S1709" s="2" t="s">
        <v>7</v>
      </c>
      <c r="T1709" s="2">
        <v>3</v>
      </c>
      <c r="U1709" t="s">
        <v>28</v>
      </c>
      <c r="V1709" t="s">
        <v>28</v>
      </c>
      <c r="W1709">
        <v>2</v>
      </c>
      <c r="X1709">
        <v>62292</v>
      </c>
      <c r="Y1709" s="6">
        <f t="shared" si="38"/>
        <v>16967.16971094472</v>
      </c>
      <c r="Z1709">
        <f>72088-X1709</f>
        <v>9796</v>
      </c>
      <c r="AA1709" s="6"/>
      <c r="AB1709" s="6"/>
    </row>
    <row r="1710" spans="1:28" x14ac:dyDescent="0.2">
      <c r="A1710" t="s">
        <v>262</v>
      </c>
      <c r="B1710">
        <v>2013</v>
      </c>
      <c r="C1710" t="s">
        <v>826</v>
      </c>
      <c r="D1710" t="s">
        <v>824</v>
      </c>
      <c r="E1710" t="s">
        <v>48</v>
      </c>
      <c r="F1710" t="s">
        <v>341</v>
      </c>
      <c r="G1710">
        <v>78.957817000000006</v>
      </c>
      <c r="H1710">
        <v>12.074287</v>
      </c>
      <c r="I1710" t="s">
        <v>767</v>
      </c>
      <c r="J1710" t="s">
        <v>14</v>
      </c>
      <c r="K1710" t="s">
        <v>261</v>
      </c>
      <c r="L1710" t="s">
        <v>143</v>
      </c>
      <c r="M1710" t="s">
        <v>637</v>
      </c>
      <c r="N1710" t="s">
        <v>86</v>
      </c>
      <c r="O1710" s="6" t="s">
        <v>265</v>
      </c>
      <c r="Q1710">
        <f t="shared" si="37"/>
        <v>4.1666666666666664E-2</v>
      </c>
      <c r="R1710" t="s">
        <v>213</v>
      </c>
      <c r="S1710" s="2" t="s">
        <v>9</v>
      </c>
      <c r="T1710" s="2">
        <v>3</v>
      </c>
      <c r="U1710" t="s">
        <v>28</v>
      </c>
      <c r="V1710" t="s">
        <v>28</v>
      </c>
      <c r="W1710">
        <v>7</v>
      </c>
      <c r="X1710">
        <v>42449</v>
      </c>
      <c r="Y1710" s="6">
        <f t="shared" si="38"/>
        <v>13922.224391238635</v>
      </c>
      <c r="Z1710">
        <f>50487-X1710</f>
        <v>8038</v>
      </c>
      <c r="AA1710" s="6"/>
      <c r="AB1710" s="6"/>
    </row>
    <row r="1711" spans="1:28" x14ac:dyDescent="0.2">
      <c r="A1711" t="s">
        <v>262</v>
      </c>
      <c r="B1711">
        <v>2013</v>
      </c>
      <c r="C1711" t="s">
        <v>826</v>
      </c>
      <c r="D1711" t="s">
        <v>824</v>
      </c>
      <c r="E1711" t="s">
        <v>48</v>
      </c>
      <c r="F1711" t="s">
        <v>341</v>
      </c>
      <c r="G1711">
        <v>78.957817000000006</v>
      </c>
      <c r="H1711">
        <v>12.074287</v>
      </c>
      <c r="I1711" t="s">
        <v>767</v>
      </c>
      <c r="J1711" t="s">
        <v>7</v>
      </c>
      <c r="K1711" t="s">
        <v>261</v>
      </c>
      <c r="L1711" t="s">
        <v>143</v>
      </c>
      <c r="M1711" t="s">
        <v>637</v>
      </c>
      <c r="N1711" t="s">
        <v>86</v>
      </c>
      <c r="O1711" s="6" t="s">
        <v>266</v>
      </c>
      <c r="Q1711">
        <f t="shared" si="37"/>
        <v>4.1666666666666664E-2</v>
      </c>
      <c r="R1711" t="s">
        <v>213</v>
      </c>
      <c r="S1711" s="2" t="s">
        <v>7</v>
      </c>
      <c r="T1711" s="2">
        <v>3</v>
      </c>
      <c r="U1711" t="s">
        <v>28</v>
      </c>
      <c r="V1711" t="s">
        <v>28</v>
      </c>
      <c r="W1711">
        <v>2</v>
      </c>
      <c r="X1711">
        <v>56066</v>
      </c>
      <c r="Y1711" s="6">
        <f t="shared" si="38"/>
        <v>24964.048289490227</v>
      </c>
      <c r="Z1711">
        <f>70479-X1711</f>
        <v>14413</v>
      </c>
      <c r="AA1711" s="6"/>
      <c r="AB1711" s="6"/>
    </row>
    <row r="1712" spans="1:28" x14ac:dyDescent="0.2">
      <c r="A1712" t="s">
        <v>262</v>
      </c>
      <c r="B1712">
        <v>2013</v>
      </c>
      <c r="C1712" t="s">
        <v>826</v>
      </c>
      <c r="D1712" t="s">
        <v>824</v>
      </c>
      <c r="E1712" t="s">
        <v>48</v>
      </c>
      <c r="F1712" t="s">
        <v>341</v>
      </c>
      <c r="G1712">
        <v>78.957817000000006</v>
      </c>
      <c r="H1712">
        <v>12.074287</v>
      </c>
      <c r="I1712" t="s">
        <v>767</v>
      </c>
      <c r="J1712" t="s">
        <v>14</v>
      </c>
      <c r="K1712" t="s">
        <v>261</v>
      </c>
      <c r="L1712" t="s">
        <v>143</v>
      </c>
      <c r="M1712" t="s">
        <v>637</v>
      </c>
      <c r="N1712" t="s">
        <v>86</v>
      </c>
      <c r="O1712" s="6" t="s">
        <v>266</v>
      </c>
      <c r="Q1712">
        <f t="shared" si="37"/>
        <v>4.1666666666666664E-2</v>
      </c>
      <c r="R1712" t="s">
        <v>213</v>
      </c>
      <c r="S1712" s="2" t="s">
        <v>9</v>
      </c>
      <c r="T1712" s="2">
        <v>3</v>
      </c>
      <c r="U1712" t="s">
        <v>28</v>
      </c>
      <c r="V1712" t="s">
        <v>28</v>
      </c>
      <c r="W1712">
        <v>7</v>
      </c>
      <c r="X1712">
        <v>35702</v>
      </c>
      <c r="Y1712" s="6">
        <f t="shared" si="38"/>
        <v>21988.385002086896</v>
      </c>
      <c r="Z1712">
        <f>48397-X1712</f>
        <v>12695</v>
      </c>
      <c r="AA1712" s="6"/>
      <c r="AB1712" s="6"/>
    </row>
    <row r="1713" spans="1:28" x14ac:dyDescent="0.2">
      <c r="A1713" t="s">
        <v>422</v>
      </c>
      <c r="B1713">
        <v>2016</v>
      </c>
      <c r="C1713" t="s">
        <v>826</v>
      </c>
      <c r="D1713" t="s">
        <v>824</v>
      </c>
      <c r="E1713" t="s">
        <v>48</v>
      </c>
      <c r="F1713" t="s">
        <v>424</v>
      </c>
      <c r="G1713">
        <v>78.992076999999995</v>
      </c>
      <c r="H1713">
        <v>11.633158</v>
      </c>
      <c r="I1713" t="s">
        <v>764</v>
      </c>
      <c r="J1713" t="s">
        <v>7</v>
      </c>
      <c r="K1713" t="s">
        <v>267</v>
      </c>
      <c r="L1713" t="s">
        <v>143</v>
      </c>
      <c r="M1713" t="s">
        <v>26</v>
      </c>
      <c r="N1713" t="s">
        <v>85</v>
      </c>
      <c r="O1713" t="s">
        <v>839</v>
      </c>
      <c r="P1713" t="s">
        <v>72</v>
      </c>
      <c r="Q1713">
        <v>7</v>
      </c>
      <c r="R1713" t="s">
        <v>213</v>
      </c>
      <c r="S1713" s="2" t="s">
        <v>7</v>
      </c>
      <c r="T1713" s="2">
        <v>4</v>
      </c>
      <c r="U1713">
        <v>8.1199999999999992</v>
      </c>
      <c r="V1713">
        <v>368</v>
      </c>
      <c r="W1713">
        <v>4</v>
      </c>
      <c r="X1713">
        <v>9.08</v>
      </c>
      <c r="Y1713">
        <v>1.05</v>
      </c>
      <c r="AA1713" s="6"/>
      <c r="AB1713" s="6"/>
    </row>
    <row r="1714" spans="1:28" x14ac:dyDescent="0.2">
      <c r="A1714" t="s">
        <v>422</v>
      </c>
      <c r="B1714">
        <v>2016</v>
      </c>
      <c r="C1714" t="s">
        <v>826</v>
      </c>
      <c r="D1714" t="s">
        <v>824</v>
      </c>
      <c r="E1714" t="s">
        <v>48</v>
      </c>
      <c r="F1714" t="s">
        <v>424</v>
      </c>
      <c r="G1714">
        <v>78.992076999999995</v>
      </c>
      <c r="H1714">
        <v>11.633158</v>
      </c>
      <c r="I1714" t="s">
        <v>764</v>
      </c>
      <c r="J1714" t="s">
        <v>5</v>
      </c>
      <c r="K1714" t="s">
        <v>267</v>
      </c>
      <c r="L1714" t="s">
        <v>143</v>
      </c>
      <c r="M1714" t="s">
        <v>26</v>
      </c>
      <c r="N1714" t="s">
        <v>85</v>
      </c>
      <c r="O1714" t="s">
        <v>839</v>
      </c>
      <c r="P1714" t="s">
        <v>72</v>
      </c>
      <c r="Q1714">
        <v>7</v>
      </c>
      <c r="R1714" t="s">
        <v>213</v>
      </c>
      <c r="S1714" s="2" t="s">
        <v>9</v>
      </c>
      <c r="T1714" s="2">
        <v>4</v>
      </c>
      <c r="U1714">
        <v>7.63</v>
      </c>
      <c r="V1714">
        <v>1272</v>
      </c>
      <c r="W1714" t="s">
        <v>28</v>
      </c>
      <c r="X1714">
        <v>9.17</v>
      </c>
      <c r="Y1714">
        <v>1.17</v>
      </c>
      <c r="AA1714" s="6"/>
      <c r="AB1714" s="6"/>
    </row>
    <row r="1715" spans="1:28" x14ac:dyDescent="0.2">
      <c r="A1715" t="s">
        <v>422</v>
      </c>
      <c r="B1715">
        <v>2016</v>
      </c>
      <c r="C1715" t="s">
        <v>826</v>
      </c>
      <c r="D1715" t="s">
        <v>824</v>
      </c>
      <c r="E1715" t="s">
        <v>48</v>
      </c>
      <c r="F1715" t="s">
        <v>424</v>
      </c>
      <c r="G1715">
        <v>78.992076999999995</v>
      </c>
      <c r="H1715">
        <v>11.633158</v>
      </c>
      <c r="I1715" t="s">
        <v>764</v>
      </c>
      <c r="J1715" t="s">
        <v>14</v>
      </c>
      <c r="K1715" t="s">
        <v>267</v>
      </c>
      <c r="L1715" t="s">
        <v>143</v>
      </c>
      <c r="M1715" t="s">
        <v>26</v>
      </c>
      <c r="N1715" t="s">
        <v>85</v>
      </c>
      <c r="O1715" t="s">
        <v>839</v>
      </c>
      <c r="P1715" t="s">
        <v>72</v>
      </c>
      <c r="Q1715">
        <v>7</v>
      </c>
      <c r="R1715" t="s">
        <v>213</v>
      </c>
      <c r="S1715" s="2" t="s">
        <v>27</v>
      </c>
      <c r="T1715" s="2">
        <v>4</v>
      </c>
      <c r="U1715" t="s">
        <v>28</v>
      </c>
      <c r="V1715" t="s">
        <v>28</v>
      </c>
      <c r="W1715">
        <v>9</v>
      </c>
      <c r="X1715">
        <v>12.09</v>
      </c>
      <c r="Y1715">
        <v>1.72</v>
      </c>
      <c r="AA1715" s="6"/>
      <c r="AB1715" s="6"/>
    </row>
    <row r="1716" spans="1:28" x14ac:dyDescent="0.2">
      <c r="A1716" t="s">
        <v>422</v>
      </c>
      <c r="B1716">
        <v>2016</v>
      </c>
      <c r="C1716" t="s">
        <v>826</v>
      </c>
      <c r="D1716" t="s">
        <v>824</v>
      </c>
      <c r="E1716" t="s">
        <v>48</v>
      </c>
      <c r="F1716" t="s">
        <v>424</v>
      </c>
      <c r="G1716">
        <v>78.992076999999995</v>
      </c>
      <c r="H1716">
        <v>11.633158</v>
      </c>
      <c r="I1716" t="s">
        <v>764</v>
      </c>
      <c r="J1716" t="s">
        <v>16</v>
      </c>
      <c r="K1716" t="s">
        <v>267</v>
      </c>
      <c r="L1716" t="s">
        <v>143</v>
      </c>
      <c r="M1716" t="s">
        <v>26</v>
      </c>
      <c r="N1716" t="s">
        <v>85</v>
      </c>
      <c r="O1716" t="s">
        <v>839</v>
      </c>
      <c r="P1716" t="s">
        <v>72</v>
      </c>
      <c r="Q1716">
        <v>7</v>
      </c>
      <c r="R1716" t="s">
        <v>213</v>
      </c>
      <c r="S1716" s="2" t="s">
        <v>13</v>
      </c>
      <c r="T1716" s="2">
        <v>4</v>
      </c>
      <c r="U1716">
        <v>7.69</v>
      </c>
      <c r="V1716">
        <v>1128</v>
      </c>
      <c r="W1716">
        <v>9</v>
      </c>
      <c r="X1716">
        <v>11.52</v>
      </c>
      <c r="Y1716">
        <v>0.38</v>
      </c>
      <c r="AA1716" s="6"/>
      <c r="AB1716" s="6"/>
    </row>
    <row r="1717" spans="1:28" x14ac:dyDescent="0.2">
      <c r="A1717" t="s">
        <v>422</v>
      </c>
      <c r="B1717">
        <v>2016</v>
      </c>
      <c r="C1717" t="s">
        <v>816</v>
      </c>
      <c r="D1717" t="s">
        <v>817</v>
      </c>
      <c r="E1717" t="s">
        <v>263</v>
      </c>
      <c r="F1717" t="s">
        <v>424</v>
      </c>
      <c r="G1717">
        <v>78.992076999999995</v>
      </c>
      <c r="H1717">
        <v>11.633158</v>
      </c>
      <c r="I1717" t="s">
        <v>764</v>
      </c>
      <c r="J1717" t="s">
        <v>7</v>
      </c>
      <c r="K1717" t="s">
        <v>268</v>
      </c>
      <c r="L1717" t="s">
        <v>144</v>
      </c>
      <c r="M1717" t="s">
        <v>26</v>
      </c>
      <c r="N1717" t="s">
        <v>85</v>
      </c>
      <c r="O1717" t="s">
        <v>839</v>
      </c>
      <c r="P1717" t="s">
        <v>72</v>
      </c>
      <c r="Q1717">
        <v>7</v>
      </c>
      <c r="R1717" t="s">
        <v>213</v>
      </c>
      <c r="S1717" s="2" t="s">
        <v>7</v>
      </c>
      <c r="T1717" s="2">
        <v>4</v>
      </c>
      <c r="U1717">
        <v>8.0500000000000007</v>
      </c>
      <c r="V1717">
        <v>428</v>
      </c>
      <c r="W1717">
        <v>4</v>
      </c>
      <c r="X1717">
        <v>1.7</v>
      </c>
      <c r="Y1717">
        <v>0.16</v>
      </c>
      <c r="AA1717" s="6"/>
      <c r="AB1717" s="6"/>
    </row>
    <row r="1718" spans="1:28" x14ac:dyDescent="0.2">
      <c r="A1718" t="s">
        <v>422</v>
      </c>
      <c r="B1718">
        <v>2016</v>
      </c>
      <c r="C1718" t="s">
        <v>816</v>
      </c>
      <c r="D1718" t="s">
        <v>817</v>
      </c>
      <c r="E1718" t="s">
        <v>263</v>
      </c>
      <c r="F1718" t="s">
        <v>424</v>
      </c>
      <c r="G1718">
        <v>78.992076999999995</v>
      </c>
      <c r="H1718">
        <v>11.633158</v>
      </c>
      <c r="I1718" t="s">
        <v>764</v>
      </c>
      <c r="J1718" t="s">
        <v>5</v>
      </c>
      <c r="K1718" t="s">
        <v>268</v>
      </c>
      <c r="L1718" t="s">
        <v>144</v>
      </c>
      <c r="M1718" t="s">
        <v>26</v>
      </c>
      <c r="N1718" t="s">
        <v>85</v>
      </c>
      <c r="O1718" t="s">
        <v>839</v>
      </c>
      <c r="P1718" t="s">
        <v>72</v>
      </c>
      <c r="Q1718">
        <v>7</v>
      </c>
      <c r="R1718" t="s">
        <v>213</v>
      </c>
      <c r="S1718" s="2" t="s">
        <v>9</v>
      </c>
      <c r="T1718" s="2">
        <v>4</v>
      </c>
      <c r="U1718">
        <v>7.6</v>
      </c>
      <c r="V1718">
        <v>1308</v>
      </c>
      <c r="W1718" t="s">
        <v>28</v>
      </c>
      <c r="X1718">
        <v>1.95</v>
      </c>
      <c r="Y1718">
        <v>0.73</v>
      </c>
      <c r="AA1718" s="6"/>
      <c r="AB1718" s="6"/>
    </row>
    <row r="1719" spans="1:28" x14ac:dyDescent="0.2">
      <c r="A1719" t="s">
        <v>422</v>
      </c>
      <c r="B1719">
        <v>2016</v>
      </c>
      <c r="C1719" t="s">
        <v>816</v>
      </c>
      <c r="D1719" t="s">
        <v>817</v>
      </c>
      <c r="E1719" t="s">
        <v>263</v>
      </c>
      <c r="F1719" t="s">
        <v>424</v>
      </c>
      <c r="G1719">
        <v>78.992076999999995</v>
      </c>
      <c r="H1719">
        <v>11.633158</v>
      </c>
      <c r="I1719" t="s">
        <v>764</v>
      </c>
      <c r="J1719" t="s">
        <v>14</v>
      </c>
      <c r="K1719" t="s">
        <v>268</v>
      </c>
      <c r="L1719" t="s">
        <v>144</v>
      </c>
      <c r="M1719" t="s">
        <v>26</v>
      </c>
      <c r="N1719" t="s">
        <v>85</v>
      </c>
      <c r="O1719" t="s">
        <v>839</v>
      </c>
      <c r="P1719" t="s">
        <v>72</v>
      </c>
      <c r="Q1719">
        <v>7</v>
      </c>
      <c r="R1719" t="s">
        <v>213</v>
      </c>
      <c r="S1719" s="2" t="s">
        <v>27</v>
      </c>
      <c r="T1719" s="2">
        <v>4</v>
      </c>
      <c r="U1719" t="s">
        <v>28</v>
      </c>
      <c r="V1719" t="s">
        <v>28</v>
      </c>
      <c r="W1719">
        <v>9</v>
      </c>
      <c r="X1719">
        <v>1.74</v>
      </c>
      <c r="Y1719">
        <v>0.33</v>
      </c>
      <c r="AA1719" s="6"/>
      <c r="AB1719" s="6"/>
    </row>
    <row r="1720" spans="1:28" x14ac:dyDescent="0.2">
      <c r="A1720" t="s">
        <v>422</v>
      </c>
      <c r="B1720">
        <v>2016</v>
      </c>
      <c r="C1720" t="s">
        <v>816</v>
      </c>
      <c r="D1720" t="s">
        <v>817</v>
      </c>
      <c r="E1720" t="s">
        <v>263</v>
      </c>
      <c r="F1720" t="s">
        <v>424</v>
      </c>
      <c r="G1720">
        <v>78.992076999999995</v>
      </c>
      <c r="H1720">
        <v>11.633158</v>
      </c>
      <c r="I1720" t="s">
        <v>764</v>
      </c>
      <c r="J1720" t="s">
        <v>16</v>
      </c>
      <c r="K1720" t="s">
        <v>268</v>
      </c>
      <c r="L1720" t="s">
        <v>144</v>
      </c>
      <c r="M1720" t="s">
        <v>26</v>
      </c>
      <c r="N1720" t="s">
        <v>85</v>
      </c>
      <c r="O1720" t="s">
        <v>839</v>
      </c>
      <c r="P1720" t="s">
        <v>72</v>
      </c>
      <c r="Q1720">
        <v>7</v>
      </c>
      <c r="R1720" t="s">
        <v>213</v>
      </c>
      <c r="S1720" s="2" t="s">
        <v>13</v>
      </c>
      <c r="T1720" s="2">
        <v>4</v>
      </c>
      <c r="U1720">
        <v>7.68</v>
      </c>
      <c r="V1720">
        <v>1107</v>
      </c>
      <c r="W1720">
        <v>9</v>
      </c>
      <c r="X1720">
        <v>1.37</v>
      </c>
      <c r="Y1720">
        <v>0.51</v>
      </c>
      <c r="AA1720" s="6"/>
      <c r="AB1720" s="6"/>
    </row>
    <row r="1721" spans="1:28" x14ac:dyDescent="0.2">
      <c r="A1721" t="s">
        <v>422</v>
      </c>
      <c r="B1721">
        <v>2016</v>
      </c>
      <c r="C1721" t="s">
        <v>826</v>
      </c>
      <c r="D1721" t="s">
        <v>824</v>
      </c>
      <c r="E1721" t="s">
        <v>48</v>
      </c>
      <c r="F1721" t="s">
        <v>424</v>
      </c>
      <c r="G1721">
        <v>78.992076999999995</v>
      </c>
      <c r="H1721">
        <v>11.633158</v>
      </c>
      <c r="I1721" t="s">
        <v>764</v>
      </c>
      <c r="J1721" t="s">
        <v>7</v>
      </c>
      <c r="K1721" t="s">
        <v>267</v>
      </c>
      <c r="L1721" t="s">
        <v>143</v>
      </c>
      <c r="M1721" t="s">
        <v>73</v>
      </c>
      <c r="N1721" t="s">
        <v>85</v>
      </c>
      <c r="O1721" s="6" t="s">
        <v>146</v>
      </c>
      <c r="P1721" t="s">
        <v>78</v>
      </c>
      <c r="Q1721">
        <v>7</v>
      </c>
      <c r="R1721" t="s">
        <v>213</v>
      </c>
      <c r="S1721" s="2" t="s">
        <v>7</v>
      </c>
      <c r="T1721" s="2">
        <v>4</v>
      </c>
      <c r="U1721">
        <v>8.1199999999999992</v>
      </c>
      <c r="V1721">
        <v>368</v>
      </c>
      <c r="W1721">
        <v>4</v>
      </c>
      <c r="X1721" s="2">
        <v>18.37</v>
      </c>
      <c r="Y1721">
        <v>5.27</v>
      </c>
      <c r="AA1721" s="6"/>
      <c r="AB1721" s="6"/>
    </row>
    <row r="1722" spans="1:28" x14ac:dyDescent="0.2">
      <c r="A1722" t="s">
        <v>422</v>
      </c>
      <c r="B1722">
        <v>2016</v>
      </c>
      <c r="C1722" t="s">
        <v>826</v>
      </c>
      <c r="D1722" t="s">
        <v>824</v>
      </c>
      <c r="E1722" t="s">
        <v>48</v>
      </c>
      <c r="F1722" t="s">
        <v>424</v>
      </c>
      <c r="G1722">
        <v>78.992076999999995</v>
      </c>
      <c r="H1722">
        <v>11.633158</v>
      </c>
      <c r="I1722" t="s">
        <v>764</v>
      </c>
      <c r="J1722" t="s">
        <v>5</v>
      </c>
      <c r="K1722" t="s">
        <v>267</v>
      </c>
      <c r="L1722" t="s">
        <v>143</v>
      </c>
      <c r="M1722" t="s">
        <v>73</v>
      </c>
      <c r="N1722" t="s">
        <v>85</v>
      </c>
      <c r="O1722" s="6" t="s">
        <v>146</v>
      </c>
      <c r="P1722" t="s">
        <v>78</v>
      </c>
      <c r="Q1722">
        <v>7</v>
      </c>
      <c r="R1722" t="s">
        <v>213</v>
      </c>
      <c r="S1722" s="2" t="s">
        <v>9</v>
      </c>
      <c r="T1722" s="2">
        <v>4</v>
      </c>
      <c r="U1722">
        <v>7.63</v>
      </c>
      <c r="V1722">
        <v>1272</v>
      </c>
      <c r="W1722" t="s">
        <v>28</v>
      </c>
      <c r="X1722" s="2">
        <v>17.78</v>
      </c>
      <c r="Y1722">
        <v>1.61</v>
      </c>
      <c r="AA1722" s="6"/>
      <c r="AB1722" s="6"/>
    </row>
    <row r="1723" spans="1:28" x14ac:dyDescent="0.2">
      <c r="A1723" t="s">
        <v>422</v>
      </c>
      <c r="B1723">
        <v>2016</v>
      </c>
      <c r="C1723" t="s">
        <v>826</v>
      </c>
      <c r="D1723" t="s">
        <v>824</v>
      </c>
      <c r="E1723" t="s">
        <v>48</v>
      </c>
      <c r="F1723" t="s">
        <v>424</v>
      </c>
      <c r="G1723">
        <v>78.992076999999995</v>
      </c>
      <c r="H1723">
        <v>11.633158</v>
      </c>
      <c r="I1723" t="s">
        <v>764</v>
      </c>
      <c r="J1723" t="s">
        <v>14</v>
      </c>
      <c r="K1723" t="s">
        <v>267</v>
      </c>
      <c r="L1723" t="s">
        <v>143</v>
      </c>
      <c r="M1723" t="s">
        <v>73</v>
      </c>
      <c r="N1723" t="s">
        <v>85</v>
      </c>
      <c r="O1723" s="6" t="s">
        <v>146</v>
      </c>
      <c r="P1723" t="s">
        <v>78</v>
      </c>
      <c r="Q1723">
        <v>7</v>
      </c>
      <c r="R1723" t="s">
        <v>213</v>
      </c>
      <c r="S1723" s="2" t="s">
        <v>27</v>
      </c>
      <c r="T1723" s="2">
        <v>4</v>
      </c>
      <c r="U1723" t="s">
        <v>28</v>
      </c>
      <c r="V1723" t="s">
        <v>28</v>
      </c>
      <c r="W1723">
        <v>9</v>
      </c>
      <c r="X1723" s="2">
        <v>16.22</v>
      </c>
      <c r="Y1723">
        <v>1.8</v>
      </c>
      <c r="AA1723" s="6"/>
      <c r="AB1723" s="6"/>
    </row>
    <row r="1724" spans="1:28" x14ac:dyDescent="0.2">
      <c r="A1724" t="s">
        <v>422</v>
      </c>
      <c r="B1724">
        <v>2016</v>
      </c>
      <c r="C1724" t="s">
        <v>826</v>
      </c>
      <c r="D1724" t="s">
        <v>824</v>
      </c>
      <c r="E1724" t="s">
        <v>48</v>
      </c>
      <c r="F1724" t="s">
        <v>424</v>
      </c>
      <c r="G1724">
        <v>78.992076999999995</v>
      </c>
      <c r="H1724">
        <v>11.633158</v>
      </c>
      <c r="I1724" t="s">
        <v>764</v>
      </c>
      <c r="J1724" t="s">
        <v>16</v>
      </c>
      <c r="K1724" t="s">
        <v>267</v>
      </c>
      <c r="L1724" t="s">
        <v>143</v>
      </c>
      <c r="M1724" t="s">
        <v>73</v>
      </c>
      <c r="N1724" t="s">
        <v>85</v>
      </c>
      <c r="O1724" s="6" t="s">
        <v>146</v>
      </c>
      <c r="P1724" t="s">
        <v>78</v>
      </c>
      <c r="Q1724">
        <v>7</v>
      </c>
      <c r="R1724" t="s">
        <v>213</v>
      </c>
      <c r="S1724" s="2" t="s">
        <v>13</v>
      </c>
      <c r="T1724" s="2">
        <v>4</v>
      </c>
      <c r="U1724">
        <v>7.69</v>
      </c>
      <c r="V1724">
        <v>1128</v>
      </c>
      <c r="W1724">
        <v>9</v>
      </c>
      <c r="X1724" s="2">
        <v>18.149999999999999</v>
      </c>
      <c r="Y1724">
        <v>2.57</v>
      </c>
      <c r="AA1724" s="6"/>
      <c r="AB1724" s="6"/>
    </row>
    <row r="1725" spans="1:28" x14ac:dyDescent="0.2">
      <c r="A1725" t="s">
        <v>422</v>
      </c>
      <c r="B1725">
        <v>2016</v>
      </c>
      <c r="C1725" t="s">
        <v>816</v>
      </c>
      <c r="D1725" t="s">
        <v>817</v>
      </c>
      <c r="E1725" t="s">
        <v>263</v>
      </c>
      <c r="F1725" t="s">
        <v>424</v>
      </c>
      <c r="G1725">
        <v>78.992076999999995</v>
      </c>
      <c r="H1725">
        <v>11.633158</v>
      </c>
      <c r="I1725" t="s">
        <v>764</v>
      </c>
      <c r="J1725" t="s">
        <v>7</v>
      </c>
      <c r="K1725" t="s">
        <v>268</v>
      </c>
      <c r="L1725" t="s">
        <v>144</v>
      </c>
      <c r="M1725" t="s">
        <v>73</v>
      </c>
      <c r="N1725" t="s">
        <v>85</v>
      </c>
      <c r="O1725" s="6" t="s">
        <v>146</v>
      </c>
      <c r="P1725" t="s">
        <v>78</v>
      </c>
      <c r="Q1725">
        <v>7</v>
      </c>
      <c r="R1725" t="s">
        <v>213</v>
      </c>
      <c r="S1725" s="2" t="s">
        <v>7</v>
      </c>
      <c r="T1725" s="2">
        <v>4</v>
      </c>
      <c r="U1725">
        <v>8.0500000000000007</v>
      </c>
      <c r="V1725">
        <v>428</v>
      </c>
      <c r="W1725">
        <v>4</v>
      </c>
      <c r="X1725" s="2">
        <v>9.31</v>
      </c>
      <c r="Y1725">
        <v>1.5</v>
      </c>
      <c r="AA1725" s="6"/>
      <c r="AB1725" s="6"/>
    </row>
    <row r="1726" spans="1:28" x14ac:dyDescent="0.2">
      <c r="A1726" t="s">
        <v>422</v>
      </c>
      <c r="B1726">
        <v>2016</v>
      </c>
      <c r="C1726" t="s">
        <v>816</v>
      </c>
      <c r="D1726" t="s">
        <v>817</v>
      </c>
      <c r="E1726" t="s">
        <v>263</v>
      </c>
      <c r="F1726" t="s">
        <v>424</v>
      </c>
      <c r="G1726">
        <v>78.992076999999995</v>
      </c>
      <c r="H1726">
        <v>11.633158</v>
      </c>
      <c r="I1726" t="s">
        <v>764</v>
      </c>
      <c r="J1726" t="s">
        <v>5</v>
      </c>
      <c r="K1726" t="s">
        <v>268</v>
      </c>
      <c r="L1726" t="s">
        <v>144</v>
      </c>
      <c r="M1726" t="s">
        <v>73</v>
      </c>
      <c r="N1726" t="s">
        <v>85</v>
      </c>
      <c r="O1726" s="6" t="s">
        <v>146</v>
      </c>
      <c r="P1726" t="s">
        <v>78</v>
      </c>
      <c r="Q1726">
        <v>7</v>
      </c>
      <c r="R1726" t="s">
        <v>213</v>
      </c>
      <c r="S1726" s="2" t="s">
        <v>9</v>
      </c>
      <c r="T1726" s="2">
        <v>4</v>
      </c>
      <c r="U1726">
        <v>7.6</v>
      </c>
      <c r="V1726">
        <v>1308</v>
      </c>
      <c r="W1726" t="s">
        <v>28</v>
      </c>
      <c r="X1726" s="2">
        <v>13.34</v>
      </c>
      <c r="Y1726">
        <v>0.43</v>
      </c>
      <c r="AA1726" s="6"/>
      <c r="AB1726" s="6"/>
    </row>
    <row r="1727" spans="1:28" x14ac:dyDescent="0.2">
      <c r="A1727" t="s">
        <v>422</v>
      </c>
      <c r="B1727">
        <v>2016</v>
      </c>
      <c r="C1727" t="s">
        <v>816</v>
      </c>
      <c r="D1727" t="s">
        <v>817</v>
      </c>
      <c r="E1727" t="s">
        <v>263</v>
      </c>
      <c r="F1727" t="s">
        <v>424</v>
      </c>
      <c r="G1727">
        <v>78.992076999999995</v>
      </c>
      <c r="H1727">
        <v>11.633158</v>
      </c>
      <c r="I1727" t="s">
        <v>764</v>
      </c>
      <c r="J1727" t="s">
        <v>14</v>
      </c>
      <c r="K1727" t="s">
        <v>268</v>
      </c>
      <c r="L1727" t="s">
        <v>144</v>
      </c>
      <c r="M1727" t="s">
        <v>73</v>
      </c>
      <c r="N1727" t="s">
        <v>85</v>
      </c>
      <c r="O1727" s="6" t="s">
        <v>146</v>
      </c>
      <c r="P1727" t="s">
        <v>78</v>
      </c>
      <c r="Q1727">
        <v>7</v>
      </c>
      <c r="R1727" t="s">
        <v>213</v>
      </c>
      <c r="S1727" s="2" t="s">
        <v>27</v>
      </c>
      <c r="T1727" s="2">
        <v>4</v>
      </c>
      <c r="U1727" t="s">
        <v>28</v>
      </c>
      <c r="V1727" t="s">
        <v>28</v>
      </c>
      <c r="W1727">
        <v>9</v>
      </c>
      <c r="X1727" s="2">
        <v>26.35</v>
      </c>
      <c r="Y1727">
        <v>2.72</v>
      </c>
      <c r="AA1727" s="6"/>
      <c r="AB1727" s="6"/>
    </row>
    <row r="1728" spans="1:28" x14ac:dyDescent="0.2">
      <c r="A1728" t="s">
        <v>422</v>
      </c>
      <c r="B1728">
        <v>2016</v>
      </c>
      <c r="C1728" t="s">
        <v>816</v>
      </c>
      <c r="D1728" t="s">
        <v>817</v>
      </c>
      <c r="E1728" t="s">
        <v>263</v>
      </c>
      <c r="F1728" t="s">
        <v>424</v>
      </c>
      <c r="G1728">
        <v>78.992076999999995</v>
      </c>
      <c r="H1728">
        <v>11.633158</v>
      </c>
      <c r="I1728" t="s">
        <v>764</v>
      </c>
      <c r="J1728" t="s">
        <v>16</v>
      </c>
      <c r="K1728" t="s">
        <v>268</v>
      </c>
      <c r="L1728" t="s">
        <v>144</v>
      </c>
      <c r="M1728" t="s">
        <v>73</v>
      </c>
      <c r="N1728" t="s">
        <v>85</v>
      </c>
      <c r="O1728" s="6" t="s">
        <v>146</v>
      </c>
      <c r="P1728" t="s">
        <v>78</v>
      </c>
      <c r="Q1728">
        <v>7</v>
      </c>
      <c r="R1728" t="s">
        <v>213</v>
      </c>
      <c r="S1728" s="2" t="s">
        <v>13</v>
      </c>
      <c r="T1728" s="2">
        <v>4</v>
      </c>
      <c r="U1728">
        <v>7.68</v>
      </c>
      <c r="V1728">
        <v>1107</v>
      </c>
      <c r="W1728">
        <v>9</v>
      </c>
      <c r="X1728" s="2">
        <v>24</v>
      </c>
      <c r="Y1728">
        <v>2.67</v>
      </c>
      <c r="AA1728" s="6"/>
      <c r="AB1728" s="6"/>
    </row>
    <row r="1729" spans="1:28" x14ac:dyDescent="0.2">
      <c r="A1729" t="s">
        <v>422</v>
      </c>
      <c r="B1729">
        <v>2016</v>
      </c>
      <c r="C1729" t="s">
        <v>826</v>
      </c>
      <c r="D1729" t="s">
        <v>824</v>
      </c>
      <c r="E1729" t="s">
        <v>48</v>
      </c>
      <c r="F1729" t="s">
        <v>424</v>
      </c>
      <c r="G1729">
        <v>78.992076999999995</v>
      </c>
      <c r="H1729">
        <v>11.633158</v>
      </c>
      <c r="I1729" t="s">
        <v>764</v>
      </c>
      <c r="J1729" t="s">
        <v>7</v>
      </c>
      <c r="K1729" t="s">
        <v>267</v>
      </c>
      <c r="L1729" t="s">
        <v>143</v>
      </c>
      <c r="M1729" t="s">
        <v>73</v>
      </c>
      <c r="N1729" t="s">
        <v>85</v>
      </c>
      <c r="O1729" s="6" t="s">
        <v>98</v>
      </c>
      <c r="P1729" t="s">
        <v>78</v>
      </c>
      <c r="Q1729">
        <v>7</v>
      </c>
      <c r="R1729" t="s">
        <v>213</v>
      </c>
      <c r="S1729" s="2" t="s">
        <v>7</v>
      </c>
      <c r="T1729" s="2">
        <v>4</v>
      </c>
      <c r="U1729">
        <v>8.1199999999999992</v>
      </c>
      <c r="V1729">
        <v>368</v>
      </c>
      <c r="W1729">
        <v>4</v>
      </c>
      <c r="X1729">
        <v>22.06</v>
      </c>
      <c r="Y1729">
        <v>5.77</v>
      </c>
      <c r="AA1729" s="6"/>
      <c r="AB1729" s="6"/>
    </row>
    <row r="1730" spans="1:28" x14ac:dyDescent="0.2">
      <c r="A1730" t="s">
        <v>422</v>
      </c>
      <c r="B1730">
        <v>2016</v>
      </c>
      <c r="C1730" t="s">
        <v>826</v>
      </c>
      <c r="D1730" t="s">
        <v>824</v>
      </c>
      <c r="E1730" t="s">
        <v>48</v>
      </c>
      <c r="F1730" t="s">
        <v>424</v>
      </c>
      <c r="G1730">
        <v>78.992076999999995</v>
      </c>
      <c r="H1730">
        <v>11.633158</v>
      </c>
      <c r="I1730" t="s">
        <v>764</v>
      </c>
      <c r="J1730" t="s">
        <v>5</v>
      </c>
      <c r="K1730" t="s">
        <v>267</v>
      </c>
      <c r="L1730" t="s">
        <v>143</v>
      </c>
      <c r="M1730" t="s">
        <v>73</v>
      </c>
      <c r="N1730" t="s">
        <v>85</v>
      </c>
      <c r="O1730" s="6" t="s">
        <v>98</v>
      </c>
      <c r="P1730" t="s">
        <v>78</v>
      </c>
      <c r="Q1730">
        <v>7</v>
      </c>
      <c r="R1730" t="s">
        <v>213</v>
      </c>
      <c r="S1730" s="2" t="s">
        <v>9</v>
      </c>
      <c r="T1730" s="2">
        <v>4</v>
      </c>
      <c r="U1730">
        <v>7.63</v>
      </c>
      <c r="V1730">
        <v>1272</v>
      </c>
      <c r="W1730" t="s">
        <v>28</v>
      </c>
      <c r="X1730">
        <v>20.71</v>
      </c>
      <c r="Y1730">
        <v>1.31</v>
      </c>
      <c r="AA1730" s="6"/>
      <c r="AB1730" s="6"/>
    </row>
    <row r="1731" spans="1:28" x14ac:dyDescent="0.2">
      <c r="A1731" t="s">
        <v>422</v>
      </c>
      <c r="B1731">
        <v>2016</v>
      </c>
      <c r="C1731" t="s">
        <v>826</v>
      </c>
      <c r="D1731" t="s">
        <v>824</v>
      </c>
      <c r="E1731" t="s">
        <v>48</v>
      </c>
      <c r="F1731" t="s">
        <v>424</v>
      </c>
      <c r="G1731">
        <v>78.992076999999995</v>
      </c>
      <c r="H1731">
        <v>11.633158</v>
      </c>
      <c r="I1731" t="s">
        <v>764</v>
      </c>
      <c r="J1731" t="s">
        <v>14</v>
      </c>
      <c r="K1731" t="s">
        <v>267</v>
      </c>
      <c r="L1731" t="s">
        <v>143</v>
      </c>
      <c r="M1731" t="s">
        <v>73</v>
      </c>
      <c r="N1731" t="s">
        <v>85</v>
      </c>
      <c r="O1731" s="6" t="s">
        <v>98</v>
      </c>
      <c r="P1731" t="s">
        <v>78</v>
      </c>
      <c r="Q1731">
        <v>7</v>
      </c>
      <c r="R1731" t="s">
        <v>213</v>
      </c>
      <c r="S1731" s="2" t="s">
        <v>27</v>
      </c>
      <c r="T1731" s="2">
        <v>4</v>
      </c>
      <c r="U1731" t="s">
        <v>28</v>
      </c>
      <c r="V1731" t="s">
        <v>28</v>
      </c>
      <c r="W1731">
        <v>9</v>
      </c>
      <c r="X1731">
        <v>17.43</v>
      </c>
      <c r="Y1731">
        <v>1.93</v>
      </c>
      <c r="AA1731" s="6"/>
      <c r="AB1731" s="6"/>
    </row>
    <row r="1732" spans="1:28" x14ac:dyDescent="0.2">
      <c r="A1732" t="s">
        <v>422</v>
      </c>
      <c r="B1732">
        <v>2016</v>
      </c>
      <c r="C1732" t="s">
        <v>826</v>
      </c>
      <c r="D1732" t="s">
        <v>824</v>
      </c>
      <c r="E1732" t="s">
        <v>48</v>
      </c>
      <c r="F1732" t="s">
        <v>424</v>
      </c>
      <c r="G1732">
        <v>78.992076999999995</v>
      </c>
      <c r="H1732">
        <v>11.633158</v>
      </c>
      <c r="I1732" t="s">
        <v>764</v>
      </c>
      <c r="J1732" t="s">
        <v>16</v>
      </c>
      <c r="K1732" t="s">
        <v>267</v>
      </c>
      <c r="L1732" t="s">
        <v>143</v>
      </c>
      <c r="M1732" t="s">
        <v>73</v>
      </c>
      <c r="N1732" t="s">
        <v>85</v>
      </c>
      <c r="O1732" s="6" t="s">
        <v>98</v>
      </c>
      <c r="P1732" t="s">
        <v>78</v>
      </c>
      <c r="Q1732">
        <v>7</v>
      </c>
      <c r="R1732" t="s">
        <v>213</v>
      </c>
      <c r="S1732" s="2" t="s">
        <v>13</v>
      </c>
      <c r="T1732" s="2">
        <v>4</v>
      </c>
      <c r="U1732">
        <v>7.69</v>
      </c>
      <c r="V1732">
        <v>1128</v>
      </c>
      <c r="W1732">
        <v>9</v>
      </c>
      <c r="X1732">
        <v>19.7</v>
      </c>
      <c r="Y1732">
        <v>2.72</v>
      </c>
      <c r="AA1732" s="6"/>
      <c r="AB1732" s="6"/>
    </row>
    <row r="1733" spans="1:28" x14ac:dyDescent="0.2">
      <c r="A1733" t="s">
        <v>422</v>
      </c>
      <c r="B1733">
        <v>2016</v>
      </c>
      <c r="C1733" t="s">
        <v>816</v>
      </c>
      <c r="D1733" t="s">
        <v>817</v>
      </c>
      <c r="E1733" t="s">
        <v>263</v>
      </c>
      <c r="F1733" t="s">
        <v>424</v>
      </c>
      <c r="G1733">
        <v>78.992076999999995</v>
      </c>
      <c r="H1733">
        <v>11.633158</v>
      </c>
      <c r="I1733" t="s">
        <v>764</v>
      </c>
      <c r="J1733" t="s">
        <v>7</v>
      </c>
      <c r="K1733" t="s">
        <v>268</v>
      </c>
      <c r="L1733" t="s">
        <v>144</v>
      </c>
      <c r="M1733" t="s">
        <v>73</v>
      </c>
      <c r="N1733" t="s">
        <v>85</v>
      </c>
      <c r="O1733" s="6" t="s">
        <v>98</v>
      </c>
      <c r="P1733" t="s">
        <v>78</v>
      </c>
      <c r="Q1733">
        <v>7</v>
      </c>
      <c r="R1733" t="s">
        <v>213</v>
      </c>
      <c r="S1733" s="2" t="s">
        <v>7</v>
      </c>
      <c r="T1733" s="2">
        <v>4</v>
      </c>
      <c r="U1733">
        <v>8.0500000000000007</v>
      </c>
      <c r="V1733">
        <v>428</v>
      </c>
      <c r="W1733">
        <v>4</v>
      </c>
      <c r="X1733">
        <v>10.71</v>
      </c>
      <c r="Y1733">
        <v>1.0900000000000001</v>
      </c>
      <c r="AA1733" s="6"/>
      <c r="AB1733" s="6"/>
    </row>
    <row r="1734" spans="1:28" x14ac:dyDescent="0.2">
      <c r="A1734" t="s">
        <v>422</v>
      </c>
      <c r="B1734">
        <v>2016</v>
      </c>
      <c r="C1734" t="s">
        <v>816</v>
      </c>
      <c r="D1734" t="s">
        <v>817</v>
      </c>
      <c r="E1734" t="s">
        <v>263</v>
      </c>
      <c r="F1734" t="s">
        <v>424</v>
      </c>
      <c r="G1734">
        <v>78.992076999999995</v>
      </c>
      <c r="H1734">
        <v>11.633158</v>
      </c>
      <c r="I1734" t="s">
        <v>764</v>
      </c>
      <c r="J1734" t="s">
        <v>5</v>
      </c>
      <c r="K1734" t="s">
        <v>268</v>
      </c>
      <c r="L1734" t="s">
        <v>144</v>
      </c>
      <c r="M1734" t="s">
        <v>73</v>
      </c>
      <c r="N1734" t="s">
        <v>85</v>
      </c>
      <c r="O1734" s="6" t="s">
        <v>98</v>
      </c>
      <c r="P1734" t="s">
        <v>78</v>
      </c>
      <c r="Q1734">
        <v>7</v>
      </c>
      <c r="R1734" t="s">
        <v>213</v>
      </c>
      <c r="S1734" s="2" t="s">
        <v>9</v>
      </c>
      <c r="T1734" s="2">
        <v>4</v>
      </c>
      <c r="U1734">
        <v>7.6</v>
      </c>
      <c r="V1734">
        <v>1308</v>
      </c>
      <c r="W1734" t="s">
        <v>28</v>
      </c>
      <c r="X1734">
        <v>14.7</v>
      </c>
      <c r="Y1734">
        <v>0.13</v>
      </c>
      <c r="AA1734" s="6"/>
      <c r="AB1734" s="6"/>
    </row>
    <row r="1735" spans="1:28" x14ac:dyDescent="0.2">
      <c r="A1735" t="s">
        <v>422</v>
      </c>
      <c r="B1735">
        <v>2016</v>
      </c>
      <c r="C1735" t="s">
        <v>816</v>
      </c>
      <c r="D1735" t="s">
        <v>817</v>
      </c>
      <c r="E1735" t="s">
        <v>263</v>
      </c>
      <c r="F1735" t="s">
        <v>424</v>
      </c>
      <c r="G1735">
        <v>78.992076999999995</v>
      </c>
      <c r="H1735">
        <v>11.633158</v>
      </c>
      <c r="I1735" t="s">
        <v>764</v>
      </c>
      <c r="J1735" t="s">
        <v>14</v>
      </c>
      <c r="K1735" t="s">
        <v>268</v>
      </c>
      <c r="L1735" t="s">
        <v>144</v>
      </c>
      <c r="M1735" t="s">
        <v>73</v>
      </c>
      <c r="N1735" t="s">
        <v>85</v>
      </c>
      <c r="O1735" s="6" t="s">
        <v>98</v>
      </c>
      <c r="P1735" t="s">
        <v>78</v>
      </c>
      <c r="Q1735">
        <v>7</v>
      </c>
      <c r="R1735" t="s">
        <v>213</v>
      </c>
      <c r="S1735" s="2" t="s">
        <v>27</v>
      </c>
      <c r="T1735" s="2">
        <v>4</v>
      </c>
      <c r="U1735" t="s">
        <v>28</v>
      </c>
      <c r="V1735" t="s">
        <v>28</v>
      </c>
      <c r="W1735">
        <v>9</v>
      </c>
      <c r="X1735">
        <v>28.16</v>
      </c>
      <c r="Y1735">
        <v>3.42</v>
      </c>
      <c r="AA1735" s="6"/>
      <c r="AB1735" s="6"/>
    </row>
    <row r="1736" spans="1:28" x14ac:dyDescent="0.2">
      <c r="A1736" t="s">
        <v>422</v>
      </c>
      <c r="B1736">
        <v>2016</v>
      </c>
      <c r="C1736" t="s">
        <v>816</v>
      </c>
      <c r="D1736" t="s">
        <v>817</v>
      </c>
      <c r="E1736" t="s">
        <v>263</v>
      </c>
      <c r="F1736" t="s">
        <v>424</v>
      </c>
      <c r="G1736">
        <v>78.992076999999995</v>
      </c>
      <c r="H1736">
        <v>11.633158</v>
      </c>
      <c r="I1736" t="s">
        <v>764</v>
      </c>
      <c r="J1736" t="s">
        <v>16</v>
      </c>
      <c r="K1736" t="s">
        <v>268</v>
      </c>
      <c r="L1736" t="s">
        <v>144</v>
      </c>
      <c r="M1736" t="s">
        <v>73</v>
      </c>
      <c r="N1736" t="s">
        <v>85</v>
      </c>
      <c r="O1736" s="6" t="s">
        <v>98</v>
      </c>
      <c r="P1736" t="s">
        <v>78</v>
      </c>
      <c r="Q1736">
        <v>7</v>
      </c>
      <c r="R1736" t="s">
        <v>213</v>
      </c>
      <c r="S1736" s="2" t="s">
        <v>13</v>
      </c>
      <c r="T1736" s="2">
        <v>4</v>
      </c>
      <c r="U1736">
        <v>7.68</v>
      </c>
      <c r="V1736">
        <v>1107</v>
      </c>
      <c r="W1736">
        <v>9</v>
      </c>
      <c r="X1736">
        <v>25.1</v>
      </c>
      <c r="Y1736">
        <v>2.6</v>
      </c>
      <c r="AA1736" s="6"/>
      <c r="AB1736" s="6"/>
    </row>
    <row r="1737" spans="1:28" x14ac:dyDescent="0.2">
      <c r="A1737" t="s">
        <v>422</v>
      </c>
      <c r="B1737">
        <v>2016</v>
      </c>
      <c r="C1737" t="s">
        <v>826</v>
      </c>
      <c r="D1737" t="s">
        <v>824</v>
      </c>
      <c r="E1737" t="s">
        <v>48</v>
      </c>
      <c r="F1737" t="s">
        <v>424</v>
      </c>
      <c r="G1737">
        <v>78.992076999999995</v>
      </c>
      <c r="H1737">
        <v>11.633158</v>
      </c>
      <c r="I1737" t="s">
        <v>764</v>
      </c>
      <c r="J1737" t="s">
        <v>7</v>
      </c>
      <c r="K1737" t="s">
        <v>267</v>
      </c>
      <c r="L1737" t="s">
        <v>143</v>
      </c>
      <c r="M1737" t="s">
        <v>172</v>
      </c>
      <c r="N1737" t="s">
        <v>86</v>
      </c>
      <c r="O1737" s="6" t="s">
        <v>62</v>
      </c>
      <c r="P1737" t="s">
        <v>78</v>
      </c>
      <c r="Q1737">
        <v>7</v>
      </c>
      <c r="R1737" t="s">
        <v>213</v>
      </c>
      <c r="S1737" s="2" t="s">
        <v>7</v>
      </c>
      <c r="T1737" s="2">
        <v>4</v>
      </c>
      <c r="U1737">
        <v>8.1199999999999992</v>
      </c>
      <c r="V1737">
        <v>368</v>
      </c>
      <c r="W1737">
        <v>4</v>
      </c>
      <c r="X1737">
        <v>3.68</v>
      </c>
      <c r="Y1737">
        <v>0.86</v>
      </c>
      <c r="AA1737" s="6"/>
      <c r="AB1737" s="6"/>
    </row>
    <row r="1738" spans="1:28" x14ac:dyDescent="0.2">
      <c r="A1738" t="s">
        <v>422</v>
      </c>
      <c r="B1738">
        <v>2016</v>
      </c>
      <c r="C1738" t="s">
        <v>826</v>
      </c>
      <c r="D1738" t="s">
        <v>824</v>
      </c>
      <c r="E1738" t="s">
        <v>48</v>
      </c>
      <c r="F1738" t="s">
        <v>424</v>
      </c>
      <c r="G1738">
        <v>78.992076999999995</v>
      </c>
      <c r="H1738">
        <v>11.633158</v>
      </c>
      <c r="I1738" t="s">
        <v>764</v>
      </c>
      <c r="J1738" t="s">
        <v>5</v>
      </c>
      <c r="K1738" t="s">
        <v>267</v>
      </c>
      <c r="L1738" t="s">
        <v>143</v>
      </c>
      <c r="M1738" t="s">
        <v>172</v>
      </c>
      <c r="N1738" t="s">
        <v>86</v>
      </c>
      <c r="O1738" s="6" t="s">
        <v>62</v>
      </c>
      <c r="P1738" t="s">
        <v>78</v>
      </c>
      <c r="Q1738">
        <v>7</v>
      </c>
      <c r="R1738" t="s">
        <v>213</v>
      </c>
      <c r="S1738" s="2" t="s">
        <v>9</v>
      </c>
      <c r="T1738" s="2">
        <v>4</v>
      </c>
      <c r="U1738">
        <v>7.63</v>
      </c>
      <c r="V1738">
        <v>1272</v>
      </c>
      <c r="W1738" t="s">
        <v>28</v>
      </c>
      <c r="X1738">
        <v>3.27</v>
      </c>
      <c r="Y1738">
        <v>0.22</v>
      </c>
      <c r="AA1738" s="6"/>
      <c r="AB1738" s="6"/>
    </row>
    <row r="1739" spans="1:28" x14ac:dyDescent="0.2">
      <c r="A1739" t="s">
        <v>422</v>
      </c>
      <c r="B1739">
        <v>2016</v>
      </c>
      <c r="C1739" t="s">
        <v>826</v>
      </c>
      <c r="D1739" t="s">
        <v>824</v>
      </c>
      <c r="E1739" t="s">
        <v>48</v>
      </c>
      <c r="F1739" t="s">
        <v>424</v>
      </c>
      <c r="G1739">
        <v>78.992076999999995</v>
      </c>
      <c r="H1739">
        <v>11.633158</v>
      </c>
      <c r="I1739" t="s">
        <v>764</v>
      </c>
      <c r="J1739" t="s">
        <v>14</v>
      </c>
      <c r="K1739" t="s">
        <v>267</v>
      </c>
      <c r="L1739" t="s">
        <v>143</v>
      </c>
      <c r="M1739" t="s">
        <v>172</v>
      </c>
      <c r="N1739" t="s">
        <v>86</v>
      </c>
      <c r="O1739" s="6" t="s">
        <v>62</v>
      </c>
      <c r="P1739" t="s">
        <v>78</v>
      </c>
      <c r="Q1739">
        <v>7</v>
      </c>
      <c r="R1739" t="s">
        <v>213</v>
      </c>
      <c r="S1739" s="2" t="s">
        <v>27</v>
      </c>
      <c r="T1739" s="2">
        <v>4</v>
      </c>
      <c r="U1739" t="s">
        <v>28</v>
      </c>
      <c r="V1739" t="s">
        <v>28</v>
      </c>
      <c r="W1739">
        <v>9</v>
      </c>
      <c r="X1739">
        <v>1.21</v>
      </c>
      <c r="Y1739">
        <v>0.17</v>
      </c>
      <c r="AA1739" s="6"/>
      <c r="AB1739" s="6"/>
    </row>
    <row r="1740" spans="1:28" x14ac:dyDescent="0.2">
      <c r="A1740" t="s">
        <v>422</v>
      </c>
      <c r="B1740">
        <v>2016</v>
      </c>
      <c r="C1740" t="s">
        <v>826</v>
      </c>
      <c r="D1740" t="s">
        <v>824</v>
      </c>
      <c r="E1740" t="s">
        <v>48</v>
      </c>
      <c r="F1740" t="s">
        <v>424</v>
      </c>
      <c r="G1740">
        <v>78.992076999999995</v>
      </c>
      <c r="H1740">
        <v>11.633158</v>
      </c>
      <c r="I1740" t="s">
        <v>764</v>
      </c>
      <c r="J1740" t="s">
        <v>16</v>
      </c>
      <c r="K1740" t="s">
        <v>267</v>
      </c>
      <c r="L1740" t="s">
        <v>143</v>
      </c>
      <c r="M1740" t="s">
        <v>172</v>
      </c>
      <c r="N1740" t="s">
        <v>86</v>
      </c>
      <c r="O1740" s="6" t="s">
        <v>62</v>
      </c>
      <c r="P1740" t="s">
        <v>78</v>
      </c>
      <c r="Q1740">
        <v>7</v>
      </c>
      <c r="R1740" t="s">
        <v>213</v>
      </c>
      <c r="S1740" s="2" t="s">
        <v>13</v>
      </c>
      <c r="T1740" s="2">
        <v>4</v>
      </c>
      <c r="U1740">
        <v>7.69</v>
      </c>
      <c r="V1740">
        <v>1128</v>
      </c>
      <c r="W1740">
        <v>9</v>
      </c>
      <c r="X1740">
        <v>1.27</v>
      </c>
      <c r="Y1740">
        <v>0.34</v>
      </c>
      <c r="AA1740" s="6"/>
      <c r="AB1740" s="6"/>
    </row>
    <row r="1741" spans="1:28" x14ac:dyDescent="0.2">
      <c r="A1741" t="s">
        <v>422</v>
      </c>
      <c r="B1741">
        <v>2016</v>
      </c>
      <c r="C1741" t="s">
        <v>816</v>
      </c>
      <c r="D1741" t="s">
        <v>817</v>
      </c>
      <c r="E1741" t="s">
        <v>263</v>
      </c>
      <c r="F1741" t="s">
        <v>424</v>
      </c>
      <c r="G1741">
        <v>78.992076999999995</v>
      </c>
      <c r="H1741">
        <v>11.633158</v>
      </c>
      <c r="I1741" t="s">
        <v>764</v>
      </c>
      <c r="J1741" t="s">
        <v>7</v>
      </c>
      <c r="K1741" t="s">
        <v>268</v>
      </c>
      <c r="L1741" t="s">
        <v>144</v>
      </c>
      <c r="M1741" t="s">
        <v>172</v>
      </c>
      <c r="N1741" t="s">
        <v>86</v>
      </c>
      <c r="O1741" s="6" t="s">
        <v>62</v>
      </c>
      <c r="P1741" t="s">
        <v>78</v>
      </c>
      <c r="Q1741">
        <v>7</v>
      </c>
      <c r="R1741" t="s">
        <v>213</v>
      </c>
      <c r="S1741" s="2" t="s">
        <v>7</v>
      </c>
      <c r="T1741" s="2">
        <v>4</v>
      </c>
      <c r="U1741">
        <v>8.0500000000000007</v>
      </c>
      <c r="V1741">
        <v>428</v>
      </c>
      <c r="W1741">
        <v>4</v>
      </c>
      <c r="X1741">
        <v>1.07</v>
      </c>
      <c r="Y1741">
        <v>0.53</v>
      </c>
      <c r="AA1741" s="6"/>
      <c r="AB1741" s="6"/>
    </row>
    <row r="1742" spans="1:28" x14ac:dyDescent="0.2">
      <c r="A1742" t="s">
        <v>422</v>
      </c>
      <c r="B1742">
        <v>2016</v>
      </c>
      <c r="C1742" t="s">
        <v>816</v>
      </c>
      <c r="D1742" t="s">
        <v>817</v>
      </c>
      <c r="E1742" t="s">
        <v>263</v>
      </c>
      <c r="F1742" t="s">
        <v>424</v>
      </c>
      <c r="G1742">
        <v>78.992076999999995</v>
      </c>
      <c r="H1742">
        <v>11.633158</v>
      </c>
      <c r="I1742" t="s">
        <v>764</v>
      </c>
      <c r="J1742" t="s">
        <v>5</v>
      </c>
      <c r="K1742" t="s">
        <v>268</v>
      </c>
      <c r="L1742" t="s">
        <v>144</v>
      </c>
      <c r="M1742" t="s">
        <v>172</v>
      </c>
      <c r="N1742" t="s">
        <v>86</v>
      </c>
      <c r="O1742" s="6" t="s">
        <v>62</v>
      </c>
      <c r="P1742" t="s">
        <v>78</v>
      </c>
      <c r="Q1742">
        <v>7</v>
      </c>
      <c r="R1742" t="s">
        <v>213</v>
      </c>
      <c r="S1742" s="2" t="s">
        <v>9</v>
      </c>
      <c r="T1742" s="2">
        <v>4</v>
      </c>
      <c r="U1742">
        <v>7.6</v>
      </c>
      <c r="V1742">
        <v>1308</v>
      </c>
      <c r="W1742" t="s">
        <v>28</v>
      </c>
      <c r="X1742">
        <v>1.35</v>
      </c>
      <c r="Y1742">
        <v>0.34</v>
      </c>
      <c r="AA1742" s="6"/>
      <c r="AB1742" s="6"/>
    </row>
    <row r="1743" spans="1:28" x14ac:dyDescent="0.2">
      <c r="A1743" t="s">
        <v>422</v>
      </c>
      <c r="B1743">
        <v>2016</v>
      </c>
      <c r="C1743" t="s">
        <v>816</v>
      </c>
      <c r="D1743" t="s">
        <v>817</v>
      </c>
      <c r="E1743" t="s">
        <v>263</v>
      </c>
      <c r="F1743" t="s">
        <v>424</v>
      </c>
      <c r="G1743">
        <v>78.992076999999995</v>
      </c>
      <c r="H1743">
        <v>11.633158</v>
      </c>
      <c r="I1743" t="s">
        <v>764</v>
      </c>
      <c r="J1743" t="s">
        <v>14</v>
      </c>
      <c r="K1743" t="s">
        <v>268</v>
      </c>
      <c r="L1743" t="s">
        <v>144</v>
      </c>
      <c r="M1743" t="s">
        <v>172</v>
      </c>
      <c r="N1743" t="s">
        <v>86</v>
      </c>
      <c r="O1743" s="6" t="s">
        <v>62</v>
      </c>
      <c r="P1743" t="s">
        <v>78</v>
      </c>
      <c r="Q1743">
        <v>7</v>
      </c>
      <c r="R1743" t="s">
        <v>213</v>
      </c>
      <c r="S1743" s="2" t="s">
        <v>27</v>
      </c>
      <c r="T1743" s="2">
        <v>4</v>
      </c>
      <c r="U1743" t="s">
        <v>28</v>
      </c>
      <c r="V1743" t="s">
        <v>28</v>
      </c>
      <c r="W1743">
        <v>9</v>
      </c>
      <c r="X1743">
        <v>2.11</v>
      </c>
      <c r="Y1743">
        <v>0.5</v>
      </c>
      <c r="AA1743" s="6"/>
      <c r="AB1743" s="6"/>
    </row>
    <row r="1744" spans="1:28" x14ac:dyDescent="0.2">
      <c r="A1744" t="s">
        <v>422</v>
      </c>
      <c r="B1744">
        <v>2016</v>
      </c>
      <c r="C1744" t="s">
        <v>816</v>
      </c>
      <c r="D1744" t="s">
        <v>817</v>
      </c>
      <c r="E1744" t="s">
        <v>263</v>
      </c>
      <c r="F1744" t="s">
        <v>424</v>
      </c>
      <c r="G1744">
        <v>78.992076999999995</v>
      </c>
      <c r="H1744">
        <v>11.633158</v>
      </c>
      <c r="I1744" t="s">
        <v>764</v>
      </c>
      <c r="J1744" t="s">
        <v>16</v>
      </c>
      <c r="K1744" t="s">
        <v>268</v>
      </c>
      <c r="L1744" t="s">
        <v>144</v>
      </c>
      <c r="M1744" t="s">
        <v>172</v>
      </c>
      <c r="N1744" t="s">
        <v>86</v>
      </c>
      <c r="O1744" s="6" t="s">
        <v>62</v>
      </c>
      <c r="P1744" t="s">
        <v>78</v>
      </c>
      <c r="Q1744">
        <v>7</v>
      </c>
      <c r="R1744" t="s">
        <v>213</v>
      </c>
      <c r="S1744" s="2" t="s">
        <v>13</v>
      </c>
      <c r="T1744" s="2">
        <v>4</v>
      </c>
      <c r="U1744">
        <v>7.68</v>
      </c>
      <c r="V1744">
        <v>1107</v>
      </c>
      <c r="W1744">
        <v>9</v>
      </c>
      <c r="X1744">
        <v>1.2</v>
      </c>
      <c r="Y1744">
        <v>0.33</v>
      </c>
      <c r="AA1744" s="6"/>
      <c r="AB1744" s="6"/>
    </row>
    <row r="1745" spans="1:28" x14ac:dyDescent="0.2">
      <c r="A1745" t="s">
        <v>422</v>
      </c>
      <c r="B1745">
        <v>2016</v>
      </c>
      <c r="C1745" t="s">
        <v>826</v>
      </c>
      <c r="D1745" t="s">
        <v>824</v>
      </c>
      <c r="E1745" t="s">
        <v>48</v>
      </c>
      <c r="F1745" t="s">
        <v>424</v>
      </c>
      <c r="G1745">
        <v>78.992076999999995</v>
      </c>
      <c r="H1745">
        <v>11.633158</v>
      </c>
      <c r="I1745" t="s">
        <v>764</v>
      </c>
      <c r="J1745" t="s">
        <v>7</v>
      </c>
      <c r="K1745" t="s">
        <v>267</v>
      </c>
      <c r="L1745" t="s">
        <v>143</v>
      </c>
      <c r="M1745" t="s">
        <v>73</v>
      </c>
      <c r="N1745" t="s">
        <v>85</v>
      </c>
      <c r="O1745" s="6" t="s">
        <v>269</v>
      </c>
      <c r="P1745" t="s">
        <v>78</v>
      </c>
      <c r="Q1745">
        <v>7</v>
      </c>
      <c r="R1745" t="s">
        <v>213</v>
      </c>
      <c r="S1745" s="2" t="s">
        <v>7</v>
      </c>
      <c r="T1745" s="2">
        <v>4</v>
      </c>
      <c r="U1745">
        <v>8.1199999999999992</v>
      </c>
      <c r="V1745">
        <v>368</v>
      </c>
      <c r="W1745">
        <v>4</v>
      </c>
      <c r="X1745">
        <v>18.23</v>
      </c>
      <c r="Y1745">
        <v>1.38</v>
      </c>
      <c r="AA1745" s="6"/>
      <c r="AB1745" s="6"/>
    </row>
    <row r="1746" spans="1:28" x14ac:dyDescent="0.2">
      <c r="A1746" t="s">
        <v>422</v>
      </c>
      <c r="B1746">
        <v>2016</v>
      </c>
      <c r="C1746" t="s">
        <v>826</v>
      </c>
      <c r="D1746" t="s">
        <v>824</v>
      </c>
      <c r="E1746" t="s">
        <v>48</v>
      </c>
      <c r="F1746" t="s">
        <v>424</v>
      </c>
      <c r="G1746">
        <v>78.992076999999995</v>
      </c>
      <c r="H1746">
        <v>11.633158</v>
      </c>
      <c r="I1746" t="s">
        <v>764</v>
      </c>
      <c r="J1746" t="s">
        <v>5</v>
      </c>
      <c r="K1746" t="s">
        <v>267</v>
      </c>
      <c r="L1746" t="s">
        <v>143</v>
      </c>
      <c r="M1746" t="s">
        <v>73</v>
      </c>
      <c r="N1746" t="s">
        <v>85</v>
      </c>
      <c r="O1746" s="6" t="s">
        <v>269</v>
      </c>
      <c r="P1746" t="s">
        <v>78</v>
      </c>
      <c r="Q1746">
        <v>7</v>
      </c>
      <c r="R1746" t="s">
        <v>213</v>
      </c>
      <c r="S1746" s="2" t="s">
        <v>9</v>
      </c>
      <c r="T1746" s="2">
        <v>4</v>
      </c>
      <c r="U1746">
        <v>7.63</v>
      </c>
      <c r="V1746">
        <v>1272</v>
      </c>
      <c r="W1746" t="s">
        <v>28</v>
      </c>
      <c r="X1746">
        <v>15.58</v>
      </c>
      <c r="Y1746">
        <v>3.98</v>
      </c>
      <c r="AA1746" s="6"/>
      <c r="AB1746" s="6"/>
    </row>
    <row r="1747" spans="1:28" x14ac:dyDescent="0.2">
      <c r="A1747" t="s">
        <v>422</v>
      </c>
      <c r="B1747">
        <v>2016</v>
      </c>
      <c r="C1747" t="s">
        <v>826</v>
      </c>
      <c r="D1747" t="s">
        <v>824</v>
      </c>
      <c r="E1747" t="s">
        <v>48</v>
      </c>
      <c r="F1747" t="s">
        <v>424</v>
      </c>
      <c r="G1747">
        <v>78.992076999999995</v>
      </c>
      <c r="H1747">
        <v>11.633158</v>
      </c>
      <c r="I1747" t="s">
        <v>764</v>
      </c>
      <c r="J1747" t="s">
        <v>14</v>
      </c>
      <c r="K1747" t="s">
        <v>267</v>
      </c>
      <c r="L1747" t="s">
        <v>143</v>
      </c>
      <c r="M1747" t="s">
        <v>73</v>
      </c>
      <c r="N1747" t="s">
        <v>85</v>
      </c>
      <c r="O1747" s="6" t="s">
        <v>269</v>
      </c>
      <c r="P1747" t="s">
        <v>78</v>
      </c>
      <c r="Q1747">
        <v>7</v>
      </c>
      <c r="R1747" t="s">
        <v>213</v>
      </c>
      <c r="S1747" s="2" t="s">
        <v>27</v>
      </c>
      <c r="T1747" s="2">
        <v>4</v>
      </c>
      <c r="U1747" t="s">
        <v>28</v>
      </c>
      <c r="V1747" t="s">
        <v>28</v>
      </c>
      <c r="W1747">
        <v>9</v>
      </c>
      <c r="X1747">
        <v>15.59</v>
      </c>
      <c r="Y1747">
        <v>0.99</v>
      </c>
      <c r="AA1747" s="6"/>
      <c r="AB1747" s="6"/>
    </row>
    <row r="1748" spans="1:28" x14ac:dyDescent="0.2">
      <c r="A1748" t="s">
        <v>422</v>
      </c>
      <c r="B1748">
        <v>2016</v>
      </c>
      <c r="C1748" t="s">
        <v>826</v>
      </c>
      <c r="D1748" t="s">
        <v>824</v>
      </c>
      <c r="E1748" t="s">
        <v>48</v>
      </c>
      <c r="F1748" t="s">
        <v>424</v>
      </c>
      <c r="G1748">
        <v>78.992076999999995</v>
      </c>
      <c r="H1748">
        <v>11.633158</v>
      </c>
      <c r="I1748" t="s">
        <v>764</v>
      </c>
      <c r="J1748" t="s">
        <v>16</v>
      </c>
      <c r="K1748" t="s">
        <v>267</v>
      </c>
      <c r="L1748" t="s">
        <v>143</v>
      </c>
      <c r="M1748" t="s">
        <v>73</v>
      </c>
      <c r="N1748" t="s">
        <v>85</v>
      </c>
      <c r="O1748" s="6" t="s">
        <v>269</v>
      </c>
      <c r="P1748" t="s">
        <v>78</v>
      </c>
      <c r="Q1748">
        <v>7</v>
      </c>
      <c r="R1748" t="s">
        <v>213</v>
      </c>
      <c r="S1748" s="2" t="s">
        <v>13</v>
      </c>
      <c r="T1748" s="2">
        <v>4</v>
      </c>
      <c r="U1748">
        <v>7.69</v>
      </c>
      <c r="V1748">
        <v>1128</v>
      </c>
      <c r="W1748">
        <v>9</v>
      </c>
      <c r="X1748">
        <v>16.41</v>
      </c>
      <c r="Y1748">
        <v>3.72</v>
      </c>
      <c r="AA1748" s="6"/>
      <c r="AB1748" s="6"/>
    </row>
    <row r="1749" spans="1:28" x14ac:dyDescent="0.2">
      <c r="A1749" t="s">
        <v>422</v>
      </c>
      <c r="B1749">
        <v>2016</v>
      </c>
      <c r="C1749" t="s">
        <v>816</v>
      </c>
      <c r="D1749" t="s">
        <v>817</v>
      </c>
      <c r="E1749" t="s">
        <v>263</v>
      </c>
      <c r="F1749" t="s">
        <v>424</v>
      </c>
      <c r="G1749">
        <v>78.992076999999995</v>
      </c>
      <c r="H1749">
        <v>11.633158</v>
      </c>
      <c r="I1749" t="s">
        <v>764</v>
      </c>
      <c r="J1749" t="s">
        <v>7</v>
      </c>
      <c r="K1749" t="s">
        <v>268</v>
      </c>
      <c r="L1749" t="s">
        <v>144</v>
      </c>
      <c r="M1749" t="s">
        <v>73</v>
      </c>
      <c r="N1749" t="s">
        <v>85</v>
      </c>
      <c r="O1749" s="6" t="s">
        <v>269</v>
      </c>
      <c r="P1749" t="s">
        <v>78</v>
      </c>
      <c r="Q1749">
        <v>7</v>
      </c>
      <c r="R1749" t="s">
        <v>213</v>
      </c>
      <c r="S1749" s="2" t="s">
        <v>7</v>
      </c>
      <c r="T1749" s="2">
        <v>4</v>
      </c>
      <c r="U1749">
        <v>8.0500000000000007</v>
      </c>
      <c r="V1749">
        <v>428</v>
      </c>
      <c r="W1749">
        <v>4</v>
      </c>
      <c r="X1749">
        <v>6.28</v>
      </c>
      <c r="Y1749">
        <v>0.68</v>
      </c>
      <c r="AA1749" s="6"/>
      <c r="AB1749" s="6"/>
    </row>
    <row r="1750" spans="1:28" x14ac:dyDescent="0.2">
      <c r="A1750" t="s">
        <v>422</v>
      </c>
      <c r="B1750">
        <v>2016</v>
      </c>
      <c r="C1750" t="s">
        <v>816</v>
      </c>
      <c r="D1750" t="s">
        <v>817</v>
      </c>
      <c r="E1750" t="s">
        <v>263</v>
      </c>
      <c r="F1750" t="s">
        <v>424</v>
      </c>
      <c r="G1750">
        <v>78.992076999999995</v>
      </c>
      <c r="H1750">
        <v>11.633158</v>
      </c>
      <c r="I1750" t="s">
        <v>764</v>
      </c>
      <c r="J1750" t="s">
        <v>5</v>
      </c>
      <c r="K1750" t="s">
        <v>268</v>
      </c>
      <c r="L1750" t="s">
        <v>144</v>
      </c>
      <c r="M1750" t="s">
        <v>73</v>
      </c>
      <c r="N1750" t="s">
        <v>85</v>
      </c>
      <c r="O1750" s="6" t="s">
        <v>269</v>
      </c>
      <c r="P1750" t="s">
        <v>78</v>
      </c>
      <c r="Q1750">
        <v>7</v>
      </c>
      <c r="R1750" t="s">
        <v>213</v>
      </c>
      <c r="S1750" s="2" t="s">
        <v>9</v>
      </c>
      <c r="T1750" s="2">
        <v>4</v>
      </c>
      <c r="U1750">
        <v>7.6</v>
      </c>
      <c r="V1750">
        <v>1308</v>
      </c>
      <c r="W1750" t="s">
        <v>28</v>
      </c>
      <c r="X1750">
        <v>6.81</v>
      </c>
      <c r="Y1750">
        <v>3.06</v>
      </c>
      <c r="AA1750" s="6"/>
      <c r="AB1750" s="6"/>
    </row>
    <row r="1751" spans="1:28" x14ac:dyDescent="0.2">
      <c r="A1751" t="s">
        <v>422</v>
      </c>
      <c r="B1751">
        <v>2016</v>
      </c>
      <c r="C1751" t="s">
        <v>816</v>
      </c>
      <c r="D1751" t="s">
        <v>817</v>
      </c>
      <c r="E1751" t="s">
        <v>263</v>
      </c>
      <c r="F1751" t="s">
        <v>424</v>
      </c>
      <c r="G1751">
        <v>78.992076999999995</v>
      </c>
      <c r="H1751">
        <v>11.633158</v>
      </c>
      <c r="I1751" t="s">
        <v>764</v>
      </c>
      <c r="J1751" t="s">
        <v>14</v>
      </c>
      <c r="K1751" t="s">
        <v>268</v>
      </c>
      <c r="L1751" t="s">
        <v>144</v>
      </c>
      <c r="M1751" t="s">
        <v>73</v>
      </c>
      <c r="N1751" t="s">
        <v>85</v>
      </c>
      <c r="O1751" s="6" t="s">
        <v>269</v>
      </c>
      <c r="P1751" t="s">
        <v>78</v>
      </c>
      <c r="Q1751">
        <v>7</v>
      </c>
      <c r="R1751" t="s">
        <v>213</v>
      </c>
      <c r="S1751" s="2" t="s">
        <v>27</v>
      </c>
      <c r="T1751" s="2">
        <v>4</v>
      </c>
      <c r="U1751" t="s">
        <v>28</v>
      </c>
      <c r="V1751" t="s">
        <v>28</v>
      </c>
      <c r="W1751">
        <v>9</v>
      </c>
      <c r="X1751">
        <v>11.66</v>
      </c>
      <c r="Y1751">
        <v>2.5499999999999998</v>
      </c>
      <c r="AA1751" s="6"/>
      <c r="AB1751" s="6"/>
    </row>
    <row r="1752" spans="1:28" x14ac:dyDescent="0.2">
      <c r="A1752" t="s">
        <v>422</v>
      </c>
      <c r="B1752">
        <v>2016</v>
      </c>
      <c r="C1752" t="s">
        <v>816</v>
      </c>
      <c r="D1752" t="s">
        <v>817</v>
      </c>
      <c r="E1752" t="s">
        <v>263</v>
      </c>
      <c r="F1752" t="s">
        <v>424</v>
      </c>
      <c r="G1752">
        <v>78.992076999999995</v>
      </c>
      <c r="H1752">
        <v>11.633158</v>
      </c>
      <c r="I1752" t="s">
        <v>764</v>
      </c>
      <c r="J1752" t="s">
        <v>16</v>
      </c>
      <c r="K1752" t="s">
        <v>268</v>
      </c>
      <c r="L1752" t="s">
        <v>144</v>
      </c>
      <c r="M1752" t="s">
        <v>73</v>
      </c>
      <c r="N1752" t="s">
        <v>85</v>
      </c>
      <c r="O1752" s="6" t="s">
        <v>269</v>
      </c>
      <c r="P1752" t="s">
        <v>78</v>
      </c>
      <c r="Q1752">
        <v>7</v>
      </c>
      <c r="R1752" t="s">
        <v>213</v>
      </c>
      <c r="S1752" s="2" t="s">
        <v>13</v>
      </c>
      <c r="T1752" s="2">
        <v>4</v>
      </c>
      <c r="U1752">
        <v>7.68</v>
      </c>
      <c r="V1752">
        <v>1107</v>
      </c>
      <c r="W1752">
        <v>9</v>
      </c>
      <c r="X1752">
        <v>10.35</v>
      </c>
      <c r="Y1752">
        <v>2.74</v>
      </c>
      <c r="AA1752" s="6"/>
      <c r="AB1752" s="6"/>
    </row>
    <row r="1753" spans="1:28" x14ac:dyDescent="0.2">
      <c r="A1753" t="s">
        <v>422</v>
      </c>
      <c r="B1753">
        <v>2016</v>
      </c>
      <c r="C1753" t="s">
        <v>826</v>
      </c>
      <c r="D1753" t="s">
        <v>824</v>
      </c>
      <c r="E1753" t="s">
        <v>48</v>
      </c>
      <c r="F1753" t="s">
        <v>424</v>
      </c>
      <c r="G1753">
        <v>78.992076999999995</v>
      </c>
      <c r="H1753">
        <v>11.633158</v>
      </c>
      <c r="I1753" t="s">
        <v>764</v>
      </c>
      <c r="J1753" t="s">
        <v>7</v>
      </c>
      <c r="K1753" t="s">
        <v>267</v>
      </c>
      <c r="L1753" t="s">
        <v>143</v>
      </c>
      <c r="M1753" t="s">
        <v>73</v>
      </c>
      <c r="N1753" t="s">
        <v>85</v>
      </c>
      <c r="O1753" s="6" t="s">
        <v>270</v>
      </c>
      <c r="P1753" t="s">
        <v>78</v>
      </c>
      <c r="Q1753">
        <v>7</v>
      </c>
      <c r="R1753" t="s">
        <v>213</v>
      </c>
      <c r="S1753" s="2" t="s">
        <v>7</v>
      </c>
      <c r="T1753" s="2">
        <v>4</v>
      </c>
      <c r="U1753">
        <v>8.1199999999999992</v>
      </c>
      <c r="V1753">
        <v>368</v>
      </c>
      <c r="W1753">
        <v>4</v>
      </c>
      <c r="X1753">
        <v>7.3999999999999996E-2</v>
      </c>
      <c r="Y1753">
        <v>4.2000000000000003E-2</v>
      </c>
      <c r="AA1753" s="6"/>
      <c r="AB1753" s="6"/>
    </row>
    <row r="1754" spans="1:28" x14ac:dyDescent="0.2">
      <c r="A1754" t="s">
        <v>422</v>
      </c>
      <c r="B1754">
        <v>2016</v>
      </c>
      <c r="C1754" t="s">
        <v>826</v>
      </c>
      <c r="D1754" t="s">
        <v>824</v>
      </c>
      <c r="E1754" t="s">
        <v>48</v>
      </c>
      <c r="F1754" t="s">
        <v>424</v>
      </c>
      <c r="G1754">
        <v>78.992076999999995</v>
      </c>
      <c r="H1754">
        <v>11.633158</v>
      </c>
      <c r="I1754" t="s">
        <v>764</v>
      </c>
      <c r="J1754" t="s">
        <v>5</v>
      </c>
      <c r="K1754" t="s">
        <v>267</v>
      </c>
      <c r="L1754" t="s">
        <v>143</v>
      </c>
      <c r="M1754" t="s">
        <v>73</v>
      </c>
      <c r="N1754" t="s">
        <v>85</v>
      </c>
      <c r="O1754" s="6" t="s">
        <v>270</v>
      </c>
      <c r="P1754" t="s">
        <v>78</v>
      </c>
      <c r="Q1754">
        <v>7</v>
      </c>
      <c r="R1754" t="s">
        <v>213</v>
      </c>
      <c r="S1754" s="2" t="s">
        <v>9</v>
      </c>
      <c r="T1754" s="2">
        <v>4</v>
      </c>
      <c r="U1754">
        <v>7.63</v>
      </c>
      <c r="V1754">
        <v>1272</v>
      </c>
      <c r="W1754" t="s">
        <v>28</v>
      </c>
      <c r="X1754">
        <v>7.9000000000000001E-2</v>
      </c>
      <c r="Y1754">
        <v>8.4000000000000005E-2</v>
      </c>
      <c r="AA1754" s="6"/>
      <c r="AB1754" s="6"/>
    </row>
    <row r="1755" spans="1:28" x14ac:dyDescent="0.2">
      <c r="A1755" t="s">
        <v>422</v>
      </c>
      <c r="B1755">
        <v>2016</v>
      </c>
      <c r="C1755" t="s">
        <v>826</v>
      </c>
      <c r="D1755" t="s">
        <v>824</v>
      </c>
      <c r="E1755" t="s">
        <v>48</v>
      </c>
      <c r="F1755" t="s">
        <v>424</v>
      </c>
      <c r="G1755">
        <v>78.992076999999995</v>
      </c>
      <c r="H1755">
        <v>11.633158</v>
      </c>
      <c r="I1755" t="s">
        <v>764</v>
      </c>
      <c r="J1755" t="s">
        <v>14</v>
      </c>
      <c r="K1755" t="s">
        <v>267</v>
      </c>
      <c r="L1755" t="s">
        <v>143</v>
      </c>
      <c r="M1755" t="s">
        <v>73</v>
      </c>
      <c r="N1755" t="s">
        <v>85</v>
      </c>
      <c r="O1755" s="6" t="s">
        <v>270</v>
      </c>
      <c r="P1755" t="s">
        <v>78</v>
      </c>
      <c r="Q1755">
        <v>7</v>
      </c>
      <c r="R1755" t="s">
        <v>213</v>
      </c>
      <c r="S1755" s="2" t="s">
        <v>27</v>
      </c>
      <c r="T1755" s="2">
        <v>4</v>
      </c>
      <c r="U1755" t="s">
        <v>28</v>
      </c>
      <c r="V1755" t="s">
        <v>28</v>
      </c>
      <c r="W1755">
        <v>9</v>
      </c>
      <c r="X1755">
        <v>0.112</v>
      </c>
      <c r="Y1755">
        <v>4.2999999999999997E-2</v>
      </c>
      <c r="AA1755" s="6"/>
      <c r="AB1755" s="6"/>
    </row>
    <row r="1756" spans="1:28" x14ac:dyDescent="0.2">
      <c r="A1756" t="s">
        <v>422</v>
      </c>
      <c r="B1756">
        <v>2016</v>
      </c>
      <c r="C1756" t="s">
        <v>826</v>
      </c>
      <c r="D1756" t="s">
        <v>824</v>
      </c>
      <c r="E1756" t="s">
        <v>48</v>
      </c>
      <c r="F1756" t="s">
        <v>424</v>
      </c>
      <c r="G1756">
        <v>78.992076999999995</v>
      </c>
      <c r="H1756">
        <v>11.633158</v>
      </c>
      <c r="I1756" t="s">
        <v>764</v>
      </c>
      <c r="J1756" t="s">
        <v>16</v>
      </c>
      <c r="K1756" t="s">
        <v>267</v>
      </c>
      <c r="L1756" t="s">
        <v>143</v>
      </c>
      <c r="M1756" t="s">
        <v>73</v>
      </c>
      <c r="N1756" t="s">
        <v>85</v>
      </c>
      <c r="O1756" s="6" t="s">
        <v>270</v>
      </c>
      <c r="P1756" t="s">
        <v>78</v>
      </c>
      <c r="Q1756">
        <v>7</v>
      </c>
      <c r="R1756" t="s">
        <v>213</v>
      </c>
      <c r="S1756" s="2" t="s">
        <v>13</v>
      </c>
      <c r="T1756" s="2">
        <v>4</v>
      </c>
      <c r="U1756">
        <v>7.69</v>
      </c>
      <c r="V1756">
        <v>1128</v>
      </c>
      <c r="W1756">
        <v>9</v>
      </c>
      <c r="X1756">
        <v>0.13300000000000001</v>
      </c>
      <c r="Y1756">
        <v>7.8E-2</v>
      </c>
      <c r="AA1756" s="6"/>
      <c r="AB1756" s="6"/>
    </row>
    <row r="1757" spans="1:28" x14ac:dyDescent="0.2">
      <c r="A1757" t="s">
        <v>422</v>
      </c>
      <c r="B1757">
        <v>2016</v>
      </c>
      <c r="C1757" t="s">
        <v>816</v>
      </c>
      <c r="D1757" t="s">
        <v>817</v>
      </c>
      <c r="E1757" t="s">
        <v>263</v>
      </c>
      <c r="F1757" t="s">
        <v>424</v>
      </c>
      <c r="G1757">
        <v>78.992076999999995</v>
      </c>
      <c r="H1757">
        <v>11.633158</v>
      </c>
      <c r="I1757" t="s">
        <v>764</v>
      </c>
      <c r="J1757" t="s">
        <v>7</v>
      </c>
      <c r="K1757" t="s">
        <v>268</v>
      </c>
      <c r="L1757" t="s">
        <v>144</v>
      </c>
      <c r="M1757" t="s">
        <v>73</v>
      </c>
      <c r="N1757" t="s">
        <v>85</v>
      </c>
      <c r="O1757" s="6" t="s">
        <v>270</v>
      </c>
      <c r="P1757" t="s">
        <v>78</v>
      </c>
      <c r="Q1757">
        <v>7</v>
      </c>
      <c r="R1757" t="s">
        <v>213</v>
      </c>
      <c r="S1757" s="2" t="s">
        <v>7</v>
      </c>
      <c r="T1757" s="2">
        <v>4</v>
      </c>
      <c r="U1757">
        <v>8.0500000000000007</v>
      </c>
      <c r="V1757">
        <v>428</v>
      </c>
      <c r="W1757">
        <v>4</v>
      </c>
      <c r="X1757">
        <v>5.2999999999999999E-2</v>
      </c>
      <c r="Y1757">
        <v>3.4000000000000002E-2</v>
      </c>
      <c r="AA1757" s="6"/>
      <c r="AB1757" s="6"/>
    </row>
    <row r="1758" spans="1:28" x14ac:dyDescent="0.2">
      <c r="A1758" t="s">
        <v>422</v>
      </c>
      <c r="B1758">
        <v>2016</v>
      </c>
      <c r="C1758" t="s">
        <v>816</v>
      </c>
      <c r="D1758" t="s">
        <v>817</v>
      </c>
      <c r="E1758" t="s">
        <v>263</v>
      </c>
      <c r="F1758" t="s">
        <v>424</v>
      </c>
      <c r="G1758">
        <v>78.992076999999995</v>
      </c>
      <c r="H1758">
        <v>11.633158</v>
      </c>
      <c r="I1758" t="s">
        <v>764</v>
      </c>
      <c r="J1758" t="s">
        <v>5</v>
      </c>
      <c r="K1758" t="s">
        <v>268</v>
      </c>
      <c r="L1758" t="s">
        <v>144</v>
      </c>
      <c r="M1758" t="s">
        <v>73</v>
      </c>
      <c r="N1758" t="s">
        <v>85</v>
      </c>
      <c r="O1758" s="6" t="s">
        <v>270</v>
      </c>
      <c r="P1758" t="s">
        <v>78</v>
      </c>
      <c r="Q1758">
        <v>7</v>
      </c>
      <c r="R1758" t="s">
        <v>213</v>
      </c>
      <c r="S1758" s="2" t="s">
        <v>9</v>
      </c>
      <c r="T1758" s="2">
        <v>4</v>
      </c>
      <c r="U1758">
        <v>7.6</v>
      </c>
      <c r="V1758">
        <v>1308</v>
      </c>
      <c r="W1758" t="s">
        <v>28</v>
      </c>
      <c r="X1758">
        <v>1.4E-2</v>
      </c>
      <c r="Y1758">
        <v>2.9000000000000001E-2</v>
      </c>
      <c r="AA1758" s="6"/>
      <c r="AB1758" s="6"/>
    </row>
    <row r="1759" spans="1:28" x14ac:dyDescent="0.2">
      <c r="A1759" t="s">
        <v>422</v>
      </c>
      <c r="B1759">
        <v>2016</v>
      </c>
      <c r="C1759" t="s">
        <v>816</v>
      </c>
      <c r="D1759" t="s">
        <v>817</v>
      </c>
      <c r="E1759" t="s">
        <v>263</v>
      </c>
      <c r="F1759" t="s">
        <v>424</v>
      </c>
      <c r="G1759">
        <v>78.992076999999995</v>
      </c>
      <c r="H1759">
        <v>11.633158</v>
      </c>
      <c r="I1759" t="s">
        <v>764</v>
      </c>
      <c r="J1759" t="s">
        <v>14</v>
      </c>
      <c r="K1759" t="s">
        <v>268</v>
      </c>
      <c r="L1759" t="s">
        <v>144</v>
      </c>
      <c r="M1759" t="s">
        <v>73</v>
      </c>
      <c r="N1759" t="s">
        <v>85</v>
      </c>
      <c r="O1759" s="6" t="s">
        <v>270</v>
      </c>
      <c r="P1759" t="s">
        <v>78</v>
      </c>
      <c r="Q1759">
        <v>7</v>
      </c>
      <c r="R1759" t="s">
        <v>213</v>
      </c>
      <c r="S1759" s="2" t="s">
        <v>27</v>
      </c>
      <c r="T1759" s="2">
        <v>4</v>
      </c>
      <c r="U1759" t="s">
        <v>28</v>
      </c>
      <c r="V1759" t="s">
        <v>28</v>
      </c>
      <c r="W1759">
        <v>9</v>
      </c>
      <c r="X1759">
        <v>0.14899999999999999</v>
      </c>
      <c r="Y1759">
        <v>3.2000000000000001E-2</v>
      </c>
      <c r="AA1759" s="6"/>
      <c r="AB1759" s="6"/>
    </row>
    <row r="1760" spans="1:28" x14ac:dyDescent="0.2">
      <c r="A1760" t="s">
        <v>422</v>
      </c>
      <c r="B1760">
        <v>2016</v>
      </c>
      <c r="C1760" t="s">
        <v>816</v>
      </c>
      <c r="D1760" t="s">
        <v>817</v>
      </c>
      <c r="E1760" t="s">
        <v>263</v>
      </c>
      <c r="F1760" t="s">
        <v>424</v>
      </c>
      <c r="G1760">
        <v>78.992076999999995</v>
      </c>
      <c r="H1760">
        <v>11.633158</v>
      </c>
      <c r="I1760" t="s">
        <v>764</v>
      </c>
      <c r="J1760" t="s">
        <v>16</v>
      </c>
      <c r="K1760" t="s">
        <v>268</v>
      </c>
      <c r="L1760" t="s">
        <v>144</v>
      </c>
      <c r="M1760" t="s">
        <v>73</v>
      </c>
      <c r="N1760" t="s">
        <v>85</v>
      </c>
      <c r="O1760" s="6" t="s">
        <v>270</v>
      </c>
      <c r="P1760" t="s">
        <v>78</v>
      </c>
      <c r="Q1760">
        <v>7</v>
      </c>
      <c r="R1760" t="s">
        <v>213</v>
      </c>
      <c r="S1760" s="2" t="s">
        <v>13</v>
      </c>
      <c r="T1760" s="2">
        <v>4</v>
      </c>
      <c r="U1760">
        <v>7.68</v>
      </c>
      <c r="V1760">
        <v>1107</v>
      </c>
      <c r="W1760">
        <v>9</v>
      </c>
      <c r="X1760">
        <v>0.17899999999999999</v>
      </c>
      <c r="Y1760">
        <v>0.04</v>
      </c>
      <c r="AA1760" s="6"/>
      <c r="AB1760" s="6"/>
    </row>
    <row r="1761" spans="1:28" x14ac:dyDescent="0.2">
      <c r="A1761" t="s">
        <v>422</v>
      </c>
      <c r="B1761">
        <v>2016</v>
      </c>
      <c r="C1761" t="s">
        <v>826</v>
      </c>
      <c r="D1761" t="s">
        <v>824</v>
      </c>
      <c r="E1761" t="s">
        <v>48</v>
      </c>
      <c r="F1761" t="s">
        <v>424</v>
      </c>
      <c r="G1761">
        <v>78.992076999999995</v>
      </c>
      <c r="H1761">
        <v>11.633158</v>
      </c>
      <c r="I1761" t="s">
        <v>764</v>
      </c>
      <c r="J1761" t="s">
        <v>7</v>
      </c>
      <c r="K1761" t="s">
        <v>267</v>
      </c>
      <c r="L1761" t="s">
        <v>143</v>
      </c>
      <c r="M1761" t="s">
        <v>726</v>
      </c>
      <c r="N1761" t="s">
        <v>85</v>
      </c>
      <c r="O1761" s="6" t="s">
        <v>835</v>
      </c>
      <c r="P1761" t="s">
        <v>83</v>
      </c>
      <c r="Q1761">
        <v>7</v>
      </c>
      <c r="R1761" t="s">
        <v>213</v>
      </c>
      <c r="S1761" s="2" t="s">
        <v>7</v>
      </c>
      <c r="T1761" s="2">
        <v>4</v>
      </c>
      <c r="U1761">
        <v>8.0500000000000007</v>
      </c>
      <c r="V1761">
        <v>428</v>
      </c>
      <c r="W1761">
        <v>4</v>
      </c>
      <c r="X1761">
        <v>7.21</v>
      </c>
      <c r="Y1761">
        <v>2.5299999999999998</v>
      </c>
      <c r="AA1761" s="6"/>
      <c r="AB1761" s="6"/>
    </row>
    <row r="1762" spans="1:28" x14ac:dyDescent="0.2">
      <c r="A1762" t="s">
        <v>422</v>
      </c>
      <c r="B1762">
        <v>2016</v>
      </c>
      <c r="C1762" t="s">
        <v>826</v>
      </c>
      <c r="D1762" t="s">
        <v>824</v>
      </c>
      <c r="E1762" t="s">
        <v>48</v>
      </c>
      <c r="F1762" t="s">
        <v>424</v>
      </c>
      <c r="G1762">
        <v>78.992076999999995</v>
      </c>
      <c r="H1762">
        <v>11.633158</v>
      </c>
      <c r="I1762" t="s">
        <v>764</v>
      </c>
      <c r="J1762" t="s">
        <v>5</v>
      </c>
      <c r="K1762" t="s">
        <v>267</v>
      </c>
      <c r="L1762" t="s">
        <v>143</v>
      </c>
      <c r="M1762" t="s">
        <v>726</v>
      </c>
      <c r="N1762" t="s">
        <v>85</v>
      </c>
      <c r="O1762" s="6" t="s">
        <v>835</v>
      </c>
      <c r="P1762" t="s">
        <v>83</v>
      </c>
      <c r="Q1762">
        <v>7</v>
      </c>
      <c r="R1762" t="s">
        <v>213</v>
      </c>
      <c r="S1762" s="2" t="s">
        <v>9</v>
      </c>
      <c r="T1762" s="2">
        <v>4</v>
      </c>
      <c r="U1762">
        <v>7.6</v>
      </c>
      <c r="V1762">
        <v>1308</v>
      </c>
      <c r="W1762" t="s">
        <v>28</v>
      </c>
      <c r="X1762">
        <v>6.22</v>
      </c>
      <c r="Y1762">
        <v>2.2799999999999998</v>
      </c>
      <c r="AA1762" s="6"/>
      <c r="AB1762" s="6"/>
    </row>
    <row r="1763" spans="1:28" x14ac:dyDescent="0.2">
      <c r="A1763" t="s">
        <v>422</v>
      </c>
      <c r="B1763">
        <v>2016</v>
      </c>
      <c r="C1763" t="s">
        <v>826</v>
      </c>
      <c r="D1763" t="s">
        <v>824</v>
      </c>
      <c r="E1763" t="s">
        <v>48</v>
      </c>
      <c r="F1763" t="s">
        <v>424</v>
      </c>
      <c r="G1763">
        <v>78.992076999999995</v>
      </c>
      <c r="H1763">
        <v>11.633158</v>
      </c>
      <c r="I1763" t="s">
        <v>764</v>
      </c>
      <c r="J1763" t="s">
        <v>14</v>
      </c>
      <c r="K1763" t="s">
        <v>267</v>
      </c>
      <c r="L1763" t="s">
        <v>143</v>
      </c>
      <c r="M1763" t="s">
        <v>726</v>
      </c>
      <c r="N1763" t="s">
        <v>85</v>
      </c>
      <c r="O1763" s="6" t="s">
        <v>835</v>
      </c>
      <c r="P1763" t="s">
        <v>83</v>
      </c>
      <c r="Q1763">
        <v>7</v>
      </c>
      <c r="R1763" t="s">
        <v>213</v>
      </c>
      <c r="S1763" s="2" t="s">
        <v>27</v>
      </c>
      <c r="T1763" s="2">
        <v>4</v>
      </c>
      <c r="U1763" t="s">
        <v>28</v>
      </c>
      <c r="V1763" t="s">
        <v>28</v>
      </c>
      <c r="W1763">
        <v>9</v>
      </c>
      <c r="X1763">
        <v>6.69</v>
      </c>
      <c r="Y1763">
        <v>1.0900000000000001</v>
      </c>
      <c r="AA1763" s="6"/>
      <c r="AB1763" s="6"/>
    </row>
    <row r="1764" spans="1:28" x14ac:dyDescent="0.2">
      <c r="A1764" t="s">
        <v>422</v>
      </c>
      <c r="B1764">
        <v>2016</v>
      </c>
      <c r="C1764" t="s">
        <v>826</v>
      </c>
      <c r="D1764" t="s">
        <v>824</v>
      </c>
      <c r="E1764" t="s">
        <v>48</v>
      </c>
      <c r="F1764" t="s">
        <v>424</v>
      </c>
      <c r="G1764">
        <v>78.992076999999995</v>
      </c>
      <c r="H1764">
        <v>11.633158</v>
      </c>
      <c r="I1764" t="s">
        <v>764</v>
      </c>
      <c r="J1764" t="s">
        <v>16</v>
      </c>
      <c r="K1764" t="s">
        <v>267</v>
      </c>
      <c r="L1764" t="s">
        <v>143</v>
      </c>
      <c r="M1764" t="s">
        <v>726</v>
      </c>
      <c r="N1764" t="s">
        <v>85</v>
      </c>
      <c r="O1764" s="6" t="s">
        <v>835</v>
      </c>
      <c r="P1764" t="s">
        <v>83</v>
      </c>
      <c r="Q1764">
        <v>7</v>
      </c>
      <c r="R1764" t="s">
        <v>213</v>
      </c>
      <c r="S1764" s="2" t="s">
        <v>13</v>
      </c>
      <c r="T1764" s="2">
        <v>4</v>
      </c>
      <c r="U1764">
        <v>7.68</v>
      </c>
      <c r="V1764">
        <v>1107</v>
      </c>
      <c r="W1764">
        <v>9</v>
      </c>
      <c r="X1764">
        <v>8.94</v>
      </c>
      <c r="Y1764">
        <v>2.06</v>
      </c>
      <c r="AA1764" s="6"/>
      <c r="AB1764" s="6"/>
    </row>
    <row r="1765" spans="1:28" x14ac:dyDescent="0.2">
      <c r="A1765" t="s">
        <v>422</v>
      </c>
      <c r="B1765">
        <v>2016</v>
      </c>
      <c r="C1765" t="s">
        <v>816</v>
      </c>
      <c r="D1765" t="s">
        <v>817</v>
      </c>
      <c r="E1765" t="s">
        <v>263</v>
      </c>
      <c r="F1765" t="s">
        <v>424</v>
      </c>
      <c r="G1765">
        <v>78.992076999999995</v>
      </c>
      <c r="H1765">
        <v>11.633158</v>
      </c>
      <c r="I1765" t="s">
        <v>764</v>
      </c>
      <c r="J1765" t="s">
        <v>7</v>
      </c>
      <c r="K1765" t="s">
        <v>268</v>
      </c>
      <c r="L1765" t="s">
        <v>144</v>
      </c>
      <c r="M1765" t="s">
        <v>726</v>
      </c>
      <c r="N1765" t="s">
        <v>85</v>
      </c>
      <c r="O1765" s="6" t="s">
        <v>835</v>
      </c>
      <c r="P1765" t="s">
        <v>83</v>
      </c>
      <c r="Q1765">
        <v>7</v>
      </c>
      <c r="R1765" t="s">
        <v>213</v>
      </c>
      <c r="S1765" s="2" t="s">
        <v>7</v>
      </c>
      <c r="T1765" s="2">
        <v>4</v>
      </c>
      <c r="U1765">
        <v>8.0500000000000007</v>
      </c>
      <c r="V1765">
        <v>428</v>
      </c>
      <c r="W1765">
        <v>4</v>
      </c>
      <c r="X1765">
        <v>10.48</v>
      </c>
      <c r="Y1765">
        <v>1.54</v>
      </c>
      <c r="AA1765" s="6"/>
      <c r="AB1765" s="6"/>
    </row>
    <row r="1766" spans="1:28" x14ac:dyDescent="0.2">
      <c r="A1766" t="s">
        <v>422</v>
      </c>
      <c r="B1766">
        <v>2016</v>
      </c>
      <c r="C1766" t="s">
        <v>816</v>
      </c>
      <c r="D1766" t="s">
        <v>817</v>
      </c>
      <c r="E1766" t="s">
        <v>263</v>
      </c>
      <c r="F1766" t="s">
        <v>424</v>
      </c>
      <c r="G1766">
        <v>78.992076999999995</v>
      </c>
      <c r="H1766">
        <v>11.633158</v>
      </c>
      <c r="I1766" t="s">
        <v>764</v>
      </c>
      <c r="J1766" t="s">
        <v>5</v>
      </c>
      <c r="K1766" t="s">
        <v>268</v>
      </c>
      <c r="L1766" t="s">
        <v>144</v>
      </c>
      <c r="M1766" t="s">
        <v>726</v>
      </c>
      <c r="N1766" t="s">
        <v>85</v>
      </c>
      <c r="O1766" s="6" t="s">
        <v>835</v>
      </c>
      <c r="P1766" t="s">
        <v>83</v>
      </c>
      <c r="Q1766">
        <v>7</v>
      </c>
      <c r="R1766" t="s">
        <v>213</v>
      </c>
      <c r="S1766" s="2" t="s">
        <v>9</v>
      </c>
      <c r="T1766" s="2">
        <v>4</v>
      </c>
      <c r="U1766">
        <v>7.6</v>
      </c>
      <c r="V1766">
        <v>1308</v>
      </c>
      <c r="W1766" t="s">
        <v>28</v>
      </c>
      <c r="X1766">
        <v>10.6</v>
      </c>
      <c r="Y1766">
        <v>1.67</v>
      </c>
      <c r="AA1766" s="6"/>
      <c r="AB1766" s="6"/>
    </row>
    <row r="1767" spans="1:28" x14ac:dyDescent="0.2">
      <c r="A1767" t="s">
        <v>422</v>
      </c>
      <c r="B1767">
        <v>2016</v>
      </c>
      <c r="C1767" t="s">
        <v>816</v>
      </c>
      <c r="D1767" t="s">
        <v>817</v>
      </c>
      <c r="E1767" t="s">
        <v>263</v>
      </c>
      <c r="F1767" t="s">
        <v>424</v>
      </c>
      <c r="G1767">
        <v>78.992076999999995</v>
      </c>
      <c r="H1767">
        <v>11.633158</v>
      </c>
      <c r="I1767" t="s">
        <v>764</v>
      </c>
      <c r="J1767" t="s">
        <v>14</v>
      </c>
      <c r="K1767" t="s">
        <v>268</v>
      </c>
      <c r="L1767" t="s">
        <v>144</v>
      </c>
      <c r="M1767" t="s">
        <v>726</v>
      </c>
      <c r="N1767" t="s">
        <v>85</v>
      </c>
      <c r="O1767" s="6" t="s">
        <v>835</v>
      </c>
      <c r="P1767" t="s">
        <v>83</v>
      </c>
      <c r="Q1767">
        <v>7</v>
      </c>
      <c r="R1767" t="s">
        <v>213</v>
      </c>
      <c r="S1767" s="2" t="s">
        <v>27</v>
      </c>
      <c r="T1767" s="2">
        <v>4</v>
      </c>
      <c r="U1767" t="s">
        <v>28</v>
      </c>
      <c r="V1767" t="s">
        <v>28</v>
      </c>
      <c r="W1767">
        <v>9</v>
      </c>
      <c r="X1767">
        <v>8.6</v>
      </c>
      <c r="Y1767">
        <v>2.41</v>
      </c>
      <c r="AA1767" s="6"/>
      <c r="AB1767" s="6"/>
    </row>
    <row r="1768" spans="1:28" x14ac:dyDescent="0.2">
      <c r="A1768" t="s">
        <v>422</v>
      </c>
      <c r="B1768">
        <v>2016</v>
      </c>
      <c r="C1768" t="s">
        <v>816</v>
      </c>
      <c r="D1768" t="s">
        <v>817</v>
      </c>
      <c r="E1768" t="s">
        <v>263</v>
      </c>
      <c r="F1768" t="s">
        <v>424</v>
      </c>
      <c r="G1768">
        <v>78.992076999999995</v>
      </c>
      <c r="H1768">
        <v>11.633158</v>
      </c>
      <c r="I1768" t="s">
        <v>764</v>
      </c>
      <c r="J1768" t="s">
        <v>16</v>
      </c>
      <c r="K1768" t="s">
        <v>268</v>
      </c>
      <c r="L1768" t="s">
        <v>144</v>
      </c>
      <c r="M1768" t="s">
        <v>726</v>
      </c>
      <c r="N1768" t="s">
        <v>85</v>
      </c>
      <c r="O1768" s="6" t="s">
        <v>835</v>
      </c>
      <c r="P1768" t="s">
        <v>83</v>
      </c>
      <c r="Q1768">
        <v>7</v>
      </c>
      <c r="R1768" t="s">
        <v>213</v>
      </c>
      <c r="S1768" s="2" t="s">
        <v>13</v>
      </c>
      <c r="T1768" s="2">
        <v>4</v>
      </c>
      <c r="U1768">
        <v>7.68</v>
      </c>
      <c r="V1768">
        <v>1107</v>
      </c>
      <c r="W1768">
        <v>9</v>
      </c>
      <c r="X1768">
        <v>12.31</v>
      </c>
      <c r="Y1768">
        <v>1.87</v>
      </c>
      <c r="AA1768" s="6"/>
      <c r="AB1768" s="6"/>
    </row>
    <row r="1769" spans="1:28" x14ac:dyDescent="0.2">
      <c r="A1769" t="s">
        <v>422</v>
      </c>
      <c r="B1769">
        <v>2016</v>
      </c>
      <c r="C1769" t="s">
        <v>826</v>
      </c>
      <c r="D1769" t="s">
        <v>824</v>
      </c>
      <c r="E1769" t="s">
        <v>48</v>
      </c>
      <c r="F1769" t="s">
        <v>424</v>
      </c>
      <c r="G1769">
        <v>78.992076999999995</v>
      </c>
      <c r="H1769">
        <v>11.633158</v>
      </c>
      <c r="I1769" t="s">
        <v>764</v>
      </c>
      <c r="J1769" t="s">
        <v>7</v>
      </c>
      <c r="K1769" t="s">
        <v>267</v>
      </c>
      <c r="L1769" t="s">
        <v>143</v>
      </c>
      <c r="M1769" t="s">
        <v>726</v>
      </c>
      <c r="N1769" t="s">
        <v>85</v>
      </c>
      <c r="O1769" s="6" t="s">
        <v>58</v>
      </c>
      <c r="P1769" t="s">
        <v>271</v>
      </c>
      <c r="Q1769">
        <v>7</v>
      </c>
      <c r="R1769" t="s">
        <v>213</v>
      </c>
      <c r="S1769" s="2" t="s">
        <v>7</v>
      </c>
      <c r="T1769" s="2">
        <v>4</v>
      </c>
      <c r="U1769">
        <v>8.0500000000000007</v>
      </c>
      <c r="V1769">
        <v>428</v>
      </c>
      <c r="W1769">
        <v>4</v>
      </c>
      <c r="X1769">
        <v>0.25</v>
      </c>
      <c r="Y1769">
        <v>0.05</v>
      </c>
      <c r="AA1769" s="6"/>
      <c r="AB1769" s="6"/>
    </row>
    <row r="1770" spans="1:28" x14ac:dyDescent="0.2">
      <c r="A1770" t="s">
        <v>422</v>
      </c>
      <c r="B1770">
        <v>2016</v>
      </c>
      <c r="C1770" t="s">
        <v>826</v>
      </c>
      <c r="D1770" t="s">
        <v>824</v>
      </c>
      <c r="E1770" t="s">
        <v>48</v>
      </c>
      <c r="F1770" t="s">
        <v>424</v>
      </c>
      <c r="G1770">
        <v>78.992076999999995</v>
      </c>
      <c r="H1770">
        <v>11.633158</v>
      </c>
      <c r="I1770" t="s">
        <v>764</v>
      </c>
      <c r="J1770" t="s">
        <v>5</v>
      </c>
      <c r="K1770" t="s">
        <v>267</v>
      </c>
      <c r="L1770" t="s">
        <v>143</v>
      </c>
      <c r="M1770" t="s">
        <v>726</v>
      </c>
      <c r="N1770" t="s">
        <v>85</v>
      </c>
      <c r="O1770" s="6" t="s">
        <v>58</v>
      </c>
      <c r="P1770" t="s">
        <v>271</v>
      </c>
      <c r="Q1770">
        <v>7</v>
      </c>
      <c r="R1770" t="s">
        <v>213</v>
      </c>
      <c r="S1770" s="2" t="s">
        <v>9</v>
      </c>
      <c r="T1770" s="2">
        <v>4</v>
      </c>
      <c r="U1770">
        <v>7.6</v>
      </c>
      <c r="V1770">
        <v>1308</v>
      </c>
      <c r="W1770" t="s">
        <v>28</v>
      </c>
      <c r="X1770">
        <v>0.23</v>
      </c>
      <c r="Y1770">
        <v>0.08</v>
      </c>
      <c r="AA1770" s="6"/>
      <c r="AB1770" s="6"/>
    </row>
    <row r="1771" spans="1:28" x14ac:dyDescent="0.2">
      <c r="A1771" t="s">
        <v>422</v>
      </c>
      <c r="B1771">
        <v>2016</v>
      </c>
      <c r="C1771" t="s">
        <v>826</v>
      </c>
      <c r="D1771" t="s">
        <v>824</v>
      </c>
      <c r="E1771" t="s">
        <v>48</v>
      </c>
      <c r="F1771" t="s">
        <v>424</v>
      </c>
      <c r="G1771">
        <v>78.992076999999995</v>
      </c>
      <c r="H1771">
        <v>11.633158</v>
      </c>
      <c r="I1771" t="s">
        <v>764</v>
      </c>
      <c r="J1771" t="s">
        <v>14</v>
      </c>
      <c r="K1771" t="s">
        <v>267</v>
      </c>
      <c r="L1771" t="s">
        <v>143</v>
      </c>
      <c r="M1771" t="s">
        <v>726</v>
      </c>
      <c r="N1771" t="s">
        <v>85</v>
      </c>
      <c r="O1771" s="6" t="s">
        <v>58</v>
      </c>
      <c r="P1771" t="s">
        <v>271</v>
      </c>
      <c r="Q1771">
        <v>7</v>
      </c>
      <c r="R1771" t="s">
        <v>213</v>
      </c>
      <c r="S1771" s="2" t="s">
        <v>27</v>
      </c>
      <c r="T1771" s="2">
        <v>4</v>
      </c>
      <c r="U1771" t="s">
        <v>28</v>
      </c>
      <c r="V1771" t="s">
        <v>28</v>
      </c>
      <c r="W1771">
        <v>9</v>
      </c>
      <c r="X1771">
        <v>0.23</v>
      </c>
      <c r="Y1771">
        <v>0.03</v>
      </c>
      <c r="AA1771" s="6"/>
      <c r="AB1771" s="6"/>
    </row>
    <row r="1772" spans="1:28" x14ac:dyDescent="0.2">
      <c r="A1772" t="s">
        <v>422</v>
      </c>
      <c r="B1772">
        <v>2016</v>
      </c>
      <c r="C1772" t="s">
        <v>826</v>
      </c>
      <c r="D1772" t="s">
        <v>824</v>
      </c>
      <c r="E1772" t="s">
        <v>48</v>
      </c>
      <c r="F1772" t="s">
        <v>424</v>
      </c>
      <c r="G1772">
        <v>78.992076999999995</v>
      </c>
      <c r="H1772">
        <v>11.633158</v>
      </c>
      <c r="I1772" t="s">
        <v>764</v>
      </c>
      <c r="J1772" t="s">
        <v>16</v>
      </c>
      <c r="K1772" t="s">
        <v>267</v>
      </c>
      <c r="L1772" t="s">
        <v>143</v>
      </c>
      <c r="M1772" t="s">
        <v>726</v>
      </c>
      <c r="N1772" t="s">
        <v>85</v>
      </c>
      <c r="O1772" s="6" t="s">
        <v>58</v>
      </c>
      <c r="P1772" t="s">
        <v>271</v>
      </c>
      <c r="Q1772">
        <v>7</v>
      </c>
      <c r="R1772" t="s">
        <v>213</v>
      </c>
      <c r="S1772" s="2" t="s">
        <v>13</v>
      </c>
      <c r="T1772" s="2">
        <v>4</v>
      </c>
      <c r="U1772">
        <v>7.68</v>
      </c>
      <c r="V1772">
        <v>1107</v>
      </c>
      <c r="W1772">
        <v>9</v>
      </c>
      <c r="X1772">
        <v>0.26</v>
      </c>
      <c r="Y1772">
        <v>0.02</v>
      </c>
      <c r="AA1772" s="6"/>
      <c r="AB1772" s="6"/>
    </row>
    <row r="1773" spans="1:28" x14ac:dyDescent="0.2">
      <c r="A1773" t="s">
        <v>422</v>
      </c>
      <c r="B1773">
        <v>2016</v>
      </c>
      <c r="C1773" t="s">
        <v>816</v>
      </c>
      <c r="D1773" t="s">
        <v>817</v>
      </c>
      <c r="E1773" t="s">
        <v>263</v>
      </c>
      <c r="F1773" t="s">
        <v>424</v>
      </c>
      <c r="G1773">
        <v>78.992076999999995</v>
      </c>
      <c r="H1773">
        <v>11.633158</v>
      </c>
      <c r="I1773" t="s">
        <v>764</v>
      </c>
      <c r="J1773" t="s">
        <v>7</v>
      </c>
      <c r="K1773" t="s">
        <v>268</v>
      </c>
      <c r="L1773" t="s">
        <v>144</v>
      </c>
      <c r="M1773" t="s">
        <v>726</v>
      </c>
      <c r="N1773" t="s">
        <v>85</v>
      </c>
      <c r="O1773" s="6" t="s">
        <v>58</v>
      </c>
      <c r="P1773" t="s">
        <v>271</v>
      </c>
      <c r="Q1773">
        <v>7</v>
      </c>
      <c r="R1773" t="s">
        <v>213</v>
      </c>
      <c r="S1773" s="2" t="s">
        <v>7</v>
      </c>
      <c r="T1773" s="2">
        <v>4</v>
      </c>
      <c r="U1773">
        <v>8.0500000000000007</v>
      </c>
      <c r="V1773">
        <v>428</v>
      </c>
      <c r="W1773">
        <v>4</v>
      </c>
      <c r="X1773">
        <v>0.26</v>
      </c>
      <c r="Y1773">
        <v>0.02</v>
      </c>
      <c r="AA1773" s="6"/>
      <c r="AB1773" s="6"/>
    </row>
    <row r="1774" spans="1:28" x14ac:dyDescent="0.2">
      <c r="A1774" t="s">
        <v>422</v>
      </c>
      <c r="B1774">
        <v>2016</v>
      </c>
      <c r="C1774" t="s">
        <v>816</v>
      </c>
      <c r="D1774" t="s">
        <v>817</v>
      </c>
      <c r="E1774" t="s">
        <v>263</v>
      </c>
      <c r="F1774" t="s">
        <v>424</v>
      </c>
      <c r="G1774">
        <v>78.992076999999995</v>
      </c>
      <c r="H1774">
        <v>11.633158</v>
      </c>
      <c r="I1774" t="s">
        <v>764</v>
      </c>
      <c r="J1774" t="s">
        <v>5</v>
      </c>
      <c r="K1774" t="s">
        <v>268</v>
      </c>
      <c r="L1774" t="s">
        <v>144</v>
      </c>
      <c r="M1774" t="s">
        <v>726</v>
      </c>
      <c r="N1774" t="s">
        <v>85</v>
      </c>
      <c r="O1774" s="6" t="s">
        <v>58</v>
      </c>
      <c r="P1774" t="s">
        <v>271</v>
      </c>
      <c r="Q1774">
        <v>7</v>
      </c>
      <c r="R1774" t="s">
        <v>213</v>
      </c>
      <c r="S1774" s="2" t="s">
        <v>9</v>
      </c>
      <c r="T1774" s="2">
        <v>4</v>
      </c>
      <c r="U1774">
        <v>7.6</v>
      </c>
      <c r="V1774">
        <v>1308</v>
      </c>
      <c r="W1774" t="s">
        <v>28</v>
      </c>
      <c r="X1774">
        <v>0.25</v>
      </c>
      <c r="Y1774">
        <v>0.01</v>
      </c>
      <c r="AA1774" s="6"/>
      <c r="AB1774" s="6"/>
    </row>
    <row r="1775" spans="1:28" x14ac:dyDescent="0.2">
      <c r="A1775" t="s">
        <v>422</v>
      </c>
      <c r="B1775">
        <v>2016</v>
      </c>
      <c r="C1775" t="s">
        <v>816</v>
      </c>
      <c r="D1775" t="s">
        <v>817</v>
      </c>
      <c r="E1775" t="s">
        <v>263</v>
      </c>
      <c r="F1775" t="s">
        <v>424</v>
      </c>
      <c r="G1775">
        <v>78.992076999999995</v>
      </c>
      <c r="H1775">
        <v>11.633158</v>
      </c>
      <c r="I1775" t="s">
        <v>764</v>
      </c>
      <c r="J1775" t="s">
        <v>14</v>
      </c>
      <c r="K1775" t="s">
        <v>268</v>
      </c>
      <c r="L1775" t="s">
        <v>144</v>
      </c>
      <c r="M1775" t="s">
        <v>726</v>
      </c>
      <c r="N1775" t="s">
        <v>85</v>
      </c>
      <c r="O1775" s="6" t="s">
        <v>58</v>
      </c>
      <c r="P1775" t="s">
        <v>271</v>
      </c>
      <c r="Q1775">
        <v>7</v>
      </c>
      <c r="R1775" t="s">
        <v>213</v>
      </c>
      <c r="S1775" s="2" t="s">
        <v>27</v>
      </c>
      <c r="T1775" s="2">
        <v>4</v>
      </c>
      <c r="U1775" t="s">
        <v>28</v>
      </c>
      <c r="V1775" t="s">
        <v>28</v>
      </c>
      <c r="W1775">
        <v>9</v>
      </c>
      <c r="X1775">
        <v>0.26</v>
      </c>
      <c r="Y1775">
        <v>0.03</v>
      </c>
      <c r="AA1775" s="6"/>
      <c r="AB1775" s="6"/>
    </row>
    <row r="1776" spans="1:28" x14ac:dyDescent="0.2">
      <c r="A1776" t="s">
        <v>422</v>
      </c>
      <c r="B1776">
        <v>2016</v>
      </c>
      <c r="C1776" t="s">
        <v>816</v>
      </c>
      <c r="D1776" t="s">
        <v>817</v>
      </c>
      <c r="E1776" t="s">
        <v>263</v>
      </c>
      <c r="F1776" t="s">
        <v>424</v>
      </c>
      <c r="G1776">
        <v>78.992076999999995</v>
      </c>
      <c r="H1776">
        <v>11.633158</v>
      </c>
      <c r="I1776" t="s">
        <v>764</v>
      </c>
      <c r="J1776" t="s">
        <v>16</v>
      </c>
      <c r="K1776" t="s">
        <v>268</v>
      </c>
      <c r="L1776" t="s">
        <v>144</v>
      </c>
      <c r="M1776" t="s">
        <v>726</v>
      </c>
      <c r="N1776" t="s">
        <v>85</v>
      </c>
      <c r="O1776" s="6" t="s">
        <v>58</v>
      </c>
      <c r="P1776" t="s">
        <v>271</v>
      </c>
      <c r="Q1776">
        <v>7</v>
      </c>
      <c r="R1776" t="s">
        <v>213</v>
      </c>
      <c r="S1776" s="2" t="s">
        <v>13</v>
      </c>
      <c r="T1776" s="2">
        <v>4</v>
      </c>
      <c r="U1776">
        <v>7.68</v>
      </c>
      <c r="V1776">
        <v>1107</v>
      </c>
      <c r="W1776">
        <v>9</v>
      </c>
      <c r="X1776">
        <v>0.27</v>
      </c>
      <c r="Y1776">
        <v>0.03</v>
      </c>
      <c r="AA1776" s="6"/>
      <c r="AB1776" s="6"/>
    </row>
    <row r="1777" spans="1:28" x14ac:dyDescent="0.2">
      <c r="A1777" t="s">
        <v>422</v>
      </c>
      <c r="B1777">
        <v>2016</v>
      </c>
      <c r="C1777" t="s">
        <v>826</v>
      </c>
      <c r="D1777" t="s">
        <v>824</v>
      </c>
      <c r="E1777" t="s">
        <v>48</v>
      </c>
      <c r="F1777" t="s">
        <v>424</v>
      </c>
      <c r="G1777">
        <v>78.992076999999995</v>
      </c>
      <c r="H1777">
        <v>11.633158</v>
      </c>
      <c r="I1777" t="s">
        <v>764</v>
      </c>
      <c r="J1777" t="s">
        <v>7</v>
      </c>
      <c r="K1777" t="s">
        <v>267</v>
      </c>
      <c r="L1777" t="s">
        <v>143</v>
      </c>
      <c r="M1777" t="s">
        <v>726</v>
      </c>
      <c r="N1777" t="s">
        <v>85</v>
      </c>
      <c r="O1777" s="6" t="s">
        <v>196</v>
      </c>
      <c r="P1777" t="s">
        <v>83</v>
      </c>
      <c r="Q1777">
        <v>7</v>
      </c>
      <c r="R1777" t="s">
        <v>213</v>
      </c>
      <c r="S1777" s="2" t="s">
        <v>7</v>
      </c>
      <c r="T1777" s="2">
        <v>4</v>
      </c>
      <c r="U1777">
        <v>8.0500000000000007</v>
      </c>
      <c r="V1777">
        <v>428</v>
      </c>
      <c r="W1777">
        <v>4</v>
      </c>
      <c r="X1777">
        <v>29.7</v>
      </c>
      <c r="Y1777">
        <v>9.4</v>
      </c>
      <c r="AA1777" s="6"/>
      <c r="AB1777" s="6"/>
    </row>
    <row r="1778" spans="1:28" x14ac:dyDescent="0.2">
      <c r="A1778" t="s">
        <v>422</v>
      </c>
      <c r="B1778">
        <v>2016</v>
      </c>
      <c r="C1778" t="s">
        <v>826</v>
      </c>
      <c r="D1778" t="s">
        <v>824</v>
      </c>
      <c r="E1778" t="s">
        <v>48</v>
      </c>
      <c r="F1778" t="s">
        <v>424</v>
      </c>
      <c r="G1778">
        <v>78.992076999999995</v>
      </c>
      <c r="H1778">
        <v>11.633158</v>
      </c>
      <c r="I1778" t="s">
        <v>764</v>
      </c>
      <c r="J1778" t="s">
        <v>5</v>
      </c>
      <c r="K1778" t="s">
        <v>267</v>
      </c>
      <c r="L1778" t="s">
        <v>143</v>
      </c>
      <c r="M1778" t="s">
        <v>726</v>
      </c>
      <c r="N1778" t="s">
        <v>85</v>
      </c>
      <c r="O1778" s="6" t="s">
        <v>196</v>
      </c>
      <c r="P1778" t="s">
        <v>83</v>
      </c>
      <c r="Q1778">
        <v>7</v>
      </c>
      <c r="R1778" t="s">
        <v>213</v>
      </c>
      <c r="S1778" s="2" t="s">
        <v>9</v>
      </c>
      <c r="T1778" s="2">
        <v>4</v>
      </c>
      <c r="U1778">
        <v>7.6</v>
      </c>
      <c r="V1778">
        <v>1308</v>
      </c>
      <c r="W1778" t="s">
        <v>28</v>
      </c>
      <c r="X1778">
        <v>28.4</v>
      </c>
      <c r="Y1778">
        <v>8.6999999999999993</v>
      </c>
      <c r="AA1778" s="6"/>
      <c r="AB1778" s="6"/>
    </row>
    <row r="1779" spans="1:28" x14ac:dyDescent="0.2">
      <c r="A1779" t="s">
        <v>422</v>
      </c>
      <c r="B1779">
        <v>2016</v>
      </c>
      <c r="C1779" t="s">
        <v>826</v>
      </c>
      <c r="D1779" t="s">
        <v>824</v>
      </c>
      <c r="E1779" t="s">
        <v>48</v>
      </c>
      <c r="F1779" t="s">
        <v>424</v>
      </c>
      <c r="G1779">
        <v>78.992076999999995</v>
      </c>
      <c r="H1779">
        <v>11.633158</v>
      </c>
      <c r="I1779" t="s">
        <v>764</v>
      </c>
      <c r="J1779" t="s">
        <v>14</v>
      </c>
      <c r="K1779" t="s">
        <v>267</v>
      </c>
      <c r="L1779" t="s">
        <v>143</v>
      </c>
      <c r="M1779" t="s">
        <v>726</v>
      </c>
      <c r="N1779" t="s">
        <v>85</v>
      </c>
      <c r="O1779" s="6" t="s">
        <v>196</v>
      </c>
      <c r="P1779" t="s">
        <v>83</v>
      </c>
      <c r="Q1779">
        <v>7</v>
      </c>
      <c r="R1779" t="s">
        <v>213</v>
      </c>
      <c r="S1779" s="2" t="s">
        <v>27</v>
      </c>
      <c r="T1779" s="2">
        <v>4</v>
      </c>
      <c r="U1779" t="s">
        <v>28</v>
      </c>
      <c r="V1779" t="s">
        <v>28</v>
      </c>
      <c r="W1779">
        <v>9</v>
      </c>
      <c r="X1779">
        <v>28.6</v>
      </c>
      <c r="Y1779">
        <v>3.9</v>
      </c>
      <c r="AA1779" s="6"/>
      <c r="AB1779" s="6"/>
    </row>
    <row r="1780" spans="1:28" x14ac:dyDescent="0.2">
      <c r="A1780" t="s">
        <v>422</v>
      </c>
      <c r="B1780">
        <v>2016</v>
      </c>
      <c r="C1780" t="s">
        <v>826</v>
      </c>
      <c r="D1780" t="s">
        <v>824</v>
      </c>
      <c r="E1780" t="s">
        <v>48</v>
      </c>
      <c r="F1780" t="s">
        <v>424</v>
      </c>
      <c r="G1780">
        <v>78.992076999999995</v>
      </c>
      <c r="H1780">
        <v>11.633158</v>
      </c>
      <c r="I1780" t="s">
        <v>764</v>
      </c>
      <c r="J1780" t="s">
        <v>16</v>
      </c>
      <c r="K1780" t="s">
        <v>267</v>
      </c>
      <c r="L1780" t="s">
        <v>143</v>
      </c>
      <c r="M1780" t="s">
        <v>726</v>
      </c>
      <c r="N1780" t="s">
        <v>85</v>
      </c>
      <c r="O1780" s="6" t="s">
        <v>196</v>
      </c>
      <c r="P1780" t="s">
        <v>83</v>
      </c>
      <c r="Q1780">
        <v>7</v>
      </c>
      <c r="R1780" t="s">
        <v>213</v>
      </c>
      <c r="S1780" s="2" t="s">
        <v>13</v>
      </c>
      <c r="T1780" s="2">
        <v>4</v>
      </c>
      <c r="U1780">
        <v>7.68</v>
      </c>
      <c r="V1780">
        <v>1107</v>
      </c>
      <c r="W1780">
        <v>9</v>
      </c>
      <c r="X1780">
        <v>34.799999999999997</v>
      </c>
      <c r="Y1780">
        <v>6</v>
      </c>
      <c r="AA1780" s="6"/>
      <c r="AB1780" s="6"/>
    </row>
    <row r="1781" spans="1:28" x14ac:dyDescent="0.2">
      <c r="A1781" t="s">
        <v>422</v>
      </c>
      <c r="B1781">
        <v>2016</v>
      </c>
      <c r="C1781" t="s">
        <v>816</v>
      </c>
      <c r="D1781" t="s">
        <v>817</v>
      </c>
      <c r="E1781" t="s">
        <v>263</v>
      </c>
      <c r="F1781" t="s">
        <v>424</v>
      </c>
      <c r="G1781">
        <v>78.992076999999995</v>
      </c>
      <c r="H1781">
        <v>11.633158</v>
      </c>
      <c r="I1781" t="s">
        <v>764</v>
      </c>
      <c r="J1781" t="s">
        <v>7</v>
      </c>
      <c r="K1781" t="s">
        <v>268</v>
      </c>
      <c r="L1781" t="s">
        <v>144</v>
      </c>
      <c r="M1781" t="s">
        <v>726</v>
      </c>
      <c r="N1781" t="s">
        <v>85</v>
      </c>
      <c r="O1781" s="6" t="s">
        <v>196</v>
      </c>
      <c r="P1781" t="s">
        <v>83</v>
      </c>
      <c r="Q1781">
        <v>7</v>
      </c>
      <c r="R1781" t="s">
        <v>213</v>
      </c>
      <c r="S1781" s="2" t="s">
        <v>7</v>
      </c>
      <c r="T1781" s="2">
        <v>4</v>
      </c>
      <c r="U1781">
        <v>8.0500000000000007</v>
      </c>
      <c r="V1781">
        <v>428</v>
      </c>
      <c r="W1781">
        <v>4</v>
      </c>
      <c r="X1781">
        <v>39.700000000000003</v>
      </c>
      <c r="Y1781">
        <v>5.0999999999999996</v>
      </c>
      <c r="AA1781" s="6"/>
      <c r="AB1781" s="6"/>
    </row>
    <row r="1782" spans="1:28" x14ac:dyDescent="0.2">
      <c r="A1782" t="s">
        <v>422</v>
      </c>
      <c r="B1782">
        <v>2016</v>
      </c>
      <c r="C1782" t="s">
        <v>816</v>
      </c>
      <c r="D1782" t="s">
        <v>817</v>
      </c>
      <c r="E1782" t="s">
        <v>263</v>
      </c>
      <c r="F1782" t="s">
        <v>424</v>
      </c>
      <c r="G1782">
        <v>78.992076999999995</v>
      </c>
      <c r="H1782">
        <v>11.633158</v>
      </c>
      <c r="I1782" t="s">
        <v>764</v>
      </c>
      <c r="J1782" t="s">
        <v>5</v>
      </c>
      <c r="K1782" t="s">
        <v>268</v>
      </c>
      <c r="L1782" t="s">
        <v>144</v>
      </c>
      <c r="M1782" t="s">
        <v>726</v>
      </c>
      <c r="N1782" t="s">
        <v>85</v>
      </c>
      <c r="O1782" s="6" t="s">
        <v>196</v>
      </c>
      <c r="P1782" t="s">
        <v>83</v>
      </c>
      <c r="Q1782">
        <v>7</v>
      </c>
      <c r="R1782" t="s">
        <v>213</v>
      </c>
      <c r="S1782" s="2" t="s">
        <v>9</v>
      </c>
      <c r="T1782" s="2">
        <v>4</v>
      </c>
      <c r="U1782">
        <v>7.6</v>
      </c>
      <c r="V1782">
        <v>1308</v>
      </c>
      <c r="W1782" t="s">
        <v>28</v>
      </c>
      <c r="X1782">
        <v>42.2</v>
      </c>
      <c r="Y1782">
        <v>6.9</v>
      </c>
      <c r="AA1782" s="6"/>
      <c r="AB1782" s="6"/>
    </row>
    <row r="1783" spans="1:28" x14ac:dyDescent="0.2">
      <c r="A1783" t="s">
        <v>422</v>
      </c>
      <c r="B1783">
        <v>2016</v>
      </c>
      <c r="C1783" t="s">
        <v>816</v>
      </c>
      <c r="D1783" t="s">
        <v>817</v>
      </c>
      <c r="E1783" t="s">
        <v>263</v>
      </c>
      <c r="F1783" t="s">
        <v>424</v>
      </c>
      <c r="G1783">
        <v>78.992076999999995</v>
      </c>
      <c r="H1783">
        <v>11.633158</v>
      </c>
      <c r="I1783" t="s">
        <v>764</v>
      </c>
      <c r="J1783" t="s">
        <v>14</v>
      </c>
      <c r="K1783" t="s">
        <v>268</v>
      </c>
      <c r="L1783" t="s">
        <v>144</v>
      </c>
      <c r="M1783" t="s">
        <v>726</v>
      </c>
      <c r="N1783" t="s">
        <v>85</v>
      </c>
      <c r="O1783" s="6" t="s">
        <v>196</v>
      </c>
      <c r="P1783" t="s">
        <v>83</v>
      </c>
      <c r="Q1783">
        <v>7</v>
      </c>
      <c r="R1783" t="s">
        <v>213</v>
      </c>
      <c r="S1783" s="2" t="s">
        <v>27</v>
      </c>
      <c r="T1783" s="2">
        <v>4</v>
      </c>
      <c r="U1783" t="s">
        <v>28</v>
      </c>
      <c r="V1783" t="s">
        <v>28</v>
      </c>
      <c r="W1783">
        <v>9</v>
      </c>
      <c r="X1783">
        <v>33</v>
      </c>
      <c r="Y1783">
        <v>6.3</v>
      </c>
      <c r="AA1783" s="6"/>
      <c r="AB1783" s="6"/>
    </row>
    <row r="1784" spans="1:28" x14ac:dyDescent="0.2">
      <c r="A1784" t="s">
        <v>422</v>
      </c>
      <c r="B1784">
        <v>2016</v>
      </c>
      <c r="C1784" t="s">
        <v>816</v>
      </c>
      <c r="D1784" t="s">
        <v>817</v>
      </c>
      <c r="E1784" t="s">
        <v>263</v>
      </c>
      <c r="F1784" t="s">
        <v>424</v>
      </c>
      <c r="G1784">
        <v>78.992076999999995</v>
      </c>
      <c r="H1784">
        <v>11.633158</v>
      </c>
      <c r="I1784" t="s">
        <v>764</v>
      </c>
      <c r="J1784" t="s">
        <v>16</v>
      </c>
      <c r="K1784" t="s">
        <v>268</v>
      </c>
      <c r="L1784" t="s">
        <v>144</v>
      </c>
      <c r="M1784" t="s">
        <v>726</v>
      </c>
      <c r="N1784" t="s">
        <v>85</v>
      </c>
      <c r="O1784" s="6" t="s">
        <v>196</v>
      </c>
      <c r="P1784" t="s">
        <v>83</v>
      </c>
      <c r="Q1784">
        <v>7</v>
      </c>
      <c r="R1784" t="s">
        <v>213</v>
      </c>
      <c r="S1784" s="2" t="s">
        <v>13</v>
      </c>
      <c r="T1784" s="2">
        <v>4</v>
      </c>
      <c r="U1784">
        <v>7.68</v>
      </c>
      <c r="V1784">
        <v>1107</v>
      </c>
      <c r="W1784">
        <v>9</v>
      </c>
      <c r="X1784">
        <v>45.3</v>
      </c>
      <c r="Y1784">
        <v>2.8</v>
      </c>
      <c r="AA1784" s="6"/>
      <c r="AB1784" s="6"/>
    </row>
    <row r="1785" spans="1:28" x14ac:dyDescent="0.2">
      <c r="A1785" t="s">
        <v>422</v>
      </c>
      <c r="B1785">
        <v>2016</v>
      </c>
      <c r="C1785" t="s">
        <v>826</v>
      </c>
      <c r="D1785" t="s">
        <v>824</v>
      </c>
      <c r="E1785" t="s">
        <v>48</v>
      </c>
      <c r="F1785" t="s">
        <v>424</v>
      </c>
      <c r="G1785">
        <v>78.992076999999995</v>
      </c>
      <c r="H1785">
        <v>11.633158</v>
      </c>
      <c r="I1785" t="s">
        <v>764</v>
      </c>
      <c r="J1785" t="s">
        <v>7</v>
      </c>
      <c r="K1785" t="s">
        <v>267</v>
      </c>
      <c r="L1785" t="s">
        <v>143</v>
      </c>
      <c r="M1785" t="s">
        <v>726</v>
      </c>
      <c r="N1785" t="s">
        <v>85</v>
      </c>
      <c r="O1785" s="6" t="s">
        <v>84</v>
      </c>
      <c r="Q1785">
        <v>7</v>
      </c>
      <c r="R1785" t="s">
        <v>213</v>
      </c>
      <c r="S1785" s="2" t="s">
        <v>7</v>
      </c>
      <c r="T1785" s="2">
        <v>4</v>
      </c>
      <c r="U1785">
        <v>8.0500000000000007</v>
      </c>
      <c r="V1785">
        <v>428</v>
      </c>
      <c r="W1785">
        <v>4</v>
      </c>
      <c r="X1785">
        <v>0.72</v>
      </c>
      <c r="Y1785">
        <v>0.03</v>
      </c>
      <c r="AA1785" s="6"/>
      <c r="AB1785" s="6"/>
    </row>
    <row r="1786" spans="1:28" x14ac:dyDescent="0.2">
      <c r="A1786" t="s">
        <v>422</v>
      </c>
      <c r="B1786">
        <v>2016</v>
      </c>
      <c r="C1786" t="s">
        <v>826</v>
      </c>
      <c r="D1786" t="s">
        <v>824</v>
      </c>
      <c r="E1786" t="s">
        <v>48</v>
      </c>
      <c r="F1786" t="s">
        <v>424</v>
      </c>
      <c r="G1786">
        <v>78.992076999999995</v>
      </c>
      <c r="H1786">
        <v>11.633158</v>
      </c>
      <c r="I1786" t="s">
        <v>764</v>
      </c>
      <c r="J1786" t="s">
        <v>5</v>
      </c>
      <c r="K1786" t="s">
        <v>267</v>
      </c>
      <c r="L1786" t="s">
        <v>143</v>
      </c>
      <c r="M1786" t="s">
        <v>726</v>
      </c>
      <c r="N1786" t="s">
        <v>85</v>
      </c>
      <c r="O1786" s="6" t="s">
        <v>84</v>
      </c>
      <c r="Q1786">
        <v>7</v>
      </c>
      <c r="R1786" t="s">
        <v>213</v>
      </c>
      <c r="S1786" s="2" t="s">
        <v>9</v>
      </c>
      <c r="T1786" s="2">
        <v>4</v>
      </c>
      <c r="U1786">
        <v>7.6</v>
      </c>
      <c r="V1786">
        <v>1308</v>
      </c>
      <c r="W1786" t="s">
        <v>28</v>
      </c>
      <c r="X1786">
        <v>0.72</v>
      </c>
      <c r="Y1786">
        <v>0.02</v>
      </c>
      <c r="AA1786" s="6"/>
      <c r="AB1786" s="6"/>
    </row>
    <row r="1787" spans="1:28" x14ac:dyDescent="0.2">
      <c r="A1787" t="s">
        <v>422</v>
      </c>
      <c r="B1787">
        <v>2016</v>
      </c>
      <c r="C1787" t="s">
        <v>826</v>
      </c>
      <c r="D1787" t="s">
        <v>824</v>
      </c>
      <c r="E1787" t="s">
        <v>48</v>
      </c>
      <c r="F1787" t="s">
        <v>424</v>
      </c>
      <c r="G1787">
        <v>78.992076999999995</v>
      </c>
      <c r="H1787">
        <v>11.633158</v>
      </c>
      <c r="I1787" t="s">
        <v>764</v>
      </c>
      <c r="J1787" t="s">
        <v>14</v>
      </c>
      <c r="K1787" t="s">
        <v>267</v>
      </c>
      <c r="L1787" t="s">
        <v>143</v>
      </c>
      <c r="M1787" t="s">
        <v>726</v>
      </c>
      <c r="N1787" t="s">
        <v>85</v>
      </c>
      <c r="O1787" s="6" t="s">
        <v>84</v>
      </c>
      <c r="Q1787">
        <v>7</v>
      </c>
      <c r="R1787" t="s">
        <v>213</v>
      </c>
      <c r="S1787" s="2" t="s">
        <v>27</v>
      </c>
      <c r="T1787" s="2">
        <v>4</v>
      </c>
      <c r="U1787" t="s">
        <v>28</v>
      </c>
      <c r="V1787" t="s">
        <v>28</v>
      </c>
      <c r="W1787">
        <v>9</v>
      </c>
      <c r="X1787">
        <v>0.75</v>
      </c>
      <c r="Y1787">
        <v>0.01</v>
      </c>
      <c r="AA1787" s="6"/>
      <c r="AB1787" s="6"/>
    </row>
    <row r="1788" spans="1:28" x14ac:dyDescent="0.2">
      <c r="A1788" t="s">
        <v>422</v>
      </c>
      <c r="B1788">
        <v>2016</v>
      </c>
      <c r="C1788" t="s">
        <v>826</v>
      </c>
      <c r="D1788" t="s">
        <v>824</v>
      </c>
      <c r="E1788" t="s">
        <v>48</v>
      </c>
      <c r="F1788" t="s">
        <v>424</v>
      </c>
      <c r="G1788">
        <v>78.992076999999995</v>
      </c>
      <c r="H1788">
        <v>11.633158</v>
      </c>
      <c r="I1788" t="s">
        <v>764</v>
      </c>
      <c r="J1788" t="s">
        <v>16</v>
      </c>
      <c r="K1788" t="s">
        <v>267</v>
      </c>
      <c r="L1788" t="s">
        <v>143</v>
      </c>
      <c r="M1788" t="s">
        <v>726</v>
      </c>
      <c r="N1788" t="s">
        <v>85</v>
      </c>
      <c r="O1788" s="6" t="s">
        <v>84</v>
      </c>
      <c r="Q1788">
        <v>7</v>
      </c>
      <c r="R1788" t="s">
        <v>213</v>
      </c>
      <c r="S1788" s="2" t="s">
        <v>13</v>
      </c>
      <c r="T1788" s="2">
        <v>4</v>
      </c>
      <c r="U1788">
        <v>7.68</v>
      </c>
      <c r="V1788">
        <v>1107</v>
      </c>
      <c r="W1788">
        <v>9</v>
      </c>
      <c r="X1788">
        <v>0.74</v>
      </c>
      <c r="Y1788">
        <v>0.01</v>
      </c>
      <c r="AA1788" s="6"/>
      <c r="AB1788" s="6"/>
    </row>
    <row r="1789" spans="1:28" x14ac:dyDescent="0.2">
      <c r="A1789" t="s">
        <v>422</v>
      </c>
      <c r="B1789">
        <v>2016</v>
      </c>
      <c r="C1789" t="s">
        <v>816</v>
      </c>
      <c r="D1789" t="s">
        <v>817</v>
      </c>
      <c r="E1789" t="s">
        <v>263</v>
      </c>
      <c r="F1789" t="s">
        <v>424</v>
      </c>
      <c r="G1789">
        <v>78.992076999999995</v>
      </c>
      <c r="H1789">
        <v>11.633158</v>
      </c>
      <c r="I1789" t="s">
        <v>764</v>
      </c>
      <c r="J1789" t="s">
        <v>7</v>
      </c>
      <c r="K1789" t="s">
        <v>268</v>
      </c>
      <c r="L1789" t="s">
        <v>144</v>
      </c>
      <c r="M1789" t="s">
        <v>726</v>
      </c>
      <c r="N1789" t="s">
        <v>85</v>
      </c>
      <c r="O1789" s="6" t="s">
        <v>84</v>
      </c>
      <c r="Q1789">
        <v>7</v>
      </c>
      <c r="R1789" t="s">
        <v>213</v>
      </c>
      <c r="S1789" s="2" t="s">
        <v>7</v>
      </c>
      <c r="T1789" s="2">
        <v>4</v>
      </c>
      <c r="U1789">
        <v>8.0500000000000007</v>
      </c>
      <c r="V1789">
        <v>428</v>
      </c>
      <c r="W1789">
        <v>4</v>
      </c>
      <c r="X1789">
        <v>0.74</v>
      </c>
      <c r="Y1789">
        <v>0.02</v>
      </c>
      <c r="AA1789" s="6"/>
      <c r="AB1789" s="6"/>
    </row>
    <row r="1790" spans="1:28" x14ac:dyDescent="0.2">
      <c r="A1790" t="s">
        <v>422</v>
      </c>
      <c r="B1790">
        <v>2016</v>
      </c>
      <c r="C1790" t="s">
        <v>816</v>
      </c>
      <c r="D1790" t="s">
        <v>817</v>
      </c>
      <c r="E1790" t="s">
        <v>263</v>
      </c>
      <c r="F1790" t="s">
        <v>424</v>
      </c>
      <c r="G1790">
        <v>78.992076999999995</v>
      </c>
      <c r="H1790">
        <v>11.633158</v>
      </c>
      <c r="I1790" t="s">
        <v>764</v>
      </c>
      <c r="J1790" t="s">
        <v>5</v>
      </c>
      <c r="K1790" t="s">
        <v>268</v>
      </c>
      <c r="L1790" t="s">
        <v>144</v>
      </c>
      <c r="M1790" t="s">
        <v>726</v>
      </c>
      <c r="N1790" t="s">
        <v>85</v>
      </c>
      <c r="O1790" s="6" t="s">
        <v>84</v>
      </c>
      <c r="Q1790">
        <v>7</v>
      </c>
      <c r="R1790" t="s">
        <v>213</v>
      </c>
      <c r="S1790" s="2" t="s">
        <v>9</v>
      </c>
      <c r="T1790" s="2">
        <v>4</v>
      </c>
      <c r="U1790">
        <v>7.6</v>
      </c>
      <c r="V1790">
        <v>1308</v>
      </c>
      <c r="W1790" t="s">
        <v>28</v>
      </c>
      <c r="X1790">
        <v>0.73</v>
      </c>
      <c r="Y1790">
        <v>0.02</v>
      </c>
      <c r="AA1790" s="6"/>
      <c r="AB1790" s="6"/>
    </row>
    <row r="1791" spans="1:28" x14ac:dyDescent="0.2">
      <c r="A1791" t="s">
        <v>422</v>
      </c>
      <c r="B1791">
        <v>2016</v>
      </c>
      <c r="C1791" t="s">
        <v>816</v>
      </c>
      <c r="D1791" t="s">
        <v>817</v>
      </c>
      <c r="E1791" t="s">
        <v>263</v>
      </c>
      <c r="F1791" t="s">
        <v>424</v>
      </c>
      <c r="G1791">
        <v>78.992076999999995</v>
      </c>
      <c r="H1791">
        <v>11.633158</v>
      </c>
      <c r="I1791" t="s">
        <v>764</v>
      </c>
      <c r="J1791" t="s">
        <v>14</v>
      </c>
      <c r="K1791" t="s">
        <v>268</v>
      </c>
      <c r="L1791" t="s">
        <v>144</v>
      </c>
      <c r="M1791" t="s">
        <v>726</v>
      </c>
      <c r="N1791" t="s">
        <v>85</v>
      </c>
      <c r="O1791" s="6" t="s">
        <v>84</v>
      </c>
      <c r="Q1791">
        <v>7</v>
      </c>
      <c r="R1791" t="s">
        <v>213</v>
      </c>
      <c r="S1791" s="2" t="s">
        <v>27</v>
      </c>
      <c r="T1791" s="2">
        <v>4</v>
      </c>
      <c r="U1791" t="s">
        <v>28</v>
      </c>
      <c r="V1791" t="s">
        <v>28</v>
      </c>
      <c r="W1791">
        <v>9</v>
      </c>
      <c r="X1791">
        <v>0.76</v>
      </c>
      <c r="Y1791">
        <v>0.01</v>
      </c>
      <c r="AA1791" s="6"/>
      <c r="AB1791" s="6"/>
    </row>
    <row r="1792" spans="1:28" x14ac:dyDescent="0.2">
      <c r="A1792" t="s">
        <v>422</v>
      </c>
      <c r="B1792">
        <v>2016</v>
      </c>
      <c r="C1792" t="s">
        <v>816</v>
      </c>
      <c r="D1792" t="s">
        <v>817</v>
      </c>
      <c r="E1792" t="s">
        <v>263</v>
      </c>
      <c r="F1792" t="s">
        <v>424</v>
      </c>
      <c r="G1792">
        <v>78.992076999999995</v>
      </c>
      <c r="H1792">
        <v>11.633158</v>
      </c>
      <c r="I1792" t="s">
        <v>764</v>
      </c>
      <c r="J1792" t="s">
        <v>16</v>
      </c>
      <c r="K1792" t="s">
        <v>268</v>
      </c>
      <c r="L1792" t="s">
        <v>144</v>
      </c>
      <c r="M1792" t="s">
        <v>726</v>
      </c>
      <c r="N1792" t="s">
        <v>85</v>
      </c>
      <c r="O1792" s="6" t="s">
        <v>84</v>
      </c>
      <c r="Q1792">
        <v>7</v>
      </c>
      <c r="R1792" t="s">
        <v>213</v>
      </c>
      <c r="S1792" s="2" t="s">
        <v>13</v>
      </c>
      <c r="T1792" s="2">
        <v>4</v>
      </c>
      <c r="U1792">
        <v>7.68</v>
      </c>
      <c r="V1792">
        <v>1107</v>
      </c>
      <c r="W1792">
        <v>9</v>
      </c>
      <c r="X1792">
        <v>0.77</v>
      </c>
      <c r="Y1792">
        <v>0.02</v>
      </c>
      <c r="AA1792" s="6"/>
      <c r="AB1792" s="6"/>
    </row>
    <row r="1793" spans="1:28" x14ac:dyDescent="0.2">
      <c r="A1793" t="s">
        <v>422</v>
      </c>
      <c r="B1793">
        <v>2016</v>
      </c>
      <c r="C1793" t="s">
        <v>826</v>
      </c>
      <c r="D1793" t="s">
        <v>824</v>
      </c>
      <c r="E1793" t="s">
        <v>48</v>
      </c>
      <c r="F1793" t="s">
        <v>424</v>
      </c>
      <c r="G1793">
        <v>78.992076999999995</v>
      </c>
      <c r="H1793">
        <v>11.633158</v>
      </c>
      <c r="I1793" t="s">
        <v>764</v>
      </c>
      <c r="J1793" t="s">
        <v>7</v>
      </c>
      <c r="K1793" t="s">
        <v>267</v>
      </c>
      <c r="L1793" t="s">
        <v>143</v>
      </c>
      <c r="M1793" t="s">
        <v>73</v>
      </c>
      <c r="N1793" t="s">
        <v>85</v>
      </c>
      <c r="O1793" s="6" t="s">
        <v>428</v>
      </c>
      <c r="Q1793">
        <v>7</v>
      </c>
      <c r="R1793" t="s">
        <v>213</v>
      </c>
      <c r="S1793" s="2" t="s">
        <v>7</v>
      </c>
      <c r="T1793" s="2">
        <v>4</v>
      </c>
      <c r="U1793">
        <v>8.0500000000000007</v>
      </c>
      <c r="V1793">
        <v>428</v>
      </c>
      <c r="W1793">
        <v>4</v>
      </c>
      <c r="X1793">
        <v>1.1299999999999999</v>
      </c>
      <c r="Y1793">
        <v>0.32</v>
      </c>
      <c r="AA1793" s="6"/>
      <c r="AB1793" s="6"/>
    </row>
    <row r="1794" spans="1:28" x14ac:dyDescent="0.2">
      <c r="A1794" t="s">
        <v>422</v>
      </c>
      <c r="B1794">
        <v>2016</v>
      </c>
      <c r="C1794" t="s">
        <v>826</v>
      </c>
      <c r="D1794" t="s">
        <v>824</v>
      </c>
      <c r="E1794" t="s">
        <v>48</v>
      </c>
      <c r="F1794" t="s">
        <v>424</v>
      </c>
      <c r="G1794">
        <v>78.992076999999995</v>
      </c>
      <c r="H1794">
        <v>11.633158</v>
      </c>
      <c r="I1794" t="s">
        <v>764</v>
      </c>
      <c r="J1794" t="s">
        <v>5</v>
      </c>
      <c r="K1794" t="s">
        <v>267</v>
      </c>
      <c r="L1794" t="s">
        <v>143</v>
      </c>
      <c r="M1794" t="s">
        <v>73</v>
      </c>
      <c r="N1794" t="s">
        <v>85</v>
      </c>
      <c r="O1794" s="6" t="s">
        <v>428</v>
      </c>
      <c r="Q1794">
        <v>7</v>
      </c>
      <c r="R1794" t="s">
        <v>213</v>
      </c>
      <c r="S1794" s="2" t="s">
        <v>9</v>
      </c>
      <c r="T1794" s="2">
        <v>4</v>
      </c>
      <c r="U1794">
        <v>7.6</v>
      </c>
      <c r="V1794">
        <v>1308</v>
      </c>
      <c r="W1794" t="s">
        <v>28</v>
      </c>
      <c r="X1794">
        <v>1.26</v>
      </c>
      <c r="Y1794">
        <v>0.34</v>
      </c>
      <c r="AA1794" s="6"/>
      <c r="AB1794" s="6"/>
    </row>
    <row r="1795" spans="1:28" x14ac:dyDescent="0.2">
      <c r="A1795" t="s">
        <v>422</v>
      </c>
      <c r="B1795">
        <v>2016</v>
      </c>
      <c r="C1795" t="s">
        <v>826</v>
      </c>
      <c r="D1795" t="s">
        <v>824</v>
      </c>
      <c r="E1795" t="s">
        <v>48</v>
      </c>
      <c r="F1795" t="s">
        <v>424</v>
      </c>
      <c r="G1795">
        <v>78.992076999999995</v>
      </c>
      <c r="H1795">
        <v>11.633158</v>
      </c>
      <c r="I1795" t="s">
        <v>764</v>
      </c>
      <c r="J1795" t="s">
        <v>14</v>
      </c>
      <c r="K1795" t="s">
        <v>267</v>
      </c>
      <c r="L1795" t="s">
        <v>143</v>
      </c>
      <c r="M1795" t="s">
        <v>73</v>
      </c>
      <c r="N1795" t="s">
        <v>85</v>
      </c>
      <c r="O1795" s="6" t="s">
        <v>428</v>
      </c>
      <c r="Q1795">
        <v>7</v>
      </c>
      <c r="R1795" t="s">
        <v>213</v>
      </c>
      <c r="S1795" s="2" t="s">
        <v>27</v>
      </c>
      <c r="T1795" s="2">
        <v>4</v>
      </c>
      <c r="U1795" t="s">
        <v>28</v>
      </c>
      <c r="V1795" t="s">
        <v>28</v>
      </c>
      <c r="W1795">
        <v>9</v>
      </c>
      <c r="X1795">
        <v>1.1299999999999999</v>
      </c>
      <c r="Y1795">
        <v>0.13</v>
      </c>
      <c r="AA1795" s="6"/>
      <c r="AB1795" s="6"/>
    </row>
    <row r="1796" spans="1:28" x14ac:dyDescent="0.2">
      <c r="A1796" t="s">
        <v>422</v>
      </c>
      <c r="B1796">
        <v>2016</v>
      </c>
      <c r="C1796" t="s">
        <v>826</v>
      </c>
      <c r="D1796" t="s">
        <v>824</v>
      </c>
      <c r="E1796" t="s">
        <v>48</v>
      </c>
      <c r="F1796" t="s">
        <v>424</v>
      </c>
      <c r="G1796">
        <v>78.992076999999995</v>
      </c>
      <c r="H1796">
        <v>11.633158</v>
      </c>
      <c r="I1796" t="s">
        <v>764</v>
      </c>
      <c r="J1796" t="s">
        <v>16</v>
      </c>
      <c r="K1796" t="s">
        <v>267</v>
      </c>
      <c r="L1796" t="s">
        <v>143</v>
      </c>
      <c r="M1796" t="s">
        <v>73</v>
      </c>
      <c r="N1796" t="s">
        <v>85</v>
      </c>
      <c r="O1796" s="6" t="s">
        <v>428</v>
      </c>
      <c r="Q1796">
        <v>7</v>
      </c>
      <c r="R1796" t="s">
        <v>213</v>
      </c>
      <c r="S1796" s="2" t="s">
        <v>13</v>
      </c>
      <c r="T1796" s="2">
        <v>4</v>
      </c>
      <c r="U1796">
        <v>7.68</v>
      </c>
      <c r="V1796">
        <v>1107</v>
      </c>
      <c r="W1796">
        <v>9</v>
      </c>
      <c r="X1796">
        <v>1.25</v>
      </c>
      <c r="Y1796">
        <v>0.32</v>
      </c>
      <c r="AA1796" s="6"/>
      <c r="AB1796" s="6"/>
    </row>
    <row r="1797" spans="1:28" x14ac:dyDescent="0.2">
      <c r="A1797" t="s">
        <v>422</v>
      </c>
      <c r="B1797">
        <v>2016</v>
      </c>
      <c r="C1797" t="s">
        <v>816</v>
      </c>
      <c r="D1797" t="s">
        <v>817</v>
      </c>
      <c r="E1797" t="s">
        <v>263</v>
      </c>
      <c r="F1797" t="s">
        <v>424</v>
      </c>
      <c r="G1797">
        <v>78.992076999999995</v>
      </c>
      <c r="H1797">
        <v>11.633158</v>
      </c>
      <c r="I1797" t="s">
        <v>764</v>
      </c>
      <c r="J1797" t="s">
        <v>7</v>
      </c>
      <c r="K1797" t="s">
        <v>268</v>
      </c>
      <c r="L1797" t="s">
        <v>144</v>
      </c>
      <c r="M1797" t="s">
        <v>73</v>
      </c>
      <c r="N1797" t="s">
        <v>85</v>
      </c>
      <c r="O1797" s="6" t="s">
        <v>428</v>
      </c>
      <c r="Q1797">
        <v>7</v>
      </c>
      <c r="R1797" t="s">
        <v>213</v>
      </c>
      <c r="S1797" s="2" t="s">
        <v>7</v>
      </c>
      <c r="T1797" s="2">
        <v>4</v>
      </c>
      <c r="U1797">
        <v>8.0500000000000007</v>
      </c>
      <c r="V1797">
        <v>428</v>
      </c>
      <c r="W1797">
        <v>4</v>
      </c>
      <c r="X1797">
        <v>1.71</v>
      </c>
      <c r="Y1797">
        <v>0.25</v>
      </c>
      <c r="AA1797" s="6"/>
      <c r="AB1797" s="6"/>
    </row>
    <row r="1798" spans="1:28" x14ac:dyDescent="0.2">
      <c r="A1798" t="s">
        <v>422</v>
      </c>
      <c r="B1798">
        <v>2016</v>
      </c>
      <c r="C1798" t="s">
        <v>816</v>
      </c>
      <c r="D1798" t="s">
        <v>817</v>
      </c>
      <c r="E1798" t="s">
        <v>263</v>
      </c>
      <c r="F1798" t="s">
        <v>424</v>
      </c>
      <c r="G1798">
        <v>78.992076999999995</v>
      </c>
      <c r="H1798">
        <v>11.633158</v>
      </c>
      <c r="I1798" t="s">
        <v>764</v>
      </c>
      <c r="J1798" t="s">
        <v>5</v>
      </c>
      <c r="K1798" t="s">
        <v>268</v>
      </c>
      <c r="L1798" t="s">
        <v>144</v>
      </c>
      <c r="M1798" t="s">
        <v>73</v>
      </c>
      <c r="N1798" t="s">
        <v>85</v>
      </c>
      <c r="O1798" s="6" t="s">
        <v>428</v>
      </c>
      <c r="Q1798">
        <v>7</v>
      </c>
      <c r="R1798" t="s">
        <v>213</v>
      </c>
      <c r="S1798" s="2" t="s">
        <v>9</v>
      </c>
      <c r="T1798" s="2">
        <v>4</v>
      </c>
      <c r="U1798">
        <v>7.6</v>
      </c>
      <c r="V1798">
        <v>1308</v>
      </c>
      <c r="W1798" t="s">
        <v>28</v>
      </c>
      <c r="X1798">
        <v>2.16</v>
      </c>
      <c r="Y1798">
        <v>0.97</v>
      </c>
      <c r="AA1798" s="6"/>
      <c r="AB1798" s="6"/>
    </row>
    <row r="1799" spans="1:28" x14ac:dyDescent="0.2">
      <c r="A1799" t="s">
        <v>422</v>
      </c>
      <c r="B1799">
        <v>2016</v>
      </c>
      <c r="C1799" t="s">
        <v>816</v>
      </c>
      <c r="D1799" t="s">
        <v>817</v>
      </c>
      <c r="E1799" t="s">
        <v>263</v>
      </c>
      <c r="F1799" t="s">
        <v>424</v>
      </c>
      <c r="G1799">
        <v>78.992076999999995</v>
      </c>
      <c r="H1799">
        <v>11.633158</v>
      </c>
      <c r="I1799" t="s">
        <v>764</v>
      </c>
      <c r="J1799" t="s">
        <v>14</v>
      </c>
      <c r="K1799" t="s">
        <v>268</v>
      </c>
      <c r="L1799" t="s">
        <v>144</v>
      </c>
      <c r="M1799" t="s">
        <v>73</v>
      </c>
      <c r="N1799" t="s">
        <v>85</v>
      </c>
      <c r="O1799" s="6" t="s">
        <v>428</v>
      </c>
      <c r="Q1799">
        <v>7</v>
      </c>
      <c r="R1799" t="s">
        <v>213</v>
      </c>
      <c r="S1799" s="2" t="s">
        <v>27</v>
      </c>
      <c r="T1799" s="2">
        <v>4</v>
      </c>
      <c r="U1799" t="s">
        <v>28</v>
      </c>
      <c r="V1799" t="s">
        <v>28</v>
      </c>
      <c r="W1799">
        <v>9</v>
      </c>
      <c r="X1799">
        <v>2.41</v>
      </c>
      <c r="Y1799">
        <v>0.6</v>
      </c>
      <c r="AA1799" s="6"/>
      <c r="AB1799" s="6"/>
    </row>
    <row r="1800" spans="1:28" x14ac:dyDescent="0.2">
      <c r="A1800" t="s">
        <v>422</v>
      </c>
      <c r="B1800">
        <v>2016</v>
      </c>
      <c r="C1800" t="s">
        <v>816</v>
      </c>
      <c r="D1800" t="s">
        <v>817</v>
      </c>
      <c r="E1800" t="s">
        <v>263</v>
      </c>
      <c r="F1800" t="s">
        <v>424</v>
      </c>
      <c r="G1800">
        <v>78.992076999999995</v>
      </c>
      <c r="H1800">
        <v>11.633158</v>
      </c>
      <c r="I1800" t="s">
        <v>764</v>
      </c>
      <c r="J1800" t="s">
        <v>16</v>
      </c>
      <c r="K1800" t="s">
        <v>268</v>
      </c>
      <c r="L1800" t="s">
        <v>144</v>
      </c>
      <c r="M1800" t="s">
        <v>73</v>
      </c>
      <c r="N1800" t="s">
        <v>85</v>
      </c>
      <c r="O1800" s="6" t="s">
        <v>428</v>
      </c>
      <c r="Q1800">
        <v>7</v>
      </c>
      <c r="R1800" t="s">
        <v>213</v>
      </c>
      <c r="S1800" s="2" t="s">
        <v>13</v>
      </c>
      <c r="T1800" s="2">
        <v>4</v>
      </c>
      <c r="U1800">
        <v>7.68</v>
      </c>
      <c r="V1800">
        <v>1107</v>
      </c>
      <c r="W1800">
        <v>9</v>
      </c>
      <c r="X1800">
        <v>2.42</v>
      </c>
      <c r="Y1800">
        <v>0.69</v>
      </c>
      <c r="AA1800" s="6"/>
      <c r="AB1800" s="6"/>
    </row>
    <row r="1801" spans="1:28" x14ac:dyDescent="0.2">
      <c r="A1801" t="s">
        <v>422</v>
      </c>
      <c r="B1801">
        <v>2016</v>
      </c>
      <c r="C1801" t="s">
        <v>826</v>
      </c>
      <c r="D1801" t="s">
        <v>824</v>
      </c>
      <c r="E1801" t="s">
        <v>48</v>
      </c>
      <c r="F1801" t="s">
        <v>424</v>
      </c>
      <c r="G1801">
        <v>78.992076999999995</v>
      </c>
      <c r="H1801">
        <v>11.633158</v>
      </c>
      <c r="I1801" t="s">
        <v>764</v>
      </c>
      <c r="J1801" t="s">
        <v>7</v>
      </c>
      <c r="K1801" t="s">
        <v>267</v>
      </c>
      <c r="L1801" t="s">
        <v>143</v>
      </c>
      <c r="M1801" t="s">
        <v>638</v>
      </c>
      <c r="N1801" s="6" t="s">
        <v>85</v>
      </c>
      <c r="O1801" s="6" t="s">
        <v>221</v>
      </c>
      <c r="P1801" t="s">
        <v>70</v>
      </c>
      <c r="Q1801">
        <v>7</v>
      </c>
      <c r="R1801" t="s">
        <v>213</v>
      </c>
      <c r="S1801" s="2" t="s">
        <v>7</v>
      </c>
      <c r="T1801" s="2">
        <v>4</v>
      </c>
      <c r="U1801">
        <v>8.0500000000000007</v>
      </c>
      <c r="V1801">
        <v>428</v>
      </c>
      <c r="W1801">
        <v>4</v>
      </c>
      <c r="X1801">
        <v>29.29</v>
      </c>
      <c r="Y1801">
        <v>1.36</v>
      </c>
      <c r="AA1801" s="6"/>
      <c r="AB1801" s="6"/>
    </row>
    <row r="1802" spans="1:28" x14ac:dyDescent="0.2">
      <c r="A1802" t="s">
        <v>422</v>
      </c>
      <c r="B1802">
        <v>2016</v>
      </c>
      <c r="C1802" t="s">
        <v>826</v>
      </c>
      <c r="D1802" t="s">
        <v>824</v>
      </c>
      <c r="E1802" t="s">
        <v>48</v>
      </c>
      <c r="F1802" t="s">
        <v>424</v>
      </c>
      <c r="G1802">
        <v>78.992076999999995</v>
      </c>
      <c r="H1802">
        <v>11.633158</v>
      </c>
      <c r="I1802" t="s">
        <v>764</v>
      </c>
      <c r="J1802" t="s">
        <v>5</v>
      </c>
      <c r="K1802" t="s">
        <v>267</v>
      </c>
      <c r="L1802" t="s">
        <v>143</v>
      </c>
      <c r="M1802" t="s">
        <v>638</v>
      </c>
      <c r="N1802" s="6" t="s">
        <v>85</v>
      </c>
      <c r="O1802" s="6" t="s">
        <v>221</v>
      </c>
      <c r="P1802" t="s">
        <v>70</v>
      </c>
      <c r="Q1802">
        <v>7</v>
      </c>
      <c r="R1802" t="s">
        <v>213</v>
      </c>
      <c r="S1802" s="2" t="s">
        <v>9</v>
      </c>
      <c r="T1802" s="2">
        <v>4</v>
      </c>
      <c r="U1802">
        <v>7.6</v>
      </c>
      <c r="V1802">
        <v>1308</v>
      </c>
      <c r="W1802" t="s">
        <v>28</v>
      </c>
      <c r="X1802">
        <v>31.21</v>
      </c>
      <c r="Y1802">
        <v>0.88</v>
      </c>
      <c r="AA1802" s="6"/>
      <c r="AB1802" s="6"/>
    </row>
    <row r="1803" spans="1:28" x14ac:dyDescent="0.2">
      <c r="A1803" t="s">
        <v>422</v>
      </c>
      <c r="B1803">
        <v>2016</v>
      </c>
      <c r="C1803" t="s">
        <v>826</v>
      </c>
      <c r="D1803" t="s">
        <v>824</v>
      </c>
      <c r="E1803" t="s">
        <v>48</v>
      </c>
      <c r="F1803" t="s">
        <v>424</v>
      </c>
      <c r="G1803">
        <v>78.992076999999995</v>
      </c>
      <c r="H1803">
        <v>11.633158</v>
      </c>
      <c r="I1803" t="s">
        <v>764</v>
      </c>
      <c r="J1803" t="s">
        <v>14</v>
      </c>
      <c r="K1803" t="s">
        <v>267</v>
      </c>
      <c r="L1803" t="s">
        <v>143</v>
      </c>
      <c r="M1803" t="s">
        <v>638</v>
      </c>
      <c r="N1803" s="6" t="s">
        <v>85</v>
      </c>
      <c r="O1803" s="6" t="s">
        <v>221</v>
      </c>
      <c r="P1803" t="s">
        <v>70</v>
      </c>
      <c r="Q1803">
        <v>7</v>
      </c>
      <c r="R1803" t="s">
        <v>213</v>
      </c>
      <c r="S1803" s="2" t="s">
        <v>27</v>
      </c>
      <c r="T1803" s="2">
        <v>4</v>
      </c>
      <c r="U1803" t="s">
        <v>28</v>
      </c>
      <c r="V1803" t="s">
        <v>28</v>
      </c>
      <c r="W1803">
        <v>9</v>
      </c>
      <c r="X1803">
        <v>30.49</v>
      </c>
      <c r="Y1803">
        <v>1.98</v>
      </c>
      <c r="AA1803" s="6"/>
      <c r="AB1803" s="6"/>
    </row>
    <row r="1804" spans="1:28" x14ac:dyDescent="0.2">
      <c r="A1804" t="s">
        <v>422</v>
      </c>
      <c r="B1804">
        <v>2016</v>
      </c>
      <c r="C1804" t="s">
        <v>826</v>
      </c>
      <c r="D1804" t="s">
        <v>824</v>
      </c>
      <c r="E1804" t="s">
        <v>48</v>
      </c>
      <c r="F1804" t="s">
        <v>424</v>
      </c>
      <c r="G1804">
        <v>78.992076999999995</v>
      </c>
      <c r="H1804">
        <v>11.633158</v>
      </c>
      <c r="I1804" t="s">
        <v>764</v>
      </c>
      <c r="J1804" t="s">
        <v>16</v>
      </c>
      <c r="K1804" t="s">
        <v>267</v>
      </c>
      <c r="L1804" t="s">
        <v>143</v>
      </c>
      <c r="M1804" t="s">
        <v>638</v>
      </c>
      <c r="N1804" s="6" t="s">
        <v>85</v>
      </c>
      <c r="O1804" s="6" t="s">
        <v>221</v>
      </c>
      <c r="P1804" t="s">
        <v>70</v>
      </c>
      <c r="Q1804">
        <v>7</v>
      </c>
      <c r="R1804" t="s">
        <v>213</v>
      </c>
      <c r="S1804" s="2" t="s">
        <v>13</v>
      </c>
      <c r="T1804" s="2">
        <v>4</v>
      </c>
      <c r="U1804">
        <v>7.68</v>
      </c>
      <c r="V1804">
        <v>1107</v>
      </c>
      <c r="W1804">
        <v>9</v>
      </c>
      <c r="X1804">
        <v>29.49</v>
      </c>
      <c r="Y1804">
        <v>0.92</v>
      </c>
      <c r="AA1804" s="6"/>
      <c r="AB1804" s="6"/>
    </row>
    <row r="1805" spans="1:28" x14ac:dyDescent="0.2">
      <c r="A1805" t="s">
        <v>422</v>
      </c>
      <c r="B1805">
        <v>2016</v>
      </c>
      <c r="C1805" t="s">
        <v>816</v>
      </c>
      <c r="D1805" t="s">
        <v>817</v>
      </c>
      <c r="E1805" t="s">
        <v>263</v>
      </c>
      <c r="F1805" t="s">
        <v>424</v>
      </c>
      <c r="G1805">
        <v>78.992076999999995</v>
      </c>
      <c r="H1805">
        <v>11.633158</v>
      </c>
      <c r="I1805" t="s">
        <v>764</v>
      </c>
      <c r="J1805" t="s">
        <v>7</v>
      </c>
      <c r="K1805" t="s">
        <v>268</v>
      </c>
      <c r="L1805" t="s">
        <v>144</v>
      </c>
      <c r="M1805" t="s">
        <v>638</v>
      </c>
      <c r="N1805" s="6" t="s">
        <v>85</v>
      </c>
      <c r="O1805" s="6" t="s">
        <v>221</v>
      </c>
      <c r="P1805" t="s">
        <v>70</v>
      </c>
      <c r="Q1805">
        <v>7</v>
      </c>
      <c r="R1805" t="s">
        <v>213</v>
      </c>
      <c r="S1805" s="2" t="s">
        <v>7</v>
      </c>
      <c r="T1805" s="2">
        <v>4</v>
      </c>
      <c r="U1805">
        <v>8.0500000000000007</v>
      </c>
      <c r="V1805">
        <v>428</v>
      </c>
      <c r="W1805">
        <v>4</v>
      </c>
      <c r="X1805">
        <v>32.72</v>
      </c>
      <c r="Y1805">
        <v>0.24</v>
      </c>
      <c r="AA1805" s="6"/>
      <c r="AB1805" s="6"/>
    </row>
    <row r="1806" spans="1:28" x14ac:dyDescent="0.2">
      <c r="A1806" t="s">
        <v>422</v>
      </c>
      <c r="B1806">
        <v>2016</v>
      </c>
      <c r="C1806" t="s">
        <v>816</v>
      </c>
      <c r="D1806" t="s">
        <v>817</v>
      </c>
      <c r="E1806" t="s">
        <v>263</v>
      </c>
      <c r="F1806" t="s">
        <v>424</v>
      </c>
      <c r="G1806">
        <v>78.992076999999995</v>
      </c>
      <c r="H1806">
        <v>11.633158</v>
      </c>
      <c r="I1806" t="s">
        <v>764</v>
      </c>
      <c r="J1806" t="s">
        <v>5</v>
      </c>
      <c r="K1806" t="s">
        <v>268</v>
      </c>
      <c r="L1806" t="s">
        <v>144</v>
      </c>
      <c r="M1806" t="s">
        <v>638</v>
      </c>
      <c r="N1806" s="6" t="s">
        <v>85</v>
      </c>
      <c r="O1806" s="6" t="s">
        <v>221</v>
      </c>
      <c r="P1806" t="s">
        <v>70</v>
      </c>
      <c r="Q1806">
        <v>7</v>
      </c>
      <c r="R1806" t="s">
        <v>213</v>
      </c>
      <c r="S1806" s="2" t="s">
        <v>9</v>
      </c>
      <c r="T1806" s="2">
        <v>4</v>
      </c>
      <c r="U1806">
        <v>7.6</v>
      </c>
      <c r="V1806">
        <v>1308</v>
      </c>
      <c r="W1806" t="s">
        <v>28</v>
      </c>
      <c r="X1806">
        <v>32.47</v>
      </c>
      <c r="Y1806">
        <v>0.42</v>
      </c>
      <c r="AA1806" s="6"/>
      <c r="AB1806" s="6"/>
    </row>
    <row r="1807" spans="1:28" x14ac:dyDescent="0.2">
      <c r="A1807" t="s">
        <v>422</v>
      </c>
      <c r="B1807">
        <v>2016</v>
      </c>
      <c r="C1807" t="s">
        <v>816</v>
      </c>
      <c r="D1807" t="s">
        <v>817</v>
      </c>
      <c r="E1807" t="s">
        <v>263</v>
      </c>
      <c r="F1807" t="s">
        <v>424</v>
      </c>
      <c r="G1807">
        <v>78.992076999999995</v>
      </c>
      <c r="H1807">
        <v>11.633158</v>
      </c>
      <c r="I1807" t="s">
        <v>764</v>
      </c>
      <c r="J1807" t="s">
        <v>14</v>
      </c>
      <c r="K1807" t="s">
        <v>268</v>
      </c>
      <c r="L1807" t="s">
        <v>144</v>
      </c>
      <c r="M1807" t="s">
        <v>638</v>
      </c>
      <c r="N1807" s="6" t="s">
        <v>85</v>
      </c>
      <c r="O1807" s="6" t="s">
        <v>221</v>
      </c>
      <c r="P1807" t="s">
        <v>70</v>
      </c>
      <c r="Q1807">
        <v>7</v>
      </c>
      <c r="R1807" t="s">
        <v>213</v>
      </c>
      <c r="S1807" s="2" t="s">
        <v>27</v>
      </c>
      <c r="T1807" s="2">
        <v>4</v>
      </c>
      <c r="U1807" t="s">
        <v>28</v>
      </c>
      <c r="V1807" t="s">
        <v>28</v>
      </c>
      <c r="W1807">
        <v>9</v>
      </c>
      <c r="X1807">
        <v>31.68</v>
      </c>
      <c r="Y1807">
        <v>1.34</v>
      </c>
      <c r="AA1807" s="6"/>
      <c r="AB1807" s="6"/>
    </row>
    <row r="1808" spans="1:28" x14ac:dyDescent="0.2">
      <c r="A1808" t="s">
        <v>422</v>
      </c>
      <c r="B1808">
        <v>2016</v>
      </c>
      <c r="C1808" t="s">
        <v>816</v>
      </c>
      <c r="D1808" t="s">
        <v>817</v>
      </c>
      <c r="E1808" t="s">
        <v>263</v>
      </c>
      <c r="F1808" t="s">
        <v>424</v>
      </c>
      <c r="G1808">
        <v>78.992076999999995</v>
      </c>
      <c r="H1808">
        <v>11.633158</v>
      </c>
      <c r="I1808" t="s">
        <v>764</v>
      </c>
      <c r="J1808" t="s">
        <v>16</v>
      </c>
      <c r="K1808" t="s">
        <v>268</v>
      </c>
      <c r="L1808" t="s">
        <v>144</v>
      </c>
      <c r="M1808" t="s">
        <v>638</v>
      </c>
      <c r="N1808" s="6" t="s">
        <v>85</v>
      </c>
      <c r="O1808" s="6" t="s">
        <v>221</v>
      </c>
      <c r="P1808" t="s">
        <v>70</v>
      </c>
      <c r="Q1808">
        <v>7</v>
      </c>
      <c r="R1808" t="s">
        <v>213</v>
      </c>
      <c r="S1808" s="2" t="s">
        <v>13</v>
      </c>
      <c r="T1808" s="2">
        <v>4</v>
      </c>
      <c r="U1808">
        <v>7.68</v>
      </c>
      <c r="V1808">
        <v>1107</v>
      </c>
      <c r="W1808">
        <v>9</v>
      </c>
      <c r="X1808">
        <v>32.869999999999997</v>
      </c>
      <c r="Y1808">
        <v>0.59</v>
      </c>
      <c r="AA1808" s="6"/>
      <c r="AB1808" s="6"/>
    </row>
    <row r="1809" spans="1:28" x14ac:dyDescent="0.2">
      <c r="A1809" t="s">
        <v>422</v>
      </c>
      <c r="B1809">
        <v>2016</v>
      </c>
      <c r="C1809" t="s">
        <v>826</v>
      </c>
      <c r="D1809" t="s">
        <v>824</v>
      </c>
      <c r="E1809" t="s">
        <v>48</v>
      </c>
      <c r="F1809" t="s">
        <v>424</v>
      </c>
      <c r="G1809">
        <v>78.992076999999995</v>
      </c>
      <c r="H1809">
        <v>11.633158</v>
      </c>
      <c r="I1809" t="s">
        <v>764</v>
      </c>
      <c r="J1809" t="s">
        <v>7</v>
      </c>
      <c r="K1809" t="s">
        <v>267</v>
      </c>
      <c r="L1809" t="s">
        <v>143</v>
      </c>
      <c r="M1809" t="s">
        <v>638</v>
      </c>
      <c r="N1809" s="6" t="s">
        <v>85</v>
      </c>
      <c r="O1809" t="s">
        <v>107</v>
      </c>
      <c r="P1809" t="s">
        <v>70</v>
      </c>
      <c r="Q1809">
        <v>7</v>
      </c>
      <c r="R1809" t="s">
        <v>213</v>
      </c>
      <c r="S1809" s="2" t="s">
        <v>7</v>
      </c>
      <c r="T1809" s="2">
        <v>4</v>
      </c>
      <c r="U1809">
        <v>8.0500000000000007</v>
      </c>
      <c r="V1809">
        <v>428</v>
      </c>
      <c r="W1809">
        <v>4</v>
      </c>
      <c r="X1809">
        <v>3.93</v>
      </c>
      <c r="Y1809">
        <v>0.28000000000000003</v>
      </c>
      <c r="AA1809" s="6"/>
      <c r="AB1809" s="6"/>
    </row>
    <row r="1810" spans="1:28" x14ac:dyDescent="0.2">
      <c r="A1810" t="s">
        <v>422</v>
      </c>
      <c r="B1810">
        <v>2016</v>
      </c>
      <c r="C1810" t="s">
        <v>826</v>
      </c>
      <c r="D1810" t="s">
        <v>824</v>
      </c>
      <c r="E1810" t="s">
        <v>48</v>
      </c>
      <c r="F1810" t="s">
        <v>424</v>
      </c>
      <c r="G1810">
        <v>78.992076999999995</v>
      </c>
      <c r="H1810">
        <v>11.633158</v>
      </c>
      <c r="I1810" t="s">
        <v>764</v>
      </c>
      <c r="J1810" t="s">
        <v>5</v>
      </c>
      <c r="K1810" t="s">
        <v>267</v>
      </c>
      <c r="L1810" t="s">
        <v>143</v>
      </c>
      <c r="M1810" t="s">
        <v>638</v>
      </c>
      <c r="N1810" s="6" t="s">
        <v>85</v>
      </c>
      <c r="O1810" t="s">
        <v>107</v>
      </c>
      <c r="P1810" t="s">
        <v>70</v>
      </c>
      <c r="Q1810">
        <v>7</v>
      </c>
      <c r="R1810" t="s">
        <v>213</v>
      </c>
      <c r="S1810" s="2" t="s">
        <v>9</v>
      </c>
      <c r="T1810" s="2">
        <v>4</v>
      </c>
      <c r="U1810">
        <v>7.6</v>
      </c>
      <c r="V1810">
        <v>1308</v>
      </c>
      <c r="W1810" t="s">
        <v>28</v>
      </c>
      <c r="X1810">
        <v>3.33</v>
      </c>
      <c r="Y1810">
        <v>0.34</v>
      </c>
      <c r="AA1810" s="6"/>
      <c r="AB1810" s="6"/>
    </row>
    <row r="1811" spans="1:28" x14ac:dyDescent="0.2">
      <c r="A1811" t="s">
        <v>422</v>
      </c>
      <c r="B1811">
        <v>2016</v>
      </c>
      <c r="C1811" t="s">
        <v>826</v>
      </c>
      <c r="D1811" t="s">
        <v>824</v>
      </c>
      <c r="E1811" t="s">
        <v>48</v>
      </c>
      <c r="F1811" t="s">
        <v>424</v>
      </c>
      <c r="G1811">
        <v>78.992076999999995</v>
      </c>
      <c r="H1811">
        <v>11.633158</v>
      </c>
      <c r="I1811" t="s">
        <v>764</v>
      </c>
      <c r="J1811" t="s">
        <v>14</v>
      </c>
      <c r="K1811" t="s">
        <v>267</v>
      </c>
      <c r="L1811" t="s">
        <v>143</v>
      </c>
      <c r="M1811" t="s">
        <v>638</v>
      </c>
      <c r="N1811" s="6" t="s">
        <v>85</v>
      </c>
      <c r="O1811" t="s">
        <v>107</v>
      </c>
      <c r="P1811" t="s">
        <v>70</v>
      </c>
      <c r="Q1811">
        <v>7</v>
      </c>
      <c r="R1811" t="s">
        <v>213</v>
      </c>
      <c r="S1811" s="2" t="s">
        <v>27</v>
      </c>
      <c r="T1811" s="2">
        <v>4</v>
      </c>
      <c r="U1811" t="s">
        <v>28</v>
      </c>
      <c r="V1811" t="s">
        <v>28</v>
      </c>
      <c r="W1811">
        <v>9</v>
      </c>
      <c r="X1811">
        <v>3.29</v>
      </c>
      <c r="Y1811">
        <v>0.41</v>
      </c>
      <c r="AA1811" s="6"/>
      <c r="AB1811" s="6"/>
    </row>
    <row r="1812" spans="1:28" x14ac:dyDescent="0.2">
      <c r="A1812" t="s">
        <v>422</v>
      </c>
      <c r="B1812">
        <v>2016</v>
      </c>
      <c r="C1812" t="s">
        <v>826</v>
      </c>
      <c r="D1812" t="s">
        <v>824</v>
      </c>
      <c r="E1812" t="s">
        <v>48</v>
      </c>
      <c r="F1812" t="s">
        <v>424</v>
      </c>
      <c r="G1812">
        <v>78.992076999999995</v>
      </c>
      <c r="H1812">
        <v>11.633158</v>
      </c>
      <c r="I1812" t="s">
        <v>764</v>
      </c>
      <c r="J1812" t="s">
        <v>16</v>
      </c>
      <c r="K1812" t="s">
        <v>267</v>
      </c>
      <c r="L1812" t="s">
        <v>143</v>
      </c>
      <c r="M1812" t="s">
        <v>638</v>
      </c>
      <c r="N1812" s="6" t="s">
        <v>85</v>
      </c>
      <c r="O1812" t="s">
        <v>107</v>
      </c>
      <c r="P1812" t="s">
        <v>70</v>
      </c>
      <c r="Q1812">
        <v>7</v>
      </c>
      <c r="R1812" t="s">
        <v>213</v>
      </c>
      <c r="S1812" s="2" t="s">
        <v>13</v>
      </c>
      <c r="T1812" s="2">
        <v>4</v>
      </c>
      <c r="U1812">
        <v>7.68</v>
      </c>
      <c r="V1812">
        <v>1107</v>
      </c>
      <c r="W1812">
        <v>9</v>
      </c>
      <c r="X1812">
        <v>3.38</v>
      </c>
      <c r="Y1812">
        <v>0.18</v>
      </c>
      <c r="AA1812" s="6"/>
      <c r="AB1812" s="6"/>
    </row>
    <row r="1813" spans="1:28" x14ac:dyDescent="0.2">
      <c r="A1813" t="s">
        <v>422</v>
      </c>
      <c r="B1813">
        <v>2016</v>
      </c>
      <c r="C1813" t="s">
        <v>816</v>
      </c>
      <c r="D1813" t="s">
        <v>817</v>
      </c>
      <c r="E1813" t="s">
        <v>263</v>
      </c>
      <c r="F1813" t="s">
        <v>424</v>
      </c>
      <c r="G1813">
        <v>78.992076999999995</v>
      </c>
      <c r="H1813">
        <v>11.633158</v>
      </c>
      <c r="I1813" t="s">
        <v>764</v>
      </c>
      <c r="J1813" t="s">
        <v>7</v>
      </c>
      <c r="K1813" t="s">
        <v>268</v>
      </c>
      <c r="L1813" t="s">
        <v>144</v>
      </c>
      <c r="M1813" t="s">
        <v>638</v>
      </c>
      <c r="N1813" s="6" t="s">
        <v>85</v>
      </c>
      <c r="O1813" t="s">
        <v>107</v>
      </c>
      <c r="P1813" t="s">
        <v>70</v>
      </c>
      <c r="Q1813">
        <v>7</v>
      </c>
      <c r="R1813" t="s">
        <v>213</v>
      </c>
      <c r="S1813" s="2" t="s">
        <v>7</v>
      </c>
      <c r="T1813" s="2">
        <v>4</v>
      </c>
      <c r="U1813">
        <v>8.0500000000000007</v>
      </c>
      <c r="V1813">
        <v>428</v>
      </c>
      <c r="W1813">
        <v>4</v>
      </c>
      <c r="X1813">
        <v>2.0299999999999998</v>
      </c>
      <c r="Y1813">
        <v>0.24</v>
      </c>
      <c r="AA1813" s="6"/>
      <c r="AB1813" s="6"/>
    </row>
    <row r="1814" spans="1:28" x14ac:dyDescent="0.2">
      <c r="A1814" t="s">
        <v>422</v>
      </c>
      <c r="B1814">
        <v>2016</v>
      </c>
      <c r="C1814" t="s">
        <v>816</v>
      </c>
      <c r="D1814" t="s">
        <v>817</v>
      </c>
      <c r="E1814" t="s">
        <v>263</v>
      </c>
      <c r="F1814" t="s">
        <v>424</v>
      </c>
      <c r="G1814">
        <v>78.992076999999995</v>
      </c>
      <c r="H1814">
        <v>11.633158</v>
      </c>
      <c r="I1814" t="s">
        <v>764</v>
      </c>
      <c r="J1814" t="s">
        <v>5</v>
      </c>
      <c r="K1814" t="s">
        <v>268</v>
      </c>
      <c r="L1814" t="s">
        <v>144</v>
      </c>
      <c r="M1814" t="s">
        <v>638</v>
      </c>
      <c r="N1814" s="6" t="s">
        <v>85</v>
      </c>
      <c r="O1814" t="s">
        <v>107</v>
      </c>
      <c r="P1814" t="s">
        <v>70</v>
      </c>
      <c r="Q1814">
        <v>7</v>
      </c>
      <c r="R1814" t="s">
        <v>213</v>
      </c>
      <c r="S1814" s="2" t="s">
        <v>9</v>
      </c>
      <c r="T1814" s="2">
        <v>4</v>
      </c>
      <c r="U1814">
        <v>7.6</v>
      </c>
      <c r="V1814">
        <v>1308</v>
      </c>
      <c r="W1814" t="s">
        <v>28</v>
      </c>
      <c r="X1814">
        <v>2.2799999999999998</v>
      </c>
      <c r="Y1814">
        <v>0.13</v>
      </c>
      <c r="AA1814" s="6"/>
      <c r="AB1814" s="6"/>
    </row>
    <row r="1815" spans="1:28" x14ac:dyDescent="0.2">
      <c r="A1815" t="s">
        <v>422</v>
      </c>
      <c r="B1815">
        <v>2016</v>
      </c>
      <c r="C1815" t="s">
        <v>816</v>
      </c>
      <c r="D1815" t="s">
        <v>817</v>
      </c>
      <c r="E1815" t="s">
        <v>263</v>
      </c>
      <c r="F1815" t="s">
        <v>424</v>
      </c>
      <c r="G1815">
        <v>78.992076999999995</v>
      </c>
      <c r="H1815">
        <v>11.633158</v>
      </c>
      <c r="I1815" t="s">
        <v>764</v>
      </c>
      <c r="J1815" t="s">
        <v>14</v>
      </c>
      <c r="K1815" t="s">
        <v>268</v>
      </c>
      <c r="L1815" t="s">
        <v>144</v>
      </c>
      <c r="M1815" t="s">
        <v>638</v>
      </c>
      <c r="N1815" s="6" t="s">
        <v>85</v>
      </c>
      <c r="O1815" t="s">
        <v>107</v>
      </c>
      <c r="P1815" t="s">
        <v>70</v>
      </c>
      <c r="Q1815">
        <v>7</v>
      </c>
      <c r="R1815" t="s">
        <v>213</v>
      </c>
      <c r="S1815" s="2" t="s">
        <v>27</v>
      </c>
      <c r="T1815" s="2">
        <v>4</v>
      </c>
      <c r="U1815" t="s">
        <v>28</v>
      </c>
      <c r="V1815" t="s">
        <v>28</v>
      </c>
      <c r="W1815">
        <v>9</v>
      </c>
      <c r="X1815">
        <v>1.99</v>
      </c>
      <c r="Y1815">
        <v>0.16</v>
      </c>
      <c r="AA1815" s="6"/>
      <c r="AB1815" s="6"/>
    </row>
    <row r="1816" spans="1:28" x14ac:dyDescent="0.2">
      <c r="A1816" t="s">
        <v>422</v>
      </c>
      <c r="B1816">
        <v>2016</v>
      </c>
      <c r="C1816" t="s">
        <v>816</v>
      </c>
      <c r="D1816" t="s">
        <v>817</v>
      </c>
      <c r="E1816" t="s">
        <v>263</v>
      </c>
      <c r="F1816" t="s">
        <v>424</v>
      </c>
      <c r="G1816">
        <v>78.992076999999995</v>
      </c>
      <c r="H1816">
        <v>11.633158</v>
      </c>
      <c r="I1816" t="s">
        <v>764</v>
      </c>
      <c r="J1816" t="s">
        <v>16</v>
      </c>
      <c r="K1816" t="s">
        <v>268</v>
      </c>
      <c r="L1816" t="s">
        <v>144</v>
      </c>
      <c r="M1816" t="s">
        <v>638</v>
      </c>
      <c r="N1816" s="6" t="s">
        <v>85</v>
      </c>
      <c r="O1816" t="s">
        <v>107</v>
      </c>
      <c r="P1816" t="s">
        <v>70</v>
      </c>
      <c r="Q1816">
        <v>7</v>
      </c>
      <c r="R1816" t="s">
        <v>213</v>
      </c>
      <c r="S1816" s="2" t="s">
        <v>13</v>
      </c>
      <c r="T1816" s="2">
        <v>4</v>
      </c>
      <c r="U1816">
        <v>7.68</v>
      </c>
      <c r="V1816">
        <v>1107</v>
      </c>
      <c r="W1816">
        <v>9</v>
      </c>
      <c r="X1816">
        <v>2.08</v>
      </c>
      <c r="Y1816">
        <v>0.12</v>
      </c>
      <c r="AA1816" s="6"/>
      <c r="AB1816" s="6"/>
    </row>
    <row r="1817" spans="1:28" x14ac:dyDescent="0.2">
      <c r="A1817" t="s">
        <v>422</v>
      </c>
      <c r="B1817">
        <v>2016</v>
      </c>
      <c r="C1817" t="s">
        <v>826</v>
      </c>
      <c r="D1817" t="s">
        <v>824</v>
      </c>
      <c r="E1817" t="s">
        <v>48</v>
      </c>
      <c r="F1817" t="s">
        <v>424</v>
      </c>
      <c r="G1817">
        <v>78.992076999999995</v>
      </c>
      <c r="H1817">
        <v>11.633158</v>
      </c>
      <c r="I1817" t="s">
        <v>764</v>
      </c>
      <c r="J1817" t="s">
        <v>7</v>
      </c>
      <c r="K1817" t="s">
        <v>267</v>
      </c>
      <c r="L1817" t="s">
        <v>143</v>
      </c>
      <c r="M1817" t="s">
        <v>638</v>
      </c>
      <c r="N1817" t="s">
        <v>86</v>
      </c>
      <c r="O1817" s="6" t="s">
        <v>272</v>
      </c>
      <c r="Q1817">
        <v>7</v>
      </c>
      <c r="R1817" t="s">
        <v>213</v>
      </c>
      <c r="S1817" s="2" t="s">
        <v>7</v>
      </c>
      <c r="T1817" s="2">
        <v>4</v>
      </c>
      <c r="U1817">
        <v>8.0500000000000007</v>
      </c>
      <c r="V1817">
        <v>428</v>
      </c>
      <c r="W1817">
        <v>4</v>
      </c>
      <c r="X1817">
        <v>8.75</v>
      </c>
      <c r="Y1817">
        <v>1.06</v>
      </c>
      <c r="AA1817" s="6"/>
      <c r="AB1817" s="6"/>
    </row>
    <row r="1818" spans="1:28" x14ac:dyDescent="0.2">
      <c r="A1818" t="s">
        <v>422</v>
      </c>
      <c r="B1818">
        <v>2016</v>
      </c>
      <c r="C1818" t="s">
        <v>826</v>
      </c>
      <c r="D1818" t="s">
        <v>824</v>
      </c>
      <c r="E1818" t="s">
        <v>48</v>
      </c>
      <c r="F1818" t="s">
        <v>424</v>
      </c>
      <c r="G1818">
        <v>78.992076999999995</v>
      </c>
      <c r="H1818">
        <v>11.633158</v>
      </c>
      <c r="I1818" t="s">
        <v>764</v>
      </c>
      <c r="J1818" t="s">
        <v>5</v>
      </c>
      <c r="K1818" t="s">
        <v>267</v>
      </c>
      <c r="L1818" t="s">
        <v>143</v>
      </c>
      <c r="M1818" t="s">
        <v>638</v>
      </c>
      <c r="N1818" t="s">
        <v>86</v>
      </c>
      <c r="O1818" s="6" t="s">
        <v>272</v>
      </c>
      <c r="Q1818">
        <v>7</v>
      </c>
      <c r="R1818" t="s">
        <v>213</v>
      </c>
      <c r="S1818" s="2" t="s">
        <v>9</v>
      </c>
      <c r="T1818" s="2">
        <v>4</v>
      </c>
      <c r="U1818">
        <v>7.6</v>
      </c>
      <c r="V1818">
        <v>1308</v>
      </c>
      <c r="W1818" t="s">
        <v>28</v>
      </c>
      <c r="X1818">
        <v>11.03</v>
      </c>
      <c r="Y1818">
        <v>1.1100000000000001</v>
      </c>
      <c r="AA1818" s="6"/>
      <c r="AB1818" s="6"/>
    </row>
    <row r="1819" spans="1:28" x14ac:dyDescent="0.2">
      <c r="A1819" t="s">
        <v>422</v>
      </c>
      <c r="B1819">
        <v>2016</v>
      </c>
      <c r="C1819" t="s">
        <v>826</v>
      </c>
      <c r="D1819" t="s">
        <v>824</v>
      </c>
      <c r="E1819" t="s">
        <v>48</v>
      </c>
      <c r="F1819" t="s">
        <v>424</v>
      </c>
      <c r="G1819">
        <v>78.992076999999995</v>
      </c>
      <c r="H1819">
        <v>11.633158</v>
      </c>
      <c r="I1819" t="s">
        <v>764</v>
      </c>
      <c r="J1819" t="s">
        <v>14</v>
      </c>
      <c r="K1819" t="s">
        <v>267</v>
      </c>
      <c r="L1819" t="s">
        <v>143</v>
      </c>
      <c r="M1819" t="s">
        <v>638</v>
      </c>
      <c r="N1819" t="s">
        <v>86</v>
      </c>
      <c r="O1819" s="6" t="s">
        <v>272</v>
      </c>
      <c r="Q1819">
        <v>7</v>
      </c>
      <c r="R1819" t="s">
        <v>213</v>
      </c>
      <c r="S1819" s="2" t="s">
        <v>27</v>
      </c>
      <c r="T1819" s="2">
        <v>4</v>
      </c>
      <c r="U1819" t="s">
        <v>28</v>
      </c>
      <c r="V1819" t="s">
        <v>28</v>
      </c>
      <c r="W1819">
        <v>9</v>
      </c>
      <c r="X1819">
        <v>10.92</v>
      </c>
      <c r="Y1819">
        <v>1.37</v>
      </c>
      <c r="AA1819" s="6"/>
      <c r="AB1819" s="6"/>
    </row>
    <row r="1820" spans="1:28" x14ac:dyDescent="0.2">
      <c r="A1820" t="s">
        <v>422</v>
      </c>
      <c r="B1820">
        <v>2016</v>
      </c>
      <c r="C1820" t="s">
        <v>826</v>
      </c>
      <c r="D1820" t="s">
        <v>824</v>
      </c>
      <c r="E1820" t="s">
        <v>48</v>
      </c>
      <c r="F1820" t="s">
        <v>424</v>
      </c>
      <c r="G1820">
        <v>78.992076999999995</v>
      </c>
      <c r="H1820">
        <v>11.633158</v>
      </c>
      <c r="I1820" t="s">
        <v>764</v>
      </c>
      <c r="J1820" t="s">
        <v>16</v>
      </c>
      <c r="K1820" t="s">
        <v>267</v>
      </c>
      <c r="L1820" t="s">
        <v>143</v>
      </c>
      <c r="M1820" t="s">
        <v>638</v>
      </c>
      <c r="N1820" t="s">
        <v>86</v>
      </c>
      <c r="O1820" s="6" t="s">
        <v>272</v>
      </c>
      <c r="Q1820">
        <v>7</v>
      </c>
      <c r="R1820" t="s">
        <v>213</v>
      </c>
      <c r="S1820" s="2" t="s">
        <v>13</v>
      </c>
      <c r="T1820" s="2">
        <v>4</v>
      </c>
      <c r="U1820">
        <v>7.68</v>
      </c>
      <c r="V1820">
        <v>1107</v>
      </c>
      <c r="W1820">
        <v>9</v>
      </c>
      <c r="X1820">
        <v>10.199999999999999</v>
      </c>
      <c r="Y1820">
        <v>0.7</v>
      </c>
      <c r="AA1820" s="6"/>
      <c r="AB1820" s="6"/>
    </row>
    <row r="1821" spans="1:28" x14ac:dyDescent="0.2">
      <c r="A1821" t="s">
        <v>422</v>
      </c>
      <c r="B1821">
        <v>2016</v>
      </c>
      <c r="C1821" t="s">
        <v>816</v>
      </c>
      <c r="D1821" t="s">
        <v>817</v>
      </c>
      <c r="E1821" t="s">
        <v>263</v>
      </c>
      <c r="F1821" t="s">
        <v>424</v>
      </c>
      <c r="G1821">
        <v>78.992076999999995</v>
      </c>
      <c r="H1821">
        <v>11.633158</v>
      </c>
      <c r="I1821" t="s">
        <v>764</v>
      </c>
      <c r="J1821" t="s">
        <v>7</v>
      </c>
      <c r="K1821" t="s">
        <v>268</v>
      </c>
      <c r="L1821" t="s">
        <v>144</v>
      </c>
      <c r="M1821" t="s">
        <v>638</v>
      </c>
      <c r="N1821" t="s">
        <v>86</v>
      </c>
      <c r="O1821" s="6" t="s">
        <v>272</v>
      </c>
      <c r="Q1821">
        <v>7</v>
      </c>
      <c r="R1821" t="s">
        <v>213</v>
      </c>
      <c r="S1821" s="2" t="s">
        <v>7</v>
      </c>
      <c r="T1821" s="2">
        <v>4</v>
      </c>
      <c r="U1821">
        <v>8.0500000000000007</v>
      </c>
      <c r="V1821">
        <v>428</v>
      </c>
      <c r="W1821">
        <v>4</v>
      </c>
      <c r="X1821">
        <v>18.98</v>
      </c>
      <c r="Y1821">
        <v>2.2799999999999998</v>
      </c>
      <c r="AA1821" s="6"/>
      <c r="AB1821" s="6"/>
    </row>
    <row r="1822" spans="1:28" x14ac:dyDescent="0.2">
      <c r="A1822" t="s">
        <v>422</v>
      </c>
      <c r="B1822">
        <v>2016</v>
      </c>
      <c r="C1822" t="s">
        <v>816</v>
      </c>
      <c r="D1822" t="s">
        <v>817</v>
      </c>
      <c r="E1822" t="s">
        <v>263</v>
      </c>
      <c r="F1822" t="s">
        <v>424</v>
      </c>
      <c r="G1822">
        <v>78.992076999999995</v>
      </c>
      <c r="H1822">
        <v>11.633158</v>
      </c>
      <c r="I1822" t="s">
        <v>764</v>
      </c>
      <c r="J1822" t="s">
        <v>5</v>
      </c>
      <c r="K1822" t="s">
        <v>268</v>
      </c>
      <c r="L1822" t="s">
        <v>144</v>
      </c>
      <c r="M1822" t="s">
        <v>638</v>
      </c>
      <c r="N1822" t="s">
        <v>86</v>
      </c>
      <c r="O1822" s="6" t="s">
        <v>272</v>
      </c>
      <c r="Q1822">
        <v>7</v>
      </c>
      <c r="R1822" t="s">
        <v>213</v>
      </c>
      <c r="S1822" s="2" t="s">
        <v>9</v>
      </c>
      <c r="T1822" s="2">
        <v>4</v>
      </c>
      <c r="U1822">
        <v>7.6</v>
      </c>
      <c r="V1822">
        <v>1308</v>
      </c>
      <c r="W1822" t="s">
        <v>28</v>
      </c>
      <c r="X1822">
        <v>16.63</v>
      </c>
      <c r="Y1822">
        <v>0.71</v>
      </c>
      <c r="AA1822" s="6"/>
      <c r="AB1822" s="6"/>
    </row>
    <row r="1823" spans="1:28" x14ac:dyDescent="0.2">
      <c r="A1823" t="s">
        <v>422</v>
      </c>
      <c r="B1823">
        <v>2016</v>
      </c>
      <c r="C1823" t="s">
        <v>816</v>
      </c>
      <c r="D1823" t="s">
        <v>817</v>
      </c>
      <c r="E1823" t="s">
        <v>263</v>
      </c>
      <c r="F1823" t="s">
        <v>424</v>
      </c>
      <c r="G1823">
        <v>78.992076999999995</v>
      </c>
      <c r="H1823">
        <v>11.633158</v>
      </c>
      <c r="I1823" t="s">
        <v>764</v>
      </c>
      <c r="J1823" t="s">
        <v>14</v>
      </c>
      <c r="K1823" t="s">
        <v>268</v>
      </c>
      <c r="L1823" t="s">
        <v>144</v>
      </c>
      <c r="M1823" t="s">
        <v>638</v>
      </c>
      <c r="N1823" t="s">
        <v>86</v>
      </c>
      <c r="O1823" s="6" t="s">
        <v>272</v>
      </c>
      <c r="Q1823">
        <v>7</v>
      </c>
      <c r="R1823" t="s">
        <v>213</v>
      </c>
      <c r="S1823" s="2" t="s">
        <v>27</v>
      </c>
      <c r="T1823" s="2">
        <v>4</v>
      </c>
      <c r="U1823" t="s">
        <v>28</v>
      </c>
      <c r="V1823" t="s">
        <v>28</v>
      </c>
      <c r="W1823">
        <v>9</v>
      </c>
      <c r="X1823">
        <v>18.68</v>
      </c>
      <c r="Y1823">
        <v>2.13</v>
      </c>
      <c r="AA1823" s="6"/>
      <c r="AB1823" s="6"/>
    </row>
    <row r="1824" spans="1:28" x14ac:dyDescent="0.2">
      <c r="A1824" t="s">
        <v>422</v>
      </c>
      <c r="B1824">
        <v>2016</v>
      </c>
      <c r="C1824" t="s">
        <v>816</v>
      </c>
      <c r="D1824" t="s">
        <v>817</v>
      </c>
      <c r="E1824" t="s">
        <v>263</v>
      </c>
      <c r="F1824" t="s">
        <v>424</v>
      </c>
      <c r="G1824">
        <v>78.992076999999995</v>
      </c>
      <c r="H1824">
        <v>11.633158</v>
      </c>
      <c r="I1824" t="s">
        <v>764</v>
      </c>
      <c r="J1824" t="s">
        <v>16</v>
      </c>
      <c r="K1824" t="s">
        <v>268</v>
      </c>
      <c r="L1824" t="s">
        <v>144</v>
      </c>
      <c r="M1824" t="s">
        <v>638</v>
      </c>
      <c r="N1824" t="s">
        <v>86</v>
      </c>
      <c r="O1824" s="6" t="s">
        <v>272</v>
      </c>
      <c r="Q1824">
        <v>7</v>
      </c>
      <c r="R1824" t="s">
        <v>213</v>
      </c>
      <c r="S1824" s="2" t="s">
        <v>13</v>
      </c>
      <c r="T1824" s="2">
        <v>4</v>
      </c>
      <c r="U1824">
        <v>7.68</v>
      </c>
      <c r="V1824">
        <v>1107</v>
      </c>
      <c r="W1824">
        <v>9</v>
      </c>
      <c r="X1824">
        <v>18.47</v>
      </c>
      <c r="Y1824">
        <v>1.17</v>
      </c>
      <c r="AA1824" s="6"/>
      <c r="AB1824" s="6"/>
    </row>
    <row r="1825" spans="1:28" x14ac:dyDescent="0.2">
      <c r="A1825" t="s">
        <v>422</v>
      </c>
      <c r="B1825">
        <v>2016</v>
      </c>
      <c r="C1825" t="s">
        <v>826</v>
      </c>
      <c r="D1825" t="s">
        <v>824</v>
      </c>
      <c r="E1825" t="s">
        <v>48</v>
      </c>
      <c r="F1825" t="s">
        <v>424</v>
      </c>
      <c r="G1825">
        <v>78.992076999999995</v>
      </c>
      <c r="H1825">
        <v>11.633158</v>
      </c>
      <c r="I1825" t="s">
        <v>764</v>
      </c>
      <c r="J1825" t="s">
        <v>7</v>
      </c>
      <c r="K1825" t="s">
        <v>267</v>
      </c>
      <c r="L1825" t="s">
        <v>143</v>
      </c>
      <c r="M1825" t="s">
        <v>638</v>
      </c>
      <c r="N1825" t="s">
        <v>86</v>
      </c>
      <c r="O1825" s="6" t="s">
        <v>273</v>
      </c>
      <c r="P1825" t="s">
        <v>70</v>
      </c>
      <c r="Q1825">
        <v>7</v>
      </c>
      <c r="R1825" t="s">
        <v>213</v>
      </c>
      <c r="S1825" s="2" t="s">
        <v>7</v>
      </c>
      <c r="T1825" s="2">
        <v>4</v>
      </c>
      <c r="U1825">
        <v>8.0500000000000007</v>
      </c>
      <c r="V1825">
        <v>428</v>
      </c>
      <c r="W1825">
        <v>4</v>
      </c>
      <c r="X1825">
        <v>-19.87</v>
      </c>
      <c r="Y1825">
        <v>1.7</v>
      </c>
      <c r="AA1825" s="6"/>
      <c r="AB1825" s="6"/>
    </row>
    <row r="1826" spans="1:28" x14ac:dyDescent="0.2">
      <c r="A1826" t="s">
        <v>422</v>
      </c>
      <c r="B1826">
        <v>2016</v>
      </c>
      <c r="C1826" t="s">
        <v>826</v>
      </c>
      <c r="D1826" t="s">
        <v>824</v>
      </c>
      <c r="E1826" t="s">
        <v>48</v>
      </c>
      <c r="F1826" t="s">
        <v>424</v>
      </c>
      <c r="G1826">
        <v>78.992076999999995</v>
      </c>
      <c r="H1826">
        <v>11.633158</v>
      </c>
      <c r="I1826" t="s">
        <v>764</v>
      </c>
      <c r="J1826" t="s">
        <v>5</v>
      </c>
      <c r="K1826" t="s">
        <v>267</v>
      </c>
      <c r="L1826" t="s">
        <v>143</v>
      </c>
      <c r="M1826" t="s">
        <v>638</v>
      </c>
      <c r="N1826" t="s">
        <v>86</v>
      </c>
      <c r="O1826" s="6" t="s">
        <v>273</v>
      </c>
      <c r="P1826" t="s">
        <v>70</v>
      </c>
      <c r="Q1826">
        <v>7</v>
      </c>
      <c r="R1826" t="s">
        <v>213</v>
      </c>
      <c r="S1826" s="2" t="s">
        <v>9</v>
      </c>
      <c r="T1826" s="2">
        <v>4</v>
      </c>
      <c r="U1826">
        <v>7.6</v>
      </c>
      <c r="V1826">
        <v>1308</v>
      </c>
      <c r="W1826" t="s">
        <v>28</v>
      </c>
      <c r="X1826">
        <v>-21.11</v>
      </c>
      <c r="Y1826">
        <v>1.96</v>
      </c>
      <c r="AA1826" s="6"/>
      <c r="AB1826" s="6"/>
    </row>
    <row r="1827" spans="1:28" x14ac:dyDescent="0.2">
      <c r="A1827" t="s">
        <v>422</v>
      </c>
      <c r="B1827">
        <v>2016</v>
      </c>
      <c r="C1827" t="s">
        <v>826</v>
      </c>
      <c r="D1827" t="s">
        <v>824</v>
      </c>
      <c r="E1827" t="s">
        <v>48</v>
      </c>
      <c r="F1827" t="s">
        <v>424</v>
      </c>
      <c r="G1827">
        <v>78.992076999999995</v>
      </c>
      <c r="H1827">
        <v>11.633158</v>
      </c>
      <c r="I1827" t="s">
        <v>764</v>
      </c>
      <c r="J1827" t="s">
        <v>14</v>
      </c>
      <c r="K1827" t="s">
        <v>267</v>
      </c>
      <c r="L1827" t="s">
        <v>143</v>
      </c>
      <c r="M1827" t="s">
        <v>638</v>
      </c>
      <c r="N1827" t="s">
        <v>86</v>
      </c>
      <c r="O1827" s="6" t="s">
        <v>273</v>
      </c>
      <c r="P1827" t="s">
        <v>70</v>
      </c>
      <c r="Q1827">
        <v>7</v>
      </c>
      <c r="R1827" t="s">
        <v>213</v>
      </c>
      <c r="S1827" s="2" t="s">
        <v>27</v>
      </c>
      <c r="T1827" s="2">
        <v>4</v>
      </c>
      <c r="U1827" t="s">
        <v>28</v>
      </c>
      <c r="V1827" t="s">
        <v>28</v>
      </c>
      <c r="W1827">
        <v>9</v>
      </c>
      <c r="X1827">
        <v>-21.42</v>
      </c>
      <c r="Y1827">
        <v>0.44</v>
      </c>
      <c r="AA1827" s="6"/>
      <c r="AB1827" s="6"/>
    </row>
    <row r="1828" spans="1:28" x14ac:dyDescent="0.2">
      <c r="A1828" t="s">
        <v>422</v>
      </c>
      <c r="B1828">
        <v>2016</v>
      </c>
      <c r="C1828" t="s">
        <v>826</v>
      </c>
      <c r="D1828" t="s">
        <v>824</v>
      </c>
      <c r="E1828" t="s">
        <v>48</v>
      </c>
      <c r="F1828" t="s">
        <v>424</v>
      </c>
      <c r="G1828">
        <v>78.992076999999995</v>
      </c>
      <c r="H1828">
        <v>11.633158</v>
      </c>
      <c r="I1828" t="s">
        <v>764</v>
      </c>
      <c r="J1828" t="s">
        <v>16</v>
      </c>
      <c r="K1828" t="s">
        <v>267</v>
      </c>
      <c r="L1828" t="s">
        <v>143</v>
      </c>
      <c r="M1828" t="s">
        <v>638</v>
      </c>
      <c r="N1828" t="s">
        <v>86</v>
      </c>
      <c r="O1828" s="6" t="s">
        <v>273</v>
      </c>
      <c r="P1828" t="s">
        <v>70</v>
      </c>
      <c r="Q1828">
        <v>7</v>
      </c>
      <c r="R1828" t="s">
        <v>213</v>
      </c>
      <c r="S1828" s="2" t="s">
        <v>13</v>
      </c>
      <c r="T1828" s="2">
        <v>4</v>
      </c>
      <c r="U1828">
        <v>7.68</v>
      </c>
      <c r="V1828">
        <v>1107</v>
      </c>
      <c r="W1828">
        <v>9</v>
      </c>
      <c r="X1828">
        <v>-23.47</v>
      </c>
      <c r="Y1828">
        <v>1.64</v>
      </c>
      <c r="AA1828" s="6"/>
      <c r="AB1828" s="6"/>
    </row>
    <row r="1829" spans="1:28" x14ac:dyDescent="0.2">
      <c r="A1829" t="s">
        <v>422</v>
      </c>
      <c r="B1829">
        <v>2016</v>
      </c>
      <c r="C1829" t="s">
        <v>816</v>
      </c>
      <c r="D1829" t="s">
        <v>817</v>
      </c>
      <c r="E1829" t="s">
        <v>263</v>
      </c>
      <c r="F1829" t="s">
        <v>424</v>
      </c>
      <c r="G1829">
        <v>78.992076999999995</v>
      </c>
      <c r="H1829">
        <v>11.633158</v>
      </c>
      <c r="I1829" t="s">
        <v>764</v>
      </c>
      <c r="J1829" t="s">
        <v>7</v>
      </c>
      <c r="K1829" t="s">
        <v>268</v>
      </c>
      <c r="L1829" t="s">
        <v>144</v>
      </c>
      <c r="M1829" t="s">
        <v>638</v>
      </c>
      <c r="N1829" t="s">
        <v>86</v>
      </c>
      <c r="O1829" s="6" t="s">
        <v>273</v>
      </c>
      <c r="P1829" t="s">
        <v>70</v>
      </c>
      <c r="Q1829">
        <v>7</v>
      </c>
      <c r="R1829" t="s">
        <v>213</v>
      </c>
      <c r="S1829" s="2" t="s">
        <v>7</v>
      </c>
      <c r="T1829" s="2">
        <v>4</v>
      </c>
      <c r="U1829">
        <v>8.0500000000000007</v>
      </c>
      <c r="V1829">
        <v>428</v>
      </c>
      <c r="W1829">
        <v>4</v>
      </c>
      <c r="X1829">
        <v>-19.149999999999999</v>
      </c>
      <c r="Y1829">
        <v>0.81</v>
      </c>
      <c r="AA1829" s="6"/>
      <c r="AB1829" s="6"/>
    </row>
    <row r="1830" spans="1:28" x14ac:dyDescent="0.2">
      <c r="A1830" t="s">
        <v>422</v>
      </c>
      <c r="B1830">
        <v>2016</v>
      </c>
      <c r="C1830" t="s">
        <v>816</v>
      </c>
      <c r="D1830" t="s">
        <v>817</v>
      </c>
      <c r="E1830" t="s">
        <v>263</v>
      </c>
      <c r="F1830" t="s">
        <v>424</v>
      </c>
      <c r="G1830">
        <v>78.992076999999995</v>
      </c>
      <c r="H1830">
        <v>11.633158</v>
      </c>
      <c r="I1830" t="s">
        <v>764</v>
      </c>
      <c r="J1830" t="s">
        <v>5</v>
      </c>
      <c r="K1830" t="s">
        <v>268</v>
      </c>
      <c r="L1830" t="s">
        <v>144</v>
      </c>
      <c r="M1830" t="s">
        <v>638</v>
      </c>
      <c r="N1830" t="s">
        <v>86</v>
      </c>
      <c r="O1830" s="6" t="s">
        <v>273</v>
      </c>
      <c r="P1830" t="s">
        <v>70</v>
      </c>
      <c r="Q1830">
        <v>7</v>
      </c>
      <c r="R1830" t="s">
        <v>213</v>
      </c>
      <c r="S1830" s="2" t="s">
        <v>9</v>
      </c>
      <c r="T1830" s="2">
        <v>4</v>
      </c>
      <c r="U1830">
        <v>7.6</v>
      </c>
      <c r="V1830">
        <v>1308</v>
      </c>
      <c r="W1830" t="s">
        <v>28</v>
      </c>
      <c r="X1830">
        <v>-20.13</v>
      </c>
      <c r="Y1830">
        <v>1.19</v>
      </c>
      <c r="AA1830" s="6"/>
      <c r="AB1830" s="6"/>
    </row>
    <row r="1831" spans="1:28" x14ac:dyDescent="0.2">
      <c r="A1831" t="s">
        <v>422</v>
      </c>
      <c r="B1831">
        <v>2016</v>
      </c>
      <c r="C1831" t="s">
        <v>816</v>
      </c>
      <c r="D1831" t="s">
        <v>817</v>
      </c>
      <c r="E1831" t="s">
        <v>263</v>
      </c>
      <c r="F1831" t="s">
        <v>424</v>
      </c>
      <c r="G1831">
        <v>78.992076999999995</v>
      </c>
      <c r="H1831">
        <v>11.633158</v>
      </c>
      <c r="I1831" t="s">
        <v>764</v>
      </c>
      <c r="J1831" t="s">
        <v>14</v>
      </c>
      <c r="K1831" t="s">
        <v>268</v>
      </c>
      <c r="L1831" t="s">
        <v>144</v>
      </c>
      <c r="M1831" t="s">
        <v>638</v>
      </c>
      <c r="N1831" t="s">
        <v>86</v>
      </c>
      <c r="O1831" s="6" t="s">
        <v>273</v>
      </c>
      <c r="P1831" t="s">
        <v>70</v>
      </c>
      <c r="Q1831">
        <v>7</v>
      </c>
      <c r="R1831" t="s">
        <v>213</v>
      </c>
      <c r="S1831" s="2" t="s">
        <v>27</v>
      </c>
      <c r="T1831" s="2">
        <v>4</v>
      </c>
      <c r="U1831" t="s">
        <v>28</v>
      </c>
      <c r="V1831" t="s">
        <v>28</v>
      </c>
      <c r="W1831">
        <v>9</v>
      </c>
      <c r="X1831">
        <v>-21.82</v>
      </c>
      <c r="Y1831">
        <v>1.43</v>
      </c>
      <c r="AA1831" s="6"/>
      <c r="AB1831" s="6"/>
    </row>
    <row r="1832" spans="1:28" x14ac:dyDescent="0.2">
      <c r="A1832" t="s">
        <v>422</v>
      </c>
      <c r="B1832">
        <v>2016</v>
      </c>
      <c r="C1832" t="s">
        <v>816</v>
      </c>
      <c r="D1832" t="s">
        <v>817</v>
      </c>
      <c r="E1832" t="s">
        <v>263</v>
      </c>
      <c r="F1832" t="s">
        <v>424</v>
      </c>
      <c r="G1832">
        <v>78.992076999999995</v>
      </c>
      <c r="H1832">
        <v>11.633158</v>
      </c>
      <c r="I1832" t="s">
        <v>764</v>
      </c>
      <c r="J1832" t="s">
        <v>16</v>
      </c>
      <c r="K1832" t="s">
        <v>268</v>
      </c>
      <c r="L1832" t="s">
        <v>144</v>
      </c>
      <c r="M1832" t="s">
        <v>638</v>
      </c>
      <c r="N1832" t="s">
        <v>86</v>
      </c>
      <c r="O1832" s="6" t="s">
        <v>273</v>
      </c>
      <c r="P1832" t="s">
        <v>70</v>
      </c>
      <c r="Q1832">
        <v>7</v>
      </c>
      <c r="R1832" t="s">
        <v>213</v>
      </c>
      <c r="S1832" s="2" t="s">
        <v>13</v>
      </c>
      <c r="T1832" s="2">
        <v>4</v>
      </c>
      <c r="U1832">
        <v>7.68</v>
      </c>
      <c r="V1832">
        <v>1107</v>
      </c>
      <c r="W1832">
        <v>9</v>
      </c>
      <c r="X1832">
        <v>-20.95</v>
      </c>
      <c r="Y1832">
        <v>0.93</v>
      </c>
      <c r="AA1832" s="6"/>
      <c r="AB1832" s="6"/>
    </row>
    <row r="1833" spans="1:28" x14ac:dyDescent="0.2">
      <c r="A1833" t="s">
        <v>422</v>
      </c>
      <c r="B1833">
        <v>2016</v>
      </c>
      <c r="C1833" t="s">
        <v>826</v>
      </c>
      <c r="D1833" t="s">
        <v>824</v>
      </c>
      <c r="E1833" t="s">
        <v>48</v>
      </c>
      <c r="F1833" t="s">
        <v>424</v>
      </c>
      <c r="G1833">
        <v>78.992076999999995</v>
      </c>
      <c r="H1833">
        <v>11.633158</v>
      </c>
      <c r="I1833" t="s">
        <v>764</v>
      </c>
      <c r="J1833" t="s">
        <v>7</v>
      </c>
      <c r="K1833" t="s">
        <v>267</v>
      </c>
      <c r="L1833" t="s">
        <v>143</v>
      </c>
      <c r="M1833" s="6" t="s">
        <v>663</v>
      </c>
      <c r="N1833" t="s">
        <v>86</v>
      </c>
      <c r="O1833" s="6" t="s">
        <v>274</v>
      </c>
      <c r="Q1833">
        <v>7</v>
      </c>
      <c r="R1833" t="s">
        <v>213</v>
      </c>
      <c r="S1833" s="2" t="s">
        <v>7</v>
      </c>
      <c r="T1833" s="2">
        <v>4</v>
      </c>
      <c r="U1833">
        <v>8.0500000000000007</v>
      </c>
      <c r="V1833">
        <v>428</v>
      </c>
      <c r="W1833">
        <v>4</v>
      </c>
      <c r="X1833">
        <v>6.47</v>
      </c>
      <c r="Y1833">
        <v>1.05</v>
      </c>
      <c r="AA1833" s="6"/>
      <c r="AB1833" s="6"/>
    </row>
    <row r="1834" spans="1:28" x14ac:dyDescent="0.2">
      <c r="A1834" t="s">
        <v>422</v>
      </c>
      <c r="B1834">
        <v>2016</v>
      </c>
      <c r="C1834" t="s">
        <v>826</v>
      </c>
      <c r="D1834" t="s">
        <v>824</v>
      </c>
      <c r="E1834" t="s">
        <v>48</v>
      </c>
      <c r="F1834" t="s">
        <v>424</v>
      </c>
      <c r="G1834">
        <v>78.992076999999995</v>
      </c>
      <c r="H1834">
        <v>11.633158</v>
      </c>
      <c r="I1834" t="s">
        <v>764</v>
      </c>
      <c r="J1834" t="s">
        <v>5</v>
      </c>
      <c r="K1834" t="s">
        <v>267</v>
      </c>
      <c r="L1834" t="s">
        <v>143</v>
      </c>
      <c r="M1834" s="6" t="s">
        <v>663</v>
      </c>
      <c r="N1834" t="s">
        <v>86</v>
      </c>
      <c r="O1834" s="6" t="s">
        <v>274</v>
      </c>
      <c r="Q1834">
        <v>7</v>
      </c>
      <c r="R1834" t="s">
        <v>213</v>
      </c>
      <c r="S1834" s="2" t="s">
        <v>9</v>
      </c>
      <c r="T1834" s="2">
        <v>4</v>
      </c>
      <c r="U1834">
        <v>7.6</v>
      </c>
      <c r="V1834">
        <v>1308</v>
      </c>
      <c r="W1834" t="s">
        <v>28</v>
      </c>
      <c r="X1834">
        <v>5.53</v>
      </c>
      <c r="Y1834">
        <v>0.49</v>
      </c>
      <c r="AA1834" s="6"/>
      <c r="AB1834" s="6"/>
    </row>
    <row r="1835" spans="1:28" x14ac:dyDescent="0.2">
      <c r="A1835" t="s">
        <v>422</v>
      </c>
      <c r="B1835">
        <v>2016</v>
      </c>
      <c r="C1835" t="s">
        <v>826</v>
      </c>
      <c r="D1835" t="s">
        <v>824</v>
      </c>
      <c r="E1835" t="s">
        <v>48</v>
      </c>
      <c r="F1835" t="s">
        <v>424</v>
      </c>
      <c r="G1835">
        <v>78.992076999999995</v>
      </c>
      <c r="H1835">
        <v>11.633158</v>
      </c>
      <c r="I1835" t="s">
        <v>764</v>
      </c>
      <c r="J1835" t="s">
        <v>14</v>
      </c>
      <c r="K1835" t="s">
        <v>267</v>
      </c>
      <c r="L1835" t="s">
        <v>143</v>
      </c>
      <c r="M1835" s="6" t="s">
        <v>663</v>
      </c>
      <c r="N1835" t="s">
        <v>86</v>
      </c>
      <c r="O1835" s="6" t="s">
        <v>274</v>
      </c>
      <c r="Q1835">
        <v>7</v>
      </c>
      <c r="R1835" t="s">
        <v>213</v>
      </c>
      <c r="S1835" s="2" t="s">
        <v>27</v>
      </c>
      <c r="T1835" s="2">
        <v>4</v>
      </c>
      <c r="U1835" t="s">
        <v>28</v>
      </c>
      <c r="V1835" t="s">
        <v>28</v>
      </c>
      <c r="W1835">
        <v>9</v>
      </c>
      <c r="X1835">
        <v>5.62</v>
      </c>
      <c r="Y1835">
        <v>0.94</v>
      </c>
      <c r="AA1835" s="6"/>
      <c r="AB1835" s="6"/>
    </row>
    <row r="1836" spans="1:28" x14ac:dyDescent="0.2">
      <c r="A1836" t="s">
        <v>422</v>
      </c>
      <c r="B1836">
        <v>2016</v>
      </c>
      <c r="C1836" t="s">
        <v>826</v>
      </c>
      <c r="D1836" t="s">
        <v>824</v>
      </c>
      <c r="E1836" t="s">
        <v>48</v>
      </c>
      <c r="F1836" t="s">
        <v>424</v>
      </c>
      <c r="G1836">
        <v>78.992076999999995</v>
      </c>
      <c r="H1836">
        <v>11.633158</v>
      </c>
      <c r="I1836" t="s">
        <v>764</v>
      </c>
      <c r="J1836" t="s">
        <v>16</v>
      </c>
      <c r="K1836" t="s">
        <v>267</v>
      </c>
      <c r="L1836" t="s">
        <v>143</v>
      </c>
      <c r="M1836" s="6" t="s">
        <v>663</v>
      </c>
      <c r="N1836" t="s">
        <v>86</v>
      </c>
      <c r="O1836" s="6" t="s">
        <v>274</v>
      </c>
      <c r="Q1836">
        <v>7</v>
      </c>
      <c r="R1836" t="s">
        <v>213</v>
      </c>
      <c r="S1836" s="2" t="s">
        <v>13</v>
      </c>
      <c r="T1836" s="2">
        <v>4</v>
      </c>
      <c r="U1836">
        <v>7.68</v>
      </c>
      <c r="V1836">
        <v>1107</v>
      </c>
      <c r="W1836">
        <v>9</v>
      </c>
      <c r="X1836">
        <v>6.09</v>
      </c>
      <c r="Y1836">
        <v>0.54</v>
      </c>
      <c r="AA1836" s="6"/>
      <c r="AB1836" s="6"/>
    </row>
    <row r="1837" spans="1:28" x14ac:dyDescent="0.2">
      <c r="A1837" t="s">
        <v>422</v>
      </c>
      <c r="B1837">
        <v>2016</v>
      </c>
      <c r="C1837" t="s">
        <v>816</v>
      </c>
      <c r="D1837" t="s">
        <v>817</v>
      </c>
      <c r="E1837" t="s">
        <v>263</v>
      </c>
      <c r="F1837" t="s">
        <v>424</v>
      </c>
      <c r="G1837">
        <v>78.992076999999995</v>
      </c>
      <c r="H1837">
        <v>11.633158</v>
      </c>
      <c r="I1837" t="s">
        <v>764</v>
      </c>
      <c r="J1837" t="s">
        <v>7</v>
      </c>
      <c r="K1837" t="s">
        <v>268</v>
      </c>
      <c r="L1837" t="s">
        <v>144</v>
      </c>
      <c r="M1837" s="6" t="s">
        <v>663</v>
      </c>
      <c r="N1837" t="s">
        <v>86</v>
      </c>
      <c r="O1837" s="6" t="s">
        <v>274</v>
      </c>
      <c r="Q1837">
        <v>7</v>
      </c>
      <c r="R1837" t="s">
        <v>213</v>
      </c>
      <c r="S1837" s="2" t="s">
        <v>7</v>
      </c>
      <c r="T1837" s="2">
        <v>4</v>
      </c>
      <c r="U1837">
        <v>8.0500000000000007</v>
      </c>
      <c r="V1837">
        <v>428</v>
      </c>
      <c r="W1837">
        <v>4</v>
      </c>
      <c r="X1837">
        <v>4.68</v>
      </c>
      <c r="Y1837">
        <v>0.25</v>
      </c>
      <c r="AA1837" s="6"/>
      <c r="AB1837" s="6"/>
    </row>
    <row r="1838" spans="1:28" x14ac:dyDescent="0.2">
      <c r="A1838" t="s">
        <v>422</v>
      </c>
      <c r="B1838">
        <v>2016</v>
      </c>
      <c r="C1838" t="s">
        <v>816</v>
      </c>
      <c r="D1838" t="s">
        <v>817</v>
      </c>
      <c r="E1838" t="s">
        <v>263</v>
      </c>
      <c r="F1838" t="s">
        <v>424</v>
      </c>
      <c r="G1838">
        <v>78.992076999999995</v>
      </c>
      <c r="H1838">
        <v>11.633158</v>
      </c>
      <c r="I1838" t="s">
        <v>764</v>
      </c>
      <c r="J1838" t="s">
        <v>5</v>
      </c>
      <c r="K1838" t="s">
        <v>268</v>
      </c>
      <c r="L1838" t="s">
        <v>144</v>
      </c>
      <c r="M1838" s="6" t="s">
        <v>663</v>
      </c>
      <c r="N1838" t="s">
        <v>86</v>
      </c>
      <c r="O1838" s="6" t="s">
        <v>274</v>
      </c>
      <c r="Q1838">
        <v>7</v>
      </c>
      <c r="R1838" t="s">
        <v>213</v>
      </c>
      <c r="S1838" s="2" t="s">
        <v>9</v>
      </c>
      <c r="T1838" s="2">
        <v>4</v>
      </c>
      <c r="U1838">
        <v>7.6</v>
      </c>
      <c r="V1838">
        <v>1308</v>
      </c>
      <c r="W1838" t="s">
        <v>28</v>
      </c>
      <c r="X1838">
        <v>4.91</v>
      </c>
      <c r="Y1838">
        <v>0.24</v>
      </c>
      <c r="AA1838" s="6"/>
      <c r="AB1838" s="6"/>
    </row>
    <row r="1839" spans="1:28" x14ac:dyDescent="0.2">
      <c r="A1839" t="s">
        <v>422</v>
      </c>
      <c r="B1839">
        <v>2016</v>
      </c>
      <c r="C1839" t="s">
        <v>816</v>
      </c>
      <c r="D1839" t="s">
        <v>817</v>
      </c>
      <c r="E1839" t="s">
        <v>263</v>
      </c>
      <c r="F1839" t="s">
        <v>424</v>
      </c>
      <c r="G1839">
        <v>78.992076999999995</v>
      </c>
      <c r="H1839">
        <v>11.633158</v>
      </c>
      <c r="I1839" t="s">
        <v>764</v>
      </c>
      <c r="J1839" t="s">
        <v>14</v>
      </c>
      <c r="K1839" t="s">
        <v>268</v>
      </c>
      <c r="L1839" t="s">
        <v>144</v>
      </c>
      <c r="M1839" s="6" t="s">
        <v>663</v>
      </c>
      <c r="N1839" t="s">
        <v>86</v>
      </c>
      <c r="O1839" s="6" t="s">
        <v>274</v>
      </c>
      <c r="Q1839">
        <v>7</v>
      </c>
      <c r="R1839" t="s">
        <v>213</v>
      </c>
      <c r="S1839" s="2" t="s">
        <v>27</v>
      </c>
      <c r="T1839" s="2">
        <v>4</v>
      </c>
      <c r="U1839" t="s">
        <v>28</v>
      </c>
      <c r="V1839" t="s">
        <v>28</v>
      </c>
      <c r="W1839">
        <v>9</v>
      </c>
      <c r="X1839">
        <v>5</v>
      </c>
      <c r="Y1839">
        <v>0.45</v>
      </c>
      <c r="AA1839" s="6"/>
      <c r="AB1839" s="6"/>
    </row>
    <row r="1840" spans="1:28" x14ac:dyDescent="0.2">
      <c r="A1840" t="s">
        <v>422</v>
      </c>
      <c r="B1840">
        <v>2016</v>
      </c>
      <c r="C1840" t="s">
        <v>816</v>
      </c>
      <c r="D1840" t="s">
        <v>817</v>
      </c>
      <c r="E1840" t="s">
        <v>263</v>
      </c>
      <c r="F1840" t="s">
        <v>424</v>
      </c>
      <c r="G1840">
        <v>78.992076999999995</v>
      </c>
      <c r="H1840">
        <v>11.633158</v>
      </c>
      <c r="I1840" t="s">
        <v>764</v>
      </c>
      <c r="J1840" t="s">
        <v>16</v>
      </c>
      <c r="K1840" t="s">
        <v>268</v>
      </c>
      <c r="L1840" t="s">
        <v>144</v>
      </c>
      <c r="M1840" s="6" t="s">
        <v>663</v>
      </c>
      <c r="N1840" t="s">
        <v>86</v>
      </c>
      <c r="O1840" s="6" t="s">
        <v>274</v>
      </c>
      <c r="Q1840">
        <v>7</v>
      </c>
      <c r="R1840" t="s">
        <v>213</v>
      </c>
      <c r="S1840" s="2" t="s">
        <v>13</v>
      </c>
      <c r="T1840" s="2">
        <v>4</v>
      </c>
      <c r="U1840">
        <v>7.68</v>
      </c>
      <c r="V1840">
        <v>1107</v>
      </c>
      <c r="W1840">
        <v>9</v>
      </c>
      <c r="X1840">
        <v>4.3899999999999997</v>
      </c>
      <c r="Y1840">
        <v>0.3</v>
      </c>
      <c r="AA1840" s="6"/>
      <c r="AB1840" s="6"/>
    </row>
    <row r="1841" spans="1:28" x14ac:dyDescent="0.2">
      <c r="A1841" t="s">
        <v>275</v>
      </c>
      <c r="B1841">
        <v>2019</v>
      </c>
      <c r="C1841" t="s">
        <v>816</v>
      </c>
      <c r="D1841" t="s">
        <v>817</v>
      </c>
      <c r="E1841" t="s">
        <v>263</v>
      </c>
      <c r="F1841" t="s">
        <v>424</v>
      </c>
      <c r="G1841">
        <v>78.991172000000006</v>
      </c>
      <c r="H1841">
        <v>11.949411</v>
      </c>
      <c r="I1841" t="s">
        <v>761</v>
      </c>
      <c r="J1841" t="s">
        <v>7</v>
      </c>
      <c r="K1841" t="s">
        <v>144</v>
      </c>
      <c r="L1841" t="s">
        <v>144</v>
      </c>
      <c r="M1841" t="s">
        <v>638</v>
      </c>
      <c r="N1841" t="s">
        <v>85</v>
      </c>
      <c r="O1841" s="6" t="s">
        <v>276</v>
      </c>
      <c r="P1841" t="s">
        <v>147</v>
      </c>
      <c r="Q1841">
        <v>14</v>
      </c>
      <c r="R1841" t="s">
        <v>213</v>
      </c>
      <c r="S1841" s="2" t="s">
        <v>7</v>
      </c>
      <c r="T1841" s="2">
        <v>9</v>
      </c>
      <c r="U1841" t="s">
        <v>28</v>
      </c>
      <c r="V1841" t="s">
        <v>28</v>
      </c>
      <c r="W1841">
        <v>4</v>
      </c>
      <c r="X1841">
        <v>6.3831747720000003</v>
      </c>
      <c r="Y1841">
        <v>12.591182102319541</v>
      </c>
      <c r="Z1841" t="s">
        <v>665</v>
      </c>
      <c r="AA1841" s="6"/>
      <c r="AB1841" s="6"/>
    </row>
    <row r="1842" spans="1:28" x14ac:dyDescent="0.2">
      <c r="A1842" t="s">
        <v>275</v>
      </c>
      <c r="B1842">
        <v>2019</v>
      </c>
      <c r="C1842" t="s">
        <v>816</v>
      </c>
      <c r="D1842" t="s">
        <v>817</v>
      </c>
      <c r="E1842" t="s">
        <v>263</v>
      </c>
      <c r="F1842" t="s">
        <v>424</v>
      </c>
      <c r="G1842">
        <v>78.991172000000006</v>
      </c>
      <c r="H1842">
        <v>11.949411</v>
      </c>
      <c r="I1842" t="s">
        <v>761</v>
      </c>
      <c r="J1842" t="s">
        <v>14</v>
      </c>
      <c r="K1842" t="s">
        <v>144</v>
      </c>
      <c r="L1842" t="s">
        <v>144</v>
      </c>
      <c r="M1842" t="s">
        <v>638</v>
      </c>
      <c r="N1842" t="s">
        <v>85</v>
      </c>
      <c r="O1842" s="6" t="s">
        <v>276</v>
      </c>
      <c r="P1842" t="s">
        <v>147</v>
      </c>
      <c r="Q1842">
        <v>14</v>
      </c>
      <c r="R1842" t="s">
        <v>213</v>
      </c>
      <c r="S1842" s="2" t="s">
        <v>9</v>
      </c>
      <c r="T1842" s="2">
        <v>8</v>
      </c>
      <c r="U1842" t="s">
        <v>28</v>
      </c>
      <c r="V1842" t="s">
        <v>28</v>
      </c>
      <c r="W1842">
        <v>8</v>
      </c>
      <c r="X1842">
        <v>3.7958450643749999</v>
      </c>
      <c r="Y1842">
        <v>6.0222674799267022</v>
      </c>
      <c r="AA1842" s="6"/>
      <c r="AB1842" s="6"/>
    </row>
    <row r="1843" spans="1:28" x14ac:dyDescent="0.2">
      <c r="A1843" t="s">
        <v>275</v>
      </c>
      <c r="B1843">
        <v>2019</v>
      </c>
      <c r="C1843" t="s">
        <v>826</v>
      </c>
      <c r="D1843" t="s">
        <v>824</v>
      </c>
      <c r="E1843" t="s">
        <v>48</v>
      </c>
      <c r="F1843" t="s">
        <v>424</v>
      </c>
      <c r="G1843">
        <v>78.932169999999999</v>
      </c>
      <c r="H1843">
        <v>11.950998</v>
      </c>
      <c r="I1843" t="s">
        <v>761</v>
      </c>
      <c r="J1843" t="s">
        <v>7</v>
      </c>
      <c r="K1843" t="s">
        <v>144</v>
      </c>
      <c r="L1843" t="s">
        <v>144</v>
      </c>
      <c r="M1843" t="s">
        <v>638</v>
      </c>
      <c r="N1843" t="s">
        <v>85</v>
      </c>
      <c r="O1843" s="6" t="s">
        <v>276</v>
      </c>
      <c r="P1843" t="s">
        <v>147</v>
      </c>
      <c r="Q1843">
        <v>14</v>
      </c>
      <c r="R1843" t="s">
        <v>213</v>
      </c>
      <c r="S1843" s="2" t="s">
        <v>7</v>
      </c>
      <c r="T1843" s="2">
        <v>9</v>
      </c>
      <c r="U1843" t="s">
        <v>28</v>
      </c>
      <c r="V1843" t="s">
        <v>28</v>
      </c>
      <c r="W1843">
        <v>4</v>
      </c>
      <c r="X1843">
        <v>73.457338540333325</v>
      </c>
      <c r="Y1843">
        <v>59.240262935538048</v>
      </c>
      <c r="AA1843" s="6"/>
      <c r="AB1843" s="6"/>
    </row>
    <row r="1844" spans="1:28" x14ac:dyDescent="0.2">
      <c r="A1844" t="s">
        <v>275</v>
      </c>
      <c r="B1844">
        <v>2019</v>
      </c>
      <c r="C1844" t="s">
        <v>826</v>
      </c>
      <c r="D1844" t="s">
        <v>824</v>
      </c>
      <c r="E1844" t="s">
        <v>48</v>
      </c>
      <c r="F1844" t="s">
        <v>424</v>
      </c>
      <c r="G1844">
        <v>78.932169999999999</v>
      </c>
      <c r="H1844">
        <v>11.950998</v>
      </c>
      <c r="I1844" t="s">
        <v>761</v>
      </c>
      <c r="J1844" t="s">
        <v>14</v>
      </c>
      <c r="K1844" t="s">
        <v>144</v>
      </c>
      <c r="L1844" t="s">
        <v>144</v>
      </c>
      <c r="M1844" t="s">
        <v>638</v>
      </c>
      <c r="N1844" t="s">
        <v>85</v>
      </c>
      <c r="O1844" s="6" t="s">
        <v>276</v>
      </c>
      <c r="P1844" t="s">
        <v>147</v>
      </c>
      <c r="Q1844">
        <v>14</v>
      </c>
      <c r="R1844" t="s">
        <v>213</v>
      </c>
      <c r="S1844" s="2" t="s">
        <v>9</v>
      </c>
      <c r="T1844" s="2">
        <v>9</v>
      </c>
      <c r="U1844" t="s">
        <v>28</v>
      </c>
      <c r="V1844" t="s">
        <v>28</v>
      </c>
      <c r="W1844">
        <v>8</v>
      </c>
      <c r="X1844">
        <v>129.88916687377778</v>
      </c>
      <c r="Y1844">
        <v>126.28867503361495</v>
      </c>
      <c r="AA1844" s="6"/>
      <c r="AB1844" s="6"/>
    </row>
    <row r="1845" spans="1:28" x14ac:dyDescent="0.2">
      <c r="A1845" t="s">
        <v>277</v>
      </c>
      <c r="B1845">
        <v>2015</v>
      </c>
      <c r="C1845" t="s">
        <v>826</v>
      </c>
      <c r="D1845" t="s">
        <v>812</v>
      </c>
      <c r="E1845" t="s">
        <v>338</v>
      </c>
      <c r="F1845" t="s">
        <v>278</v>
      </c>
      <c r="G1845">
        <v>34.679462000000001</v>
      </c>
      <c r="H1845">
        <v>139.44164699999999</v>
      </c>
      <c r="I1845" t="s">
        <v>761</v>
      </c>
      <c r="J1845" t="s">
        <v>7</v>
      </c>
      <c r="K1845" t="s">
        <v>40</v>
      </c>
      <c r="L1845" t="s">
        <v>3</v>
      </c>
      <c r="M1845" t="s">
        <v>26</v>
      </c>
      <c r="N1845" t="s">
        <v>85</v>
      </c>
      <c r="O1845" s="6" t="s">
        <v>840</v>
      </c>
      <c r="P1845" t="s">
        <v>72</v>
      </c>
      <c r="Q1845">
        <v>6</v>
      </c>
      <c r="R1845" t="s">
        <v>213</v>
      </c>
      <c r="S1845" s="2" t="s">
        <v>7</v>
      </c>
      <c r="T1845" s="2">
        <v>20</v>
      </c>
      <c r="U1845" t="s">
        <v>28</v>
      </c>
      <c r="V1845" t="s">
        <v>28</v>
      </c>
      <c r="W1845">
        <v>22</v>
      </c>
      <c r="X1845">
        <v>18.86</v>
      </c>
      <c r="Y1845">
        <f>21.36-X1845</f>
        <v>2.5</v>
      </c>
      <c r="AA1845" s="6"/>
      <c r="AB1845" s="6"/>
    </row>
    <row r="1846" spans="1:28" x14ac:dyDescent="0.2">
      <c r="A1846" t="s">
        <v>277</v>
      </c>
      <c r="B1846">
        <v>2015</v>
      </c>
      <c r="C1846" t="s">
        <v>826</v>
      </c>
      <c r="D1846" t="s">
        <v>812</v>
      </c>
      <c r="E1846" t="s">
        <v>338</v>
      </c>
      <c r="F1846" t="s">
        <v>278</v>
      </c>
      <c r="G1846">
        <v>34.679462000000001</v>
      </c>
      <c r="H1846">
        <v>139.44164699999999</v>
      </c>
      <c r="I1846" t="s">
        <v>761</v>
      </c>
      <c r="J1846" t="s">
        <v>14</v>
      </c>
      <c r="K1846" t="s">
        <v>40</v>
      </c>
      <c r="L1846" t="s">
        <v>3</v>
      </c>
      <c r="M1846" t="s">
        <v>26</v>
      </c>
      <c r="N1846" t="s">
        <v>85</v>
      </c>
      <c r="O1846" s="6" t="s">
        <v>840</v>
      </c>
      <c r="P1846" t="s">
        <v>72</v>
      </c>
      <c r="Q1846">
        <v>6</v>
      </c>
      <c r="R1846" t="s">
        <v>213</v>
      </c>
      <c r="S1846" s="2" t="s">
        <v>9</v>
      </c>
      <c r="T1846" s="2">
        <v>20</v>
      </c>
      <c r="U1846" t="s">
        <v>28</v>
      </c>
      <c r="V1846" t="s">
        <v>28</v>
      </c>
      <c r="W1846">
        <v>23</v>
      </c>
      <c r="X1846">
        <v>21.66</v>
      </c>
      <c r="Y1846">
        <f>25.62-X1846</f>
        <v>3.9600000000000009</v>
      </c>
      <c r="AA1846" s="6"/>
      <c r="AB1846" s="6"/>
    </row>
    <row r="1847" spans="1:28" x14ac:dyDescent="0.2">
      <c r="A1847" t="s">
        <v>277</v>
      </c>
      <c r="B1847">
        <v>2015</v>
      </c>
      <c r="C1847" t="s">
        <v>826</v>
      </c>
      <c r="D1847" t="s">
        <v>812</v>
      </c>
      <c r="E1847" t="s">
        <v>338</v>
      </c>
      <c r="F1847" t="s">
        <v>278</v>
      </c>
      <c r="G1847">
        <v>34.679462000000001</v>
      </c>
      <c r="H1847">
        <v>139.44164699999999</v>
      </c>
      <c r="I1847" t="s">
        <v>761</v>
      </c>
      <c r="J1847" t="s">
        <v>14</v>
      </c>
      <c r="K1847" t="s">
        <v>40</v>
      </c>
      <c r="L1847" t="s">
        <v>3</v>
      </c>
      <c r="M1847" t="s">
        <v>26</v>
      </c>
      <c r="N1847" t="s">
        <v>85</v>
      </c>
      <c r="O1847" s="6" t="s">
        <v>840</v>
      </c>
      <c r="P1847" t="s">
        <v>72</v>
      </c>
      <c r="Q1847">
        <v>6</v>
      </c>
      <c r="R1847" t="s">
        <v>213</v>
      </c>
      <c r="S1847" s="2" t="s">
        <v>27</v>
      </c>
      <c r="T1847" s="2">
        <v>20</v>
      </c>
      <c r="U1847" t="s">
        <v>28</v>
      </c>
      <c r="V1847" t="s">
        <v>28</v>
      </c>
      <c r="W1847">
        <v>24</v>
      </c>
      <c r="X1847">
        <v>22.33</v>
      </c>
      <c r="Y1847">
        <f>24.89-X1847</f>
        <v>2.5600000000000023</v>
      </c>
      <c r="AA1847" s="6"/>
      <c r="AB1847" s="6"/>
    </row>
    <row r="1848" spans="1:28" x14ac:dyDescent="0.2">
      <c r="A1848" t="s">
        <v>277</v>
      </c>
      <c r="B1848">
        <v>2015</v>
      </c>
      <c r="C1848" t="s">
        <v>826</v>
      </c>
      <c r="D1848" t="s">
        <v>812</v>
      </c>
      <c r="E1848" t="s">
        <v>338</v>
      </c>
      <c r="F1848" t="s">
        <v>278</v>
      </c>
      <c r="G1848">
        <v>34.679462000000001</v>
      </c>
      <c r="H1848">
        <v>139.44164699999999</v>
      </c>
      <c r="I1848" t="s">
        <v>761</v>
      </c>
      <c r="J1848" t="s">
        <v>14</v>
      </c>
      <c r="K1848" t="s">
        <v>40</v>
      </c>
      <c r="L1848" t="s">
        <v>3</v>
      </c>
      <c r="M1848" t="s">
        <v>26</v>
      </c>
      <c r="N1848" t="s">
        <v>85</v>
      </c>
      <c r="O1848" s="6" t="s">
        <v>840</v>
      </c>
      <c r="P1848" t="s">
        <v>72</v>
      </c>
      <c r="Q1848">
        <v>6</v>
      </c>
      <c r="R1848" t="s">
        <v>213</v>
      </c>
      <c r="S1848" s="2" t="s">
        <v>13</v>
      </c>
      <c r="T1848" s="2">
        <v>20</v>
      </c>
      <c r="U1848" t="s">
        <v>28</v>
      </c>
      <c r="V1848" t="s">
        <v>28</v>
      </c>
      <c r="W1848">
        <v>25</v>
      </c>
      <c r="X1848">
        <v>22.7</v>
      </c>
      <c r="Y1848">
        <f>25.62-X1848</f>
        <v>2.9200000000000017</v>
      </c>
      <c r="AA1848" s="6"/>
      <c r="AB1848" s="6"/>
    </row>
    <row r="1849" spans="1:28" x14ac:dyDescent="0.2">
      <c r="A1849" t="s">
        <v>277</v>
      </c>
      <c r="B1849">
        <v>2015</v>
      </c>
      <c r="C1849" t="s">
        <v>826</v>
      </c>
      <c r="D1849" t="s">
        <v>812</v>
      </c>
      <c r="E1849" t="s">
        <v>338</v>
      </c>
      <c r="F1849" t="s">
        <v>278</v>
      </c>
      <c r="G1849">
        <v>34.679462000000001</v>
      </c>
      <c r="H1849">
        <v>139.44164699999999</v>
      </c>
      <c r="I1849" t="s">
        <v>761</v>
      </c>
      <c r="J1849" t="s">
        <v>14</v>
      </c>
      <c r="K1849" t="s">
        <v>40</v>
      </c>
      <c r="L1849" t="s">
        <v>3</v>
      </c>
      <c r="M1849" t="s">
        <v>26</v>
      </c>
      <c r="N1849" t="s">
        <v>85</v>
      </c>
      <c r="O1849" s="6" t="s">
        <v>840</v>
      </c>
      <c r="P1849" t="s">
        <v>72</v>
      </c>
      <c r="Q1849">
        <v>6</v>
      </c>
      <c r="R1849" t="s">
        <v>213</v>
      </c>
      <c r="S1849" s="2" t="s">
        <v>15</v>
      </c>
      <c r="T1849" s="2">
        <v>20</v>
      </c>
      <c r="U1849" t="s">
        <v>28</v>
      </c>
      <c r="V1849" t="s">
        <v>28</v>
      </c>
      <c r="W1849">
        <v>26</v>
      </c>
      <c r="X1849">
        <v>22.82</v>
      </c>
      <c r="Y1849">
        <f>24.77-X1849</f>
        <v>1.9499999999999993</v>
      </c>
      <c r="AA1849" s="6"/>
      <c r="AB1849" s="6"/>
    </row>
    <row r="1850" spans="1:28" x14ac:dyDescent="0.2">
      <c r="A1850" t="s">
        <v>277</v>
      </c>
      <c r="B1850">
        <v>2015</v>
      </c>
      <c r="C1850" t="s">
        <v>826</v>
      </c>
      <c r="D1850" t="s">
        <v>812</v>
      </c>
      <c r="E1850" t="s">
        <v>338</v>
      </c>
      <c r="F1850" t="s">
        <v>278</v>
      </c>
      <c r="G1850">
        <v>34.679462000000001</v>
      </c>
      <c r="H1850">
        <v>139.44164699999999</v>
      </c>
      <c r="I1850" t="s">
        <v>761</v>
      </c>
      <c r="J1850" t="s">
        <v>14</v>
      </c>
      <c r="K1850" t="s">
        <v>40</v>
      </c>
      <c r="L1850" t="s">
        <v>3</v>
      </c>
      <c r="M1850" t="s">
        <v>26</v>
      </c>
      <c r="N1850" t="s">
        <v>85</v>
      </c>
      <c r="O1850" s="6" t="s">
        <v>840</v>
      </c>
      <c r="P1850" t="s">
        <v>72</v>
      </c>
      <c r="Q1850">
        <v>6</v>
      </c>
      <c r="R1850" t="s">
        <v>213</v>
      </c>
      <c r="S1850" s="2" t="s">
        <v>37</v>
      </c>
      <c r="T1850" s="2">
        <v>20</v>
      </c>
      <c r="U1850" t="s">
        <v>28</v>
      </c>
      <c r="V1850" t="s">
        <v>28</v>
      </c>
      <c r="W1850">
        <v>27</v>
      </c>
      <c r="X1850">
        <v>21.66</v>
      </c>
      <c r="Y1850">
        <f>24.71-X1850</f>
        <v>3.0500000000000007</v>
      </c>
      <c r="AA1850" s="6"/>
      <c r="AB1850" s="6"/>
    </row>
    <row r="1851" spans="1:28" x14ac:dyDescent="0.2">
      <c r="A1851" t="s">
        <v>277</v>
      </c>
      <c r="B1851">
        <v>2015</v>
      </c>
      <c r="C1851" t="s">
        <v>826</v>
      </c>
      <c r="D1851" t="s">
        <v>812</v>
      </c>
      <c r="E1851" t="s">
        <v>338</v>
      </c>
      <c r="F1851" t="s">
        <v>278</v>
      </c>
      <c r="G1851">
        <v>34.679462000000001</v>
      </c>
      <c r="H1851">
        <v>139.44164699999999</v>
      </c>
      <c r="I1851" t="s">
        <v>761</v>
      </c>
      <c r="J1851" t="s">
        <v>14</v>
      </c>
      <c r="K1851" t="s">
        <v>40</v>
      </c>
      <c r="L1851" t="s">
        <v>3</v>
      </c>
      <c r="M1851" t="s">
        <v>26</v>
      </c>
      <c r="N1851" t="s">
        <v>85</v>
      </c>
      <c r="O1851" s="6" t="s">
        <v>840</v>
      </c>
      <c r="P1851" t="s">
        <v>72</v>
      </c>
      <c r="Q1851">
        <v>6</v>
      </c>
      <c r="R1851" t="s">
        <v>213</v>
      </c>
      <c r="S1851" s="2" t="s">
        <v>116</v>
      </c>
      <c r="T1851" s="2">
        <v>20</v>
      </c>
      <c r="U1851" t="s">
        <v>28</v>
      </c>
      <c r="V1851" t="s">
        <v>28</v>
      </c>
      <c r="W1851">
        <v>28</v>
      </c>
      <c r="X1851">
        <v>19.899999999999999</v>
      </c>
      <c r="Y1851">
        <f>21.42-X1851</f>
        <v>1.5200000000000031</v>
      </c>
      <c r="AA1851" s="6"/>
      <c r="AB1851" s="6"/>
    </row>
    <row r="1852" spans="1:28" x14ac:dyDescent="0.2">
      <c r="A1852" t="s">
        <v>277</v>
      </c>
      <c r="B1852">
        <v>2015</v>
      </c>
      <c r="C1852" t="s">
        <v>826</v>
      </c>
      <c r="D1852" t="s">
        <v>812</v>
      </c>
      <c r="E1852" t="s">
        <v>338</v>
      </c>
      <c r="F1852" t="s">
        <v>278</v>
      </c>
      <c r="G1852">
        <v>34.679462000000001</v>
      </c>
      <c r="H1852">
        <v>139.44164699999999</v>
      </c>
      <c r="I1852" t="s">
        <v>761</v>
      </c>
      <c r="J1852" t="s">
        <v>14</v>
      </c>
      <c r="K1852" t="s">
        <v>40</v>
      </c>
      <c r="L1852" t="s">
        <v>3</v>
      </c>
      <c r="M1852" t="s">
        <v>26</v>
      </c>
      <c r="N1852" t="s">
        <v>85</v>
      </c>
      <c r="O1852" s="6" t="s">
        <v>840</v>
      </c>
      <c r="P1852" t="s">
        <v>72</v>
      </c>
      <c r="Q1852">
        <v>6</v>
      </c>
      <c r="R1852" t="s">
        <v>213</v>
      </c>
      <c r="S1852" s="2" t="s">
        <v>117</v>
      </c>
      <c r="T1852" s="2">
        <v>20</v>
      </c>
      <c r="U1852" t="s">
        <v>28</v>
      </c>
      <c r="V1852" t="s">
        <v>28</v>
      </c>
      <c r="W1852">
        <v>29</v>
      </c>
      <c r="X1852">
        <v>13.2</v>
      </c>
      <c r="Y1852">
        <f>15.33-X1852</f>
        <v>2.1300000000000008</v>
      </c>
      <c r="AA1852" s="6"/>
      <c r="AB1852" s="6"/>
    </row>
    <row r="1853" spans="1:28" x14ac:dyDescent="0.2">
      <c r="A1853" t="s">
        <v>277</v>
      </c>
      <c r="B1853">
        <v>2015</v>
      </c>
      <c r="C1853" t="s">
        <v>826</v>
      </c>
      <c r="D1853" t="s">
        <v>812</v>
      </c>
      <c r="E1853" t="s">
        <v>338</v>
      </c>
      <c r="F1853" t="s">
        <v>278</v>
      </c>
      <c r="G1853">
        <v>34.679462000000001</v>
      </c>
      <c r="H1853">
        <v>139.44164699999999</v>
      </c>
      <c r="I1853" t="s">
        <v>761</v>
      </c>
      <c r="J1853" t="s">
        <v>14</v>
      </c>
      <c r="K1853" t="s">
        <v>40</v>
      </c>
      <c r="L1853" t="s">
        <v>3</v>
      </c>
      <c r="M1853" t="s">
        <v>26</v>
      </c>
      <c r="N1853" t="s">
        <v>85</v>
      </c>
      <c r="O1853" s="6" t="s">
        <v>840</v>
      </c>
      <c r="P1853" t="s">
        <v>72</v>
      </c>
      <c r="Q1853">
        <v>6</v>
      </c>
      <c r="R1853" t="s">
        <v>213</v>
      </c>
      <c r="S1853" s="2" t="s">
        <v>118</v>
      </c>
      <c r="T1853" s="2">
        <v>20</v>
      </c>
      <c r="U1853" t="s">
        <v>28</v>
      </c>
      <c r="V1853" t="s">
        <v>28</v>
      </c>
      <c r="W1853">
        <v>30</v>
      </c>
      <c r="X1853">
        <v>8.15</v>
      </c>
      <c r="Y1853">
        <f>10.34-X1853</f>
        <v>2.1899999999999995</v>
      </c>
      <c r="AA1853" s="6"/>
      <c r="AB1853" s="6"/>
    </row>
    <row r="1854" spans="1:28" x14ac:dyDescent="0.2">
      <c r="A1854" t="s">
        <v>277</v>
      </c>
      <c r="B1854">
        <v>2015</v>
      </c>
      <c r="C1854" t="s">
        <v>826</v>
      </c>
      <c r="D1854" t="s">
        <v>812</v>
      </c>
      <c r="E1854" t="s">
        <v>338</v>
      </c>
      <c r="F1854" t="s">
        <v>278</v>
      </c>
      <c r="G1854">
        <v>34.679462000000001</v>
      </c>
      <c r="H1854">
        <v>139.44164699999999</v>
      </c>
      <c r="I1854" t="s">
        <v>761</v>
      </c>
      <c r="J1854" t="s">
        <v>14</v>
      </c>
      <c r="K1854" t="s">
        <v>40</v>
      </c>
      <c r="L1854" t="s">
        <v>3</v>
      </c>
      <c r="M1854" t="s">
        <v>26</v>
      </c>
      <c r="N1854" t="s">
        <v>85</v>
      </c>
      <c r="O1854" s="6" t="s">
        <v>840</v>
      </c>
      <c r="P1854" t="s">
        <v>72</v>
      </c>
      <c r="Q1854">
        <v>6</v>
      </c>
      <c r="R1854" t="s">
        <v>213</v>
      </c>
      <c r="S1854" s="2" t="s">
        <v>177</v>
      </c>
      <c r="T1854" s="2">
        <v>20</v>
      </c>
      <c r="U1854" t="s">
        <v>28</v>
      </c>
      <c r="V1854" t="s">
        <v>28</v>
      </c>
      <c r="W1854">
        <v>31</v>
      </c>
      <c r="X1854">
        <v>5.96</v>
      </c>
      <c r="Y1854">
        <f>7.06-X1854</f>
        <v>1.0999999999999996</v>
      </c>
      <c r="AA1854" s="6"/>
      <c r="AB1854" s="6"/>
    </row>
    <row r="1855" spans="1:28" x14ac:dyDescent="0.2">
      <c r="A1855" t="s">
        <v>277</v>
      </c>
      <c r="B1855">
        <v>2015</v>
      </c>
      <c r="C1855" t="s">
        <v>826</v>
      </c>
      <c r="D1855" t="s">
        <v>812</v>
      </c>
      <c r="E1855" t="s">
        <v>338</v>
      </c>
      <c r="F1855" t="s">
        <v>278</v>
      </c>
      <c r="G1855">
        <v>34.679462000000001</v>
      </c>
      <c r="H1855">
        <v>139.44164699999999</v>
      </c>
      <c r="I1855" t="s">
        <v>761</v>
      </c>
      <c r="J1855" t="s">
        <v>14</v>
      </c>
      <c r="K1855" t="s">
        <v>40</v>
      </c>
      <c r="L1855" t="s">
        <v>3</v>
      </c>
      <c r="M1855" t="s">
        <v>26</v>
      </c>
      <c r="N1855" t="s">
        <v>85</v>
      </c>
      <c r="O1855" s="6" t="s">
        <v>840</v>
      </c>
      <c r="P1855" t="s">
        <v>72</v>
      </c>
      <c r="Q1855">
        <v>6</v>
      </c>
      <c r="R1855" t="s">
        <v>213</v>
      </c>
      <c r="S1855" s="2" t="s">
        <v>178</v>
      </c>
      <c r="T1855" s="2">
        <v>20</v>
      </c>
      <c r="U1855" t="s">
        <v>28</v>
      </c>
      <c r="V1855" t="s">
        <v>28</v>
      </c>
      <c r="W1855">
        <v>32</v>
      </c>
      <c r="X1855">
        <v>0</v>
      </c>
      <c r="Y1855">
        <v>0</v>
      </c>
      <c r="AA1855" s="6"/>
      <c r="AB1855" s="6"/>
    </row>
    <row r="1856" spans="1:28" x14ac:dyDescent="0.2">
      <c r="A1856" t="s">
        <v>277</v>
      </c>
      <c r="B1856">
        <v>2015</v>
      </c>
      <c r="C1856" t="s">
        <v>826</v>
      </c>
      <c r="D1856" t="s">
        <v>812</v>
      </c>
      <c r="E1856" t="s">
        <v>338</v>
      </c>
      <c r="F1856" t="s">
        <v>278</v>
      </c>
      <c r="G1856">
        <v>34.679462000000001</v>
      </c>
      <c r="H1856">
        <v>139.44164699999999</v>
      </c>
      <c r="I1856" t="s">
        <v>761</v>
      </c>
      <c r="J1856" t="s">
        <v>14</v>
      </c>
      <c r="K1856" t="s">
        <v>40</v>
      </c>
      <c r="L1856" t="s">
        <v>3</v>
      </c>
      <c r="M1856" t="s">
        <v>26</v>
      </c>
      <c r="N1856" t="s">
        <v>85</v>
      </c>
      <c r="O1856" s="6" t="s">
        <v>840</v>
      </c>
      <c r="P1856" t="s">
        <v>72</v>
      </c>
      <c r="Q1856">
        <v>6</v>
      </c>
      <c r="R1856" t="s">
        <v>213</v>
      </c>
      <c r="S1856" s="2" t="s">
        <v>179</v>
      </c>
      <c r="T1856" s="2">
        <v>20</v>
      </c>
      <c r="U1856" t="s">
        <v>28</v>
      </c>
      <c r="V1856" t="s">
        <v>28</v>
      </c>
      <c r="W1856">
        <v>33</v>
      </c>
      <c r="X1856">
        <v>0.06</v>
      </c>
      <c r="Y1856">
        <v>0</v>
      </c>
      <c r="AA1856" s="6"/>
      <c r="AB1856" s="6"/>
    </row>
    <row r="1857" spans="1:28" x14ac:dyDescent="0.2">
      <c r="A1857" t="s">
        <v>277</v>
      </c>
      <c r="B1857">
        <v>2015</v>
      </c>
      <c r="C1857" t="s">
        <v>826</v>
      </c>
      <c r="D1857" t="s">
        <v>812</v>
      </c>
      <c r="E1857" t="s">
        <v>338</v>
      </c>
      <c r="F1857" t="s">
        <v>278</v>
      </c>
      <c r="G1857">
        <v>34.679462000000001</v>
      </c>
      <c r="H1857">
        <v>139.44164699999999</v>
      </c>
      <c r="I1857" t="s">
        <v>761</v>
      </c>
      <c r="J1857" t="s">
        <v>7</v>
      </c>
      <c r="K1857" t="s">
        <v>41</v>
      </c>
      <c r="L1857" t="s">
        <v>3</v>
      </c>
      <c r="M1857" t="s">
        <v>26</v>
      </c>
      <c r="N1857" t="s">
        <v>85</v>
      </c>
      <c r="O1857" s="6" t="s">
        <v>840</v>
      </c>
      <c r="P1857" t="s">
        <v>72</v>
      </c>
      <c r="Q1857">
        <v>6</v>
      </c>
      <c r="R1857" t="s">
        <v>213</v>
      </c>
      <c r="S1857" s="2" t="s">
        <v>7</v>
      </c>
      <c r="T1857" s="2">
        <v>20</v>
      </c>
      <c r="U1857" t="s">
        <v>28</v>
      </c>
      <c r="V1857" t="s">
        <v>28</v>
      </c>
      <c r="W1857">
        <v>22</v>
      </c>
      <c r="X1857">
        <v>14.21</v>
      </c>
      <c r="Y1857">
        <f>16.76-X1857</f>
        <v>2.5500000000000007</v>
      </c>
      <c r="AA1857" s="6"/>
      <c r="AB1857" s="6"/>
    </row>
    <row r="1858" spans="1:28" x14ac:dyDescent="0.2">
      <c r="A1858" t="s">
        <v>277</v>
      </c>
      <c r="B1858">
        <v>2015</v>
      </c>
      <c r="C1858" t="s">
        <v>826</v>
      </c>
      <c r="D1858" t="s">
        <v>812</v>
      </c>
      <c r="E1858" t="s">
        <v>338</v>
      </c>
      <c r="F1858" t="s">
        <v>278</v>
      </c>
      <c r="G1858">
        <v>34.679462000000001</v>
      </c>
      <c r="H1858">
        <v>139.44164699999999</v>
      </c>
      <c r="I1858" t="s">
        <v>761</v>
      </c>
      <c r="J1858" t="s">
        <v>14</v>
      </c>
      <c r="K1858" t="s">
        <v>41</v>
      </c>
      <c r="L1858" t="s">
        <v>3</v>
      </c>
      <c r="M1858" t="s">
        <v>26</v>
      </c>
      <c r="N1858" t="s">
        <v>85</v>
      </c>
      <c r="O1858" s="6" t="s">
        <v>840</v>
      </c>
      <c r="P1858" t="s">
        <v>72</v>
      </c>
      <c r="Q1858">
        <v>6</v>
      </c>
      <c r="R1858" t="s">
        <v>213</v>
      </c>
      <c r="S1858" s="2" t="s">
        <v>9</v>
      </c>
      <c r="T1858" s="2">
        <v>20</v>
      </c>
      <c r="U1858" t="s">
        <v>28</v>
      </c>
      <c r="V1858" t="s">
        <v>28</v>
      </c>
      <c r="W1858">
        <v>23</v>
      </c>
      <c r="X1858">
        <v>14.27</v>
      </c>
      <c r="Y1858">
        <f>17.61-X1858</f>
        <v>3.34</v>
      </c>
      <c r="AA1858" s="6"/>
      <c r="AB1858" s="6"/>
    </row>
    <row r="1859" spans="1:28" x14ac:dyDescent="0.2">
      <c r="A1859" t="s">
        <v>277</v>
      </c>
      <c r="B1859">
        <v>2015</v>
      </c>
      <c r="C1859" t="s">
        <v>826</v>
      </c>
      <c r="D1859" t="s">
        <v>812</v>
      </c>
      <c r="E1859" t="s">
        <v>338</v>
      </c>
      <c r="F1859" t="s">
        <v>278</v>
      </c>
      <c r="G1859">
        <v>34.679462000000001</v>
      </c>
      <c r="H1859">
        <v>139.44164699999999</v>
      </c>
      <c r="I1859" t="s">
        <v>761</v>
      </c>
      <c r="J1859" t="s">
        <v>14</v>
      </c>
      <c r="K1859" t="s">
        <v>41</v>
      </c>
      <c r="L1859" t="s">
        <v>3</v>
      </c>
      <c r="M1859" t="s">
        <v>26</v>
      </c>
      <c r="N1859" t="s">
        <v>85</v>
      </c>
      <c r="O1859" s="6" t="s">
        <v>840</v>
      </c>
      <c r="P1859" t="s">
        <v>72</v>
      </c>
      <c r="Q1859">
        <v>6</v>
      </c>
      <c r="R1859" t="s">
        <v>213</v>
      </c>
      <c r="S1859" s="2" t="s">
        <v>27</v>
      </c>
      <c r="T1859" s="2">
        <v>20</v>
      </c>
      <c r="U1859" t="s">
        <v>28</v>
      </c>
      <c r="V1859" t="s">
        <v>28</v>
      </c>
      <c r="W1859">
        <v>24</v>
      </c>
      <c r="X1859">
        <v>14.15</v>
      </c>
      <c r="Y1859">
        <f>15.67-X1859</f>
        <v>1.5199999999999996</v>
      </c>
      <c r="AA1859" s="6"/>
      <c r="AB1859" s="6"/>
    </row>
    <row r="1860" spans="1:28" x14ac:dyDescent="0.2">
      <c r="A1860" t="s">
        <v>277</v>
      </c>
      <c r="B1860">
        <v>2015</v>
      </c>
      <c r="C1860" t="s">
        <v>826</v>
      </c>
      <c r="D1860" t="s">
        <v>812</v>
      </c>
      <c r="E1860" t="s">
        <v>338</v>
      </c>
      <c r="F1860" t="s">
        <v>278</v>
      </c>
      <c r="G1860">
        <v>34.679462000000001</v>
      </c>
      <c r="H1860">
        <v>139.44164699999999</v>
      </c>
      <c r="I1860" t="s">
        <v>761</v>
      </c>
      <c r="J1860" t="s">
        <v>14</v>
      </c>
      <c r="K1860" t="s">
        <v>41</v>
      </c>
      <c r="L1860" t="s">
        <v>3</v>
      </c>
      <c r="M1860" t="s">
        <v>26</v>
      </c>
      <c r="N1860" t="s">
        <v>85</v>
      </c>
      <c r="O1860" s="6" t="s">
        <v>840</v>
      </c>
      <c r="P1860" t="s">
        <v>72</v>
      </c>
      <c r="Q1860">
        <v>6</v>
      </c>
      <c r="R1860" t="s">
        <v>213</v>
      </c>
      <c r="S1860" s="2" t="s">
        <v>13</v>
      </c>
      <c r="T1860" s="2">
        <v>20</v>
      </c>
      <c r="U1860" t="s">
        <v>28</v>
      </c>
      <c r="V1860" t="s">
        <v>28</v>
      </c>
      <c r="W1860">
        <v>25</v>
      </c>
      <c r="X1860">
        <v>15.06</v>
      </c>
      <c r="Y1860">
        <f>18.77-X1860</f>
        <v>3.7099999999999991</v>
      </c>
      <c r="AA1860" s="6"/>
      <c r="AB1860" s="6"/>
    </row>
    <row r="1861" spans="1:28" x14ac:dyDescent="0.2">
      <c r="A1861" t="s">
        <v>277</v>
      </c>
      <c r="B1861">
        <v>2015</v>
      </c>
      <c r="C1861" t="s">
        <v>826</v>
      </c>
      <c r="D1861" t="s">
        <v>812</v>
      </c>
      <c r="E1861" t="s">
        <v>338</v>
      </c>
      <c r="F1861" t="s">
        <v>278</v>
      </c>
      <c r="G1861">
        <v>34.679462000000001</v>
      </c>
      <c r="H1861">
        <v>139.44164699999999</v>
      </c>
      <c r="I1861" t="s">
        <v>761</v>
      </c>
      <c r="J1861" t="s">
        <v>14</v>
      </c>
      <c r="K1861" t="s">
        <v>41</v>
      </c>
      <c r="L1861" t="s">
        <v>3</v>
      </c>
      <c r="M1861" t="s">
        <v>26</v>
      </c>
      <c r="N1861" t="s">
        <v>85</v>
      </c>
      <c r="O1861" s="6" t="s">
        <v>840</v>
      </c>
      <c r="P1861" t="s">
        <v>72</v>
      </c>
      <c r="Q1861">
        <v>6</v>
      </c>
      <c r="R1861" t="s">
        <v>213</v>
      </c>
      <c r="S1861" s="2" t="s">
        <v>15</v>
      </c>
      <c r="T1861" s="2">
        <v>20</v>
      </c>
      <c r="U1861" t="s">
        <v>28</v>
      </c>
      <c r="V1861" t="s">
        <v>28</v>
      </c>
      <c r="W1861">
        <v>26</v>
      </c>
      <c r="X1861">
        <v>14.45</v>
      </c>
      <c r="Y1861">
        <f>19.68-X1861</f>
        <v>5.23</v>
      </c>
      <c r="AA1861" s="6"/>
      <c r="AB1861" s="6"/>
    </row>
    <row r="1862" spans="1:28" x14ac:dyDescent="0.2">
      <c r="A1862" t="s">
        <v>277</v>
      </c>
      <c r="B1862">
        <v>2015</v>
      </c>
      <c r="C1862" t="s">
        <v>826</v>
      </c>
      <c r="D1862" t="s">
        <v>812</v>
      </c>
      <c r="E1862" t="s">
        <v>338</v>
      </c>
      <c r="F1862" t="s">
        <v>278</v>
      </c>
      <c r="G1862">
        <v>34.679462000000001</v>
      </c>
      <c r="H1862">
        <v>139.44164699999999</v>
      </c>
      <c r="I1862" t="s">
        <v>761</v>
      </c>
      <c r="J1862" t="s">
        <v>14</v>
      </c>
      <c r="K1862" t="s">
        <v>41</v>
      </c>
      <c r="L1862" t="s">
        <v>3</v>
      </c>
      <c r="M1862" t="s">
        <v>26</v>
      </c>
      <c r="N1862" t="s">
        <v>85</v>
      </c>
      <c r="O1862" s="6" t="s">
        <v>840</v>
      </c>
      <c r="P1862" t="s">
        <v>72</v>
      </c>
      <c r="Q1862">
        <v>6</v>
      </c>
      <c r="R1862" t="s">
        <v>213</v>
      </c>
      <c r="S1862" s="2" t="s">
        <v>37</v>
      </c>
      <c r="T1862" s="2">
        <v>20</v>
      </c>
      <c r="U1862" t="s">
        <v>28</v>
      </c>
      <c r="V1862" t="s">
        <v>28</v>
      </c>
      <c r="W1862">
        <v>27</v>
      </c>
      <c r="X1862">
        <v>11.48</v>
      </c>
      <c r="Y1862">
        <f>14.94-X1862</f>
        <v>3.4599999999999991</v>
      </c>
      <c r="AA1862" s="6"/>
      <c r="AB1862" s="6"/>
    </row>
    <row r="1863" spans="1:28" x14ac:dyDescent="0.2">
      <c r="A1863" t="s">
        <v>277</v>
      </c>
      <c r="B1863">
        <v>2015</v>
      </c>
      <c r="C1863" t="s">
        <v>826</v>
      </c>
      <c r="D1863" t="s">
        <v>812</v>
      </c>
      <c r="E1863" t="s">
        <v>338</v>
      </c>
      <c r="F1863" t="s">
        <v>278</v>
      </c>
      <c r="G1863">
        <v>34.679462000000001</v>
      </c>
      <c r="H1863">
        <v>139.44164699999999</v>
      </c>
      <c r="I1863" t="s">
        <v>761</v>
      </c>
      <c r="J1863" t="s">
        <v>14</v>
      </c>
      <c r="K1863" t="s">
        <v>41</v>
      </c>
      <c r="L1863" t="s">
        <v>3</v>
      </c>
      <c r="M1863" t="s">
        <v>26</v>
      </c>
      <c r="N1863" t="s">
        <v>85</v>
      </c>
      <c r="O1863" s="6" t="s">
        <v>840</v>
      </c>
      <c r="P1863" t="s">
        <v>72</v>
      </c>
      <c r="Q1863">
        <v>6</v>
      </c>
      <c r="R1863" t="s">
        <v>213</v>
      </c>
      <c r="S1863" s="2" t="s">
        <v>116</v>
      </c>
      <c r="T1863" s="2">
        <v>20</v>
      </c>
      <c r="U1863" t="s">
        <v>28</v>
      </c>
      <c r="V1863" t="s">
        <v>28</v>
      </c>
      <c r="W1863">
        <v>28</v>
      </c>
      <c r="X1863">
        <v>12.02</v>
      </c>
      <c r="Y1863">
        <f>14.57-X1863</f>
        <v>2.5500000000000007</v>
      </c>
      <c r="AA1863" s="6"/>
      <c r="AB1863" s="6"/>
    </row>
    <row r="1864" spans="1:28" x14ac:dyDescent="0.2">
      <c r="A1864" t="s">
        <v>277</v>
      </c>
      <c r="B1864">
        <v>2015</v>
      </c>
      <c r="C1864" t="s">
        <v>826</v>
      </c>
      <c r="D1864" t="s">
        <v>812</v>
      </c>
      <c r="E1864" t="s">
        <v>338</v>
      </c>
      <c r="F1864" t="s">
        <v>278</v>
      </c>
      <c r="G1864">
        <v>34.679462000000001</v>
      </c>
      <c r="H1864">
        <v>139.44164699999999</v>
      </c>
      <c r="I1864" t="s">
        <v>761</v>
      </c>
      <c r="J1864" t="s">
        <v>14</v>
      </c>
      <c r="K1864" t="s">
        <v>41</v>
      </c>
      <c r="L1864" t="s">
        <v>3</v>
      </c>
      <c r="M1864" t="s">
        <v>26</v>
      </c>
      <c r="N1864" t="s">
        <v>85</v>
      </c>
      <c r="O1864" s="6" t="s">
        <v>840</v>
      </c>
      <c r="P1864" t="s">
        <v>72</v>
      </c>
      <c r="Q1864">
        <v>6</v>
      </c>
      <c r="R1864" t="s">
        <v>213</v>
      </c>
      <c r="S1864" s="2" t="s">
        <v>117</v>
      </c>
      <c r="T1864" s="2">
        <v>20</v>
      </c>
      <c r="U1864" t="s">
        <v>28</v>
      </c>
      <c r="V1864" t="s">
        <v>28</v>
      </c>
      <c r="W1864">
        <v>29</v>
      </c>
      <c r="X1864">
        <v>8.68</v>
      </c>
      <c r="Y1864">
        <f>10.51-X1864</f>
        <v>1.83</v>
      </c>
      <c r="AA1864" s="6"/>
      <c r="AB1864" s="6"/>
    </row>
    <row r="1865" spans="1:28" x14ac:dyDescent="0.2">
      <c r="A1865" t="s">
        <v>277</v>
      </c>
      <c r="B1865">
        <v>2015</v>
      </c>
      <c r="C1865" t="s">
        <v>826</v>
      </c>
      <c r="D1865" t="s">
        <v>812</v>
      </c>
      <c r="E1865" t="s">
        <v>338</v>
      </c>
      <c r="F1865" t="s">
        <v>278</v>
      </c>
      <c r="G1865">
        <v>34.679462000000001</v>
      </c>
      <c r="H1865">
        <v>139.44164699999999</v>
      </c>
      <c r="I1865" t="s">
        <v>761</v>
      </c>
      <c r="J1865" t="s">
        <v>14</v>
      </c>
      <c r="K1865" t="s">
        <v>41</v>
      </c>
      <c r="L1865" t="s">
        <v>3</v>
      </c>
      <c r="M1865" t="s">
        <v>26</v>
      </c>
      <c r="N1865" t="s">
        <v>85</v>
      </c>
      <c r="O1865" s="6" t="s">
        <v>840</v>
      </c>
      <c r="P1865" t="s">
        <v>72</v>
      </c>
      <c r="Q1865">
        <v>6</v>
      </c>
      <c r="R1865" t="s">
        <v>213</v>
      </c>
      <c r="S1865" s="2" t="s">
        <v>118</v>
      </c>
      <c r="T1865" s="2">
        <v>20</v>
      </c>
      <c r="U1865" t="s">
        <v>28</v>
      </c>
      <c r="V1865" t="s">
        <v>28</v>
      </c>
      <c r="W1865">
        <v>30</v>
      </c>
      <c r="X1865">
        <v>6.13</v>
      </c>
      <c r="Y1865">
        <f>7.96-X1865</f>
        <v>1.83</v>
      </c>
      <c r="AA1865" s="6"/>
      <c r="AB1865" s="6"/>
    </row>
    <row r="1866" spans="1:28" x14ac:dyDescent="0.2">
      <c r="A1866" t="s">
        <v>277</v>
      </c>
      <c r="B1866">
        <v>2015</v>
      </c>
      <c r="C1866" t="s">
        <v>826</v>
      </c>
      <c r="D1866" t="s">
        <v>812</v>
      </c>
      <c r="E1866" t="s">
        <v>338</v>
      </c>
      <c r="F1866" t="s">
        <v>278</v>
      </c>
      <c r="G1866">
        <v>34.679462000000001</v>
      </c>
      <c r="H1866">
        <v>139.44164699999999</v>
      </c>
      <c r="I1866" t="s">
        <v>761</v>
      </c>
      <c r="J1866" t="s">
        <v>14</v>
      </c>
      <c r="K1866" t="s">
        <v>41</v>
      </c>
      <c r="L1866" t="s">
        <v>3</v>
      </c>
      <c r="M1866" t="s">
        <v>26</v>
      </c>
      <c r="N1866" t="s">
        <v>85</v>
      </c>
      <c r="O1866" s="6" t="s">
        <v>840</v>
      </c>
      <c r="P1866" t="s">
        <v>72</v>
      </c>
      <c r="Q1866">
        <v>6</v>
      </c>
      <c r="R1866" t="s">
        <v>213</v>
      </c>
      <c r="S1866" s="2" t="s">
        <v>177</v>
      </c>
      <c r="T1866" s="2">
        <v>20</v>
      </c>
      <c r="U1866" t="s">
        <v>28</v>
      </c>
      <c r="V1866" t="s">
        <v>28</v>
      </c>
      <c r="W1866">
        <v>31</v>
      </c>
      <c r="X1866">
        <v>0.06</v>
      </c>
      <c r="Y1866">
        <v>0</v>
      </c>
      <c r="AA1866" s="6"/>
      <c r="AB1866" s="6"/>
    </row>
    <row r="1867" spans="1:28" x14ac:dyDescent="0.2">
      <c r="A1867" t="s">
        <v>277</v>
      </c>
      <c r="B1867">
        <v>2015</v>
      </c>
      <c r="C1867" t="s">
        <v>826</v>
      </c>
      <c r="D1867" t="s">
        <v>812</v>
      </c>
      <c r="E1867" t="s">
        <v>338</v>
      </c>
      <c r="F1867" t="s">
        <v>278</v>
      </c>
      <c r="G1867">
        <v>34.679462000000001</v>
      </c>
      <c r="H1867">
        <v>139.44164699999999</v>
      </c>
      <c r="I1867" t="s">
        <v>761</v>
      </c>
      <c r="J1867" t="s">
        <v>14</v>
      </c>
      <c r="K1867" t="s">
        <v>41</v>
      </c>
      <c r="L1867" t="s">
        <v>3</v>
      </c>
      <c r="M1867" t="s">
        <v>26</v>
      </c>
      <c r="N1867" t="s">
        <v>85</v>
      </c>
      <c r="O1867" s="6" t="s">
        <v>840</v>
      </c>
      <c r="P1867" t="s">
        <v>72</v>
      </c>
      <c r="Q1867">
        <v>6</v>
      </c>
      <c r="R1867" t="s">
        <v>213</v>
      </c>
      <c r="S1867" s="2" t="s">
        <v>178</v>
      </c>
      <c r="T1867" s="2">
        <v>20</v>
      </c>
      <c r="U1867" t="s">
        <v>28</v>
      </c>
      <c r="V1867" t="s">
        <v>28</v>
      </c>
      <c r="W1867">
        <v>32</v>
      </c>
      <c r="X1867">
        <v>0.12</v>
      </c>
      <c r="Y1867">
        <v>0</v>
      </c>
      <c r="AA1867" s="6"/>
      <c r="AB1867" s="6"/>
    </row>
    <row r="1868" spans="1:28" x14ac:dyDescent="0.2">
      <c r="A1868" t="s">
        <v>277</v>
      </c>
      <c r="B1868">
        <v>2015</v>
      </c>
      <c r="C1868" t="s">
        <v>826</v>
      </c>
      <c r="D1868" t="s">
        <v>812</v>
      </c>
      <c r="E1868" t="s">
        <v>338</v>
      </c>
      <c r="F1868" t="s">
        <v>278</v>
      </c>
      <c r="G1868">
        <v>34.679462000000001</v>
      </c>
      <c r="H1868">
        <v>139.44164699999999</v>
      </c>
      <c r="I1868" t="s">
        <v>761</v>
      </c>
      <c r="J1868" t="s">
        <v>14</v>
      </c>
      <c r="K1868" t="s">
        <v>41</v>
      </c>
      <c r="L1868" t="s">
        <v>3</v>
      </c>
      <c r="M1868" t="s">
        <v>26</v>
      </c>
      <c r="N1868" t="s">
        <v>85</v>
      </c>
      <c r="O1868" s="6" t="s">
        <v>840</v>
      </c>
      <c r="P1868" t="s">
        <v>72</v>
      </c>
      <c r="Q1868">
        <v>6</v>
      </c>
      <c r="R1868" t="s">
        <v>213</v>
      </c>
      <c r="S1868" s="2" t="s">
        <v>179</v>
      </c>
      <c r="T1868" s="2">
        <v>20</v>
      </c>
      <c r="U1868" t="s">
        <v>28</v>
      </c>
      <c r="V1868" t="s">
        <v>28</v>
      </c>
      <c r="W1868">
        <v>33</v>
      </c>
      <c r="X1868">
        <v>0.12</v>
      </c>
      <c r="Y1868">
        <v>0</v>
      </c>
      <c r="AA1868" s="6"/>
      <c r="AB1868" s="6"/>
    </row>
    <row r="1869" spans="1:28" x14ac:dyDescent="0.2">
      <c r="A1869" t="s">
        <v>277</v>
      </c>
      <c r="B1869">
        <v>2015</v>
      </c>
      <c r="C1869" t="s">
        <v>826</v>
      </c>
      <c r="D1869" t="s">
        <v>812</v>
      </c>
      <c r="E1869" t="s">
        <v>338</v>
      </c>
      <c r="F1869" t="s">
        <v>278</v>
      </c>
      <c r="G1869">
        <v>34.679462000000001</v>
      </c>
      <c r="H1869">
        <v>139.44164699999999</v>
      </c>
      <c r="I1869" t="s">
        <v>761</v>
      </c>
      <c r="J1869" t="s">
        <v>7</v>
      </c>
      <c r="K1869" t="s">
        <v>40</v>
      </c>
      <c r="L1869" t="s">
        <v>3</v>
      </c>
      <c r="M1869" t="s">
        <v>12</v>
      </c>
      <c r="N1869" t="s">
        <v>85</v>
      </c>
      <c r="O1869" s="6" t="s">
        <v>12</v>
      </c>
      <c r="P1869" t="s">
        <v>70</v>
      </c>
      <c r="Q1869">
        <v>6</v>
      </c>
      <c r="R1869" t="s">
        <v>213</v>
      </c>
      <c r="S1869" s="2" t="s">
        <v>7</v>
      </c>
      <c r="T1869">
        <v>1</v>
      </c>
      <c r="U1869" t="s">
        <v>28</v>
      </c>
      <c r="V1869" t="s">
        <v>28</v>
      </c>
      <c r="W1869">
        <v>22</v>
      </c>
      <c r="X1869">
        <v>100</v>
      </c>
      <c r="Y1869" t="s">
        <v>28</v>
      </c>
    </row>
    <row r="1870" spans="1:28" x14ac:dyDescent="0.2">
      <c r="A1870" t="s">
        <v>277</v>
      </c>
      <c r="B1870">
        <v>2015</v>
      </c>
      <c r="C1870" t="s">
        <v>826</v>
      </c>
      <c r="D1870" t="s">
        <v>812</v>
      </c>
      <c r="E1870" t="s">
        <v>338</v>
      </c>
      <c r="F1870" t="s">
        <v>278</v>
      </c>
      <c r="G1870">
        <v>34.679462000000001</v>
      </c>
      <c r="H1870">
        <v>139.44164699999999</v>
      </c>
      <c r="I1870" t="s">
        <v>761</v>
      </c>
      <c r="J1870" t="s">
        <v>14</v>
      </c>
      <c r="K1870" t="s">
        <v>40</v>
      </c>
      <c r="L1870" t="s">
        <v>3</v>
      </c>
      <c r="M1870" t="s">
        <v>12</v>
      </c>
      <c r="N1870" t="s">
        <v>85</v>
      </c>
      <c r="O1870" s="6" t="s">
        <v>12</v>
      </c>
      <c r="P1870" t="s">
        <v>70</v>
      </c>
      <c r="Q1870">
        <v>6</v>
      </c>
      <c r="R1870" t="s">
        <v>213</v>
      </c>
      <c r="S1870" s="2" t="s">
        <v>9</v>
      </c>
      <c r="T1870">
        <v>1</v>
      </c>
      <c r="U1870" t="s">
        <v>28</v>
      </c>
      <c r="V1870" t="s">
        <v>28</v>
      </c>
      <c r="W1870">
        <v>23</v>
      </c>
      <c r="X1870">
        <v>100</v>
      </c>
      <c r="Y1870" t="s">
        <v>28</v>
      </c>
    </row>
    <row r="1871" spans="1:28" x14ac:dyDescent="0.2">
      <c r="A1871" t="s">
        <v>277</v>
      </c>
      <c r="B1871">
        <v>2015</v>
      </c>
      <c r="C1871" t="s">
        <v>826</v>
      </c>
      <c r="D1871" t="s">
        <v>812</v>
      </c>
      <c r="E1871" t="s">
        <v>338</v>
      </c>
      <c r="F1871" t="s">
        <v>278</v>
      </c>
      <c r="G1871">
        <v>34.679462000000001</v>
      </c>
      <c r="H1871">
        <v>139.44164699999999</v>
      </c>
      <c r="I1871" t="s">
        <v>761</v>
      </c>
      <c r="J1871" t="s">
        <v>14</v>
      </c>
      <c r="K1871" t="s">
        <v>40</v>
      </c>
      <c r="L1871" t="s">
        <v>3</v>
      </c>
      <c r="M1871" t="s">
        <v>12</v>
      </c>
      <c r="N1871" t="s">
        <v>85</v>
      </c>
      <c r="O1871" s="6" t="s">
        <v>12</v>
      </c>
      <c r="P1871" t="s">
        <v>70</v>
      </c>
      <c r="Q1871">
        <v>6</v>
      </c>
      <c r="R1871" t="s">
        <v>213</v>
      </c>
      <c r="S1871" s="2" t="s">
        <v>27</v>
      </c>
      <c r="T1871">
        <v>1</v>
      </c>
      <c r="U1871" t="s">
        <v>28</v>
      </c>
      <c r="V1871" t="s">
        <v>28</v>
      </c>
      <c r="W1871">
        <v>24</v>
      </c>
      <c r="X1871">
        <v>100</v>
      </c>
      <c r="Y1871" t="s">
        <v>28</v>
      </c>
    </row>
    <row r="1872" spans="1:28" x14ac:dyDescent="0.2">
      <c r="A1872" t="s">
        <v>277</v>
      </c>
      <c r="B1872">
        <v>2015</v>
      </c>
      <c r="C1872" t="s">
        <v>826</v>
      </c>
      <c r="D1872" t="s">
        <v>812</v>
      </c>
      <c r="E1872" t="s">
        <v>338</v>
      </c>
      <c r="F1872" t="s">
        <v>278</v>
      </c>
      <c r="G1872">
        <v>34.679462000000001</v>
      </c>
      <c r="H1872">
        <v>139.44164699999999</v>
      </c>
      <c r="I1872" t="s">
        <v>761</v>
      </c>
      <c r="J1872" t="s">
        <v>14</v>
      </c>
      <c r="K1872" t="s">
        <v>40</v>
      </c>
      <c r="L1872" t="s">
        <v>3</v>
      </c>
      <c r="M1872" t="s">
        <v>12</v>
      </c>
      <c r="N1872" t="s">
        <v>85</v>
      </c>
      <c r="O1872" s="6" t="s">
        <v>12</v>
      </c>
      <c r="P1872" t="s">
        <v>70</v>
      </c>
      <c r="Q1872">
        <v>6</v>
      </c>
      <c r="R1872" t="s">
        <v>213</v>
      </c>
      <c r="S1872" s="2" t="s">
        <v>13</v>
      </c>
      <c r="T1872">
        <v>1</v>
      </c>
      <c r="U1872" t="s">
        <v>28</v>
      </c>
      <c r="V1872" t="s">
        <v>28</v>
      </c>
      <c r="W1872">
        <v>25</v>
      </c>
      <c r="X1872">
        <v>100.2</v>
      </c>
      <c r="Y1872" t="s">
        <v>28</v>
      </c>
    </row>
    <row r="1873" spans="1:25" x14ac:dyDescent="0.2">
      <c r="A1873" t="s">
        <v>277</v>
      </c>
      <c r="B1873">
        <v>2015</v>
      </c>
      <c r="C1873" t="s">
        <v>826</v>
      </c>
      <c r="D1873" t="s">
        <v>812</v>
      </c>
      <c r="E1873" t="s">
        <v>338</v>
      </c>
      <c r="F1873" t="s">
        <v>278</v>
      </c>
      <c r="G1873">
        <v>34.679462000000001</v>
      </c>
      <c r="H1873">
        <v>139.44164699999999</v>
      </c>
      <c r="I1873" t="s">
        <v>761</v>
      </c>
      <c r="J1873" t="s">
        <v>14</v>
      </c>
      <c r="K1873" t="s">
        <v>40</v>
      </c>
      <c r="L1873" t="s">
        <v>3</v>
      </c>
      <c r="M1873" t="s">
        <v>12</v>
      </c>
      <c r="N1873" t="s">
        <v>85</v>
      </c>
      <c r="O1873" s="6" t="s">
        <v>12</v>
      </c>
      <c r="P1873" t="s">
        <v>70</v>
      </c>
      <c r="Q1873">
        <v>6</v>
      </c>
      <c r="R1873" t="s">
        <v>213</v>
      </c>
      <c r="S1873" s="2" t="s">
        <v>15</v>
      </c>
      <c r="T1873">
        <v>1</v>
      </c>
      <c r="U1873" t="s">
        <v>28</v>
      </c>
      <c r="V1873" t="s">
        <v>28</v>
      </c>
      <c r="W1873">
        <v>26</v>
      </c>
      <c r="X1873">
        <v>97.39</v>
      </c>
      <c r="Y1873" t="s">
        <v>28</v>
      </c>
    </row>
    <row r="1874" spans="1:25" x14ac:dyDescent="0.2">
      <c r="A1874" t="s">
        <v>277</v>
      </c>
      <c r="B1874">
        <v>2015</v>
      </c>
      <c r="C1874" t="s">
        <v>826</v>
      </c>
      <c r="D1874" t="s">
        <v>812</v>
      </c>
      <c r="E1874" t="s">
        <v>338</v>
      </c>
      <c r="F1874" t="s">
        <v>278</v>
      </c>
      <c r="G1874">
        <v>34.679462000000001</v>
      </c>
      <c r="H1874">
        <v>139.44164699999999</v>
      </c>
      <c r="I1874" t="s">
        <v>761</v>
      </c>
      <c r="J1874" t="s">
        <v>14</v>
      </c>
      <c r="K1874" t="s">
        <v>40</v>
      </c>
      <c r="L1874" t="s">
        <v>3</v>
      </c>
      <c r="M1874" t="s">
        <v>12</v>
      </c>
      <c r="N1874" t="s">
        <v>85</v>
      </c>
      <c r="O1874" s="6" t="s">
        <v>12</v>
      </c>
      <c r="P1874" t="s">
        <v>70</v>
      </c>
      <c r="Q1874">
        <v>6</v>
      </c>
      <c r="R1874" t="s">
        <v>213</v>
      </c>
      <c r="S1874" s="2" t="s">
        <v>37</v>
      </c>
      <c r="T1874">
        <v>1</v>
      </c>
      <c r="U1874" t="s">
        <v>28</v>
      </c>
      <c r="V1874" t="s">
        <v>28</v>
      </c>
      <c r="W1874">
        <v>27</v>
      </c>
      <c r="X1874">
        <v>100.2</v>
      </c>
      <c r="Y1874" t="s">
        <v>28</v>
      </c>
    </row>
    <row r="1875" spans="1:25" x14ac:dyDescent="0.2">
      <c r="A1875" t="s">
        <v>277</v>
      </c>
      <c r="B1875">
        <v>2015</v>
      </c>
      <c r="C1875" t="s">
        <v>826</v>
      </c>
      <c r="D1875" t="s">
        <v>812</v>
      </c>
      <c r="E1875" t="s">
        <v>338</v>
      </c>
      <c r="F1875" t="s">
        <v>278</v>
      </c>
      <c r="G1875">
        <v>34.679462000000001</v>
      </c>
      <c r="H1875">
        <v>139.44164699999999</v>
      </c>
      <c r="I1875" t="s">
        <v>761</v>
      </c>
      <c r="J1875" t="s">
        <v>14</v>
      </c>
      <c r="K1875" t="s">
        <v>40</v>
      </c>
      <c r="L1875" t="s">
        <v>3</v>
      </c>
      <c r="M1875" t="s">
        <v>12</v>
      </c>
      <c r="N1875" t="s">
        <v>85</v>
      </c>
      <c r="O1875" s="6" t="s">
        <v>12</v>
      </c>
      <c r="P1875" t="s">
        <v>70</v>
      </c>
      <c r="Q1875">
        <v>6</v>
      </c>
      <c r="R1875" t="s">
        <v>213</v>
      </c>
      <c r="S1875" s="2" t="s">
        <v>116</v>
      </c>
      <c r="T1875">
        <v>1</v>
      </c>
      <c r="U1875" t="s">
        <v>28</v>
      </c>
      <c r="V1875" t="s">
        <v>28</v>
      </c>
      <c r="W1875">
        <v>28</v>
      </c>
      <c r="X1875">
        <v>98.39</v>
      </c>
      <c r="Y1875" t="s">
        <v>28</v>
      </c>
    </row>
    <row r="1876" spans="1:25" x14ac:dyDescent="0.2">
      <c r="A1876" t="s">
        <v>277</v>
      </c>
      <c r="B1876">
        <v>2015</v>
      </c>
      <c r="C1876" t="s">
        <v>826</v>
      </c>
      <c r="D1876" t="s">
        <v>812</v>
      </c>
      <c r="E1876" t="s">
        <v>338</v>
      </c>
      <c r="F1876" t="s">
        <v>278</v>
      </c>
      <c r="G1876">
        <v>34.679462000000001</v>
      </c>
      <c r="H1876">
        <v>139.44164699999999</v>
      </c>
      <c r="I1876" t="s">
        <v>761</v>
      </c>
      <c r="J1876" t="s">
        <v>14</v>
      </c>
      <c r="K1876" t="s">
        <v>40</v>
      </c>
      <c r="L1876" t="s">
        <v>3</v>
      </c>
      <c r="M1876" t="s">
        <v>12</v>
      </c>
      <c r="N1876" t="s">
        <v>85</v>
      </c>
      <c r="O1876" s="6" t="s">
        <v>12</v>
      </c>
      <c r="P1876" t="s">
        <v>70</v>
      </c>
      <c r="Q1876">
        <v>6</v>
      </c>
      <c r="R1876" t="s">
        <v>213</v>
      </c>
      <c r="S1876" s="2" t="s">
        <v>117</v>
      </c>
      <c r="T1876">
        <v>1</v>
      </c>
      <c r="U1876" t="s">
        <v>28</v>
      </c>
      <c r="V1876" t="s">
        <v>28</v>
      </c>
      <c r="W1876">
        <v>29</v>
      </c>
      <c r="X1876">
        <v>98.39</v>
      </c>
      <c r="Y1876" t="s">
        <v>28</v>
      </c>
    </row>
    <row r="1877" spans="1:25" x14ac:dyDescent="0.2">
      <c r="A1877" t="s">
        <v>277</v>
      </c>
      <c r="B1877">
        <v>2015</v>
      </c>
      <c r="C1877" t="s">
        <v>826</v>
      </c>
      <c r="D1877" t="s">
        <v>812</v>
      </c>
      <c r="E1877" t="s">
        <v>338</v>
      </c>
      <c r="F1877" t="s">
        <v>278</v>
      </c>
      <c r="G1877">
        <v>34.679462000000001</v>
      </c>
      <c r="H1877">
        <v>139.44164699999999</v>
      </c>
      <c r="I1877" t="s">
        <v>761</v>
      </c>
      <c r="J1877" t="s">
        <v>14</v>
      </c>
      <c r="K1877" t="s">
        <v>40</v>
      </c>
      <c r="L1877" t="s">
        <v>3</v>
      </c>
      <c r="M1877" t="s">
        <v>12</v>
      </c>
      <c r="N1877" t="s">
        <v>85</v>
      </c>
      <c r="O1877" s="6" t="s">
        <v>12</v>
      </c>
      <c r="P1877" t="s">
        <v>70</v>
      </c>
      <c r="Q1877">
        <v>6</v>
      </c>
      <c r="R1877" t="s">
        <v>213</v>
      </c>
      <c r="S1877" s="2" t="s">
        <v>118</v>
      </c>
      <c r="T1877">
        <v>1</v>
      </c>
      <c r="U1877" t="s">
        <v>28</v>
      </c>
      <c r="V1877" t="s">
        <v>28</v>
      </c>
      <c r="W1877">
        <v>30</v>
      </c>
      <c r="X1877">
        <v>97.59</v>
      </c>
      <c r="Y1877" t="s">
        <v>28</v>
      </c>
    </row>
    <row r="1878" spans="1:25" x14ac:dyDescent="0.2">
      <c r="A1878" t="s">
        <v>277</v>
      </c>
      <c r="B1878">
        <v>2015</v>
      </c>
      <c r="C1878" t="s">
        <v>826</v>
      </c>
      <c r="D1878" t="s">
        <v>812</v>
      </c>
      <c r="E1878" t="s">
        <v>338</v>
      </c>
      <c r="F1878" t="s">
        <v>278</v>
      </c>
      <c r="G1878">
        <v>34.679462000000001</v>
      </c>
      <c r="H1878">
        <v>139.44164699999999</v>
      </c>
      <c r="I1878" t="s">
        <v>761</v>
      </c>
      <c r="J1878" t="s">
        <v>14</v>
      </c>
      <c r="K1878" t="s">
        <v>40</v>
      </c>
      <c r="L1878" t="s">
        <v>3</v>
      </c>
      <c r="M1878" t="s">
        <v>12</v>
      </c>
      <c r="N1878" t="s">
        <v>85</v>
      </c>
      <c r="O1878" s="6" t="s">
        <v>12</v>
      </c>
      <c r="P1878" t="s">
        <v>70</v>
      </c>
      <c r="Q1878">
        <v>6</v>
      </c>
      <c r="R1878" t="s">
        <v>213</v>
      </c>
      <c r="S1878" s="2" t="s">
        <v>177</v>
      </c>
      <c r="T1878">
        <v>1</v>
      </c>
      <c r="U1878" t="s">
        <v>28</v>
      </c>
      <c r="V1878" t="s">
        <v>28</v>
      </c>
      <c r="W1878">
        <v>31</v>
      </c>
      <c r="X1878">
        <v>55.02</v>
      </c>
      <c r="Y1878" t="s">
        <v>28</v>
      </c>
    </row>
    <row r="1879" spans="1:25" x14ac:dyDescent="0.2">
      <c r="A1879" t="s">
        <v>277</v>
      </c>
      <c r="B1879">
        <v>2015</v>
      </c>
      <c r="C1879" t="s">
        <v>826</v>
      </c>
      <c r="D1879" t="s">
        <v>812</v>
      </c>
      <c r="E1879" t="s">
        <v>338</v>
      </c>
      <c r="F1879" t="s">
        <v>278</v>
      </c>
      <c r="G1879">
        <v>34.679462000000001</v>
      </c>
      <c r="H1879">
        <v>139.44164699999999</v>
      </c>
      <c r="I1879" t="s">
        <v>761</v>
      </c>
      <c r="J1879" t="s">
        <v>14</v>
      </c>
      <c r="K1879" t="s">
        <v>40</v>
      </c>
      <c r="L1879" t="s">
        <v>3</v>
      </c>
      <c r="M1879" t="s">
        <v>12</v>
      </c>
      <c r="N1879" t="s">
        <v>85</v>
      </c>
      <c r="O1879" s="6" t="s">
        <v>12</v>
      </c>
      <c r="P1879" t="s">
        <v>70</v>
      </c>
      <c r="Q1879">
        <v>6</v>
      </c>
      <c r="R1879" t="s">
        <v>213</v>
      </c>
      <c r="S1879" s="2" t="s">
        <v>178</v>
      </c>
      <c r="T1879">
        <v>1</v>
      </c>
      <c r="U1879" t="s">
        <v>28</v>
      </c>
      <c r="V1879" t="s">
        <v>28</v>
      </c>
      <c r="W1879">
        <v>32</v>
      </c>
      <c r="X1879">
        <v>0.4</v>
      </c>
      <c r="Y1879" t="s">
        <v>28</v>
      </c>
    </row>
    <row r="1880" spans="1:25" x14ac:dyDescent="0.2">
      <c r="A1880" t="s">
        <v>277</v>
      </c>
      <c r="B1880">
        <v>2015</v>
      </c>
      <c r="C1880" t="s">
        <v>826</v>
      </c>
      <c r="D1880" t="s">
        <v>812</v>
      </c>
      <c r="E1880" t="s">
        <v>338</v>
      </c>
      <c r="F1880" t="s">
        <v>278</v>
      </c>
      <c r="G1880">
        <v>34.679462000000001</v>
      </c>
      <c r="H1880">
        <v>139.44164699999999</v>
      </c>
      <c r="I1880" t="s">
        <v>761</v>
      </c>
      <c r="J1880" t="s">
        <v>14</v>
      </c>
      <c r="K1880" t="s">
        <v>40</v>
      </c>
      <c r="L1880" t="s">
        <v>3</v>
      </c>
      <c r="M1880" t="s">
        <v>12</v>
      </c>
      <c r="N1880" t="s">
        <v>85</v>
      </c>
      <c r="O1880" s="6" t="s">
        <v>12</v>
      </c>
      <c r="P1880" t="s">
        <v>70</v>
      </c>
      <c r="Q1880">
        <v>6</v>
      </c>
      <c r="R1880" t="s">
        <v>213</v>
      </c>
      <c r="S1880" s="2" t="s">
        <v>179</v>
      </c>
      <c r="T1880">
        <v>1</v>
      </c>
      <c r="U1880" t="s">
        <v>28</v>
      </c>
      <c r="V1880" t="s">
        <v>28</v>
      </c>
      <c r="W1880">
        <v>33</v>
      </c>
      <c r="X1880">
        <v>0.2</v>
      </c>
      <c r="Y1880" t="s">
        <v>28</v>
      </c>
    </row>
    <row r="1881" spans="1:25" x14ac:dyDescent="0.2">
      <c r="A1881" t="s">
        <v>277</v>
      </c>
      <c r="B1881">
        <v>2015</v>
      </c>
      <c r="C1881" t="s">
        <v>826</v>
      </c>
      <c r="D1881" t="s">
        <v>812</v>
      </c>
      <c r="E1881" t="s">
        <v>338</v>
      </c>
      <c r="F1881" t="s">
        <v>278</v>
      </c>
      <c r="G1881">
        <v>34.679462000000001</v>
      </c>
      <c r="H1881">
        <v>139.44164699999999</v>
      </c>
      <c r="I1881" t="s">
        <v>761</v>
      </c>
      <c r="J1881" t="s">
        <v>7</v>
      </c>
      <c r="K1881" t="s">
        <v>41</v>
      </c>
      <c r="L1881" t="s">
        <v>3</v>
      </c>
      <c r="M1881" t="s">
        <v>12</v>
      </c>
      <c r="N1881" t="s">
        <v>85</v>
      </c>
      <c r="O1881" s="6" t="s">
        <v>12</v>
      </c>
      <c r="P1881" t="s">
        <v>70</v>
      </c>
      <c r="Q1881">
        <v>6</v>
      </c>
      <c r="R1881" t="s">
        <v>213</v>
      </c>
      <c r="S1881" s="2" t="s">
        <v>7</v>
      </c>
      <c r="T1881">
        <v>1</v>
      </c>
      <c r="U1881" t="s">
        <v>28</v>
      </c>
      <c r="V1881" t="s">
        <v>28</v>
      </c>
      <c r="W1881">
        <v>22</v>
      </c>
      <c r="X1881">
        <v>98.19</v>
      </c>
      <c r="Y1881" t="s">
        <v>28</v>
      </c>
    </row>
    <row r="1882" spans="1:25" x14ac:dyDescent="0.2">
      <c r="A1882" t="s">
        <v>277</v>
      </c>
      <c r="B1882">
        <v>2015</v>
      </c>
      <c r="C1882" t="s">
        <v>826</v>
      </c>
      <c r="D1882" t="s">
        <v>812</v>
      </c>
      <c r="E1882" t="s">
        <v>338</v>
      </c>
      <c r="F1882" t="s">
        <v>278</v>
      </c>
      <c r="G1882">
        <v>34.679462000000001</v>
      </c>
      <c r="H1882">
        <v>139.44164699999999</v>
      </c>
      <c r="I1882" t="s">
        <v>761</v>
      </c>
      <c r="J1882" t="s">
        <v>14</v>
      </c>
      <c r="K1882" t="s">
        <v>41</v>
      </c>
      <c r="L1882" t="s">
        <v>3</v>
      </c>
      <c r="M1882" t="s">
        <v>12</v>
      </c>
      <c r="N1882" t="s">
        <v>85</v>
      </c>
      <c r="O1882" s="6" t="s">
        <v>12</v>
      </c>
      <c r="P1882" t="s">
        <v>70</v>
      </c>
      <c r="Q1882">
        <v>6</v>
      </c>
      <c r="R1882" t="s">
        <v>213</v>
      </c>
      <c r="S1882" s="2" t="s">
        <v>9</v>
      </c>
      <c r="T1882">
        <v>1</v>
      </c>
      <c r="U1882" t="s">
        <v>28</v>
      </c>
      <c r="V1882" t="s">
        <v>28</v>
      </c>
      <c r="W1882">
        <v>23</v>
      </c>
      <c r="X1882">
        <v>100.2</v>
      </c>
      <c r="Y1882" t="s">
        <v>28</v>
      </c>
    </row>
    <row r="1883" spans="1:25" x14ac:dyDescent="0.2">
      <c r="A1883" t="s">
        <v>277</v>
      </c>
      <c r="B1883">
        <v>2015</v>
      </c>
      <c r="C1883" t="s">
        <v>826</v>
      </c>
      <c r="D1883" t="s">
        <v>812</v>
      </c>
      <c r="E1883" t="s">
        <v>338</v>
      </c>
      <c r="F1883" t="s">
        <v>278</v>
      </c>
      <c r="G1883">
        <v>34.679462000000001</v>
      </c>
      <c r="H1883">
        <v>139.44164699999999</v>
      </c>
      <c r="I1883" t="s">
        <v>761</v>
      </c>
      <c r="J1883" t="s">
        <v>14</v>
      </c>
      <c r="K1883" t="s">
        <v>41</v>
      </c>
      <c r="L1883" t="s">
        <v>3</v>
      </c>
      <c r="M1883" t="s">
        <v>12</v>
      </c>
      <c r="N1883" t="s">
        <v>85</v>
      </c>
      <c r="O1883" s="6" t="s">
        <v>12</v>
      </c>
      <c r="P1883" t="s">
        <v>70</v>
      </c>
      <c r="Q1883">
        <v>6</v>
      </c>
      <c r="R1883" t="s">
        <v>213</v>
      </c>
      <c r="S1883" s="2" t="s">
        <v>27</v>
      </c>
      <c r="T1883">
        <v>1</v>
      </c>
      <c r="U1883" t="s">
        <v>28</v>
      </c>
      <c r="V1883" t="s">
        <v>28</v>
      </c>
      <c r="W1883">
        <v>24</v>
      </c>
      <c r="X1883">
        <v>100.2</v>
      </c>
      <c r="Y1883" t="s">
        <v>28</v>
      </c>
    </row>
    <row r="1884" spans="1:25" x14ac:dyDescent="0.2">
      <c r="A1884" t="s">
        <v>277</v>
      </c>
      <c r="B1884">
        <v>2015</v>
      </c>
      <c r="C1884" t="s">
        <v>826</v>
      </c>
      <c r="D1884" t="s">
        <v>812</v>
      </c>
      <c r="E1884" t="s">
        <v>338</v>
      </c>
      <c r="F1884" t="s">
        <v>278</v>
      </c>
      <c r="G1884">
        <v>34.679462000000001</v>
      </c>
      <c r="H1884">
        <v>139.44164699999999</v>
      </c>
      <c r="I1884" t="s">
        <v>761</v>
      </c>
      <c r="J1884" t="s">
        <v>14</v>
      </c>
      <c r="K1884" t="s">
        <v>41</v>
      </c>
      <c r="L1884" t="s">
        <v>3</v>
      </c>
      <c r="M1884" t="s">
        <v>12</v>
      </c>
      <c r="N1884" t="s">
        <v>85</v>
      </c>
      <c r="O1884" s="6" t="s">
        <v>12</v>
      </c>
      <c r="P1884" t="s">
        <v>70</v>
      </c>
      <c r="Q1884">
        <v>6</v>
      </c>
      <c r="R1884" t="s">
        <v>213</v>
      </c>
      <c r="S1884" s="2" t="s">
        <v>13</v>
      </c>
      <c r="T1884">
        <v>1</v>
      </c>
      <c r="U1884" t="s">
        <v>28</v>
      </c>
      <c r="V1884" t="s">
        <v>28</v>
      </c>
      <c r="W1884">
        <v>25</v>
      </c>
      <c r="X1884">
        <v>97.38</v>
      </c>
      <c r="Y1884" t="s">
        <v>28</v>
      </c>
    </row>
    <row r="1885" spans="1:25" x14ac:dyDescent="0.2">
      <c r="A1885" t="s">
        <v>277</v>
      </c>
      <c r="B1885">
        <v>2015</v>
      </c>
      <c r="C1885" t="s">
        <v>826</v>
      </c>
      <c r="D1885" t="s">
        <v>812</v>
      </c>
      <c r="E1885" t="s">
        <v>338</v>
      </c>
      <c r="F1885" t="s">
        <v>278</v>
      </c>
      <c r="G1885">
        <v>34.679462000000001</v>
      </c>
      <c r="H1885">
        <v>139.44164699999999</v>
      </c>
      <c r="I1885" t="s">
        <v>761</v>
      </c>
      <c r="J1885" t="s">
        <v>14</v>
      </c>
      <c r="K1885" t="s">
        <v>41</v>
      </c>
      <c r="L1885" t="s">
        <v>3</v>
      </c>
      <c r="M1885" t="s">
        <v>12</v>
      </c>
      <c r="N1885" t="s">
        <v>85</v>
      </c>
      <c r="O1885" s="6" t="s">
        <v>12</v>
      </c>
      <c r="P1885" t="s">
        <v>70</v>
      </c>
      <c r="Q1885">
        <v>6</v>
      </c>
      <c r="R1885" t="s">
        <v>213</v>
      </c>
      <c r="S1885" s="2" t="s">
        <v>15</v>
      </c>
      <c r="T1885">
        <v>1</v>
      </c>
      <c r="U1885" t="s">
        <v>28</v>
      </c>
      <c r="V1885" t="s">
        <v>28</v>
      </c>
      <c r="W1885">
        <v>26</v>
      </c>
      <c r="X1885">
        <v>95.57</v>
      </c>
      <c r="Y1885" t="s">
        <v>28</v>
      </c>
    </row>
    <row r="1886" spans="1:25" x14ac:dyDescent="0.2">
      <c r="A1886" t="s">
        <v>277</v>
      </c>
      <c r="B1886">
        <v>2015</v>
      </c>
      <c r="C1886" t="s">
        <v>826</v>
      </c>
      <c r="D1886" t="s">
        <v>812</v>
      </c>
      <c r="E1886" t="s">
        <v>338</v>
      </c>
      <c r="F1886" t="s">
        <v>278</v>
      </c>
      <c r="G1886">
        <v>34.679462000000001</v>
      </c>
      <c r="H1886">
        <v>139.44164699999999</v>
      </c>
      <c r="I1886" t="s">
        <v>761</v>
      </c>
      <c r="J1886" t="s">
        <v>14</v>
      </c>
      <c r="K1886" t="s">
        <v>41</v>
      </c>
      <c r="L1886" t="s">
        <v>3</v>
      </c>
      <c r="M1886" t="s">
        <v>12</v>
      </c>
      <c r="N1886" t="s">
        <v>85</v>
      </c>
      <c r="O1886" s="6" t="s">
        <v>12</v>
      </c>
      <c r="P1886" t="s">
        <v>70</v>
      </c>
      <c r="Q1886">
        <v>6</v>
      </c>
      <c r="R1886" t="s">
        <v>213</v>
      </c>
      <c r="S1886" s="2" t="s">
        <v>37</v>
      </c>
      <c r="T1886">
        <v>1</v>
      </c>
      <c r="U1886" t="s">
        <v>28</v>
      </c>
      <c r="V1886" t="s">
        <v>28</v>
      </c>
      <c r="W1886">
        <v>27</v>
      </c>
      <c r="X1886">
        <v>99.4</v>
      </c>
      <c r="Y1886" t="s">
        <v>28</v>
      </c>
    </row>
    <row r="1887" spans="1:25" x14ac:dyDescent="0.2">
      <c r="A1887" t="s">
        <v>277</v>
      </c>
      <c r="B1887">
        <v>2015</v>
      </c>
      <c r="C1887" t="s">
        <v>826</v>
      </c>
      <c r="D1887" t="s">
        <v>812</v>
      </c>
      <c r="E1887" t="s">
        <v>338</v>
      </c>
      <c r="F1887" t="s">
        <v>278</v>
      </c>
      <c r="G1887">
        <v>34.679462000000001</v>
      </c>
      <c r="H1887">
        <v>139.44164699999999</v>
      </c>
      <c r="I1887" t="s">
        <v>761</v>
      </c>
      <c r="J1887" t="s">
        <v>14</v>
      </c>
      <c r="K1887" t="s">
        <v>41</v>
      </c>
      <c r="L1887" t="s">
        <v>3</v>
      </c>
      <c r="M1887" t="s">
        <v>12</v>
      </c>
      <c r="N1887" t="s">
        <v>85</v>
      </c>
      <c r="O1887" s="6" t="s">
        <v>12</v>
      </c>
      <c r="P1887" t="s">
        <v>70</v>
      </c>
      <c r="Q1887">
        <v>6</v>
      </c>
      <c r="R1887" t="s">
        <v>213</v>
      </c>
      <c r="S1887" s="2" t="s">
        <v>116</v>
      </c>
      <c r="T1887">
        <v>1</v>
      </c>
      <c r="U1887" t="s">
        <v>28</v>
      </c>
      <c r="V1887" t="s">
        <v>28</v>
      </c>
      <c r="W1887">
        <v>28</v>
      </c>
      <c r="X1887">
        <v>97.99</v>
      </c>
      <c r="Y1887" t="s">
        <v>28</v>
      </c>
    </row>
    <row r="1888" spans="1:25" x14ac:dyDescent="0.2">
      <c r="A1888" t="s">
        <v>277</v>
      </c>
      <c r="B1888">
        <v>2015</v>
      </c>
      <c r="C1888" t="s">
        <v>826</v>
      </c>
      <c r="D1888" t="s">
        <v>812</v>
      </c>
      <c r="E1888" t="s">
        <v>338</v>
      </c>
      <c r="F1888" t="s">
        <v>278</v>
      </c>
      <c r="G1888">
        <v>34.679462000000001</v>
      </c>
      <c r="H1888">
        <v>139.44164699999999</v>
      </c>
      <c r="I1888" t="s">
        <v>761</v>
      </c>
      <c r="J1888" t="s">
        <v>14</v>
      </c>
      <c r="K1888" t="s">
        <v>41</v>
      </c>
      <c r="L1888" t="s">
        <v>3</v>
      </c>
      <c r="M1888" t="s">
        <v>12</v>
      </c>
      <c r="N1888" t="s">
        <v>85</v>
      </c>
      <c r="O1888" s="6" t="s">
        <v>12</v>
      </c>
      <c r="P1888" t="s">
        <v>70</v>
      </c>
      <c r="Q1888">
        <v>6</v>
      </c>
      <c r="R1888" t="s">
        <v>213</v>
      </c>
      <c r="S1888" s="2" t="s">
        <v>117</v>
      </c>
      <c r="T1888">
        <v>1</v>
      </c>
      <c r="U1888" t="s">
        <v>28</v>
      </c>
      <c r="V1888" t="s">
        <v>28</v>
      </c>
      <c r="W1888">
        <v>29</v>
      </c>
      <c r="X1888">
        <v>100.2</v>
      </c>
      <c r="Y1888" t="s">
        <v>28</v>
      </c>
    </row>
    <row r="1889" spans="1:29" x14ac:dyDescent="0.2">
      <c r="A1889" t="s">
        <v>277</v>
      </c>
      <c r="B1889">
        <v>2015</v>
      </c>
      <c r="C1889" t="s">
        <v>826</v>
      </c>
      <c r="D1889" t="s">
        <v>812</v>
      </c>
      <c r="E1889" t="s">
        <v>338</v>
      </c>
      <c r="F1889" t="s">
        <v>278</v>
      </c>
      <c r="G1889">
        <v>34.679462000000001</v>
      </c>
      <c r="H1889">
        <v>139.44164699999999</v>
      </c>
      <c r="I1889" t="s">
        <v>761</v>
      </c>
      <c r="J1889" t="s">
        <v>14</v>
      </c>
      <c r="K1889" t="s">
        <v>41</v>
      </c>
      <c r="L1889" t="s">
        <v>3</v>
      </c>
      <c r="M1889" t="s">
        <v>12</v>
      </c>
      <c r="N1889" t="s">
        <v>85</v>
      </c>
      <c r="O1889" s="6" t="s">
        <v>12</v>
      </c>
      <c r="P1889" t="s">
        <v>70</v>
      </c>
      <c r="Q1889">
        <v>6</v>
      </c>
      <c r="R1889" t="s">
        <v>213</v>
      </c>
      <c r="S1889" s="2" t="s">
        <v>118</v>
      </c>
      <c r="T1889">
        <v>1</v>
      </c>
      <c r="U1889" t="s">
        <v>28</v>
      </c>
      <c r="V1889" t="s">
        <v>28</v>
      </c>
      <c r="W1889">
        <v>30</v>
      </c>
      <c r="X1889">
        <v>90.95</v>
      </c>
      <c r="Y1889" t="s">
        <v>28</v>
      </c>
    </row>
    <row r="1890" spans="1:29" x14ac:dyDescent="0.2">
      <c r="A1890" t="s">
        <v>277</v>
      </c>
      <c r="B1890">
        <v>2015</v>
      </c>
      <c r="C1890" t="s">
        <v>826</v>
      </c>
      <c r="D1890" t="s">
        <v>812</v>
      </c>
      <c r="E1890" t="s">
        <v>338</v>
      </c>
      <c r="F1890" t="s">
        <v>278</v>
      </c>
      <c r="G1890">
        <v>34.679462000000001</v>
      </c>
      <c r="H1890">
        <v>139.44164699999999</v>
      </c>
      <c r="I1890" t="s">
        <v>761</v>
      </c>
      <c r="J1890" t="s">
        <v>14</v>
      </c>
      <c r="K1890" t="s">
        <v>41</v>
      </c>
      <c r="L1890" t="s">
        <v>3</v>
      </c>
      <c r="M1890" t="s">
        <v>12</v>
      </c>
      <c r="N1890" t="s">
        <v>85</v>
      </c>
      <c r="O1890" s="6" t="s">
        <v>12</v>
      </c>
      <c r="P1890" t="s">
        <v>70</v>
      </c>
      <c r="Q1890">
        <v>6</v>
      </c>
      <c r="R1890" t="s">
        <v>213</v>
      </c>
      <c r="S1890" s="2" t="s">
        <v>177</v>
      </c>
      <c r="T1890">
        <v>1</v>
      </c>
      <c r="U1890" t="s">
        <v>28</v>
      </c>
      <c r="V1890" t="s">
        <v>28</v>
      </c>
      <c r="W1890">
        <v>31</v>
      </c>
      <c r="X1890">
        <v>0.4</v>
      </c>
      <c r="Y1890" t="s">
        <v>28</v>
      </c>
    </row>
    <row r="1891" spans="1:29" x14ac:dyDescent="0.2">
      <c r="A1891" t="s">
        <v>277</v>
      </c>
      <c r="B1891">
        <v>2015</v>
      </c>
      <c r="C1891" t="s">
        <v>826</v>
      </c>
      <c r="D1891" t="s">
        <v>812</v>
      </c>
      <c r="E1891" t="s">
        <v>338</v>
      </c>
      <c r="F1891" t="s">
        <v>278</v>
      </c>
      <c r="G1891">
        <v>34.679462000000001</v>
      </c>
      <c r="H1891">
        <v>139.44164699999999</v>
      </c>
      <c r="I1891" t="s">
        <v>761</v>
      </c>
      <c r="J1891" t="s">
        <v>14</v>
      </c>
      <c r="K1891" t="s">
        <v>41</v>
      </c>
      <c r="L1891" t="s">
        <v>3</v>
      </c>
      <c r="M1891" t="s">
        <v>12</v>
      </c>
      <c r="N1891" t="s">
        <v>85</v>
      </c>
      <c r="O1891" s="6" t="s">
        <v>12</v>
      </c>
      <c r="P1891" t="s">
        <v>70</v>
      </c>
      <c r="Q1891">
        <v>6</v>
      </c>
      <c r="R1891" t="s">
        <v>213</v>
      </c>
      <c r="S1891" s="2" t="s">
        <v>178</v>
      </c>
      <c r="T1891">
        <v>1</v>
      </c>
      <c r="U1891" t="s">
        <v>28</v>
      </c>
      <c r="V1891" t="s">
        <v>28</v>
      </c>
      <c r="W1891">
        <v>32</v>
      </c>
      <c r="X1891">
        <v>0.4</v>
      </c>
      <c r="Y1891" t="s">
        <v>28</v>
      </c>
    </row>
    <row r="1892" spans="1:29" x14ac:dyDescent="0.2">
      <c r="A1892" t="s">
        <v>277</v>
      </c>
      <c r="B1892">
        <v>2015</v>
      </c>
      <c r="C1892" t="s">
        <v>826</v>
      </c>
      <c r="D1892" t="s">
        <v>812</v>
      </c>
      <c r="E1892" t="s">
        <v>338</v>
      </c>
      <c r="F1892" t="s">
        <v>278</v>
      </c>
      <c r="G1892">
        <v>34.679462000000001</v>
      </c>
      <c r="H1892">
        <v>139.44164699999999</v>
      </c>
      <c r="I1892" t="s">
        <v>761</v>
      </c>
      <c r="J1892" t="s">
        <v>14</v>
      </c>
      <c r="K1892" t="s">
        <v>41</v>
      </c>
      <c r="L1892" t="s">
        <v>3</v>
      </c>
      <c r="M1892" t="s">
        <v>12</v>
      </c>
      <c r="N1892" t="s">
        <v>85</v>
      </c>
      <c r="O1892" s="6" t="s">
        <v>12</v>
      </c>
      <c r="P1892" t="s">
        <v>70</v>
      </c>
      <c r="Q1892">
        <v>6</v>
      </c>
      <c r="R1892" t="s">
        <v>213</v>
      </c>
      <c r="S1892" s="2" t="s">
        <v>179</v>
      </c>
      <c r="T1892">
        <v>1</v>
      </c>
      <c r="U1892" t="s">
        <v>28</v>
      </c>
      <c r="V1892" t="s">
        <v>28</v>
      </c>
      <c r="W1892">
        <v>33</v>
      </c>
      <c r="X1892">
        <v>0.4</v>
      </c>
      <c r="Y1892" t="s">
        <v>28</v>
      </c>
    </row>
    <row r="1893" spans="1:29" x14ac:dyDescent="0.2">
      <c r="A1893" t="s">
        <v>277</v>
      </c>
      <c r="B1893">
        <v>2015</v>
      </c>
      <c r="C1893" t="s">
        <v>826</v>
      </c>
      <c r="D1893" t="s">
        <v>812</v>
      </c>
      <c r="E1893" t="s">
        <v>338</v>
      </c>
      <c r="F1893" t="s">
        <v>278</v>
      </c>
      <c r="G1893">
        <v>34.679462000000001</v>
      </c>
      <c r="H1893">
        <v>139.44164699999999</v>
      </c>
      <c r="I1893" t="s">
        <v>769</v>
      </c>
      <c r="J1893" t="s">
        <v>7</v>
      </c>
      <c r="K1893" t="s">
        <v>41</v>
      </c>
      <c r="L1893" t="s">
        <v>3</v>
      </c>
      <c r="M1893" t="s">
        <v>727</v>
      </c>
      <c r="N1893" t="s">
        <v>85</v>
      </c>
      <c r="O1893" t="s">
        <v>142</v>
      </c>
      <c r="P1893" t="s">
        <v>70</v>
      </c>
      <c r="Q1893">
        <v>14</v>
      </c>
      <c r="R1893" t="s">
        <v>213</v>
      </c>
      <c r="S1893" s="2" t="s">
        <v>7</v>
      </c>
      <c r="T1893">
        <v>1</v>
      </c>
      <c r="U1893" t="s">
        <v>28</v>
      </c>
      <c r="V1893" t="s">
        <v>28</v>
      </c>
      <c r="W1893">
        <v>22</v>
      </c>
      <c r="X1893">
        <v>99.65</v>
      </c>
      <c r="Y1893" t="s">
        <v>28</v>
      </c>
    </row>
    <row r="1894" spans="1:29" x14ac:dyDescent="0.2">
      <c r="A1894" t="s">
        <v>277</v>
      </c>
      <c r="B1894">
        <v>2015</v>
      </c>
      <c r="C1894" t="s">
        <v>826</v>
      </c>
      <c r="D1894" t="s">
        <v>812</v>
      </c>
      <c r="E1894" t="s">
        <v>338</v>
      </c>
      <c r="F1894" t="s">
        <v>278</v>
      </c>
      <c r="G1894">
        <v>34.679462000000001</v>
      </c>
      <c r="H1894">
        <v>139.44164699999999</v>
      </c>
      <c r="I1894" t="s">
        <v>769</v>
      </c>
      <c r="J1894" t="s">
        <v>14</v>
      </c>
      <c r="K1894" t="s">
        <v>41</v>
      </c>
      <c r="L1894" t="s">
        <v>3</v>
      </c>
      <c r="M1894" t="s">
        <v>727</v>
      </c>
      <c r="N1894" t="s">
        <v>85</v>
      </c>
      <c r="O1894" t="s">
        <v>142</v>
      </c>
      <c r="P1894" t="s">
        <v>70</v>
      </c>
      <c r="Q1894">
        <v>14</v>
      </c>
      <c r="R1894" t="s">
        <v>213</v>
      </c>
      <c r="S1894" s="2" t="s">
        <v>9</v>
      </c>
      <c r="T1894">
        <v>1</v>
      </c>
      <c r="U1894" t="s">
        <v>28</v>
      </c>
      <c r="V1894" t="s">
        <v>28</v>
      </c>
      <c r="W1894">
        <v>23</v>
      </c>
      <c r="X1894">
        <v>98.77</v>
      </c>
      <c r="Y1894" t="s">
        <v>28</v>
      </c>
    </row>
    <row r="1895" spans="1:29" x14ac:dyDescent="0.2">
      <c r="A1895" t="s">
        <v>277</v>
      </c>
      <c r="B1895">
        <v>2015</v>
      </c>
      <c r="C1895" t="s">
        <v>826</v>
      </c>
      <c r="D1895" t="s">
        <v>812</v>
      </c>
      <c r="E1895" t="s">
        <v>338</v>
      </c>
      <c r="F1895" t="s">
        <v>278</v>
      </c>
      <c r="G1895">
        <v>34.679462000000001</v>
      </c>
      <c r="H1895">
        <v>139.44164699999999</v>
      </c>
      <c r="I1895" t="s">
        <v>769</v>
      </c>
      <c r="J1895" t="s">
        <v>14</v>
      </c>
      <c r="K1895" t="s">
        <v>41</v>
      </c>
      <c r="L1895" t="s">
        <v>3</v>
      </c>
      <c r="M1895" t="s">
        <v>727</v>
      </c>
      <c r="N1895" t="s">
        <v>85</v>
      </c>
      <c r="O1895" t="s">
        <v>142</v>
      </c>
      <c r="P1895" t="s">
        <v>70</v>
      </c>
      <c r="Q1895">
        <v>14</v>
      </c>
      <c r="R1895" t="s">
        <v>213</v>
      </c>
      <c r="S1895" s="2" t="s">
        <v>27</v>
      </c>
      <c r="T1895">
        <v>1</v>
      </c>
      <c r="U1895" t="s">
        <v>28</v>
      </c>
      <c r="V1895" t="s">
        <v>28</v>
      </c>
      <c r="W1895">
        <v>24</v>
      </c>
      <c r="X1895">
        <v>56.69</v>
      </c>
      <c r="Y1895" t="s">
        <v>28</v>
      </c>
    </row>
    <row r="1896" spans="1:29" x14ac:dyDescent="0.2">
      <c r="A1896" t="s">
        <v>277</v>
      </c>
      <c r="B1896">
        <v>2015</v>
      </c>
      <c r="C1896" t="s">
        <v>826</v>
      </c>
      <c r="D1896" t="s">
        <v>812</v>
      </c>
      <c r="E1896" t="s">
        <v>338</v>
      </c>
      <c r="F1896" t="s">
        <v>278</v>
      </c>
      <c r="G1896">
        <v>34.679462000000001</v>
      </c>
      <c r="H1896">
        <v>139.44164699999999</v>
      </c>
      <c r="I1896" t="s">
        <v>769</v>
      </c>
      <c r="J1896" t="s">
        <v>14</v>
      </c>
      <c r="K1896" t="s">
        <v>41</v>
      </c>
      <c r="L1896" t="s">
        <v>3</v>
      </c>
      <c r="M1896" t="s">
        <v>727</v>
      </c>
      <c r="N1896" t="s">
        <v>85</v>
      </c>
      <c r="O1896" t="s">
        <v>142</v>
      </c>
      <c r="P1896" t="s">
        <v>70</v>
      </c>
      <c r="Q1896">
        <v>14</v>
      </c>
      <c r="R1896" t="s">
        <v>213</v>
      </c>
      <c r="S1896" s="2" t="s">
        <v>13</v>
      </c>
      <c r="T1896">
        <v>1</v>
      </c>
      <c r="U1896" t="s">
        <v>28</v>
      </c>
      <c r="V1896" t="s">
        <v>28</v>
      </c>
      <c r="W1896">
        <v>25</v>
      </c>
      <c r="X1896">
        <v>6.34</v>
      </c>
      <c r="Y1896" t="s">
        <v>28</v>
      </c>
    </row>
    <row r="1897" spans="1:29" x14ac:dyDescent="0.2">
      <c r="A1897" t="s">
        <v>277</v>
      </c>
      <c r="B1897">
        <v>2015</v>
      </c>
      <c r="C1897" t="s">
        <v>826</v>
      </c>
      <c r="D1897" t="s">
        <v>812</v>
      </c>
      <c r="E1897" t="s">
        <v>338</v>
      </c>
      <c r="F1897" t="s">
        <v>278</v>
      </c>
      <c r="G1897">
        <v>34.679462000000001</v>
      </c>
      <c r="H1897">
        <v>139.44164699999999</v>
      </c>
      <c r="I1897" t="s">
        <v>769</v>
      </c>
      <c r="J1897" t="s">
        <v>14</v>
      </c>
      <c r="K1897" t="s">
        <v>41</v>
      </c>
      <c r="L1897" t="s">
        <v>3</v>
      </c>
      <c r="M1897" t="s">
        <v>727</v>
      </c>
      <c r="N1897" t="s">
        <v>85</v>
      </c>
      <c r="O1897" t="s">
        <v>142</v>
      </c>
      <c r="P1897" t="s">
        <v>70</v>
      </c>
      <c r="Q1897">
        <v>14</v>
      </c>
      <c r="R1897" t="s">
        <v>213</v>
      </c>
      <c r="S1897" s="2" t="s">
        <v>15</v>
      </c>
      <c r="T1897">
        <v>1</v>
      </c>
      <c r="U1897" t="s">
        <v>28</v>
      </c>
      <c r="V1897" t="s">
        <v>28</v>
      </c>
      <c r="W1897">
        <v>26</v>
      </c>
      <c r="X1897">
        <v>0.35</v>
      </c>
      <c r="Y1897" t="s">
        <v>28</v>
      </c>
    </row>
    <row r="1898" spans="1:29" x14ac:dyDescent="0.2">
      <c r="A1898" t="s">
        <v>277</v>
      </c>
      <c r="B1898">
        <v>2015</v>
      </c>
      <c r="C1898" t="s">
        <v>826</v>
      </c>
      <c r="D1898" t="s">
        <v>812</v>
      </c>
      <c r="E1898" t="s">
        <v>338</v>
      </c>
      <c r="F1898" t="s">
        <v>278</v>
      </c>
      <c r="G1898">
        <v>34.679462000000001</v>
      </c>
      <c r="H1898">
        <v>139.44164699999999</v>
      </c>
      <c r="I1898" t="s">
        <v>769</v>
      </c>
      <c r="J1898" t="s">
        <v>14</v>
      </c>
      <c r="K1898" t="s">
        <v>41</v>
      </c>
      <c r="L1898" t="s">
        <v>3</v>
      </c>
      <c r="M1898" t="s">
        <v>727</v>
      </c>
      <c r="N1898" t="s">
        <v>85</v>
      </c>
      <c r="O1898" t="s">
        <v>142</v>
      </c>
      <c r="P1898" t="s">
        <v>70</v>
      </c>
      <c r="Q1898">
        <v>14</v>
      </c>
      <c r="R1898" t="s">
        <v>213</v>
      </c>
      <c r="S1898" s="2" t="s">
        <v>37</v>
      </c>
      <c r="T1898">
        <v>1</v>
      </c>
      <c r="U1898" t="s">
        <v>28</v>
      </c>
      <c r="V1898" t="s">
        <v>28</v>
      </c>
      <c r="W1898">
        <v>27</v>
      </c>
      <c r="X1898">
        <v>0.35</v>
      </c>
      <c r="Y1898" t="s">
        <v>28</v>
      </c>
    </row>
    <row r="1899" spans="1:29" x14ac:dyDescent="0.2">
      <c r="A1899" t="s">
        <v>277</v>
      </c>
      <c r="B1899">
        <v>2015</v>
      </c>
      <c r="C1899" t="s">
        <v>826</v>
      </c>
      <c r="D1899" t="s">
        <v>812</v>
      </c>
      <c r="E1899" t="s">
        <v>338</v>
      </c>
      <c r="F1899" t="s">
        <v>278</v>
      </c>
      <c r="G1899">
        <v>34.679462000000001</v>
      </c>
      <c r="H1899">
        <v>139.44164699999999</v>
      </c>
      <c r="I1899" t="s">
        <v>769</v>
      </c>
      <c r="J1899" t="s">
        <v>14</v>
      </c>
      <c r="K1899" t="s">
        <v>41</v>
      </c>
      <c r="L1899" t="s">
        <v>3</v>
      </c>
      <c r="M1899" t="s">
        <v>727</v>
      </c>
      <c r="N1899" t="s">
        <v>85</v>
      </c>
      <c r="O1899" t="s">
        <v>142</v>
      </c>
      <c r="P1899" t="s">
        <v>70</v>
      </c>
      <c r="Q1899">
        <v>14</v>
      </c>
      <c r="R1899" t="s">
        <v>213</v>
      </c>
      <c r="S1899" s="2" t="s">
        <v>116</v>
      </c>
      <c r="T1899">
        <v>1</v>
      </c>
      <c r="U1899" t="s">
        <v>28</v>
      </c>
      <c r="V1899" t="s">
        <v>28</v>
      </c>
      <c r="W1899">
        <v>28</v>
      </c>
      <c r="X1899">
        <v>0.35</v>
      </c>
      <c r="Y1899" t="s">
        <v>28</v>
      </c>
    </row>
    <row r="1900" spans="1:29" x14ac:dyDescent="0.2">
      <c r="A1900" t="s">
        <v>277</v>
      </c>
      <c r="B1900">
        <v>2015</v>
      </c>
      <c r="C1900" t="s">
        <v>826</v>
      </c>
      <c r="D1900" t="s">
        <v>812</v>
      </c>
      <c r="E1900" t="s">
        <v>338</v>
      </c>
      <c r="F1900" t="s">
        <v>278</v>
      </c>
      <c r="G1900">
        <v>34.679462000000001</v>
      </c>
      <c r="H1900">
        <v>139.44164699999999</v>
      </c>
      <c r="I1900" t="s">
        <v>769</v>
      </c>
      <c r="J1900" t="s">
        <v>14</v>
      </c>
      <c r="K1900" t="s">
        <v>41</v>
      </c>
      <c r="L1900" t="s">
        <v>3</v>
      </c>
      <c r="M1900" t="s">
        <v>727</v>
      </c>
      <c r="N1900" t="s">
        <v>85</v>
      </c>
      <c r="O1900" t="s">
        <v>142</v>
      </c>
      <c r="P1900" t="s">
        <v>70</v>
      </c>
      <c r="Q1900">
        <v>14</v>
      </c>
      <c r="R1900" t="s">
        <v>213</v>
      </c>
      <c r="S1900" s="2" t="s">
        <v>117</v>
      </c>
      <c r="T1900">
        <v>1</v>
      </c>
      <c r="U1900" t="s">
        <v>28</v>
      </c>
      <c r="V1900" t="s">
        <v>28</v>
      </c>
      <c r="W1900">
        <v>29</v>
      </c>
      <c r="X1900">
        <v>0.35</v>
      </c>
      <c r="Y1900" t="s">
        <v>28</v>
      </c>
    </row>
    <row r="1901" spans="1:29" x14ac:dyDescent="0.2">
      <c r="A1901" t="s">
        <v>277</v>
      </c>
      <c r="B1901">
        <v>2015</v>
      </c>
      <c r="C1901" t="s">
        <v>826</v>
      </c>
      <c r="D1901" t="s">
        <v>812</v>
      </c>
      <c r="E1901" t="s">
        <v>338</v>
      </c>
      <c r="F1901" t="s">
        <v>278</v>
      </c>
      <c r="G1901">
        <v>34.679462000000001</v>
      </c>
      <c r="H1901">
        <v>139.44164699999999</v>
      </c>
      <c r="I1901" t="s">
        <v>769</v>
      </c>
      <c r="J1901" t="s">
        <v>14</v>
      </c>
      <c r="K1901" t="s">
        <v>41</v>
      </c>
      <c r="L1901" t="s">
        <v>3</v>
      </c>
      <c r="M1901" t="s">
        <v>727</v>
      </c>
      <c r="N1901" t="s">
        <v>85</v>
      </c>
      <c r="O1901" t="s">
        <v>142</v>
      </c>
      <c r="P1901" t="s">
        <v>70</v>
      </c>
      <c r="Q1901">
        <v>14</v>
      </c>
      <c r="R1901" t="s">
        <v>213</v>
      </c>
      <c r="S1901" s="2" t="s">
        <v>118</v>
      </c>
      <c r="T1901">
        <v>1</v>
      </c>
      <c r="U1901" t="s">
        <v>28</v>
      </c>
      <c r="V1901" t="s">
        <v>28</v>
      </c>
      <c r="W1901">
        <v>30</v>
      </c>
      <c r="X1901">
        <v>0.53</v>
      </c>
      <c r="Y1901" t="s">
        <v>28</v>
      </c>
    </row>
    <row r="1902" spans="1:29" x14ac:dyDescent="0.2">
      <c r="A1902" t="s">
        <v>277</v>
      </c>
      <c r="B1902">
        <v>2015</v>
      </c>
      <c r="C1902" t="s">
        <v>826</v>
      </c>
      <c r="D1902" t="s">
        <v>812</v>
      </c>
      <c r="E1902" t="s">
        <v>338</v>
      </c>
      <c r="F1902" t="s">
        <v>278</v>
      </c>
      <c r="G1902">
        <v>34.679462000000001</v>
      </c>
      <c r="H1902">
        <v>139.44164699999999</v>
      </c>
      <c r="I1902" t="s">
        <v>772</v>
      </c>
      <c r="J1902" t="s">
        <v>7</v>
      </c>
      <c r="K1902" t="s">
        <v>279</v>
      </c>
      <c r="L1902" t="s">
        <v>143</v>
      </c>
      <c r="M1902" t="s">
        <v>26</v>
      </c>
      <c r="N1902" t="s">
        <v>85</v>
      </c>
      <c r="O1902" s="6" t="s">
        <v>840</v>
      </c>
      <c r="P1902" t="s">
        <v>72</v>
      </c>
      <c r="Q1902">
        <v>8</v>
      </c>
      <c r="R1902" t="s">
        <v>213</v>
      </c>
      <c r="S1902" s="2" t="s">
        <v>7</v>
      </c>
      <c r="T1902">
        <v>5</v>
      </c>
      <c r="U1902" t="s">
        <v>28</v>
      </c>
      <c r="V1902" t="s">
        <v>28</v>
      </c>
      <c r="W1902">
        <v>18</v>
      </c>
      <c r="X1902">
        <v>14.77</v>
      </c>
      <c r="Y1902">
        <f>16.49-X1902</f>
        <v>1.7199999999999989</v>
      </c>
      <c r="AA1902" s="6"/>
      <c r="AB1902" s="6"/>
      <c r="AC1902" s="4"/>
    </row>
    <row r="1903" spans="1:29" x14ac:dyDescent="0.2">
      <c r="A1903" t="s">
        <v>277</v>
      </c>
      <c r="B1903">
        <v>2015</v>
      </c>
      <c r="C1903" t="s">
        <v>826</v>
      </c>
      <c r="D1903" t="s">
        <v>812</v>
      </c>
      <c r="E1903" t="s">
        <v>338</v>
      </c>
      <c r="F1903" t="s">
        <v>278</v>
      </c>
      <c r="G1903">
        <v>34.679462000000001</v>
      </c>
      <c r="H1903">
        <v>139.44164699999999</v>
      </c>
      <c r="I1903" t="s">
        <v>772</v>
      </c>
      <c r="J1903" t="s">
        <v>14</v>
      </c>
      <c r="K1903" t="s">
        <v>279</v>
      </c>
      <c r="L1903" t="s">
        <v>143</v>
      </c>
      <c r="M1903" t="s">
        <v>26</v>
      </c>
      <c r="N1903" t="s">
        <v>85</v>
      </c>
      <c r="O1903" s="6" t="s">
        <v>840</v>
      </c>
      <c r="P1903" t="s">
        <v>72</v>
      </c>
      <c r="Q1903">
        <v>8</v>
      </c>
      <c r="R1903" t="s">
        <v>213</v>
      </c>
      <c r="S1903" s="2" t="s">
        <v>9</v>
      </c>
      <c r="T1903">
        <v>5</v>
      </c>
      <c r="U1903" t="s">
        <v>28</v>
      </c>
      <c r="V1903" t="s">
        <v>28</v>
      </c>
      <c r="W1903">
        <v>20</v>
      </c>
      <c r="X1903">
        <v>13.91</v>
      </c>
      <c r="Y1903">
        <f>14.88-X1903</f>
        <v>0.97000000000000064</v>
      </c>
      <c r="AA1903" s="6"/>
      <c r="AB1903" s="6"/>
      <c r="AC1903" s="4"/>
    </row>
    <row r="1904" spans="1:29" x14ac:dyDescent="0.2">
      <c r="A1904" t="s">
        <v>277</v>
      </c>
      <c r="B1904">
        <v>2015</v>
      </c>
      <c r="C1904" t="s">
        <v>826</v>
      </c>
      <c r="D1904" t="s">
        <v>812</v>
      </c>
      <c r="E1904" t="s">
        <v>338</v>
      </c>
      <c r="F1904" t="s">
        <v>278</v>
      </c>
      <c r="G1904">
        <v>34.679462000000001</v>
      </c>
      <c r="H1904">
        <v>139.44164699999999</v>
      </c>
      <c r="I1904" t="s">
        <v>772</v>
      </c>
      <c r="J1904" t="s">
        <v>14</v>
      </c>
      <c r="K1904" t="s">
        <v>279</v>
      </c>
      <c r="L1904" t="s">
        <v>143</v>
      </c>
      <c r="M1904" t="s">
        <v>26</v>
      </c>
      <c r="N1904" t="s">
        <v>85</v>
      </c>
      <c r="O1904" s="6" t="s">
        <v>840</v>
      </c>
      <c r="P1904" t="s">
        <v>72</v>
      </c>
      <c r="Q1904">
        <v>8</v>
      </c>
      <c r="R1904" t="s">
        <v>213</v>
      </c>
      <c r="S1904" s="2" t="s">
        <v>27</v>
      </c>
      <c r="T1904">
        <v>5</v>
      </c>
      <c r="U1904" t="s">
        <v>28</v>
      </c>
      <c r="V1904" t="s">
        <v>28</v>
      </c>
      <c r="W1904">
        <v>22</v>
      </c>
      <c r="X1904">
        <v>14.84</v>
      </c>
      <c r="Y1904">
        <f>15.59-X1904</f>
        <v>0.75</v>
      </c>
      <c r="AA1904" s="6"/>
      <c r="AB1904" s="6"/>
      <c r="AC1904" s="4"/>
    </row>
    <row r="1905" spans="1:29" x14ac:dyDescent="0.2">
      <c r="A1905" t="s">
        <v>277</v>
      </c>
      <c r="B1905">
        <v>2015</v>
      </c>
      <c r="C1905" t="s">
        <v>826</v>
      </c>
      <c r="D1905" t="s">
        <v>812</v>
      </c>
      <c r="E1905" t="s">
        <v>338</v>
      </c>
      <c r="F1905" t="s">
        <v>278</v>
      </c>
      <c r="G1905">
        <v>34.679462000000001</v>
      </c>
      <c r="H1905">
        <v>139.44164699999999</v>
      </c>
      <c r="I1905" t="s">
        <v>772</v>
      </c>
      <c r="J1905" t="s">
        <v>14</v>
      </c>
      <c r="K1905" t="s">
        <v>279</v>
      </c>
      <c r="L1905" t="s">
        <v>143</v>
      </c>
      <c r="M1905" t="s">
        <v>26</v>
      </c>
      <c r="N1905" t="s">
        <v>85</v>
      </c>
      <c r="O1905" s="6" t="s">
        <v>840</v>
      </c>
      <c r="P1905" t="s">
        <v>72</v>
      </c>
      <c r="Q1905">
        <v>8</v>
      </c>
      <c r="R1905" t="s">
        <v>213</v>
      </c>
      <c r="S1905" s="2" t="s">
        <v>13</v>
      </c>
      <c r="T1905">
        <v>5</v>
      </c>
      <c r="U1905" t="s">
        <v>28</v>
      </c>
      <c r="V1905" t="s">
        <v>28</v>
      </c>
      <c r="W1905">
        <v>24</v>
      </c>
      <c r="X1905">
        <v>10.84</v>
      </c>
      <c r="Y1905">
        <f>11.66-X1905</f>
        <v>0.82000000000000028</v>
      </c>
      <c r="AA1905" s="6"/>
      <c r="AB1905" s="6"/>
      <c r="AC1905" s="4"/>
    </row>
    <row r="1906" spans="1:29" x14ac:dyDescent="0.2">
      <c r="A1906" t="s">
        <v>277</v>
      </c>
      <c r="B1906">
        <v>2015</v>
      </c>
      <c r="C1906" t="s">
        <v>826</v>
      </c>
      <c r="D1906" t="s">
        <v>812</v>
      </c>
      <c r="E1906" t="s">
        <v>338</v>
      </c>
      <c r="F1906" t="s">
        <v>278</v>
      </c>
      <c r="G1906">
        <v>34.679462000000001</v>
      </c>
      <c r="H1906">
        <v>139.44164699999999</v>
      </c>
      <c r="I1906" t="s">
        <v>772</v>
      </c>
      <c r="J1906" t="s">
        <v>14</v>
      </c>
      <c r="K1906" t="s">
        <v>279</v>
      </c>
      <c r="L1906" t="s">
        <v>143</v>
      </c>
      <c r="M1906" t="s">
        <v>26</v>
      </c>
      <c r="N1906" t="s">
        <v>85</v>
      </c>
      <c r="O1906" s="6" t="s">
        <v>840</v>
      </c>
      <c r="P1906" t="s">
        <v>72</v>
      </c>
      <c r="Q1906">
        <v>8</v>
      </c>
      <c r="R1906" t="s">
        <v>213</v>
      </c>
      <c r="S1906" s="2" t="s">
        <v>15</v>
      </c>
      <c r="T1906">
        <v>5</v>
      </c>
      <c r="U1906" t="s">
        <v>28</v>
      </c>
      <c r="V1906" t="s">
        <v>28</v>
      </c>
      <c r="W1906">
        <v>25</v>
      </c>
      <c r="X1906">
        <v>9.57</v>
      </c>
      <c r="Y1906">
        <f>10.54-X1906</f>
        <v>0.96999999999999886</v>
      </c>
      <c r="AA1906" s="6"/>
      <c r="AB1906" s="6"/>
      <c r="AC1906" s="4"/>
    </row>
    <row r="1907" spans="1:29" x14ac:dyDescent="0.2">
      <c r="A1907" t="s">
        <v>277</v>
      </c>
      <c r="B1907">
        <v>2015</v>
      </c>
      <c r="C1907" t="s">
        <v>826</v>
      </c>
      <c r="D1907" t="s">
        <v>812</v>
      </c>
      <c r="E1907" t="s">
        <v>338</v>
      </c>
      <c r="F1907" t="s">
        <v>278</v>
      </c>
      <c r="G1907">
        <v>34.679462000000001</v>
      </c>
      <c r="H1907">
        <v>139.44164699999999</v>
      </c>
      <c r="I1907" t="s">
        <v>772</v>
      </c>
      <c r="J1907" t="s">
        <v>14</v>
      </c>
      <c r="K1907" t="s">
        <v>279</v>
      </c>
      <c r="L1907" t="s">
        <v>143</v>
      </c>
      <c r="M1907" t="s">
        <v>26</v>
      </c>
      <c r="N1907" t="s">
        <v>85</v>
      </c>
      <c r="O1907" s="6" t="s">
        <v>840</v>
      </c>
      <c r="P1907" t="s">
        <v>72</v>
      </c>
      <c r="Q1907">
        <v>8</v>
      </c>
      <c r="R1907" t="s">
        <v>213</v>
      </c>
      <c r="S1907" s="2" t="s">
        <v>37</v>
      </c>
      <c r="T1907">
        <v>5</v>
      </c>
      <c r="U1907" t="s">
        <v>28</v>
      </c>
      <c r="V1907" t="s">
        <v>28</v>
      </c>
      <c r="W1907">
        <v>26</v>
      </c>
      <c r="X1907">
        <v>9.5</v>
      </c>
      <c r="Y1907">
        <f>10.88-X1907</f>
        <v>1.3800000000000008</v>
      </c>
      <c r="AA1907" s="6"/>
      <c r="AB1907" s="6"/>
      <c r="AC1907" s="4"/>
    </row>
    <row r="1908" spans="1:29" x14ac:dyDescent="0.2">
      <c r="A1908" t="s">
        <v>277</v>
      </c>
      <c r="B1908">
        <v>2015</v>
      </c>
      <c r="C1908" t="s">
        <v>826</v>
      </c>
      <c r="D1908" t="s">
        <v>812</v>
      </c>
      <c r="E1908" t="s">
        <v>338</v>
      </c>
      <c r="F1908" t="s">
        <v>278</v>
      </c>
      <c r="G1908">
        <v>34.679462000000001</v>
      </c>
      <c r="H1908">
        <v>139.44164699999999</v>
      </c>
      <c r="I1908" t="s">
        <v>772</v>
      </c>
      <c r="J1908" t="s">
        <v>14</v>
      </c>
      <c r="K1908" t="s">
        <v>279</v>
      </c>
      <c r="L1908" t="s">
        <v>143</v>
      </c>
      <c r="M1908" t="s">
        <v>26</v>
      </c>
      <c r="N1908" t="s">
        <v>85</v>
      </c>
      <c r="O1908" s="6" t="s">
        <v>840</v>
      </c>
      <c r="P1908" t="s">
        <v>72</v>
      </c>
      <c r="Q1908">
        <v>8</v>
      </c>
      <c r="R1908" t="s">
        <v>213</v>
      </c>
      <c r="S1908" s="2" t="s">
        <v>116</v>
      </c>
      <c r="T1908">
        <v>5</v>
      </c>
      <c r="U1908" t="s">
        <v>28</v>
      </c>
      <c r="V1908" t="s">
        <v>28</v>
      </c>
      <c r="W1908">
        <v>27</v>
      </c>
      <c r="X1908">
        <v>5.91</v>
      </c>
      <c r="Y1908">
        <f>7.21-X1908</f>
        <v>1.2999999999999998</v>
      </c>
      <c r="AA1908" s="6"/>
      <c r="AB1908" s="6"/>
      <c r="AC1908" s="4"/>
    </row>
    <row r="1909" spans="1:29" x14ac:dyDescent="0.2">
      <c r="A1909" t="s">
        <v>277</v>
      </c>
      <c r="B1909">
        <v>2015</v>
      </c>
      <c r="C1909" t="s">
        <v>826</v>
      </c>
      <c r="D1909" t="s">
        <v>812</v>
      </c>
      <c r="E1909" t="s">
        <v>338</v>
      </c>
      <c r="F1909" t="s">
        <v>278</v>
      </c>
      <c r="G1909">
        <v>34.679462000000001</v>
      </c>
      <c r="H1909">
        <v>139.44164699999999</v>
      </c>
      <c r="I1909" t="s">
        <v>772</v>
      </c>
      <c r="J1909" t="s">
        <v>14</v>
      </c>
      <c r="K1909" t="s">
        <v>279</v>
      </c>
      <c r="L1909" t="s">
        <v>143</v>
      </c>
      <c r="M1909" t="s">
        <v>26</v>
      </c>
      <c r="N1909" t="s">
        <v>85</v>
      </c>
      <c r="O1909" s="6" t="s">
        <v>840</v>
      </c>
      <c r="P1909" t="s">
        <v>72</v>
      </c>
      <c r="Q1909">
        <v>8</v>
      </c>
      <c r="R1909" t="s">
        <v>213</v>
      </c>
      <c r="S1909" s="2" t="s">
        <v>117</v>
      </c>
      <c r="T1909">
        <v>2</v>
      </c>
      <c r="U1909" t="s">
        <v>28</v>
      </c>
      <c r="V1909" t="s">
        <v>28</v>
      </c>
      <c r="W1909">
        <v>28</v>
      </c>
      <c r="X1909">
        <v>4.6399999999999997</v>
      </c>
      <c r="Y1909">
        <v>0</v>
      </c>
      <c r="AA1909" s="6"/>
      <c r="AB1909" s="6"/>
      <c r="AC1909" s="4"/>
    </row>
    <row r="1910" spans="1:29" x14ac:dyDescent="0.2">
      <c r="A1910" t="s">
        <v>277</v>
      </c>
      <c r="B1910">
        <v>2015</v>
      </c>
      <c r="C1910" t="s">
        <v>826</v>
      </c>
      <c r="D1910" t="s">
        <v>812</v>
      </c>
      <c r="E1910" t="s">
        <v>338</v>
      </c>
      <c r="F1910" t="s">
        <v>278</v>
      </c>
      <c r="G1910">
        <v>34.679462000000001</v>
      </c>
      <c r="H1910">
        <v>139.44164699999999</v>
      </c>
      <c r="I1910" t="s">
        <v>772</v>
      </c>
      <c r="J1910" t="s">
        <v>14</v>
      </c>
      <c r="K1910" t="s">
        <v>279</v>
      </c>
      <c r="L1910" t="s">
        <v>143</v>
      </c>
      <c r="M1910" t="s">
        <v>26</v>
      </c>
      <c r="N1910" t="s">
        <v>85</v>
      </c>
      <c r="O1910" s="6" t="s">
        <v>840</v>
      </c>
      <c r="P1910" t="s">
        <v>72</v>
      </c>
      <c r="Q1910">
        <v>8</v>
      </c>
      <c r="R1910" t="s">
        <v>213</v>
      </c>
      <c r="S1910" s="2" t="s">
        <v>118</v>
      </c>
      <c r="T1910">
        <v>5</v>
      </c>
      <c r="U1910" t="s">
        <v>28</v>
      </c>
      <c r="V1910" t="s">
        <v>28</v>
      </c>
      <c r="W1910">
        <v>29</v>
      </c>
      <c r="X1910">
        <v>0.04</v>
      </c>
      <c r="Y1910">
        <v>0</v>
      </c>
      <c r="AA1910" s="6"/>
      <c r="AB1910" s="6"/>
      <c r="AC1910" s="4"/>
    </row>
    <row r="1911" spans="1:29" x14ac:dyDescent="0.2">
      <c r="A1911" t="s">
        <v>277</v>
      </c>
      <c r="B1911">
        <v>2015</v>
      </c>
      <c r="C1911" t="s">
        <v>826</v>
      </c>
      <c r="D1911" t="s">
        <v>812</v>
      </c>
      <c r="E1911" t="s">
        <v>338</v>
      </c>
      <c r="F1911" t="s">
        <v>278</v>
      </c>
      <c r="G1911">
        <v>34.679462000000001</v>
      </c>
      <c r="H1911">
        <v>139.44164699999999</v>
      </c>
      <c r="I1911" t="s">
        <v>772</v>
      </c>
      <c r="J1911" t="s">
        <v>14</v>
      </c>
      <c r="K1911" t="s">
        <v>279</v>
      </c>
      <c r="L1911" t="s">
        <v>143</v>
      </c>
      <c r="M1911" t="s">
        <v>26</v>
      </c>
      <c r="N1911" t="s">
        <v>85</v>
      </c>
      <c r="O1911" s="6" t="s">
        <v>840</v>
      </c>
      <c r="P1911" t="s">
        <v>72</v>
      </c>
      <c r="Q1911">
        <v>8</v>
      </c>
      <c r="R1911" t="s">
        <v>213</v>
      </c>
      <c r="S1911" s="2" t="s">
        <v>177</v>
      </c>
      <c r="T1911">
        <v>5</v>
      </c>
      <c r="U1911" t="s">
        <v>28</v>
      </c>
      <c r="V1911" t="s">
        <v>28</v>
      </c>
      <c r="W1911">
        <v>31</v>
      </c>
      <c r="X1911">
        <v>0.04</v>
      </c>
      <c r="Y1911">
        <v>0</v>
      </c>
      <c r="AA1911" s="6"/>
      <c r="AB1911" s="6"/>
      <c r="AC1911" s="4"/>
    </row>
    <row r="1912" spans="1:29" x14ac:dyDescent="0.2">
      <c r="A1912" t="s">
        <v>280</v>
      </c>
      <c r="B1912">
        <v>2003</v>
      </c>
      <c r="C1912" t="s">
        <v>807</v>
      </c>
      <c r="D1912" t="s">
        <v>808</v>
      </c>
      <c r="E1912" t="s">
        <v>153</v>
      </c>
      <c r="F1912" t="s">
        <v>281</v>
      </c>
      <c r="G1912">
        <v>48.544697999999997</v>
      </c>
      <c r="H1912">
        <v>-123.01311099999999</v>
      </c>
      <c r="J1912" t="s">
        <v>7</v>
      </c>
      <c r="K1912" t="s">
        <v>92</v>
      </c>
      <c r="L1912" t="s">
        <v>300</v>
      </c>
      <c r="M1912" t="s">
        <v>727</v>
      </c>
      <c r="N1912" t="s">
        <v>85</v>
      </c>
      <c r="O1912" s="6" t="s">
        <v>71</v>
      </c>
      <c r="P1912" t="s">
        <v>70</v>
      </c>
      <c r="Q1912">
        <f>56/24</f>
        <v>2.3333333333333335</v>
      </c>
      <c r="R1912" t="s">
        <v>213</v>
      </c>
      <c r="S1912" s="2" t="s">
        <v>7</v>
      </c>
      <c r="T1912">
        <v>6</v>
      </c>
      <c r="U1912" t="s">
        <v>28</v>
      </c>
      <c r="V1912" t="s">
        <v>28</v>
      </c>
      <c r="W1912">
        <v>10</v>
      </c>
      <c r="X1912">
        <v>68.790000000000006</v>
      </c>
      <c r="Y1912" s="6">
        <f>Z1912*SQRT(T1912)</f>
        <v>5.1929182547003139</v>
      </c>
      <c r="Z1912">
        <f>70.91-X1912</f>
        <v>2.1199999999999903</v>
      </c>
      <c r="AA1912" s="6"/>
      <c r="AB1912" s="6"/>
    </row>
    <row r="1913" spans="1:29" x14ac:dyDescent="0.2">
      <c r="A1913" t="s">
        <v>280</v>
      </c>
      <c r="B1913">
        <v>2003</v>
      </c>
      <c r="C1913" t="s">
        <v>807</v>
      </c>
      <c r="D1913" t="s">
        <v>808</v>
      </c>
      <c r="E1913" t="s">
        <v>153</v>
      </c>
      <c r="F1913" t="s">
        <v>281</v>
      </c>
      <c r="G1913">
        <v>48.544697999999997</v>
      </c>
      <c r="H1913">
        <v>-123.01311099999999</v>
      </c>
      <c r="J1913" t="s">
        <v>14</v>
      </c>
      <c r="K1913" t="s">
        <v>92</v>
      </c>
      <c r="L1913" t="s">
        <v>300</v>
      </c>
      <c r="M1913" t="s">
        <v>727</v>
      </c>
      <c r="N1913" t="s">
        <v>85</v>
      </c>
      <c r="O1913" s="6" t="s">
        <v>71</v>
      </c>
      <c r="P1913" t="s">
        <v>70</v>
      </c>
      <c r="Q1913">
        <f t="shared" ref="Q1913:Q1915" si="39">56/24</f>
        <v>2.3333333333333335</v>
      </c>
      <c r="R1913" t="s">
        <v>213</v>
      </c>
      <c r="S1913" s="2" t="s">
        <v>9</v>
      </c>
      <c r="T1913">
        <v>6</v>
      </c>
      <c r="U1913" t="s">
        <v>28</v>
      </c>
      <c r="V1913" t="s">
        <v>28</v>
      </c>
      <c r="W1913">
        <v>15</v>
      </c>
      <c r="X1913">
        <v>81.099999999999994</v>
      </c>
      <c r="Y1913" s="6">
        <f>Z1913*SQRT(T1913)</f>
        <v>11.439117098797444</v>
      </c>
      <c r="Z1913">
        <f>85.77-X1913</f>
        <v>4.6700000000000017</v>
      </c>
      <c r="AA1913" s="6"/>
      <c r="AB1913" s="6"/>
    </row>
    <row r="1914" spans="1:29" x14ac:dyDescent="0.2">
      <c r="A1914" t="s">
        <v>280</v>
      </c>
      <c r="B1914">
        <v>2003</v>
      </c>
      <c r="C1914" t="s">
        <v>807</v>
      </c>
      <c r="D1914" t="s">
        <v>808</v>
      </c>
      <c r="E1914" t="s">
        <v>153</v>
      </c>
      <c r="F1914" t="s">
        <v>281</v>
      </c>
      <c r="G1914">
        <v>48.544697999999997</v>
      </c>
      <c r="H1914">
        <v>-123.01311099999999</v>
      </c>
      <c r="J1914" t="s">
        <v>7</v>
      </c>
      <c r="K1914" t="s">
        <v>92</v>
      </c>
      <c r="L1914" t="s">
        <v>300</v>
      </c>
      <c r="M1914" t="s">
        <v>26</v>
      </c>
      <c r="N1914" t="s">
        <v>85</v>
      </c>
      <c r="O1914" s="6" t="s">
        <v>207</v>
      </c>
      <c r="P1914" t="s">
        <v>206</v>
      </c>
      <c r="Q1914">
        <f t="shared" si="39"/>
        <v>2.3333333333333335</v>
      </c>
      <c r="R1914" t="s">
        <v>213</v>
      </c>
      <c r="S1914" s="2" t="s">
        <v>7</v>
      </c>
      <c r="T1914">
        <v>6</v>
      </c>
      <c r="U1914" t="s">
        <v>28</v>
      </c>
      <c r="V1914" t="s">
        <v>28</v>
      </c>
      <c r="W1914">
        <v>10</v>
      </c>
      <c r="X1914">
        <v>1.6279999999999999</v>
      </c>
      <c r="Y1914" s="6">
        <f>Z1914*SQRT(T1914)</f>
        <v>0.38212039987417606</v>
      </c>
      <c r="Z1914">
        <f>1.784-X1914</f>
        <v>0.15600000000000014</v>
      </c>
      <c r="AA1914" s="6"/>
      <c r="AB1914" s="6"/>
    </row>
    <row r="1915" spans="1:29" x14ac:dyDescent="0.2">
      <c r="A1915" t="s">
        <v>280</v>
      </c>
      <c r="B1915">
        <v>2003</v>
      </c>
      <c r="C1915" t="s">
        <v>807</v>
      </c>
      <c r="D1915" t="s">
        <v>808</v>
      </c>
      <c r="E1915" t="s">
        <v>153</v>
      </c>
      <c r="F1915" t="s">
        <v>281</v>
      </c>
      <c r="G1915">
        <v>48.544697999999997</v>
      </c>
      <c r="H1915">
        <v>-123.01311099999999</v>
      </c>
      <c r="J1915" t="s">
        <v>14</v>
      </c>
      <c r="K1915" t="s">
        <v>92</v>
      </c>
      <c r="L1915" t="s">
        <v>300</v>
      </c>
      <c r="M1915" t="s">
        <v>26</v>
      </c>
      <c r="N1915" t="s">
        <v>85</v>
      </c>
      <c r="O1915" s="6" t="s">
        <v>207</v>
      </c>
      <c r="P1915" t="s">
        <v>206</v>
      </c>
      <c r="Q1915">
        <f t="shared" si="39"/>
        <v>2.3333333333333335</v>
      </c>
      <c r="R1915" t="s">
        <v>213</v>
      </c>
      <c r="S1915" s="2" t="s">
        <v>9</v>
      </c>
      <c r="T1915">
        <v>6</v>
      </c>
      <c r="U1915" t="s">
        <v>28</v>
      </c>
      <c r="V1915" t="s">
        <v>28</v>
      </c>
      <c r="W1915">
        <v>15</v>
      </c>
      <c r="X1915">
        <v>1.8440000000000001</v>
      </c>
      <c r="Y1915" s="6">
        <f>Z1915*SQRT(T1915)</f>
        <v>8.5732140997411027E-2</v>
      </c>
      <c r="Z1915">
        <f>1.879-X1915</f>
        <v>3.499999999999992E-2</v>
      </c>
      <c r="AA1915" s="6"/>
      <c r="AB1915" s="6"/>
    </row>
    <row r="1916" spans="1:29" x14ac:dyDescent="0.2">
      <c r="A1916" t="s">
        <v>282</v>
      </c>
      <c r="B1916">
        <v>2016</v>
      </c>
      <c r="C1916" t="s">
        <v>816</v>
      </c>
      <c r="D1916" t="s">
        <v>817</v>
      </c>
      <c r="E1916" t="s">
        <v>31</v>
      </c>
      <c r="F1916" t="s">
        <v>283</v>
      </c>
      <c r="G1916">
        <v>48.083333000000003</v>
      </c>
      <c r="H1916">
        <v>-3.1</v>
      </c>
      <c r="I1916" t="s">
        <v>763</v>
      </c>
      <c r="J1916" t="s">
        <v>7</v>
      </c>
      <c r="K1916" t="s">
        <v>3</v>
      </c>
      <c r="L1916" t="s">
        <v>3</v>
      </c>
      <c r="M1916" t="s">
        <v>726</v>
      </c>
      <c r="N1916" t="s">
        <v>85</v>
      </c>
      <c r="O1916" s="6" t="s">
        <v>58</v>
      </c>
      <c r="Q1916">
        <f>4/24</f>
        <v>0.16666666666666666</v>
      </c>
      <c r="R1916" t="s">
        <v>213</v>
      </c>
      <c r="S1916" s="2" t="s">
        <v>7</v>
      </c>
      <c r="T1916">
        <v>3</v>
      </c>
      <c r="U1916" t="s">
        <v>28</v>
      </c>
      <c r="V1916" t="s">
        <v>28</v>
      </c>
      <c r="W1916">
        <v>10</v>
      </c>
      <c r="X1916">
        <v>0.40200000000000002</v>
      </c>
      <c r="Y1916">
        <f>0.4265-X1916</f>
        <v>2.4499999999999966E-2</v>
      </c>
      <c r="AA1916" s="6"/>
      <c r="AB1916" s="6"/>
    </row>
    <row r="1917" spans="1:29" x14ac:dyDescent="0.2">
      <c r="A1917" t="s">
        <v>282</v>
      </c>
      <c r="B1917">
        <v>2016</v>
      </c>
      <c r="C1917" t="s">
        <v>816</v>
      </c>
      <c r="D1917" t="s">
        <v>817</v>
      </c>
      <c r="E1917" t="s">
        <v>31</v>
      </c>
      <c r="F1917" t="s">
        <v>284</v>
      </c>
      <c r="G1917">
        <v>50.083333000000003</v>
      </c>
      <c r="H1917">
        <v>1.066667</v>
      </c>
      <c r="I1917" t="s">
        <v>770</v>
      </c>
      <c r="J1917" t="s">
        <v>7</v>
      </c>
      <c r="K1917" t="s">
        <v>3</v>
      </c>
      <c r="L1917" t="s">
        <v>3</v>
      </c>
      <c r="M1917" t="s">
        <v>726</v>
      </c>
      <c r="N1917" t="s">
        <v>85</v>
      </c>
      <c r="O1917" s="6" t="s">
        <v>58</v>
      </c>
      <c r="Q1917">
        <f t="shared" ref="Q1917:Q1939" si="40">4/24</f>
        <v>0.16666666666666666</v>
      </c>
      <c r="R1917" t="s">
        <v>213</v>
      </c>
      <c r="S1917" s="2" t="s">
        <v>7</v>
      </c>
      <c r="T1917">
        <v>3</v>
      </c>
      <c r="U1917" t="s">
        <v>28</v>
      </c>
      <c r="V1917" t="s">
        <v>28</v>
      </c>
      <c r="W1917">
        <v>10</v>
      </c>
      <c r="X1917">
        <v>0.37480000000000002</v>
      </c>
      <c r="Y1917">
        <f>0.4341-X1917</f>
        <v>5.9299999999999964E-2</v>
      </c>
      <c r="AA1917" s="6"/>
      <c r="AB1917" s="6"/>
    </row>
    <row r="1918" spans="1:29" x14ac:dyDescent="0.2">
      <c r="A1918" t="s">
        <v>282</v>
      </c>
      <c r="B1918">
        <v>2016</v>
      </c>
      <c r="C1918" t="s">
        <v>816</v>
      </c>
      <c r="D1918" t="s">
        <v>817</v>
      </c>
      <c r="E1918" t="s">
        <v>31</v>
      </c>
      <c r="F1918" t="s">
        <v>283</v>
      </c>
      <c r="G1918">
        <v>48.083333000000003</v>
      </c>
      <c r="H1918">
        <v>-3.1</v>
      </c>
      <c r="I1918" t="s">
        <v>763</v>
      </c>
      <c r="J1918" t="s">
        <v>14</v>
      </c>
      <c r="K1918" t="s">
        <v>3</v>
      </c>
      <c r="L1918" t="s">
        <v>3</v>
      </c>
      <c r="M1918" t="s">
        <v>726</v>
      </c>
      <c r="N1918" t="s">
        <v>85</v>
      </c>
      <c r="O1918" s="6" t="s">
        <v>58</v>
      </c>
      <c r="Q1918">
        <f t="shared" si="40"/>
        <v>0.16666666666666666</v>
      </c>
      <c r="R1918" t="s">
        <v>213</v>
      </c>
      <c r="S1918" t="s">
        <v>9</v>
      </c>
      <c r="T1918">
        <v>3</v>
      </c>
      <c r="U1918" t="s">
        <v>28</v>
      </c>
      <c r="V1918" t="s">
        <v>28</v>
      </c>
      <c r="W1918">
        <v>15</v>
      </c>
      <c r="X1918">
        <v>0.34060000000000001</v>
      </c>
      <c r="Y1918">
        <f>0.4485-X1918</f>
        <v>0.1079</v>
      </c>
      <c r="AA1918" s="6"/>
      <c r="AB1918" s="6"/>
    </row>
    <row r="1919" spans="1:29" x14ac:dyDescent="0.2">
      <c r="A1919" t="s">
        <v>282</v>
      </c>
      <c r="B1919">
        <v>2016</v>
      </c>
      <c r="C1919" t="s">
        <v>816</v>
      </c>
      <c r="D1919" t="s">
        <v>817</v>
      </c>
      <c r="E1919" t="s">
        <v>31</v>
      </c>
      <c r="F1919" t="s">
        <v>284</v>
      </c>
      <c r="G1919">
        <v>50.083333000000003</v>
      </c>
      <c r="H1919">
        <v>1.066667</v>
      </c>
      <c r="I1919" t="s">
        <v>770</v>
      </c>
      <c r="J1919" t="s">
        <v>14</v>
      </c>
      <c r="K1919" t="s">
        <v>3</v>
      </c>
      <c r="L1919" t="s">
        <v>3</v>
      </c>
      <c r="M1919" t="s">
        <v>726</v>
      </c>
      <c r="N1919" t="s">
        <v>85</v>
      </c>
      <c r="O1919" s="6" t="s">
        <v>58</v>
      </c>
      <c r="Q1919">
        <f t="shared" si="40"/>
        <v>0.16666666666666666</v>
      </c>
      <c r="R1919" t="s">
        <v>213</v>
      </c>
      <c r="S1919" s="2" t="s">
        <v>9</v>
      </c>
      <c r="T1919">
        <v>3</v>
      </c>
      <c r="U1919" t="s">
        <v>28</v>
      </c>
      <c r="V1919" t="s">
        <v>28</v>
      </c>
      <c r="W1919">
        <v>15</v>
      </c>
      <c r="X1919">
        <v>0.2621</v>
      </c>
      <c r="Y1919">
        <f>0.3045-X1919</f>
        <v>4.2399999999999993E-2</v>
      </c>
      <c r="AA1919" s="6"/>
      <c r="AB1919" s="6"/>
    </row>
    <row r="1920" spans="1:29" x14ac:dyDescent="0.2">
      <c r="A1920" t="s">
        <v>282</v>
      </c>
      <c r="B1920">
        <v>2016</v>
      </c>
      <c r="C1920" t="s">
        <v>816</v>
      </c>
      <c r="D1920" t="s">
        <v>817</v>
      </c>
      <c r="E1920" t="s">
        <v>31</v>
      </c>
      <c r="F1920" t="s">
        <v>283</v>
      </c>
      <c r="G1920">
        <v>48.083333000000003</v>
      </c>
      <c r="H1920">
        <v>-3.1</v>
      </c>
      <c r="I1920" t="s">
        <v>763</v>
      </c>
      <c r="J1920" t="s">
        <v>14</v>
      </c>
      <c r="K1920" t="s">
        <v>3</v>
      </c>
      <c r="L1920" t="s">
        <v>3</v>
      </c>
      <c r="M1920" t="s">
        <v>726</v>
      </c>
      <c r="N1920" t="s">
        <v>85</v>
      </c>
      <c r="O1920" s="6" t="s">
        <v>58</v>
      </c>
      <c r="Q1920">
        <f t="shared" si="40"/>
        <v>0.16666666666666666</v>
      </c>
      <c r="R1920" t="s">
        <v>213</v>
      </c>
      <c r="S1920" s="2" t="s">
        <v>27</v>
      </c>
      <c r="T1920">
        <v>3</v>
      </c>
      <c r="U1920" t="s">
        <v>28</v>
      </c>
      <c r="V1920" t="s">
        <v>28</v>
      </c>
      <c r="W1920">
        <v>20</v>
      </c>
      <c r="X1920">
        <v>0.28620000000000001</v>
      </c>
      <c r="Y1920">
        <f>0.3136-X1920</f>
        <v>2.739999999999998E-2</v>
      </c>
      <c r="AA1920" s="6"/>
      <c r="AB1920" s="6"/>
    </row>
    <row r="1921" spans="1:28" x14ac:dyDescent="0.2">
      <c r="A1921" t="s">
        <v>282</v>
      </c>
      <c r="B1921">
        <v>2016</v>
      </c>
      <c r="C1921" t="s">
        <v>816</v>
      </c>
      <c r="D1921" t="s">
        <v>817</v>
      </c>
      <c r="E1921" t="s">
        <v>31</v>
      </c>
      <c r="F1921" t="s">
        <v>284</v>
      </c>
      <c r="G1921">
        <v>50.083333000000003</v>
      </c>
      <c r="H1921">
        <v>1.066667</v>
      </c>
      <c r="I1921" t="s">
        <v>770</v>
      </c>
      <c r="J1921" t="s">
        <v>14</v>
      </c>
      <c r="K1921" t="s">
        <v>3</v>
      </c>
      <c r="L1921" t="s">
        <v>3</v>
      </c>
      <c r="M1921" t="s">
        <v>726</v>
      </c>
      <c r="N1921" t="s">
        <v>85</v>
      </c>
      <c r="O1921" s="6" t="s">
        <v>58</v>
      </c>
      <c r="Q1921">
        <f t="shared" si="40"/>
        <v>0.16666666666666666</v>
      </c>
      <c r="R1921" t="s">
        <v>213</v>
      </c>
      <c r="S1921" s="2" t="s">
        <v>27</v>
      </c>
      <c r="T1921">
        <v>3</v>
      </c>
      <c r="U1921" t="s">
        <v>28</v>
      </c>
      <c r="V1921" t="s">
        <v>28</v>
      </c>
      <c r="W1921">
        <v>20</v>
      </c>
      <c r="X1921">
        <v>0.28460000000000002</v>
      </c>
      <c r="Y1921">
        <f>0.3068-X1921</f>
        <v>2.2199999999999998E-2</v>
      </c>
      <c r="AA1921" s="6"/>
      <c r="AB1921" s="6"/>
    </row>
    <row r="1922" spans="1:28" x14ac:dyDescent="0.2">
      <c r="A1922" t="s">
        <v>282</v>
      </c>
      <c r="B1922">
        <v>2016</v>
      </c>
      <c r="C1922" t="s">
        <v>816</v>
      </c>
      <c r="D1922" t="s">
        <v>817</v>
      </c>
      <c r="E1922" t="s">
        <v>31</v>
      </c>
      <c r="F1922" t="s">
        <v>283</v>
      </c>
      <c r="G1922">
        <v>48.083333000000003</v>
      </c>
      <c r="H1922">
        <v>-3.1</v>
      </c>
      <c r="I1922" t="s">
        <v>763</v>
      </c>
      <c r="J1922" t="s">
        <v>7</v>
      </c>
      <c r="K1922" t="s">
        <v>3</v>
      </c>
      <c r="L1922" t="s">
        <v>3</v>
      </c>
      <c r="M1922" t="s">
        <v>726</v>
      </c>
      <c r="N1922" t="s">
        <v>85</v>
      </c>
      <c r="O1922" s="6" t="s">
        <v>112</v>
      </c>
      <c r="P1922" t="s">
        <v>83</v>
      </c>
      <c r="Q1922">
        <f>4/24</f>
        <v>0.16666666666666666</v>
      </c>
      <c r="R1922" t="s">
        <v>213</v>
      </c>
      <c r="S1922" s="2" t="s">
        <v>7</v>
      </c>
      <c r="T1922">
        <v>3</v>
      </c>
      <c r="U1922" t="s">
        <v>28</v>
      </c>
      <c r="V1922" t="s">
        <v>28</v>
      </c>
      <c r="W1922">
        <v>10</v>
      </c>
      <c r="X1922">
        <v>15.96</v>
      </c>
      <c r="Y1922">
        <f>16.69-X1922</f>
        <v>0.73000000000000043</v>
      </c>
      <c r="AA1922" s="6"/>
      <c r="AB1922" s="6"/>
    </row>
    <row r="1923" spans="1:28" x14ac:dyDescent="0.2">
      <c r="A1923" t="s">
        <v>282</v>
      </c>
      <c r="B1923">
        <v>2016</v>
      </c>
      <c r="C1923" t="s">
        <v>816</v>
      </c>
      <c r="D1923" t="s">
        <v>817</v>
      </c>
      <c r="E1923" t="s">
        <v>31</v>
      </c>
      <c r="F1923" t="s">
        <v>284</v>
      </c>
      <c r="G1923">
        <v>50.083333000000003</v>
      </c>
      <c r="H1923">
        <v>1.066667</v>
      </c>
      <c r="I1923" t="s">
        <v>770</v>
      </c>
      <c r="J1923" t="s">
        <v>7</v>
      </c>
      <c r="K1923" t="s">
        <v>3</v>
      </c>
      <c r="L1923" t="s">
        <v>3</v>
      </c>
      <c r="M1923" t="s">
        <v>726</v>
      </c>
      <c r="N1923" t="s">
        <v>85</v>
      </c>
      <c r="O1923" s="6" t="s">
        <v>112</v>
      </c>
      <c r="P1923" t="s">
        <v>83</v>
      </c>
      <c r="Q1923">
        <f t="shared" si="40"/>
        <v>0.16666666666666666</v>
      </c>
      <c r="R1923" t="s">
        <v>213</v>
      </c>
      <c r="S1923" s="2" t="s">
        <v>7</v>
      </c>
      <c r="T1923">
        <v>3</v>
      </c>
      <c r="U1923" t="s">
        <v>28</v>
      </c>
      <c r="V1923" t="s">
        <v>28</v>
      </c>
      <c r="W1923">
        <v>10</v>
      </c>
      <c r="X1923">
        <v>22.72</v>
      </c>
      <c r="Y1923">
        <f>28.1-X1923</f>
        <v>5.3800000000000026</v>
      </c>
      <c r="AA1923" s="6"/>
      <c r="AB1923" s="6"/>
    </row>
    <row r="1924" spans="1:28" x14ac:dyDescent="0.2">
      <c r="A1924" t="s">
        <v>282</v>
      </c>
      <c r="B1924">
        <v>2016</v>
      </c>
      <c r="C1924" t="s">
        <v>816</v>
      </c>
      <c r="D1924" t="s">
        <v>817</v>
      </c>
      <c r="E1924" t="s">
        <v>31</v>
      </c>
      <c r="F1924" t="s">
        <v>283</v>
      </c>
      <c r="G1924">
        <v>48.083333000000003</v>
      </c>
      <c r="H1924">
        <v>-3.1</v>
      </c>
      <c r="I1924" t="s">
        <v>763</v>
      </c>
      <c r="J1924" t="s">
        <v>14</v>
      </c>
      <c r="K1924" t="s">
        <v>3</v>
      </c>
      <c r="L1924" t="s">
        <v>3</v>
      </c>
      <c r="M1924" t="s">
        <v>726</v>
      </c>
      <c r="N1924" t="s">
        <v>85</v>
      </c>
      <c r="O1924" s="6" t="s">
        <v>112</v>
      </c>
      <c r="P1924" t="s">
        <v>83</v>
      </c>
      <c r="Q1924">
        <f t="shared" si="40"/>
        <v>0.16666666666666666</v>
      </c>
      <c r="R1924" t="s">
        <v>213</v>
      </c>
      <c r="S1924" t="s">
        <v>9</v>
      </c>
      <c r="T1924">
        <v>3</v>
      </c>
      <c r="U1924" t="s">
        <v>28</v>
      </c>
      <c r="V1924" t="s">
        <v>28</v>
      </c>
      <c r="W1924">
        <v>15</v>
      </c>
      <c r="X1924">
        <v>27.59</v>
      </c>
      <c r="Y1924">
        <f>29.79-X1924</f>
        <v>2.1999999999999993</v>
      </c>
      <c r="AA1924" s="6"/>
      <c r="AB1924" s="6"/>
    </row>
    <row r="1925" spans="1:28" x14ac:dyDescent="0.2">
      <c r="A1925" t="s">
        <v>282</v>
      </c>
      <c r="B1925">
        <v>2016</v>
      </c>
      <c r="C1925" t="s">
        <v>816</v>
      </c>
      <c r="D1925" t="s">
        <v>817</v>
      </c>
      <c r="E1925" t="s">
        <v>31</v>
      </c>
      <c r="F1925" t="s">
        <v>284</v>
      </c>
      <c r="G1925">
        <v>50.083333000000003</v>
      </c>
      <c r="H1925">
        <v>1.066667</v>
      </c>
      <c r="I1925" t="s">
        <v>770</v>
      </c>
      <c r="J1925" t="s">
        <v>14</v>
      </c>
      <c r="K1925" t="s">
        <v>3</v>
      </c>
      <c r="L1925" t="s">
        <v>3</v>
      </c>
      <c r="M1925" t="s">
        <v>726</v>
      </c>
      <c r="N1925" t="s">
        <v>85</v>
      </c>
      <c r="O1925" s="6" t="s">
        <v>112</v>
      </c>
      <c r="P1925" t="s">
        <v>83</v>
      </c>
      <c r="Q1925">
        <f t="shared" si="40"/>
        <v>0.16666666666666666</v>
      </c>
      <c r="R1925" t="s">
        <v>213</v>
      </c>
      <c r="S1925" s="2" t="s">
        <v>9</v>
      </c>
      <c r="T1925">
        <v>3</v>
      </c>
      <c r="U1925" t="s">
        <v>28</v>
      </c>
      <c r="V1925" t="s">
        <v>28</v>
      </c>
      <c r="W1925">
        <v>15</v>
      </c>
      <c r="X1925">
        <v>20.83</v>
      </c>
      <c r="Y1925">
        <f>21.75-X1925</f>
        <v>0.92000000000000171</v>
      </c>
      <c r="AA1925" s="6"/>
      <c r="AB1925" s="6"/>
    </row>
    <row r="1926" spans="1:28" x14ac:dyDescent="0.2">
      <c r="A1926" t="s">
        <v>282</v>
      </c>
      <c r="B1926">
        <v>2016</v>
      </c>
      <c r="C1926" t="s">
        <v>816</v>
      </c>
      <c r="D1926" t="s">
        <v>817</v>
      </c>
      <c r="E1926" t="s">
        <v>31</v>
      </c>
      <c r="F1926" t="s">
        <v>283</v>
      </c>
      <c r="G1926">
        <v>48.083333000000003</v>
      </c>
      <c r="H1926">
        <v>-3.1</v>
      </c>
      <c r="I1926" t="s">
        <v>763</v>
      </c>
      <c r="J1926" t="s">
        <v>14</v>
      </c>
      <c r="K1926" t="s">
        <v>3</v>
      </c>
      <c r="L1926" t="s">
        <v>3</v>
      </c>
      <c r="M1926" t="s">
        <v>726</v>
      </c>
      <c r="N1926" t="s">
        <v>85</v>
      </c>
      <c r="O1926" s="6" t="s">
        <v>112</v>
      </c>
      <c r="P1926" t="s">
        <v>83</v>
      </c>
      <c r="Q1926">
        <f t="shared" si="40"/>
        <v>0.16666666666666666</v>
      </c>
      <c r="R1926" t="s">
        <v>213</v>
      </c>
      <c r="S1926" s="2" t="s">
        <v>27</v>
      </c>
      <c r="T1926">
        <v>3</v>
      </c>
      <c r="U1926" t="s">
        <v>28</v>
      </c>
      <c r="V1926" t="s">
        <v>28</v>
      </c>
      <c r="W1926">
        <v>20</v>
      </c>
      <c r="X1926">
        <v>30.27</v>
      </c>
      <c r="Y1926">
        <f>35.83-X1926</f>
        <v>5.5599999999999987</v>
      </c>
      <c r="AA1926" s="6"/>
      <c r="AB1926" s="6"/>
    </row>
    <row r="1927" spans="1:28" x14ac:dyDescent="0.2">
      <c r="A1927" t="s">
        <v>282</v>
      </c>
      <c r="B1927">
        <v>2016</v>
      </c>
      <c r="C1927" t="s">
        <v>816</v>
      </c>
      <c r="D1927" t="s">
        <v>817</v>
      </c>
      <c r="E1927" t="s">
        <v>31</v>
      </c>
      <c r="F1927" t="s">
        <v>284</v>
      </c>
      <c r="G1927">
        <v>50.083333000000003</v>
      </c>
      <c r="H1927">
        <v>1.066667</v>
      </c>
      <c r="I1927" t="s">
        <v>770</v>
      </c>
      <c r="J1927" t="s">
        <v>14</v>
      </c>
      <c r="K1927" t="s">
        <v>3</v>
      </c>
      <c r="L1927" t="s">
        <v>3</v>
      </c>
      <c r="M1927" t="s">
        <v>726</v>
      </c>
      <c r="N1927" t="s">
        <v>85</v>
      </c>
      <c r="O1927" s="6" t="s">
        <v>112</v>
      </c>
      <c r="P1927" t="s">
        <v>83</v>
      </c>
      <c r="Q1927">
        <f t="shared" si="40"/>
        <v>0.16666666666666666</v>
      </c>
      <c r="R1927" t="s">
        <v>213</v>
      </c>
      <c r="S1927" s="2" t="s">
        <v>27</v>
      </c>
      <c r="T1927">
        <v>3</v>
      </c>
      <c r="U1927" t="s">
        <v>28</v>
      </c>
      <c r="V1927" t="s">
        <v>28</v>
      </c>
      <c r="W1927">
        <v>20</v>
      </c>
      <c r="X1927">
        <v>38.520000000000003</v>
      </c>
      <c r="Y1927">
        <f>41.27-X1927</f>
        <v>2.75</v>
      </c>
      <c r="AA1927" s="6"/>
      <c r="AB1927" s="6"/>
    </row>
    <row r="1928" spans="1:28" x14ac:dyDescent="0.2">
      <c r="A1928" t="s">
        <v>282</v>
      </c>
      <c r="B1928">
        <v>2016</v>
      </c>
      <c r="C1928" t="s">
        <v>816</v>
      </c>
      <c r="D1928" t="s">
        <v>817</v>
      </c>
      <c r="E1928" t="s">
        <v>31</v>
      </c>
      <c r="F1928" t="s">
        <v>283</v>
      </c>
      <c r="G1928">
        <v>48.083333000000003</v>
      </c>
      <c r="H1928">
        <v>-3.1</v>
      </c>
      <c r="I1928" t="s">
        <v>763</v>
      </c>
      <c r="J1928" t="s">
        <v>7</v>
      </c>
      <c r="K1928" t="s">
        <v>3</v>
      </c>
      <c r="L1928" t="s">
        <v>3</v>
      </c>
      <c r="M1928" t="s">
        <v>726</v>
      </c>
      <c r="N1928" t="s">
        <v>85</v>
      </c>
      <c r="O1928" s="6" t="s">
        <v>196</v>
      </c>
      <c r="P1928" t="s">
        <v>83</v>
      </c>
      <c r="Q1928">
        <f>4/24</f>
        <v>0.16666666666666666</v>
      </c>
      <c r="R1928" t="s">
        <v>213</v>
      </c>
      <c r="S1928" s="2" t="s">
        <v>7</v>
      </c>
      <c r="T1928">
        <v>3</v>
      </c>
      <c r="U1928" t="s">
        <v>28</v>
      </c>
      <c r="V1928" t="s">
        <v>28</v>
      </c>
      <c r="W1928">
        <v>10</v>
      </c>
      <c r="X1928">
        <v>39.880000000000003</v>
      </c>
      <c r="Y1928">
        <f>41.27-X1928</f>
        <v>1.3900000000000006</v>
      </c>
      <c r="AA1928" s="6"/>
      <c r="AB1928" s="6"/>
    </row>
    <row r="1929" spans="1:28" x14ac:dyDescent="0.2">
      <c r="A1929" t="s">
        <v>282</v>
      </c>
      <c r="B1929">
        <v>2016</v>
      </c>
      <c r="C1929" t="s">
        <v>816</v>
      </c>
      <c r="D1929" t="s">
        <v>817</v>
      </c>
      <c r="E1929" t="s">
        <v>31</v>
      </c>
      <c r="F1929" t="s">
        <v>284</v>
      </c>
      <c r="G1929">
        <v>50.083333000000003</v>
      </c>
      <c r="H1929">
        <v>1.066667</v>
      </c>
      <c r="I1929" t="s">
        <v>770</v>
      </c>
      <c r="J1929" t="s">
        <v>7</v>
      </c>
      <c r="K1929" t="s">
        <v>3</v>
      </c>
      <c r="L1929" t="s">
        <v>3</v>
      </c>
      <c r="M1929" t="s">
        <v>726</v>
      </c>
      <c r="N1929" t="s">
        <v>85</v>
      </c>
      <c r="O1929" s="6" t="s">
        <v>196</v>
      </c>
      <c r="P1929" t="s">
        <v>83</v>
      </c>
      <c r="Q1929">
        <f t="shared" si="40"/>
        <v>0.16666666666666666</v>
      </c>
      <c r="R1929" t="s">
        <v>213</v>
      </c>
      <c r="S1929" s="2" t="s">
        <v>7</v>
      </c>
      <c r="T1929">
        <v>3</v>
      </c>
      <c r="U1929" t="s">
        <v>28</v>
      </c>
      <c r="V1929" t="s">
        <v>28</v>
      </c>
      <c r="W1929">
        <v>10</v>
      </c>
      <c r="X1929">
        <v>62.55</v>
      </c>
      <c r="Y1929">
        <f>82.55-X1929</f>
        <v>20</v>
      </c>
      <c r="AA1929" s="6"/>
      <c r="AB1929" s="6"/>
    </row>
    <row r="1930" spans="1:28" x14ac:dyDescent="0.2">
      <c r="A1930" t="s">
        <v>282</v>
      </c>
      <c r="B1930">
        <v>2016</v>
      </c>
      <c r="C1930" t="s">
        <v>816</v>
      </c>
      <c r="D1930" t="s">
        <v>817</v>
      </c>
      <c r="E1930" t="s">
        <v>31</v>
      </c>
      <c r="F1930" t="s">
        <v>283</v>
      </c>
      <c r="G1930">
        <v>48.083333000000003</v>
      </c>
      <c r="H1930">
        <v>-3.1</v>
      </c>
      <c r="I1930" t="s">
        <v>763</v>
      </c>
      <c r="J1930" t="s">
        <v>14</v>
      </c>
      <c r="K1930" t="s">
        <v>3</v>
      </c>
      <c r="L1930" t="s">
        <v>3</v>
      </c>
      <c r="M1930" t="s">
        <v>726</v>
      </c>
      <c r="N1930" t="s">
        <v>85</v>
      </c>
      <c r="O1930" s="6" t="s">
        <v>196</v>
      </c>
      <c r="P1930" t="s">
        <v>83</v>
      </c>
      <c r="Q1930">
        <f t="shared" si="40"/>
        <v>0.16666666666666666</v>
      </c>
      <c r="R1930" t="s">
        <v>213</v>
      </c>
      <c r="S1930" t="s">
        <v>9</v>
      </c>
      <c r="T1930">
        <v>3</v>
      </c>
      <c r="U1930" t="s">
        <v>28</v>
      </c>
      <c r="V1930" t="s">
        <v>28</v>
      </c>
      <c r="W1930">
        <v>15</v>
      </c>
      <c r="X1930">
        <v>85.23</v>
      </c>
      <c r="Y1930">
        <f>105.37-X1930</f>
        <v>20.14</v>
      </c>
      <c r="AA1930" s="6"/>
      <c r="AB1930" s="6"/>
    </row>
    <row r="1931" spans="1:28" x14ac:dyDescent="0.2">
      <c r="A1931" t="s">
        <v>282</v>
      </c>
      <c r="B1931">
        <v>2016</v>
      </c>
      <c r="C1931" t="s">
        <v>816</v>
      </c>
      <c r="D1931" t="s">
        <v>817</v>
      </c>
      <c r="E1931" t="s">
        <v>31</v>
      </c>
      <c r="F1931" t="s">
        <v>284</v>
      </c>
      <c r="G1931">
        <v>50.083333000000003</v>
      </c>
      <c r="H1931">
        <v>1.066667</v>
      </c>
      <c r="I1931" t="s">
        <v>770</v>
      </c>
      <c r="J1931" t="s">
        <v>14</v>
      </c>
      <c r="K1931" t="s">
        <v>3</v>
      </c>
      <c r="L1931" t="s">
        <v>3</v>
      </c>
      <c r="M1931" t="s">
        <v>726</v>
      </c>
      <c r="N1931" t="s">
        <v>85</v>
      </c>
      <c r="O1931" s="6" t="s">
        <v>196</v>
      </c>
      <c r="P1931" t="s">
        <v>83</v>
      </c>
      <c r="Q1931">
        <f t="shared" si="40"/>
        <v>0.16666666666666666</v>
      </c>
      <c r="R1931" t="s">
        <v>213</v>
      </c>
      <c r="S1931" s="2" t="s">
        <v>9</v>
      </c>
      <c r="T1931">
        <v>3</v>
      </c>
      <c r="U1931" t="s">
        <v>28</v>
      </c>
      <c r="V1931" t="s">
        <v>28</v>
      </c>
      <c r="W1931">
        <v>15</v>
      </c>
      <c r="X1931">
        <v>80.5</v>
      </c>
      <c r="Y1931">
        <f>91.53-X1931</f>
        <v>11.030000000000001</v>
      </c>
      <c r="AA1931" s="6"/>
      <c r="AB1931" s="6"/>
    </row>
    <row r="1932" spans="1:28" x14ac:dyDescent="0.2">
      <c r="A1932" t="s">
        <v>282</v>
      </c>
      <c r="B1932">
        <v>2016</v>
      </c>
      <c r="C1932" t="s">
        <v>816</v>
      </c>
      <c r="D1932" t="s">
        <v>817</v>
      </c>
      <c r="E1932" t="s">
        <v>31</v>
      </c>
      <c r="F1932" t="s">
        <v>283</v>
      </c>
      <c r="G1932">
        <v>48.083333000000003</v>
      </c>
      <c r="H1932">
        <v>-3.1</v>
      </c>
      <c r="I1932" t="s">
        <v>763</v>
      </c>
      <c r="J1932" t="s">
        <v>14</v>
      </c>
      <c r="K1932" t="s">
        <v>3</v>
      </c>
      <c r="L1932" t="s">
        <v>3</v>
      </c>
      <c r="M1932" t="s">
        <v>726</v>
      </c>
      <c r="N1932" t="s">
        <v>85</v>
      </c>
      <c r="O1932" s="6" t="s">
        <v>196</v>
      </c>
      <c r="P1932" t="s">
        <v>83</v>
      </c>
      <c r="Q1932">
        <f t="shared" si="40"/>
        <v>0.16666666666666666</v>
      </c>
      <c r="R1932" t="s">
        <v>213</v>
      </c>
      <c r="S1932" s="2" t="s">
        <v>27</v>
      </c>
      <c r="T1932">
        <v>3</v>
      </c>
      <c r="U1932" t="s">
        <v>28</v>
      </c>
      <c r="V1932" t="s">
        <v>28</v>
      </c>
      <c r="W1932">
        <v>20</v>
      </c>
      <c r="X1932">
        <v>105.67</v>
      </c>
      <c r="Y1932">
        <f>119.94-X1932</f>
        <v>14.269999999999996</v>
      </c>
      <c r="AA1932" s="6"/>
      <c r="AB1932" s="6"/>
    </row>
    <row r="1933" spans="1:28" x14ac:dyDescent="0.2">
      <c r="A1933" t="s">
        <v>282</v>
      </c>
      <c r="B1933">
        <v>2016</v>
      </c>
      <c r="C1933" t="s">
        <v>816</v>
      </c>
      <c r="D1933" t="s">
        <v>817</v>
      </c>
      <c r="E1933" t="s">
        <v>31</v>
      </c>
      <c r="F1933" t="s">
        <v>284</v>
      </c>
      <c r="G1933">
        <v>50.083333000000003</v>
      </c>
      <c r="H1933">
        <v>1.066667</v>
      </c>
      <c r="I1933" t="s">
        <v>770</v>
      </c>
      <c r="J1933" t="s">
        <v>14</v>
      </c>
      <c r="K1933" t="s">
        <v>3</v>
      </c>
      <c r="L1933" t="s">
        <v>3</v>
      </c>
      <c r="M1933" t="s">
        <v>726</v>
      </c>
      <c r="N1933" t="s">
        <v>85</v>
      </c>
      <c r="O1933" s="6" t="s">
        <v>196</v>
      </c>
      <c r="P1933" t="s">
        <v>83</v>
      </c>
      <c r="Q1933">
        <f t="shared" si="40"/>
        <v>0.16666666666666666</v>
      </c>
      <c r="R1933" t="s">
        <v>213</v>
      </c>
      <c r="S1933" s="2" t="s">
        <v>27</v>
      </c>
      <c r="T1933">
        <v>3</v>
      </c>
      <c r="U1933" t="s">
        <v>28</v>
      </c>
      <c r="V1933" t="s">
        <v>28</v>
      </c>
      <c r="W1933">
        <v>20</v>
      </c>
      <c r="X1933">
        <v>135.83000000000001</v>
      </c>
      <c r="Y1933">
        <f>150.29-X1933</f>
        <v>14.45999999999998</v>
      </c>
      <c r="AA1933" s="6"/>
      <c r="AB1933" s="6"/>
    </row>
    <row r="1934" spans="1:28" x14ac:dyDescent="0.2">
      <c r="A1934" t="s">
        <v>282</v>
      </c>
      <c r="B1934">
        <v>2016</v>
      </c>
      <c r="C1934" t="s">
        <v>816</v>
      </c>
      <c r="D1934" t="s">
        <v>817</v>
      </c>
      <c r="E1934" t="s">
        <v>31</v>
      </c>
      <c r="F1934" t="s">
        <v>283</v>
      </c>
      <c r="G1934">
        <v>48.083333000000003</v>
      </c>
      <c r="H1934">
        <v>-3.1</v>
      </c>
      <c r="I1934" t="s">
        <v>763</v>
      </c>
      <c r="J1934" t="s">
        <v>7</v>
      </c>
      <c r="K1934" t="s">
        <v>3</v>
      </c>
      <c r="L1934" t="s">
        <v>3</v>
      </c>
      <c r="M1934" t="s">
        <v>726</v>
      </c>
      <c r="N1934" t="s">
        <v>85</v>
      </c>
      <c r="O1934" s="6" t="s">
        <v>208</v>
      </c>
      <c r="Q1934">
        <f>4/24</f>
        <v>0.16666666666666666</v>
      </c>
      <c r="R1934" t="s">
        <v>213</v>
      </c>
      <c r="S1934" s="2" t="s">
        <v>7</v>
      </c>
      <c r="T1934">
        <v>3</v>
      </c>
      <c r="U1934" t="s">
        <v>28</v>
      </c>
      <c r="V1934" t="s">
        <v>28</v>
      </c>
      <c r="W1934">
        <v>10</v>
      </c>
      <c r="X1934">
        <v>3.7970000000000002</v>
      </c>
      <c r="Y1934">
        <f>4.218-X1934</f>
        <v>0.42099999999999982</v>
      </c>
      <c r="AA1934" s="6"/>
      <c r="AB1934" s="6"/>
    </row>
    <row r="1935" spans="1:28" x14ac:dyDescent="0.2">
      <c r="A1935" t="s">
        <v>282</v>
      </c>
      <c r="B1935">
        <v>2016</v>
      </c>
      <c r="C1935" t="s">
        <v>816</v>
      </c>
      <c r="D1935" t="s">
        <v>817</v>
      </c>
      <c r="E1935" t="s">
        <v>31</v>
      </c>
      <c r="F1935" t="s">
        <v>284</v>
      </c>
      <c r="G1935">
        <v>50.083333000000003</v>
      </c>
      <c r="H1935">
        <v>1.066667</v>
      </c>
      <c r="I1935" t="s">
        <v>770</v>
      </c>
      <c r="J1935" t="s">
        <v>7</v>
      </c>
      <c r="K1935" t="s">
        <v>3</v>
      </c>
      <c r="L1935" t="s">
        <v>3</v>
      </c>
      <c r="M1935" t="s">
        <v>726</v>
      </c>
      <c r="N1935" t="s">
        <v>85</v>
      </c>
      <c r="O1935" s="6" t="s">
        <v>208</v>
      </c>
      <c r="Q1935">
        <f t="shared" si="40"/>
        <v>0.16666666666666666</v>
      </c>
      <c r="R1935" t="s">
        <v>213</v>
      </c>
      <c r="S1935" s="2" t="s">
        <v>7</v>
      </c>
      <c r="T1935">
        <v>3</v>
      </c>
      <c r="U1935" t="s">
        <v>28</v>
      </c>
      <c r="V1935" t="s">
        <v>28</v>
      </c>
      <c r="W1935">
        <v>10</v>
      </c>
      <c r="X1935">
        <v>2.2559999999999998</v>
      </c>
      <c r="Y1935">
        <f>3.014-X1935</f>
        <v>0.75800000000000001</v>
      </c>
      <c r="AA1935" s="6"/>
      <c r="AB1935" s="6"/>
    </row>
    <row r="1936" spans="1:28" x14ac:dyDescent="0.2">
      <c r="A1936" t="s">
        <v>282</v>
      </c>
      <c r="B1936">
        <v>2016</v>
      </c>
      <c r="C1936" t="s">
        <v>816</v>
      </c>
      <c r="D1936" t="s">
        <v>817</v>
      </c>
      <c r="E1936" t="s">
        <v>31</v>
      </c>
      <c r="F1936" t="s">
        <v>283</v>
      </c>
      <c r="G1936">
        <v>48.083333000000003</v>
      </c>
      <c r="H1936">
        <v>-3.1</v>
      </c>
      <c r="I1936" t="s">
        <v>763</v>
      </c>
      <c r="J1936" t="s">
        <v>14</v>
      </c>
      <c r="K1936" t="s">
        <v>3</v>
      </c>
      <c r="L1936" t="s">
        <v>3</v>
      </c>
      <c r="M1936" t="s">
        <v>726</v>
      </c>
      <c r="N1936" t="s">
        <v>85</v>
      </c>
      <c r="O1936" s="6" t="s">
        <v>208</v>
      </c>
      <c r="Q1936">
        <f t="shared" si="40"/>
        <v>0.16666666666666666</v>
      </c>
      <c r="R1936" t="s">
        <v>213</v>
      </c>
      <c r="S1936" t="s">
        <v>9</v>
      </c>
      <c r="T1936">
        <v>3</v>
      </c>
      <c r="U1936" t="s">
        <v>28</v>
      </c>
      <c r="V1936" t="s">
        <v>28</v>
      </c>
      <c r="W1936">
        <v>15</v>
      </c>
      <c r="X1936">
        <v>3.6640000000000001</v>
      </c>
      <c r="Y1936">
        <f>4.264-X1936</f>
        <v>0.60000000000000009</v>
      </c>
      <c r="AA1936" s="6"/>
      <c r="AB1936" s="6"/>
    </row>
    <row r="1937" spans="1:28" x14ac:dyDescent="0.2">
      <c r="A1937" t="s">
        <v>282</v>
      </c>
      <c r="B1937">
        <v>2016</v>
      </c>
      <c r="C1937" t="s">
        <v>816</v>
      </c>
      <c r="D1937" t="s">
        <v>817</v>
      </c>
      <c r="E1937" t="s">
        <v>31</v>
      </c>
      <c r="F1937" t="s">
        <v>284</v>
      </c>
      <c r="G1937">
        <v>50.083333000000003</v>
      </c>
      <c r="H1937">
        <v>1.066667</v>
      </c>
      <c r="I1937" t="s">
        <v>770</v>
      </c>
      <c r="J1937" t="s">
        <v>14</v>
      </c>
      <c r="K1937" t="s">
        <v>3</v>
      </c>
      <c r="L1937" t="s">
        <v>3</v>
      </c>
      <c r="M1937" t="s">
        <v>726</v>
      </c>
      <c r="N1937" t="s">
        <v>85</v>
      </c>
      <c r="O1937" s="6" t="s">
        <v>208</v>
      </c>
      <c r="Q1937">
        <f t="shared" si="40"/>
        <v>0.16666666666666666</v>
      </c>
      <c r="R1937" t="s">
        <v>213</v>
      </c>
      <c r="S1937" s="2" t="s">
        <v>9</v>
      </c>
      <c r="T1937">
        <v>3</v>
      </c>
      <c r="U1937" t="s">
        <v>28</v>
      </c>
      <c r="V1937" t="s">
        <v>28</v>
      </c>
      <c r="W1937">
        <v>15</v>
      </c>
      <c r="X1937">
        <v>1.887</v>
      </c>
      <c r="Y1937">
        <f>2.462-X1937</f>
        <v>0.57500000000000018</v>
      </c>
      <c r="AA1937" s="6"/>
      <c r="AB1937" s="6"/>
    </row>
    <row r="1938" spans="1:28" x14ac:dyDescent="0.2">
      <c r="A1938" t="s">
        <v>282</v>
      </c>
      <c r="B1938">
        <v>2016</v>
      </c>
      <c r="C1938" t="s">
        <v>816</v>
      </c>
      <c r="D1938" t="s">
        <v>817</v>
      </c>
      <c r="E1938" t="s">
        <v>31</v>
      </c>
      <c r="F1938" t="s">
        <v>283</v>
      </c>
      <c r="G1938">
        <v>48.083333000000003</v>
      </c>
      <c r="H1938">
        <v>-3.1</v>
      </c>
      <c r="I1938" t="s">
        <v>763</v>
      </c>
      <c r="J1938" t="s">
        <v>14</v>
      </c>
      <c r="K1938" t="s">
        <v>3</v>
      </c>
      <c r="L1938" t="s">
        <v>3</v>
      </c>
      <c r="M1938" t="s">
        <v>726</v>
      </c>
      <c r="N1938" t="s">
        <v>85</v>
      </c>
      <c r="O1938" s="6" t="s">
        <v>208</v>
      </c>
      <c r="Q1938">
        <f t="shared" si="40"/>
        <v>0.16666666666666666</v>
      </c>
      <c r="R1938" t="s">
        <v>213</v>
      </c>
      <c r="S1938" s="2" t="s">
        <v>27</v>
      </c>
      <c r="T1938">
        <v>3</v>
      </c>
      <c r="U1938" t="s">
        <v>28</v>
      </c>
      <c r="V1938" t="s">
        <v>28</v>
      </c>
      <c r="W1938">
        <v>20</v>
      </c>
      <c r="X1938">
        <v>1.69</v>
      </c>
      <c r="Y1938">
        <f>2.63-X1938</f>
        <v>0.94</v>
      </c>
      <c r="AA1938" s="6"/>
      <c r="AB1938" s="6"/>
    </row>
    <row r="1939" spans="1:28" x14ac:dyDescent="0.2">
      <c r="A1939" t="s">
        <v>282</v>
      </c>
      <c r="B1939">
        <v>2016</v>
      </c>
      <c r="C1939" t="s">
        <v>816</v>
      </c>
      <c r="D1939" t="s">
        <v>817</v>
      </c>
      <c r="E1939" t="s">
        <v>31</v>
      </c>
      <c r="F1939" t="s">
        <v>284</v>
      </c>
      <c r="G1939">
        <v>50.083333000000003</v>
      </c>
      <c r="H1939">
        <v>1.066667</v>
      </c>
      <c r="I1939" t="s">
        <v>770</v>
      </c>
      <c r="J1939" t="s">
        <v>14</v>
      </c>
      <c r="K1939" t="s">
        <v>3</v>
      </c>
      <c r="L1939" t="s">
        <v>3</v>
      </c>
      <c r="M1939" t="s">
        <v>726</v>
      </c>
      <c r="N1939" t="s">
        <v>85</v>
      </c>
      <c r="O1939" s="6" t="s">
        <v>208</v>
      </c>
      <c r="Q1939">
        <f t="shared" si="40"/>
        <v>0.16666666666666666</v>
      </c>
      <c r="R1939" t="s">
        <v>213</v>
      </c>
      <c r="S1939" s="2" t="s">
        <v>27</v>
      </c>
      <c r="T1939">
        <v>3</v>
      </c>
      <c r="U1939" t="s">
        <v>28</v>
      </c>
      <c r="V1939" t="s">
        <v>28</v>
      </c>
      <c r="W1939">
        <v>20</v>
      </c>
      <c r="X1939">
        <v>0.72299999999999998</v>
      </c>
      <c r="Y1939">
        <f>1.281-X1939</f>
        <v>0.55799999999999994</v>
      </c>
      <c r="AA1939" s="6"/>
      <c r="AB1939" s="6"/>
    </row>
    <row r="1940" spans="1:28" x14ac:dyDescent="0.2">
      <c r="A1940" t="s">
        <v>285</v>
      </c>
      <c r="B1940">
        <v>2019</v>
      </c>
      <c r="C1940" t="s">
        <v>816</v>
      </c>
      <c r="D1940" t="s">
        <v>817</v>
      </c>
      <c r="E1940" t="s">
        <v>31</v>
      </c>
      <c r="F1940" t="s">
        <v>286</v>
      </c>
      <c r="G1940">
        <v>58.952720999999997</v>
      </c>
      <c r="H1940">
        <v>-3.3308179999999998</v>
      </c>
      <c r="I1940" t="s">
        <v>772</v>
      </c>
      <c r="J1940" t="s">
        <v>7</v>
      </c>
      <c r="K1940" t="s">
        <v>144</v>
      </c>
      <c r="L1940" t="s">
        <v>144</v>
      </c>
      <c r="M1940" t="s">
        <v>637</v>
      </c>
      <c r="N1940" t="s">
        <v>86</v>
      </c>
      <c r="O1940" s="6" t="s">
        <v>233</v>
      </c>
      <c r="P1940" t="s">
        <v>287</v>
      </c>
      <c r="Q1940">
        <f>1/24</f>
        <v>4.1666666666666664E-2</v>
      </c>
      <c r="R1940" t="s">
        <v>213</v>
      </c>
      <c r="S1940" s="2" t="s">
        <v>7</v>
      </c>
      <c r="T1940">
        <v>5</v>
      </c>
      <c r="U1940" t="s">
        <v>28</v>
      </c>
      <c r="V1940" t="s">
        <v>28</v>
      </c>
      <c r="W1940">
        <v>8</v>
      </c>
      <c r="X1940">
        <v>1.24</v>
      </c>
      <c r="Y1940" s="6">
        <f t="shared" ref="Y1940:Y1967" si="41">Z1940*SQRT(T1940)</f>
        <v>0.78262379212492661</v>
      </c>
      <c r="Z1940">
        <f>1.59-X1940</f>
        <v>0.35000000000000009</v>
      </c>
      <c r="AA1940" s="6"/>
      <c r="AB1940" s="6"/>
    </row>
    <row r="1941" spans="1:28" x14ac:dyDescent="0.2">
      <c r="A1941" t="s">
        <v>285</v>
      </c>
      <c r="B1941">
        <v>2019</v>
      </c>
      <c r="C1941" t="s">
        <v>816</v>
      </c>
      <c r="D1941" t="s">
        <v>817</v>
      </c>
      <c r="E1941" t="s">
        <v>31</v>
      </c>
      <c r="F1941" t="s">
        <v>286</v>
      </c>
      <c r="G1941">
        <v>58.952720999999997</v>
      </c>
      <c r="H1941">
        <v>-3.3308179999999998</v>
      </c>
      <c r="I1941" t="s">
        <v>772</v>
      </c>
      <c r="J1941" t="s">
        <v>14</v>
      </c>
      <c r="K1941" t="s">
        <v>144</v>
      </c>
      <c r="L1941" t="s">
        <v>144</v>
      </c>
      <c r="M1941" t="s">
        <v>637</v>
      </c>
      <c r="N1941" t="s">
        <v>86</v>
      </c>
      <c r="O1941" s="6" t="s">
        <v>233</v>
      </c>
      <c r="P1941" t="s">
        <v>287</v>
      </c>
      <c r="Q1941">
        <f>1/24</f>
        <v>4.1666666666666664E-2</v>
      </c>
      <c r="R1941" t="s">
        <v>213</v>
      </c>
      <c r="S1941" s="2" t="s">
        <v>9</v>
      </c>
      <c r="T1941">
        <v>5</v>
      </c>
      <c r="U1941" t="s">
        <v>28</v>
      </c>
      <c r="V1941" t="s">
        <v>28</v>
      </c>
      <c r="W1941">
        <v>12</v>
      </c>
      <c r="X1941">
        <v>3.35</v>
      </c>
      <c r="Y1941" s="6">
        <f t="shared" si="41"/>
        <v>2.3702320561497774</v>
      </c>
      <c r="Z1941">
        <f>4.41-X1941</f>
        <v>1.06</v>
      </c>
      <c r="AA1941" s="6"/>
      <c r="AB1941" s="6"/>
    </row>
    <row r="1942" spans="1:28" x14ac:dyDescent="0.2">
      <c r="A1942" t="s">
        <v>285</v>
      </c>
      <c r="B1942">
        <v>2019</v>
      </c>
      <c r="C1942" t="s">
        <v>816</v>
      </c>
      <c r="D1942" t="s">
        <v>817</v>
      </c>
      <c r="E1942" t="s">
        <v>31</v>
      </c>
      <c r="F1942" t="s">
        <v>286</v>
      </c>
      <c r="G1942">
        <v>58.952720999999997</v>
      </c>
      <c r="H1942">
        <v>-3.3308179999999998</v>
      </c>
      <c r="I1942" t="s">
        <v>772</v>
      </c>
      <c r="J1942" t="s">
        <v>14</v>
      </c>
      <c r="K1942" t="s">
        <v>144</v>
      </c>
      <c r="L1942" t="s">
        <v>144</v>
      </c>
      <c r="M1942" t="s">
        <v>637</v>
      </c>
      <c r="N1942" t="s">
        <v>86</v>
      </c>
      <c r="O1942" s="6" t="s">
        <v>233</v>
      </c>
      <c r="P1942" t="s">
        <v>287</v>
      </c>
      <c r="Q1942">
        <f t="shared" ref="Q1942:Q1946" si="42">1/24</f>
        <v>4.1666666666666664E-2</v>
      </c>
      <c r="R1942" t="s">
        <v>213</v>
      </c>
      <c r="S1942" s="2" t="s">
        <v>27</v>
      </c>
      <c r="T1942">
        <v>5</v>
      </c>
      <c r="U1942" t="s">
        <v>28</v>
      </c>
      <c r="V1942" t="s">
        <v>28</v>
      </c>
      <c r="W1942">
        <v>16</v>
      </c>
      <c r="X1942">
        <v>2.71</v>
      </c>
      <c r="Y1942" s="6">
        <f t="shared" si="41"/>
        <v>2.2360679774997898</v>
      </c>
      <c r="Z1942">
        <f>3.71-X1942</f>
        <v>1</v>
      </c>
      <c r="AA1942" s="6"/>
      <c r="AB1942" s="6"/>
    </row>
    <row r="1943" spans="1:28" x14ac:dyDescent="0.2">
      <c r="A1943" t="s">
        <v>285</v>
      </c>
      <c r="B1943">
        <v>2019</v>
      </c>
      <c r="C1943" t="s">
        <v>816</v>
      </c>
      <c r="D1943" t="s">
        <v>817</v>
      </c>
      <c r="E1943" t="s">
        <v>31</v>
      </c>
      <c r="F1943" t="s">
        <v>286</v>
      </c>
      <c r="G1943">
        <v>58.952720999999997</v>
      </c>
      <c r="H1943">
        <v>-3.3308179999999998</v>
      </c>
      <c r="I1943" t="s">
        <v>772</v>
      </c>
      <c r="J1943" t="s">
        <v>14</v>
      </c>
      <c r="K1943" t="s">
        <v>144</v>
      </c>
      <c r="L1943" t="s">
        <v>144</v>
      </c>
      <c r="M1943" t="s">
        <v>637</v>
      </c>
      <c r="N1943" t="s">
        <v>86</v>
      </c>
      <c r="O1943" s="6" t="s">
        <v>233</v>
      </c>
      <c r="P1943" t="s">
        <v>287</v>
      </c>
      <c r="Q1943">
        <f t="shared" si="42"/>
        <v>4.1666666666666664E-2</v>
      </c>
      <c r="R1943" t="s">
        <v>213</v>
      </c>
      <c r="S1943" s="2" t="s">
        <v>13</v>
      </c>
      <c r="T1943">
        <v>5</v>
      </c>
      <c r="U1943" t="s">
        <v>28</v>
      </c>
      <c r="V1943" t="s">
        <v>28</v>
      </c>
      <c r="W1943">
        <v>20</v>
      </c>
      <c r="X1943">
        <v>13.06</v>
      </c>
      <c r="Y1943" s="6">
        <f t="shared" si="41"/>
        <v>9.9952238594240619</v>
      </c>
      <c r="Z1943">
        <f>17.53-X1943</f>
        <v>4.4700000000000006</v>
      </c>
      <c r="AA1943" s="6"/>
      <c r="AB1943" s="6"/>
    </row>
    <row r="1944" spans="1:28" x14ac:dyDescent="0.2">
      <c r="A1944" t="s">
        <v>285</v>
      </c>
      <c r="B1944">
        <v>2019</v>
      </c>
      <c r="C1944" t="s">
        <v>816</v>
      </c>
      <c r="D1944" t="s">
        <v>817</v>
      </c>
      <c r="E1944" t="s">
        <v>31</v>
      </c>
      <c r="F1944" t="s">
        <v>286</v>
      </c>
      <c r="G1944">
        <v>58.952720999999997</v>
      </c>
      <c r="H1944">
        <v>-3.3308179999999998</v>
      </c>
      <c r="I1944" t="s">
        <v>772</v>
      </c>
      <c r="J1944" t="s">
        <v>14</v>
      </c>
      <c r="K1944" t="s">
        <v>144</v>
      </c>
      <c r="L1944" t="s">
        <v>144</v>
      </c>
      <c r="M1944" t="s">
        <v>637</v>
      </c>
      <c r="N1944" t="s">
        <v>86</v>
      </c>
      <c r="O1944" s="6" t="s">
        <v>233</v>
      </c>
      <c r="P1944" t="s">
        <v>287</v>
      </c>
      <c r="Q1944">
        <f t="shared" si="42"/>
        <v>4.1666666666666664E-2</v>
      </c>
      <c r="R1944" t="s">
        <v>213</v>
      </c>
      <c r="S1944" s="2" t="s">
        <v>15</v>
      </c>
      <c r="T1944">
        <v>5</v>
      </c>
      <c r="U1944" t="s">
        <v>28</v>
      </c>
      <c r="V1944" t="s">
        <v>28</v>
      </c>
      <c r="W1944">
        <v>24</v>
      </c>
      <c r="X1944">
        <v>1.1200000000000001</v>
      </c>
      <c r="Y1944" s="6">
        <f t="shared" si="41"/>
        <v>0.38013155617496408</v>
      </c>
      <c r="Z1944">
        <f>1.29-X1944</f>
        <v>0.16999999999999993</v>
      </c>
      <c r="AA1944" s="6"/>
      <c r="AB1944" s="6"/>
    </row>
    <row r="1945" spans="1:28" x14ac:dyDescent="0.2">
      <c r="A1945" t="s">
        <v>285</v>
      </c>
      <c r="B1945">
        <v>2019</v>
      </c>
      <c r="C1945" t="s">
        <v>816</v>
      </c>
      <c r="D1945" t="s">
        <v>817</v>
      </c>
      <c r="E1945" t="s">
        <v>31</v>
      </c>
      <c r="F1945" t="s">
        <v>286</v>
      </c>
      <c r="G1945">
        <v>58.952720999999997</v>
      </c>
      <c r="H1945">
        <v>-3.3308179999999998</v>
      </c>
      <c r="I1945" t="s">
        <v>772</v>
      </c>
      <c r="J1945" t="s">
        <v>14</v>
      </c>
      <c r="K1945" t="s">
        <v>144</v>
      </c>
      <c r="L1945" t="s">
        <v>144</v>
      </c>
      <c r="M1945" t="s">
        <v>637</v>
      </c>
      <c r="N1945" t="s">
        <v>86</v>
      </c>
      <c r="O1945" s="6" t="s">
        <v>233</v>
      </c>
      <c r="P1945" t="s">
        <v>287</v>
      </c>
      <c r="Q1945">
        <f t="shared" si="42"/>
        <v>4.1666666666666664E-2</v>
      </c>
      <c r="R1945" t="s">
        <v>213</v>
      </c>
      <c r="S1945" s="2" t="s">
        <v>37</v>
      </c>
      <c r="T1945">
        <v>5</v>
      </c>
      <c r="U1945" t="s">
        <v>28</v>
      </c>
      <c r="V1945" t="s">
        <v>28</v>
      </c>
      <c r="W1945">
        <v>28</v>
      </c>
      <c r="X1945">
        <v>1.1200000000000001</v>
      </c>
      <c r="Y1945" s="6">
        <f t="shared" si="41"/>
        <v>1.3192801067248756</v>
      </c>
      <c r="Z1945">
        <f>1.71-X1945</f>
        <v>0.58999999999999986</v>
      </c>
      <c r="AA1945" s="6"/>
      <c r="AB1945" s="6"/>
    </row>
    <row r="1946" spans="1:28" x14ac:dyDescent="0.2">
      <c r="A1946" t="s">
        <v>285</v>
      </c>
      <c r="B1946">
        <v>2019</v>
      </c>
      <c r="C1946" t="s">
        <v>816</v>
      </c>
      <c r="D1946" t="s">
        <v>817</v>
      </c>
      <c r="E1946" t="s">
        <v>31</v>
      </c>
      <c r="F1946" t="s">
        <v>286</v>
      </c>
      <c r="G1946">
        <v>58.952720999999997</v>
      </c>
      <c r="H1946">
        <v>-3.3308179999999998</v>
      </c>
      <c r="I1946" t="s">
        <v>772</v>
      </c>
      <c r="J1946" t="s">
        <v>14</v>
      </c>
      <c r="K1946" t="s">
        <v>144</v>
      </c>
      <c r="L1946" t="s">
        <v>144</v>
      </c>
      <c r="M1946" t="s">
        <v>637</v>
      </c>
      <c r="N1946" t="s">
        <v>86</v>
      </c>
      <c r="O1946" s="6" t="s">
        <v>233</v>
      </c>
      <c r="P1946" t="s">
        <v>287</v>
      </c>
      <c r="Q1946">
        <f t="shared" si="42"/>
        <v>4.1666666666666664E-2</v>
      </c>
      <c r="R1946" t="s">
        <v>213</v>
      </c>
      <c r="S1946" s="2" t="s">
        <v>116</v>
      </c>
      <c r="T1946">
        <v>5</v>
      </c>
      <c r="U1946" t="s">
        <v>28</v>
      </c>
      <c r="V1946" t="s">
        <v>28</v>
      </c>
      <c r="W1946">
        <v>32</v>
      </c>
      <c r="X1946">
        <v>2.76</v>
      </c>
      <c r="Y1946" s="6">
        <f t="shared" si="41"/>
        <v>2.3702320561497774</v>
      </c>
      <c r="Z1946">
        <f>3.82-X1946</f>
        <v>1.06</v>
      </c>
      <c r="AA1946" s="6"/>
      <c r="AB1946" s="6"/>
    </row>
    <row r="1947" spans="1:28" x14ac:dyDescent="0.2">
      <c r="A1947" t="s">
        <v>285</v>
      </c>
      <c r="B1947">
        <v>2019</v>
      </c>
      <c r="C1947" t="s">
        <v>816</v>
      </c>
      <c r="D1947" t="s">
        <v>817</v>
      </c>
      <c r="E1947" t="s">
        <v>31</v>
      </c>
      <c r="F1947" t="s">
        <v>288</v>
      </c>
      <c r="G1947">
        <v>56.289315000000002</v>
      </c>
      <c r="H1947">
        <v>-5.6579579999999998</v>
      </c>
      <c r="I1947" t="s">
        <v>772</v>
      </c>
      <c r="J1947" t="s">
        <v>7</v>
      </c>
      <c r="K1947" t="s">
        <v>144</v>
      </c>
      <c r="L1947" t="s">
        <v>144</v>
      </c>
      <c r="M1947" t="s">
        <v>637</v>
      </c>
      <c r="N1947" t="s">
        <v>86</v>
      </c>
      <c r="O1947" s="6" t="s">
        <v>233</v>
      </c>
      <c r="P1947" t="s">
        <v>287</v>
      </c>
      <c r="Q1947">
        <f>1/24</f>
        <v>4.1666666666666664E-2</v>
      </c>
      <c r="R1947" t="s">
        <v>213</v>
      </c>
      <c r="S1947" s="2" t="s">
        <v>7</v>
      </c>
      <c r="T1947">
        <v>5</v>
      </c>
      <c r="U1947" t="s">
        <v>28</v>
      </c>
      <c r="V1947" t="s">
        <v>28</v>
      </c>
      <c r="W1947">
        <v>8</v>
      </c>
      <c r="X1947">
        <v>1.29</v>
      </c>
      <c r="Y1947" s="6">
        <f t="shared" si="41"/>
        <v>1.0509519494249011</v>
      </c>
      <c r="Z1947">
        <f>1.76-X1947</f>
        <v>0.47</v>
      </c>
      <c r="AA1947" s="6"/>
      <c r="AB1947" s="6"/>
    </row>
    <row r="1948" spans="1:28" x14ac:dyDescent="0.2">
      <c r="A1948" t="s">
        <v>285</v>
      </c>
      <c r="B1948">
        <v>2019</v>
      </c>
      <c r="C1948" t="s">
        <v>816</v>
      </c>
      <c r="D1948" t="s">
        <v>817</v>
      </c>
      <c r="E1948" t="s">
        <v>31</v>
      </c>
      <c r="F1948" t="s">
        <v>288</v>
      </c>
      <c r="G1948">
        <v>56.289315000000002</v>
      </c>
      <c r="H1948">
        <v>-5.6579579999999998</v>
      </c>
      <c r="I1948" t="s">
        <v>772</v>
      </c>
      <c r="J1948" t="s">
        <v>14</v>
      </c>
      <c r="K1948" t="s">
        <v>144</v>
      </c>
      <c r="L1948" t="s">
        <v>144</v>
      </c>
      <c r="M1948" t="s">
        <v>637</v>
      </c>
      <c r="N1948" t="s">
        <v>86</v>
      </c>
      <c r="O1948" s="6" t="s">
        <v>233</v>
      </c>
      <c r="P1948" t="s">
        <v>287</v>
      </c>
      <c r="Q1948">
        <f>1/24</f>
        <v>4.1666666666666664E-2</v>
      </c>
      <c r="R1948" t="s">
        <v>213</v>
      </c>
      <c r="S1948" s="2" t="s">
        <v>9</v>
      </c>
      <c r="T1948">
        <v>5</v>
      </c>
      <c r="U1948" t="s">
        <v>28</v>
      </c>
      <c r="V1948" t="s">
        <v>28</v>
      </c>
      <c r="W1948">
        <v>12</v>
      </c>
      <c r="X1948">
        <v>1.24</v>
      </c>
      <c r="Y1948" s="6">
        <f t="shared" si="41"/>
        <v>1.1627553482998907</v>
      </c>
      <c r="Z1948">
        <f>1.76-X1948</f>
        <v>0.52</v>
      </c>
      <c r="AA1948" s="6"/>
      <c r="AB1948" s="6"/>
    </row>
    <row r="1949" spans="1:28" x14ac:dyDescent="0.2">
      <c r="A1949" t="s">
        <v>285</v>
      </c>
      <c r="B1949">
        <v>2019</v>
      </c>
      <c r="C1949" t="s">
        <v>816</v>
      </c>
      <c r="D1949" t="s">
        <v>817</v>
      </c>
      <c r="E1949" t="s">
        <v>31</v>
      </c>
      <c r="F1949" t="s">
        <v>288</v>
      </c>
      <c r="G1949">
        <v>56.289315000000002</v>
      </c>
      <c r="H1949">
        <v>-5.6579579999999998</v>
      </c>
      <c r="I1949" t="s">
        <v>772</v>
      </c>
      <c r="J1949" t="s">
        <v>14</v>
      </c>
      <c r="K1949" t="s">
        <v>144</v>
      </c>
      <c r="L1949" t="s">
        <v>144</v>
      </c>
      <c r="M1949" t="s">
        <v>637</v>
      </c>
      <c r="N1949" t="s">
        <v>86</v>
      </c>
      <c r="O1949" s="6" t="s">
        <v>233</v>
      </c>
      <c r="P1949" t="s">
        <v>287</v>
      </c>
      <c r="Q1949">
        <f t="shared" ref="Q1949:Q1953" si="43">1/24</f>
        <v>4.1666666666666664E-2</v>
      </c>
      <c r="R1949" t="s">
        <v>213</v>
      </c>
      <c r="S1949" s="2" t="s">
        <v>27</v>
      </c>
      <c r="T1949">
        <v>5</v>
      </c>
      <c r="U1949" t="s">
        <v>28</v>
      </c>
      <c r="V1949" t="s">
        <v>28</v>
      </c>
      <c r="W1949">
        <v>16</v>
      </c>
      <c r="X1949">
        <v>9.65</v>
      </c>
      <c r="Y1949" s="6">
        <f t="shared" si="41"/>
        <v>12.879751550398788</v>
      </c>
      <c r="Z1949">
        <f>15.41-X1949</f>
        <v>5.76</v>
      </c>
      <c r="AA1949" s="6"/>
      <c r="AB1949" s="6"/>
    </row>
    <row r="1950" spans="1:28" x14ac:dyDescent="0.2">
      <c r="A1950" t="s">
        <v>285</v>
      </c>
      <c r="B1950">
        <v>2019</v>
      </c>
      <c r="C1950" t="s">
        <v>816</v>
      </c>
      <c r="D1950" t="s">
        <v>817</v>
      </c>
      <c r="E1950" t="s">
        <v>31</v>
      </c>
      <c r="F1950" t="s">
        <v>288</v>
      </c>
      <c r="G1950">
        <v>56.289315000000002</v>
      </c>
      <c r="H1950">
        <v>-5.6579579999999998</v>
      </c>
      <c r="I1950" t="s">
        <v>772</v>
      </c>
      <c r="J1950" t="s">
        <v>14</v>
      </c>
      <c r="K1950" t="s">
        <v>144</v>
      </c>
      <c r="L1950" t="s">
        <v>144</v>
      </c>
      <c r="M1950" t="s">
        <v>637</v>
      </c>
      <c r="N1950" t="s">
        <v>86</v>
      </c>
      <c r="O1950" s="6" t="s">
        <v>233</v>
      </c>
      <c r="P1950" t="s">
        <v>287</v>
      </c>
      <c r="Q1950">
        <f t="shared" si="43"/>
        <v>4.1666666666666664E-2</v>
      </c>
      <c r="R1950" t="s">
        <v>213</v>
      </c>
      <c r="S1950" s="2" t="s">
        <v>13</v>
      </c>
      <c r="T1950">
        <v>5</v>
      </c>
      <c r="U1950" t="s">
        <v>28</v>
      </c>
      <c r="V1950" t="s">
        <v>28</v>
      </c>
      <c r="W1950">
        <v>20</v>
      </c>
      <c r="X1950">
        <v>2.82</v>
      </c>
      <c r="Y1950" s="6">
        <f t="shared" si="41"/>
        <v>3.1752165280497024</v>
      </c>
      <c r="Z1950">
        <f>4.24-X1950</f>
        <v>1.4200000000000004</v>
      </c>
      <c r="AA1950" s="6"/>
      <c r="AB1950" s="6"/>
    </row>
    <row r="1951" spans="1:28" x14ac:dyDescent="0.2">
      <c r="A1951" t="s">
        <v>285</v>
      </c>
      <c r="B1951">
        <v>2019</v>
      </c>
      <c r="C1951" t="s">
        <v>816</v>
      </c>
      <c r="D1951" t="s">
        <v>817</v>
      </c>
      <c r="E1951" t="s">
        <v>31</v>
      </c>
      <c r="F1951" t="s">
        <v>288</v>
      </c>
      <c r="G1951">
        <v>56.289315000000002</v>
      </c>
      <c r="H1951">
        <v>-5.6579579999999998</v>
      </c>
      <c r="I1951" t="s">
        <v>772</v>
      </c>
      <c r="J1951" t="s">
        <v>14</v>
      </c>
      <c r="K1951" t="s">
        <v>144</v>
      </c>
      <c r="L1951" t="s">
        <v>144</v>
      </c>
      <c r="M1951" t="s">
        <v>637</v>
      </c>
      <c r="N1951" t="s">
        <v>86</v>
      </c>
      <c r="O1951" s="6" t="s">
        <v>233</v>
      </c>
      <c r="P1951" t="s">
        <v>287</v>
      </c>
      <c r="Q1951">
        <f t="shared" si="43"/>
        <v>4.1666666666666664E-2</v>
      </c>
      <c r="R1951" t="s">
        <v>213</v>
      </c>
      <c r="S1951" s="2" t="s">
        <v>15</v>
      </c>
      <c r="T1951">
        <v>5</v>
      </c>
      <c r="U1951" t="s">
        <v>28</v>
      </c>
      <c r="V1951" t="s">
        <v>28</v>
      </c>
      <c r="W1951">
        <v>24</v>
      </c>
      <c r="X1951">
        <v>2.1800000000000002</v>
      </c>
      <c r="Y1951" s="6">
        <f t="shared" si="41"/>
        <v>1.0509519494249007</v>
      </c>
      <c r="Z1951">
        <f>2.65-X1951</f>
        <v>0.46999999999999975</v>
      </c>
      <c r="AA1951" s="6"/>
      <c r="AB1951" s="6"/>
    </row>
    <row r="1952" spans="1:28" x14ac:dyDescent="0.2">
      <c r="A1952" t="s">
        <v>285</v>
      </c>
      <c r="B1952">
        <v>2019</v>
      </c>
      <c r="C1952" t="s">
        <v>816</v>
      </c>
      <c r="D1952" t="s">
        <v>817</v>
      </c>
      <c r="E1952" t="s">
        <v>31</v>
      </c>
      <c r="F1952" t="s">
        <v>288</v>
      </c>
      <c r="G1952">
        <v>56.289315000000002</v>
      </c>
      <c r="H1952">
        <v>-5.6579579999999998</v>
      </c>
      <c r="I1952" t="s">
        <v>772</v>
      </c>
      <c r="J1952" t="s">
        <v>14</v>
      </c>
      <c r="K1952" t="s">
        <v>144</v>
      </c>
      <c r="L1952" t="s">
        <v>144</v>
      </c>
      <c r="M1952" t="s">
        <v>637</v>
      </c>
      <c r="N1952" t="s">
        <v>86</v>
      </c>
      <c r="O1952" s="6" t="s">
        <v>233</v>
      </c>
      <c r="P1952" t="s">
        <v>287</v>
      </c>
      <c r="Q1952">
        <f t="shared" si="43"/>
        <v>4.1666666666666664E-2</v>
      </c>
      <c r="R1952" t="s">
        <v>213</v>
      </c>
      <c r="S1952" s="2" t="s">
        <v>37</v>
      </c>
      <c r="T1952">
        <v>5</v>
      </c>
      <c r="U1952" t="s">
        <v>28</v>
      </c>
      <c r="V1952" t="s">
        <v>28</v>
      </c>
      <c r="W1952">
        <v>28</v>
      </c>
      <c r="X1952">
        <v>0.94</v>
      </c>
      <c r="Y1952" s="6">
        <f t="shared" si="41"/>
        <v>0.67082039324993703</v>
      </c>
      <c r="Z1952">
        <f>1.24-X1952</f>
        <v>0.30000000000000004</v>
      </c>
      <c r="AA1952" s="6"/>
      <c r="AB1952" s="6"/>
    </row>
    <row r="1953" spans="1:29" x14ac:dyDescent="0.2">
      <c r="A1953" t="s">
        <v>285</v>
      </c>
      <c r="B1953">
        <v>2019</v>
      </c>
      <c r="C1953" t="s">
        <v>816</v>
      </c>
      <c r="D1953" t="s">
        <v>817</v>
      </c>
      <c r="E1953" t="s">
        <v>31</v>
      </c>
      <c r="F1953" t="s">
        <v>288</v>
      </c>
      <c r="G1953">
        <v>56.289315000000002</v>
      </c>
      <c r="H1953">
        <v>-5.6579579999999998</v>
      </c>
      <c r="I1953" t="s">
        <v>772</v>
      </c>
      <c r="J1953" t="s">
        <v>14</v>
      </c>
      <c r="K1953" t="s">
        <v>144</v>
      </c>
      <c r="L1953" t="s">
        <v>144</v>
      </c>
      <c r="M1953" t="s">
        <v>637</v>
      </c>
      <c r="N1953" t="s">
        <v>86</v>
      </c>
      <c r="O1953" s="6" t="s">
        <v>233</v>
      </c>
      <c r="P1953" t="s">
        <v>287</v>
      </c>
      <c r="Q1953">
        <f t="shared" si="43"/>
        <v>4.1666666666666664E-2</v>
      </c>
      <c r="R1953" t="s">
        <v>213</v>
      </c>
      <c r="S1953" s="2" t="s">
        <v>116</v>
      </c>
      <c r="T1953">
        <v>5</v>
      </c>
      <c r="U1953" t="s">
        <v>28</v>
      </c>
      <c r="V1953" t="s">
        <v>28</v>
      </c>
      <c r="W1953">
        <v>32</v>
      </c>
      <c r="X1953">
        <v>1.29</v>
      </c>
      <c r="Y1953" s="6">
        <f t="shared" si="41"/>
        <v>1.5876082640248508</v>
      </c>
      <c r="Z1953">
        <f>2-X1953</f>
        <v>0.71</v>
      </c>
      <c r="AA1953" s="6"/>
      <c r="AB1953" s="6"/>
    </row>
    <row r="1954" spans="1:29" x14ac:dyDescent="0.2">
      <c r="A1954" t="s">
        <v>285</v>
      </c>
      <c r="B1954">
        <v>2019</v>
      </c>
      <c r="C1954" t="s">
        <v>816</v>
      </c>
      <c r="D1954" t="s">
        <v>817</v>
      </c>
      <c r="E1954" t="s">
        <v>31</v>
      </c>
      <c r="F1954" t="s">
        <v>318</v>
      </c>
      <c r="G1954">
        <v>50.546610999999999</v>
      </c>
      <c r="H1954">
        <v>-4.982812</v>
      </c>
      <c r="I1954" t="s">
        <v>772</v>
      </c>
      <c r="J1954" t="s">
        <v>7</v>
      </c>
      <c r="K1954" t="s">
        <v>144</v>
      </c>
      <c r="L1954" t="s">
        <v>144</v>
      </c>
      <c r="M1954" t="s">
        <v>637</v>
      </c>
      <c r="N1954" t="s">
        <v>86</v>
      </c>
      <c r="O1954" s="6" t="s">
        <v>233</v>
      </c>
      <c r="P1954" t="s">
        <v>287</v>
      </c>
      <c r="Q1954">
        <f>1/24</f>
        <v>4.1666666666666664E-2</v>
      </c>
      <c r="R1954" t="s">
        <v>213</v>
      </c>
      <c r="S1954" s="2" t="s">
        <v>7</v>
      </c>
      <c r="T1954">
        <v>5</v>
      </c>
      <c r="U1954" t="s">
        <v>28</v>
      </c>
      <c r="V1954" t="s">
        <v>28</v>
      </c>
      <c r="W1954">
        <v>8</v>
      </c>
      <c r="X1954">
        <v>1.1759999999999999</v>
      </c>
      <c r="Y1954" s="6">
        <f t="shared" si="41"/>
        <v>1.3170440387473761</v>
      </c>
      <c r="Z1954">
        <f>1.765-X1954</f>
        <v>0.58899999999999997</v>
      </c>
      <c r="AA1954" s="6"/>
      <c r="AB1954" s="6"/>
    </row>
    <row r="1955" spans="1:29" x14ac:dyDescent="0.2">
      <c r="A1955" t="s">
        <v>285</v>
      </c>
      <c r="B1955">
        <v>2019</v>
      </c>
      <c r="C1955" t="s">
        <v>816</v>
      </c>
      <c r="D1955" t="s">
        <v>817</v>
      </c>
      <c r="E1955" t="s">
        <v>31</v>
      </c>
      <c r="F1955" t="s">
        <v>318</v>
      </c>
      <c r="G1955">
        <v>50.546610999999999</v>
      </c>
      <c r="H1955">
        <v>-4.982812</v>
      </c>
      <c r="I1955" t="s">
        <v>772</v>
      </c>
      <c r="J1955" t="s">
        <v>14</v>
      </c>
      <c r="K1955" t="s">
        <v>144</v>
      </c>
      <c r="L1955" t="s">
        <v>144</v>
      </c>
      <c r="M1955" t="s">
        <v>637</v>
      </c>
      <c r="N1955" t="s">
        <v>86</v>
      </c>
      <c r="O1955" s="6" t="s">
        <v>233</v>
      </c>
      <c r="P1955" t="s">
        <v>287</v>
      </c>
      <c r="Q1955">
        <f>1/24</f>
        <v>4.1666666666666664E-2</v>
      </c>
      <c r="R1955" t="s">
        <v>213</v>
      </c>
      <c r="S1955" s="2" t="s">
        <v>9</v>
      </c>
      <c r="T1955">
        <v>5</v>
      </c>
      <c r="U1955" t="s">
        <v>28</v>
      </c>
      <c r="V1955" t="s">
        <v>28</v>
      </c>
      <c r="W1955">
        <v>12</v>
      </c>
      <c r="X1955">
        <v>2.706</v>
      </c>
      <c r="Y1955" s="6">
        <f t="shared" si="41"/>
        <v>1.5786639921148515</v>
      </c>
      <c r="Z1955">
        <f>3.412-X1955</f>
        <v>0.70599999999999996</v>
      </c>
      <c r="AA1955" s="6"/>
      <c r="AB1955" s="6"/>
    </row>
    <row r="1956" spans="1:29" x14ac:dyDescent="0.2">
      <c r="A1956" t="s">
        <v>285</v>
      </c>
      <c r="B1956">
        <v>2019</v>
      </c>
      <c r="C1956" t="s">
        <v>816</v>
      </c>
      <c r="D1956" t="s">
        <v>817</v>
      </c>
      <c r="E1956" t="s">
        <v>31</v>
      </c>
      <c r="F1956" t="s">
        <v>318</v>
      </c>
      <c r="G1956">
        <v>50.546610999999999</v>
      </c>
      <c r="H1956">
        <v>-4.982812</v>
      </c>
      <c r="I1956" t="s">
        <v>772</v>
      </c>
      <c r="J1956" t="s">
        <v>14</v>
      </c>
      <c r="K1956" t="s">
        <v>144</v>
      </c>
      <c r="L1956" t="s">
        <v>144</v>
      </c>
      <c r="M1956" t="s">
        <v>637</v>
      </c>
      <c r="N1956" t="s">
        <v>86</v>
      </c>
      <c r="O1956" s="6" t="s">
        <v>233</v>
      </c>
      <c r="P1956" t="s">
        <v>287</v>
      </c>
      <c r="Q1956">
        <f t="shared" ref="Q1956:Q1960" si="44">1/24</f>
        <v>4.1666666666666664E-2</v>
      </c>
      <c r="R1956" t="s">
        <v>213</v>
      </c>
      <c r="S1956" s="2" t="s">
        <v>27</v>
      </c>
      <c r="T1956">
        <v>5</v>
      </c>
      <c r="U1956" t="s">
        <v>28</v>
      </c>
      <c r="V1956" t="s">
        <v>28</v>
      </c>
      <c r="W1956">
        <v>16</v>
      </c>
      <c r="X1956">
        <v>2.4119999999999999</v>
      </c>
      <c r="Y1956" s="6">
        <f t="shared" si="41"/>
        <v>1.1828799600973887</v>
      </c>
      <c r="Z1956">
        <f>2.941-X1956</f>
        <v>0.52899999999999991</v>
      </c>
      <c r="AA1956" s="6"/>
      <c r="AB1956" s="6"/>
    </row>
    <row r="1957" spans="1:29" x14ac:dyDescent="0.2">
      <c r="A1957" t="s">
        <v>285</v>
      </c>
      <c r="B1957">
        <v>2019</v>
      </c>
      <c r="C1957" t="s">
        <v>816</v>
      </c>
      <c r="D1957" t="s">
        <v>817</v>
      </c>
      <c r="E1957" t="s">
        <v>31</v>
      </c>
      <c r="F1957" t="s">
        <v>318</v>
      </c>
      <c r="G1957">
        <v>50.546610999999999</v>
      </c>
      <c r="H1957">
        <v>-4.982812</v>
      </c>
      <c r="I1957" t="s">
        <v>772</v>
      </c>
      <c r="J1957" t="s">
        <v>14</v>
      </c>
      <c r="K1957" t="s">
        <v>144</v>
      </c>
      <c r="L1957" t="s">
        <v>144</v>
      </c>
      <c r="M1957" t="s">
        <v>637</v>
      </c>
      <c r="N1957" t="s">
        <v>86</v>
      </c>
      <c r="O1957" s="6" t="s">
        <v>233</v>
      </c>
      <c r="P1957" t="s">
        <v>287</v>
      </c>
      <c r="Q1957">
        <f t="shared" si="44"/>
        <v>4.1666666666666664E-2</v>
      </c>
      <c r="R1957" t="s">
        <v>213</v>
      </c>
      <c r="S1957" s="2" t="s">
        <v>13</v>
      </c>
      <c r="T1957">
        <v>5</v>
      </c>
      <c r="U1957" t="s">
        <v>28</v>
      </c>
      <c r="V1957" t="s">
        <v>28</v>
      </c>
      <c r="W1957">
        <v>20</v>
      </c>
      <c r="X1957">
        <v>4.7060000000000004</v>
      </c>
      <c r="Y1957" s="6">
        <f t="shared" si="41"/>
        <v>3.9466599802871283</v>
      </c>
      <c r="Z1957">
        <f>6.471-X1957</f>
        <v>1.7649999999999997</v>
      </c>
      <c r="AA1957" s="6"/>
      <c r="AB1957" s="6"/>
    </row>
    <row r="1958" spans="1:29" x14ac:dyDescent="0.2">
      <c r="A1958" t="s">
        <v>285</v>
      </c>
      <c r="B1958">
        <v>2019</v>
      </c>
      <c r="C1958" t="s">
        <v>816</v>
      </c>
      <c r="D1958" t="s">
        <v>817</v>
      </c>
      <c r="E1958" t="s">
        <v>31</v>
      </c>
      <c r="F1958" t="s">
        <v>318</v>
      </c>
      <c r="G1958">
        <v>50.546610999999999</v>
      </c>
      <c r="H1958">
        <v>-4.982812</v>
      </c>
      <c r="I1958" t="s">
        <v>772</v>
      </c>
      <c r="J1958" t="s">
        <v>14</v>
      </c>
      <c r="K1958" t="s">
        <v>144</v>
      </c>
      <c r="L1958" t="s">
        <v>144</v>
      </c>
      <c r="M1958" t="s">
        <v>637</v>
      </c>
      <c r="N1958" t="s">
        <v>86</v>
      </c>
      <c r="O1958" s="6" t="s">
        <v>233</v>
      </c>
      <c r="P1958" t="s">
        <v>287</v>
      </c>
      <c r="Q1958">
        <f t="shared" si="44"/>
        <v>4.1666666666666664E-2</v>
      </c>
      <c r="R1958" t="s">
        <v>213</v>
      </c>
      <c r="S1958" s="2" t="s">
        <v>15</v>
      </c>
      <c r="T1958">
        <v>5</v>
      </c>
      <c r="U1958" t="s">
        <v>28</v>
      </c>
      <c r="V1958" t="s">
        <v>28</v>
      </c>
      <c r="W1958">
        <v>24</v>
      </c>
      <c r="X1958">
        <v>8.8239999999999998</v>
      </c>
      <c r="Y1958" s="6">
        <f t="shared" si="41"/>
        <v>6.7082039324993694</v>
      </c>
      <c r="Z1958">
        <f>11.824-X1958</f>
        <v>3</v>
      </c>
      <c r="AA1958" s="6"/>
      <c r="AB1958" s="6"/>
    </row>
    <row r="1959" spans="1:29" x14ac:dyDescent="0.2">
      <c r="A1959" t="s">
        <v>285</v>
      </c>
      <c r="B1959">
        <v>2019</v>
      </c>
      <c r="C1959" t="s">
        <v>816</v>
      </c>
      <c r="D1959" t="s">
        <v>817</v>
      </c>
      <c r="E1959" t="s">
        <v>31</v>
      </c>
      <c r="F1959" t="s">
        <v>318</v>
      </c>
      <c r="G1959">
        <v>50.546610999999999</v>
      </c>
      <c r="H1959">
        <v>-4.982812</v>
      </c>
      <c r="I1959" t="s">
        <v>772</v>
      </c>
      <c r="J1959" t="s">
        <v>14</v>
      </c>
      <c r="K1959" t="s">
        <v>144</v>
      </c>
      <c r="L1959" t="s">
        <v>144</v>
      </c>
      <c r="M1959" t="s">
        <v>637</v>
      </c>
      <c r="N1959" t="s">
        <v>86</v>
      </c>
      <c r="O1959" s="6" t="s">
        <v>233</v>
      </c>
      <c r="P1959" t="s">
        <v>287</v>
      </c>
      <c r="Q1959">
        <f t="shared" si="44"/>
        <v>4.1666666666666664E-2</v>
      </c>
      <c r="R1959" t="s">
        <v>213</v>
      </c>
      <c r="S1959" s="2" t="s">
        <v>37</v>
      </c>
      <c r="T1959">
        <v>5</v>
      </c>
      <c r="U1959" t="s">
        <v>28</v>
      </c>
      <c r="V1959" t="s">
        <v>28</v>
      </c>
      <c r="W1959">
        <v>28</v>
      </c>
      <c r="X1959">
        <v>4.1180000000000003</v>
      </c>
      <c r="Y1959" s="6">
        <f t="shared" si="41"/>
        <v>2.893471962884727</v>
      </c>
      <c r="Z1959">
        <f>5.412-X1959</f>
        <v>1.2939999999999996</v>
      </c>
      <c r="AA1959" s="6"/>
      <c r="AB1959" s="6"/>
    </row>
    <row r="1960" spans="1:29" x14ac:dyDescent="0.2">
      <c r="A1960" t="s">
        <v>285</v>
      </c>
      <c r="B1960">
        <v>2019</v>
      </c>
      <c r="C1960" t="s">
        <v>816</v>
      </c>
      <c r="D1960" t="s">
        <v>817</v>
      </c>
      <c r="E1960" t="s">
        <v>31</v>
      </c>
      <c r="F1960" t="s">
        <v>318</v>
      </c>
      <c r="G1960">
        <v>50.546610999999999</v>
      </c>
      <c r="H1960">
        <v>-4.982812</v>
      </c>
      <c r="I1960" t="s">
        <v>772</v>
      </c>
      <c r="J1960" t="s">
        <v>14</v>
      </c>
      <c r="K1960" t="s">
        <v>144</v>
      </c>
      <c r="L1960" t="s">
        <v>144</v>
      </c>
      <c r="M1960" t="s">
        <v>637</v>
      </c>
      <c r="N1960" t="s">
        <v>86</v>
      </c>
      <c r="O1960" s="6" t="s">
        <v>233</v>
      </c>
      <c r="P1960" t="s">
        <v>287</v>
      </c>
      <c r="Q1960">
        <f t="shared" si="44"/>
        <v>4.1666666666666664E-2</v>
      </c>
      <c r="R1960" t="s">
        <v>213</v>
      </c>
      <c r="S1960" s="2" t="s">
        <v>116</v>
      </c>
      <c r="T1960">
        <v>5</v>
      </c>
      <c r="U1960" t="s">
        <v>28</v>
      </c>
      <c r="V1960" t="s">
        <v>28</v>
      </c>
      <c r="W1960">
        <v>32</v>
      </c>
      <c r="X1960">
        <v>1.4710000000000001</v>
      </c>
      <c r="Y1960" s="6">
        <f t="shared" si="41"/>
        <v>1.1828799600973887</v>
      </c>
      <c r="Z1960">
        <f>2-X1960</f>
        <v>0.52899999999999991</v>
      </c>
      <c r="AA1960" s="6"/>
      <c r="AB1960" s="6"/>
    </row>
    <row r="1961" spans="1:29" x14ac:dyDescent="0.2">
      <c r="A1961" t="s">
        <v>285</v>
      </c>
      <c r="B1961">
        <v>2019</v>
      </c>
      <c r="C1961" t="s">
        <v>816</v>
      </c>
      <c r="D1961" t="s">
        <v>817</v>
      </c>
      <c r="E1961" t="s">
        <v>31</v>
      </c>
      <c r="F1961" t="s">
        <v>317</v>
      </c>
      <c r="G1961">
        <v>50.157642000000003</v>
      </c>
      <c r="H1961">
        <v>-5.0137919999999996</v>
      </c>
      <c r="I1961" t="s">
        <v>772</v>
      </c>
      <c r="J1961" t="s">
        <v>7</v>
      </c>
      <c r="K1961" t="s">
        <v>144</v>
      </c>
      <c r="L1961" t="s">
        <v>144</v>
      </c>
      <c r="M1961" t="s">
        <v>637</v>
      </c>
      <c r="N1961" t="s">
        <v>86</v>
      </c>
      <c r="O1961" s="6" t="s">
        <v>233</v>
      </c>
      <c r="P1961" t="s">
        <v>287</v>
      </c>
      <c r="Q1961">
        <f>1/24</f>
        <v>4.1666666666666664E-2</v>
      </c>
      <c r="R1961" t="s">
        <v>213</v>
      </c>
      <c r="S1961" s="2" t="s">
        <v>7</v>
      </c>
      <c r="T1961">
        <v>5</v>
      </c>
      <c r="U1961" t="s">
        <v>28</v>
      </c>
      <c r="V1961" t="s">
        <v>28</v>
      </c>
      <c r="W1961">
        <v>8</v>
      </c>
      <c r="X1961">
        <v>1.06</v>
      </c>
      <c r="Y1961" s="6">
        <f t="shared" si="41"/>
        <v>0.53665631459994956</v>
      </c>
      <c r="Z1961">
        <f>1.3-X1961</f>
        <v>0.24</v>
      </c>
      <c r="AA1961" s="6"/>
      <c r="AB1961" s="6"/>
    </row>
    <row r="1962" spans="1:29" x14ac:dyDescent="0.2">
      <c r="A1962" t="s">
        <v>285</v>
      </c>
      <c r="B1962">
        <v>2019</v>
      </c>
      <c r="C1962" t="s">
        <v>816</v>
      </c>
      <c r="D1962" t="s">
        <v>817</v>
      </c>
      <c r="E1962" t="s">
        <v>31</v>
      </c>
      <c r="F1962" t="s">
        <v>317</v>
      </c>
      <c r="G1962">
        <v>50.157642000000003</v>
      </c>
      <c r="H1962">
        <v>-5.0137919999999996</v>
      </c>
      <c r="I1962" t="s">
        <v>772</v>
      </c>
      <c r="J1962" t="s">
        <v>14</v>
      </c>
      <c r="K1962" t="s">
        <v>144</v>
      </c>
      <c r="L1962" t="s">
        <v>144</v>
      </c>
      <c r="M1962" t="s">
        <v>637</v>
      </c>
      <c r="N1962" t="s">
        <v>86</v>
      </c>
      <c r="O1962" s="6" t="s">
        <v>233</v>
      </c>
      <c r="P1962" t="s">
        <v>287</v>
      </c>
      <c r="Q1962">
        <f>1/24</f>
        <v>4.1666666666666664E-2</v>
      </c>
      <c r="R1962" t="s">
        <v>213</v>
      </c>
      <c r="S1962" s="2" t="s">
        <v>9</v>
      </c>
      <c r="T1962">
        <v>5</v>
      </c>
      <c r="U1962" t="s">
        <v>28</v>
      </c>
      <c r="V1962" t="s">
        <v>28</v>
      </c>
      <c r="W1962">
        <v>12</v>
      </c>
      <c r="X1962">
        <v>2.12</v>
      </c>
      <c r="Y1962" s="6">
        <f t="shared" si="41"/>
        <v>1.1851160280748883</v>
      </c>
      <c r="Z1962">
        <f>2.65-X1962</f>
        <v>0.5299999999999998</v>
      </c>
      <c r="AA1962" s="6"/>
      <c r="AB1962" s="6"/>
    </row>
    <row r="1963" spans="1:29" x14ac:dyDescent="0.2">
      <c r="A1963" t="s">
        <v>285</v>
      </c>
      <c r="B1963">
        <v>2019</v>
      </c>
      <c r="C1963" t="s">
        <v>816</v>
      </c>
      <c r="D1963" t="s">
        <v>817</v>
      </c>
      <c r="E1963" t="s">
        <v>31</v>
      </c>
      <c r="F1963" t="s">
        <v>317</v>
      </c>
      <c r="G1963">
        <v>50.157642000000003</v>
      </c>
      <c r="H1963">
        <v>-5.0137919999999996</v>
      </c>
      <c r="I1963" t="s">
        <v>772</v>
      </c>
      <c r="J1963" t="s">
        <v>14</v>
      </c>
      <c r="K1963" t="s">
        <v>144</v>
      </c>
      <c r="L1963" t="s">
        <v>144</v>
      </c>
      <c r="M1963" t="s">
        <v>637</v>
      </c>
      <c r="N1963" t="s">
        <v>86</v>
      </c>
      <c r="O1963" s="6" t="s">
        <v>233</v>
      </c>
      <c r="P1963" t="s">
        <v>287</v>
      </c>
      <c r="Q1963">
        <f t="shared" ref="Q1963:Q1967" si="45">1/24</f>
        <v>4.1666666666666664E-2</v>
      </c>
      <c r="R1963" t="s">
        <v>213</v>
      </c>
      <c r="S1963" s="2" t="s">
        <v>27</v>
      </c>
      <c r="T1963">
        <v>5</v>
      </c>
      <c r="U1963" t="s">
        <v>28</v>
      </c>
      <c r="V1963" t="s">
        <v>28</v>
      </c>
      <c r="W1963">
        <v>16</v>
      </c>
      <c r="X1963">
        <v>1.83</v>
      </c>
      <c r="Y1963" s="6">
        <f t="shared" si="41"/>
        <v>0.51429563482495166</v>
      </c>
      <c r="Z1963">
        <f>2.06-X1963</f>
        <v>0.22999999999999998</v>
      </c>
      <c r="AA1963" s="6"/>
      <c r="AB1963" s="6"/>
    </row>
    <row r="1964" spans="1:29" x14ac:dyDescent="0.2">
      <c r="A1964" t="s">
        <v>285</v>
      </c>
      <c r="B1964">
        <v>2019</v>
      </c>
      <c r="C1964" t="s">
        <v>816</v>
      </c>
      <c r="D1964" t="s">
        <v>817</v>
      </c>
      <c r="E1964" t="s">
        <v>31</v>
      </c>
      <c r="F1964" t="s">
        <v>317</v>
      </c>
      <c r="G1964">
        <v>50.157642000000003</v>
      </c>
      <c r="H1964">
        <v>-5.0137919999999996</v>
      </c>
      <c r="I1964" t="s">
        <v>772</v>
      </c>
      <c r="J1964" t="s">
        <v>14</v>
      </c>
      <c r="K1964" t="s">
        <v>144</v>
      </c>
      <c r="L1964" t="s">
        <v>144</v>
      </c>
      <c r="M1964" t="s">
        <v>637</v>
      </c>
      <c r="N1964" t="s">
        <v>86</v>
      </c>
      <c r="O1964" s="6" t="s">
        <v>233</v>
      </c>
      <c r="P1964" t="s">
        <v>287</v>
      </c>
      <c r="Q1964">
        <f t="shared" si="45"/>
        <v>4.1666666666666664E-2</v>
      </c>
      <c r="R1964" t="s">
        <v>213</v>
      </c>
      <c r="S1964" s="2" t="s">
        <v>13</v>
      </c>
      <c r="T1964">
        <v>5</v>
      </c>
      <c r="U1964" t="s">
        <v>28</v>
      </c>
      <c r="V1964" t="s">
        <v>28</v>
      </c>
      <c r="W1964">
        <v>20</v>
      </c>
      <c r="X1964">
        <v>4.25</v>
      </c>
      <c r="Y1964" s="6">
        <f t="shared" si="41"/>
        <v>1.9677398201998149</v>
      </c>
      <c r="Z1964">
        <f>5.13-X1964</f>
        <v>0.87999999999999989</v>
      </c>
      <c r="AA1964" s="6"/>
      <c r="AB1964" s="6"/>
    </row>
    <row r="1965" spans="1:29" x14ac:dyDescent="0.2">
      <c r="A1965" t="s">
        <v>285</v>
      </c>
      <c r="B1965">
        <v>2019</v>
      </c>
      <c r="C1965" t="s">
        <v>816</v>
      </c>
      <c r="D1965" t="s">
        <v>817</v>
      </c>
      <c r="E1965" t="s">
        <v>31</v>
      </c>
      <c r="F1965" t="s">
        <v>317</v>
      </c>
      <c r="G1965">
        <v>50.157642000000003</v>
      </c>
      <c r="H1965">
        <v>-5.0137919999999996</v>
      </c>
      <c r="I1965" t="s">
        <v>772</v>
      </c>
      <c r="J1965" t="s">
        <v>14</v>
      </c>
      <c r="K1965" t="s">
        <v>144</v>
      </c>
      <c r="L1965" t="s">
        <v>144</v>
      </c>
      <c r="M1965" t="s">
        <v>637</v>
      </c>
      <c r="N1965" t="s">
        <v>86</v>
      </c>
      <c r="O1965" s="6" t="s">
        <v>233</v>
      </c>
      <c r="P1965" t="s">
        <v>287</v>
      </c>
      <c r="Q1965">
        <f t="shared" si="45"/>
        <v>4.1666666666666664E-2</v>
      </c>
      <c r="R1965" t="s">
        <v>213</v>
      </c>
      <c r="S1965" s="2" t="s">
        <v>15</v>
      </c>
      <c r="T1965">
        <v>5</v>
      </c>
      <c r="U1965" t="s">
        <v>28</v>
      </c>
      <c r="V1965" t="s">
        <v>28</v>
      </c>
      <c r="W1965">
        <v>24</v>
      </c>
      <c r="X1965">
        <v>13.04</v>
      </c>
      <c r="Y1965" s="6">
        <f t="shared" si="41"/>
        <v>14.512081173973641</v>
      </c>
      <c r="Z1965">
        <f>19.53-X1965</f>
        <v>6.490000000000002</v>
      </c>
      <c r="AA1965" s="6"/>
      <c r="AB1965" s="6"/>
    </row>
    <row r="1966" spans="1:29" x14ac:dyDescent="0.2">
      <c r="A1966" t="s">
        <v>285</v>
      </c>
      <c r="B1966">
        <v>2019</v>
      </c>
      <c r="C1966" t="s">
        <v>816</v>
      </c>
      <c r="D1966" t="s">
        <v>817</v>
      </c>
      <c r="E1966" t="s">
        <v>31</v>
      </c>
      <c r="F1966" t="s">
        <v>317</v>
      </c>
      <c r="G1966">
        <v>50.157642000000003</v>
      </c>
      <c r="H1966">
        <v>-5.0137919999999996</v>
      </c>
      <c r="I1966" t="s">
        <v>772</v>
      </c>
      <c r="J1966" t="s">
        <v>14</v>
      </c>
      <c r="K1966" t="s">
        <v>144</v>
      </c>
      <c r="L1966" t="s">
        <v>144</v>
      </c>
      <c r="M1966" t="s">
        <v>637</v>
      </c>
      <c r="N1966" t="s">
        <v>86</v>
      </c>
      <c r="O1966" s="6" t="s">
        <v>233</v>
      </c>
      <c r="P1966" t="s">
        <v>287</v>
      </c>
      <c r="Q1966">
        <f t="shared" si="45"/>
        <v>4.1666666666666664E-2</v>
      </c>
      <c r="R1966" t="s">
        <v>213</v>
      </c>
      <c r="S1966" s="2" t="s">
        <v>37</v>
      </c>
      <c r="T1966">
        <v>5</v>
      </c>
      <c r="U1966" t="s">
        <v>28</v>
      </c>
      <c r="V1966" t="s">
        <v>28</v>
      </c>
      <c r="W1966">
        <v>28</v>
      </c>
      <c r="X1966">
        <v>1.06</v>
      </c>
      <c r="Y1966" s="6">
        <f t="shared" si="41"/>
        <v>0.53665631459994956</v>
      </c>
      <c r="Z1966">
        <f>1.3-X1966</f>
        <v>0.24</v>
      </c>
      <c r="AA1966" s="6"/>
      <c r="AB1966" s="6"/>
    </row>
    <row r="1967" spans="1:29" x14ac:dyDescent="0.2">
      <c r="A1967" t="s">
        <v>285</v>
      </c>
      <c r="B1967">
        <v>2019</v>
      </c>
      <c r="C1967" t="s">
        <v>816</v>
      </c>
      <c r="D1967" t="s">
        <v>817</v>
      </c>
      <c r="E1967" t="s">
        <v>31</v>
      </c>
      <c r="F1967" t="s">
        <v>317</v>
      </c>
      <c r="G1967">
        <v>50.157642000000003</v>
      </c>
      <c r="H1967">
        <v>-5.0137919999999996</v>
      </c>
      <c r="I1967" t="s">
        <v>772</v>
      </c>
      <c r="J1967" t="s">
        <v>14</v>
      </c>
      <c r="K1967" t="s">
        <v>144</v>
      </c>
      <c r="L1967" t="s">
        <v>144</v>
      </c>
      <c r="M1967" t="s">
        <v>637</v>
      </c>
      <c r="N1967" t="s">
        <v>86</v>
      </c>
      <c r="O1967" s="6" t="s">
        <v>233</v>
      </c>
      <c r="P1967" t="s">
        <v>287</v>
      </c>
      <c r="Q1967">
        <f t="shared" si="45"/>
        <v>4.1666666666666664E-2</v>
      </c>
      <c r="R1967" t="s">
        <v>213</v>
      </c>
      <c r="S1967" s="2" t="s">
        <v>116</v>
      </c>
      <c r="T1967">
        <v>5</v>
      </c>
      <c r="U1967" t="s">
        <v>28</v>
      </c>
      <c r="V1967" t="s">
        <v>28</v>
      </c>
      <c r="W1967">
        <v>32</v>
      </c>
      <c r="X1967">
        <v>0.59</v>
      </c>
      <c r="Y1967" s="6">
        <f t="shared" si="41"/>
        <v>0.53665631459994956</v>
      </c>
      <c r="Z1967">
        <f>0.83-X1967</f>
        <v>0.24</v>
      </c>
      <c r="AA1967" s="6"/>
      <c r="AB1967" s="6"/>
    </row>
    <row r="1968" spans="1:29" x14ac:dyDescent="0.2">
      <c r="A1968" t="s">
        <v>291</v>
      </c>
      <c r="B1968">
        <v>1985</v>
      </c>
      <c r="C1968" t="s">
        <v>826</v>
      </c>
      <c r="D1968" t="s">
        <v>812</v>
      </c>
      <c r="E1968" t="s">
        <v>290</v>
      </c>
      <c r="F1968" t="s">
        <v>289</v>
      </c>
      <c r="G1968">
        <v>-33.966667000000001</v>
      </c>
      <c r="H1968">
        <v>18.366667</v>
      </c>
      <c r="J1968" t="s">
        <v>7</v>
      </c>
      <c r="K1968" t="s">
        <v>41</v>
      </c>
      <c r="L1968" t="s">
        <v>3</v>
      </c>
      <c r="M1968" t="s">
        <v>26</v>
      </c>
      <c r="N1968" t="s">
        <v>85</v>
      </c>
      <c r="O1968" s="6" t="s">
        <v>356</v>
      </c>
      <c r="P1968" t="s">
        <v>65</v>
      </c>
      <c r="Q1968">
        <v>7</v>
      </c>
      <c r="R1968" t="s">
        <v>213</v>
      </c>
      <c r="S1968" s="2" t="s">
        <v>7</v>
      </c>
      <c r="T1968">
        <v>2</v>
      </c>
      <c r="U1968" t="s">
        <v>28</v>
      </c>
      <c r="V1968" t="s">
        <v>28</v>
      </c>
      <c r="W1968">
        <v>12.5</v>
      </c>
      <c r="X1968">
        <f>14.59</f>
        <v>14.59</v>
      </c>
      <c r="Y1968">
        <f t="shared" ref="Y1968:Y1973" si="46">SQRT(T1968) * (AB1968-AA1968)/3.92</f>
        <v>0.84419891223291899</v>
      </c>
      <c r="AA1968">
        <f>13.47</f>
        <v>13.47</v>
      </c>
      <c r="AB1968">
        <f>15.81</f>
        <v>15.81</v>
      </c>
      <c r="AC1968" s="18"/>
    </row>
    <row r="1969" spans="1:29" x14ac:dyDescent="0.2">
      <c r="A1969" t="s">
        <v>291</v>
      </c>
      <c r="B1969">
        <v>1985</v>
      </c>
      <c r="C1969" t="s">
        <v>826</v>
      </c>
      <c r="D1969" t="s">
        <v>812</v>
      </c>
      <c r="E1969" t="s">
        <v>290</v>
      </c>
      <c r="F1969" t="s">
        <v>289</v>
      </c>
      <c r="G1969">
        <v>-33.966667000000001</v>
      </c>
      <c r="H1969">
        <v>18.366667</v>
      </c>
      <c r="J1969" t="s">
        <v>14</v>
      </c>
      <c r="K1969" t="s">
        <v>41</v>
      </c>
      <c r="L1969" t="s">
        <v>3</v>
      </c>
      <c r="M1969" t="s">
        <v>26</v>
      </c>
      <c r="N1969" t="s">
        <v>85</v>
      </c>
      <c r="O1969" s="6" t="s">
        <v>356</v>
      </c>
      <c r="P1969" t="s">
        <v>65</v>
      </c>
      <c r="Q1969">
        <v>7</v>
      </c>
      <c r="R1969" t="s">
        <v>213</v>
      </c>
      <c r="S1969" s="2" t="s">
        <v>9</v>
      </c>
      <c r="T1969">
        <v>2</v>
      </c>
      <c r="U1969" t="s">
        <v>28</v>
      </c>
      <c r="V1969" t="s">
        <v>28</v>
      </c>
      <c r="W1969">
        <v>15</v>
      </c>
      <c r="X1969">
        <f>37.44</f>
        <v>37.44</v>
      </c>
      <c r="Y1969">
        <f t="shared" si="46"/>
        <v>2.2836662882198193</v>
      </c>
      <c r="AA1969">
        <f>34.32</f>
        <v>34.32</v>
      </c>
      <c r="AB1969">
        <f>40.65</f>
        <v>40.65</v>
      </c>
      <c r="AC1969" s="18"/>
    </row>
    <row r="1970" spans="1:29" x14ac:dyDescent="0.2">
      <c r="A1970" t="s">
        <v>291</v>
      </c>
      <c r="B1970">
        <v>1985</v>
      </c>
      <c r="C1970" t="s">
        <v>826</v>
      </c>
      <c r="D1970" t="s">
        <v>812</v>
      </c>
      <c r="E1970" t="s">
        <v>290</v>
      </c>
      <c r="F1970" t="s">
        <v>289</v>
      </c>
      <c r="G1970">
        <v>-33.966667000000001</v>
      </c>
      <c r="H1970">
        <v>18.366667</v>
      </c>
      <c r="J1970" t="s">
        <v>14</v>
      </c>
      <c r="K1970" t="s">
        <v>41</v>
      </c>
      <c r="L1970" t="s">
        <v>3</v>
      </c>
      <c r="M1970" t="s">
        <v>26</v>
      </c>
      <c r="N1970" t="s">
        <v>85</v>
      </c>
      <c r="O1970" s="6" t="s">
        <v>356</v>
      </c>
      <c r="P1970" t="s">
        <v>65</v>
      </c>
      <c r="Q1970">
        <v>7</v>
      </c>
      <c r="R1970" t="s">
        <v>213</v>
      </c>
      <c r="S1970" s="2" t="s">
        <v>27</v>
      </c>
      <c r="T1970">
        <v>2</v>
      </c>
      <c r="U1970" t="s">
        <v>28</v>
      </c>
      <c r="V1970" t="s">
        <v>28</v>
      </c>
      <c r="W1970">
        <v>17.5</v>
      </c>
      <c r="X1970">
        <f>49.12</f>
        <v>49.12</v>
      </c>
      <c r="Y1970">
        <f t="shared" si="46"/>
        <v>3.0953960115207027</v>
      </c>
      <c r="AA1970">
        <f>45.32</f>
        <v>45.32</v>
      </c>
      <c r="AB1970">
        <f>53.9</f>
        <v>53.9</v>
      </c>
      <c r="AC1970" s="18"/>
    </row>
    <row r="1971" spans="1:29" x14ac:dyDescent="0.2">
      <c r="A1971" t="s">
        <v>291</v>
      </c>
      <c r="B1971">
        <v>1985</v>
      </c>
      <c r="C1971" t="s">
        <v>826</v>
      </c>
      <c r="D1971" t="s">
        <v>812</v>
      </c>
      <c r="E1971" t="s">
        <v>290</v>
      </c>
      <c r="F1971" t="s">
        <v>289</v>
      </c>
      <c r="G1971">
        <v>-33.966667000000001</v>
      </c>
      <c r="H1971">
        <v>18.366667</v>
      </c>
      <c r="J1971" t="s">
        <v>14</v>
      </c>
      <c r="K1971" t="s">
        <v>41</v>
      </c>
      <c r="L1971" t="s">
        <v>3</v>
      </c>
      <c r="M1971" t="s">
        <v>26</v>
      </c>
      <c r="N1971" t="s">
        <v>85</v>
      </c>
      <c r="O1971" s="6" t="s">
        <v>356</v>
      </c>
      <c r="P1971" t="s">
        <v>65</v>
      </c>
      <c r="Q1971">
        <v>7</v>
      </c>
      <c r="R1971" t="s">
        <v>213</v>
      </c>
      <c r="S1971" s="2" t="s">
        <v>13</v>
      </c>
      <c r="T1971">
        <v>2</v>
      </c>
      <c r="U1971" t="s">
        <v>28</v>
      </c>
      <c r="V1971" t="s">
        <v>28</v>
      </c>
      <c r="W1971">
        <v>20</v>
      </c>
      <c r="X1971">
        <f>51.41</f>
        <v>51.41</v>
      </c>
      <c r="Y1971">
        <f t="shared" si="46"/>
        <v>4.4266327577341515</v>
      </c>
      <c r="AA1971">
        <f>45.42</f>
        <v>45.42</v>
      </c>
      <c r="AB1971">
        <f>57.69</f>
        <v>57.69</v>
      </c>
      <c r="AC1971" s="18"/>
    </row>
    <row r="1972" spans="1:29" x14ac:dyDescent="0.2">
      <c r="A1972" t="s">
        <v>291</v>
      </c>
      <c r="B1972">
        <v>1985</v>
      </c>
      <c r="C1972" t="s">
        <v>826</v>
      </c>
      <c r="D1972" t="s">
        <v>812</v>
      </c>
      <c r="E1972" t="s">
        <v>290</v>
      </c>
      <c r="F1972" t="s">
        <v>289</v>
      </c>
      <c r="G1972">
        <v>-33.966667000000001</v>
      </c>
      <c r="H1972">
        <v>18.366667</v>
      </c>
      <c r="J1972" t="s">
        <v>14</v>
      </c>
      <c r="K1972" t="s">
        <v>41</v>
      </c>
      <c r="L1972" t="s">
        <v>3</v>
      </c>
      <c r="M1972" t="s">
        <v>26</v>
      </c>
      <c r="N1972" t="s">
        <v>85</v>
      </c>
      <c r="O1972" s="6" t="s">
        <v>356</v>
      </c>
      <c r="P1972" t="s">
        <v>65</v>
      </c>
      <c r="Q1972">
        <v>7</v>
      </c>
      <c r="R1972" t="s">
        <v>213</v>
      </c>
      <c r="S1972" s="2" t="s">
        <v>15</v>
      </c>
      <c r="T1972">
        <v>2</v>
      </c>
      <c r="U1972" t="s">
        <v>28</v>
      </c>
      <c r="V1972" t="s">
        <v>28</v>
      </c>
      <c r="W1972">
        <v>22.5</v>
      </c>
      <c r="X1972">
        <f>24.38</f>
        <v>24.38</v>
      </c>
      <c r="Y1972">
        <f t="shared" si="46"/>
        <v>1.4611135019415908</v>
      </c>
      <c r="AA1972">
        <f>22.48</f>
        <v>22.48</v>
      </c>
      <c r="AB1972">
        <f>26.53</f>
        <v>26.53</v>
      </c>
      <c r="AC1972" s="18"/>
    </row>
    <row r="1973" spans="1:29" x14ac:dyDescent="0.2">
      <c r="A1973" t="s">
        <v>291</v>
      </c>
      <c r="B1973">
        <v>1985</v>
      </c>
      <c r="C1973" t="s">
        <v>826</v>
      </c>
      <c r="D1973" t="s">
        <v>812</v>
      </c>
      <c r="E1973" t="s">
        <v>290</v>
      </c>
      <c r="F1973" t="s">
        <v>289</v>
      </c>
      <c r="G1973">
        <v>-33.966667000000001</v>
      </c>
      <c r="H1973">
        <v>18.366667</v>
      </c>
      <c r="J1973" t="s">
        <v>14</v>
      </c>
      <c r="K1973" t="s">
        <v>41</v>
      </c>
      <c r="L1973" t="s">
        <v>3</v>
      </c>
      <c r="M1973" t="s">
        <v>26</v>
      </c>
      <c r="N1973" t="s">
        <v>85</v>
      </c>
      <c r="O1973" s="6" t="s">
        <v>356</v>
      </c>
      <c r="P1973" t="s">
        <v>65</v>
      </c>
      <c r="Q1973">
        <v>7</v>
      </c>
      <c r="R1973" t="s">
        <v>213</v>
      </c>
      <c r="S1973" s="2" t="s">
        <v>37</v>
      </c>
      <c r="T1973">
        <v>2</v>
      </c>
      <c r="U1973" t="s">
        <v>28</v>
      </c>
      <c r="V1973" t="s">
        <v>28</v>
      </c>
      <c r="W1973">
        <v>25</v>
      </c>
      <c r="X1973">
        <f>20</f>
        <v>20</v>
      </c>
      <c r="Y1973">
        <f t="shared" si="46"/>
        <v>0.84419891223291899</v>
      </c>
      <c r="AA1973">
        <f>18.73</f>
        <v>18.73</v>
      </c>
      <c r="AB1973">
        <f>21.07</f>
        <v>21.07</v>
      </c>
      <c r="AC1973" s="18"/>
    </row>
    <row r="1974" spans="1:29" x14ac:dyDescent="0.2">
      <c r="A1974" t="s">
        <v>291</v>
      </c>
      <c r="B1974">
        <v>1985</v>
      </c>
      <c r="C1974" t="s">
        <v>826</v>
      </c>
      <c r="D1974" t="s">
        <v>812</v>
      </c>
      <c r="E1974" t="s">
        <v>290</v>
      </c>
      <c r="F1974" t="s">
        <v>289</v>
      </c>
      <c r="G1974">
        <v>-33.966667000000001</v>
      </c>
      <c r="H1974">
        <v>18.366667</v>
      </c>
      <c r="J1974" t="s">
        <v>7</v>
      </c>
      <c r="K1974" t="s">
        <v>41</v>
      </c>
      <c r="L1974" t="s">
        <v>3</v>
      </c>
      <c r="M1974" t="s">
        <v>727</v>
      </c>
      <c r="N1974" t="s">
        <v>85</v>
      </c>
      <c r="O1974" t="s">
        <v>142</v>
      </c>
      <c r="P1974" t="s">
        <v>70</v>
      </c>
      <c r="Q1974">
        <v>14</v>
      </c>
      <c r="R1974" t="s">
        <v>213</v>
      </c>
      <c r="S1974" s="2" t="s">
        <v>7</v>
      </c>
      <c r="T1974">
        <v>1</v>
      </c>
      <c r="U1974" t="s">
        <v>28</v>
      </c>
      <c r="V1974" t="s">
        <v>28</v>
      </c>
      <c r="W1974">
        <v>12.5</v>
      </c>
      <c r="X1974">
        <v>25.88</v>
      </c>
      <c r="Y1974" t="s">
        <v>28</v>
      </c>
      <c r="AC1974" s="18"/>
    </row>
    <row r="1975" spans="1:29" x14ac:dyDescent="0.2">
      <c r="A1975" t="s">
        <v>291</v>
      </c>
      <c r="B1975">
        <v>1985</v>
      </c>
      <c r="C1975" t="s">
        <v>826</v>
      </c>
      <c r="D1975" t="s">
        <v>812</v>
      </c>
      <c r="E1975" t="s">
        <v>290</v>
      </c>
      <c r="F1975" t="s">
        <v>289</v>
      </c>
      <c r="G1975">
        <v>-33.966667000000001</v>
      </c>
      <c r="H1975">
        <v>18.366667</v>
      </c>
      <c r="J1975" t="s">
        <v>14</v>
      </c>
      <c r="K1975" t="s">
        <v>41</v>
      </c>
      <c r="L1975" t="s">
        <v>3</v>
      </c>
      <c r="M1975" t="s">
        <v>727</v>
      </c>
      <c r="N1975" t="s">
        <v>85</v>
      </c>
      <c r="O1975" t="s">
        <v>142</v>
      </c>
      <c r="P1975" t="s">
        <v>70</v>
      </c>
      <c r="Q1975">
        <v>14</v>
      </c>
      <c r="R1975" t="s">
        <v>213</v>
      </c>
      <c r="S1975" s="2" t="s">
        <v>9</v>
      </c>
      <c r="T1975">
        <v>1</v>
      </c>
      <c r="U1975" t="s">
        <v>28</v>
      </c>
      <c r="V1975" t="s">
        <v>28</v>
      </c>
      <c r="W1975">
        <v>15</v>
      </c>
      <c r="X1975">
        <v>100.59</v>
      </c>
      <c r="Y1975" t="s">
        <v>28</v>
      </c>
      <c r="AC1975" s="18"/>
    </row>
    <row r="1976" spans="1:29" x14ac:dyDescent="0.2">
      <c r="A1976" t="s">
        <v>291</v>
      </c>
      <c r="B1976">
        <v>1985</v>
      </c>
      <c r="C1976" t="s">
        <v>826</v>
      </c>
      <c r="D1976" t="s">
        <v>812</v>
      </c>
      <c r="E1976" t="s">
        <v>290</v>
      </c>
      <c r="F1976" t="s">
        <v>289</v>
      </c>
      <c r="G1976">
        <v>-33.966667000000001</v>
      </c>
      <c r="H1976">
        <v>18.366667</v>
      </c>
      <c r="J1976" t="s">
        <v>14</v>
      </c>
      <c r="K1976" t="s">
        <v>41</v>
      </c>
      <c r="L1976" t="s">
        <v>3</v>
      </c>
      <c r="M1976" t="s">
        <v>727</v>
      </c>
      <c r="N1976" t="s">
        <v>85</v>
      </c>
      <c r="O1976" t="s">
        <v>142</v>
      </c>
      <c r="P1976" t="s">
        <v>70</v>
      </c>
      <c r="Q1976">
        <v>14</v>
      </c>
      <c r="R1976" t="s">
        <v>213</v>
      </c>
      <c r="S1976" s="2" t="s">
        <v>27</v>
      </c>
      <c r="T1976">
        <v>1</v>
      </c>
      <c r="U1976" t="s">
        <v>28</v>
      </c>
      <c r="V1976" t="s">
        <v>28</v>
      </c>
      <c r="W1976">
        <v>17.5</v>
      </c>
      <c r="X1976">
        <v>100.69</v>
      </c>
      <c r="Y1976" t="s">
        <v>28</v>
      </c>
      <c r="AC1976" s="18"/>
    </row>
    <row r="1977" spans="1:29" x14ac:dyDescent="0.2">
      <c r="A1977" t="s">
        <v>291</v>
      </c>
      <c r="B1977">
        <v>1985</v>
      </c>
      <c r="C1977" t="s">
        <v>826</v>
      </c>
      <c r="D1977" t="s">
        <v>812</v>
      </c>
      <c r="E1977" t="s">
        <v>290</v>
      </c>
      <c r="F1977" t="s">
        <v>289</v>
      </c>
      <c r="G1977">
        <v>-33.966667000000001</v>
      </c>
      <c r="H1977">
        <v>18.366667</v>
      </c>
      <c r="J1977" t="s">
        <v>14</v>
      </c>
      <c r="K1977" t="s">
        <v>41</v>
      </c>
      <c r="L1977" t="s">
        <v>3</v>
      </c>
      <c r="M1977" t="s">
        <v>727</v>
      </c>
      <c r="N1977" t="s">
        <v>85</v>
      </c>
      <c r="O1977" t="s">
        <v>142</v>
      </c>
      <c r="P1977" t="s">
        <v>70</v>
      </c>
      <c r="Q1977">
        <v>14</v>
      </c>
      <c r="R1977" t="s">
        <v>213</v>
      </c>
      <c r="S1977" s="2" t="s">
        <v>13</v>
      </c>
      <c r="T1977">
        <v>1</v>
      </c>
      <c r="U1977" t="s">
        <v>28</v>
      </c>
      <c r="V1977" t="s">
        <v>28</v>
      </c>
      <c r="W1977">
        <v>20</v>
      </c>
      <c r="X1977">
        <v>74.31</v>
      </c>
      <c r="Y1977" t="s">
        <v>28</v>
      </c>
      <c r="AC1977" s="18"/>
    </row>
    <row r="1978" spans="1:29" x14ac:dyDescent="0.2">
      <c r="A1978" t="s">
        <v>291</v>
      </c>
      <c r="B1978">
        <v>1985</v>
      </c>
      <c r="C1978" t="s">
        <v>826</v>
      </c>
      <c r="D1978" t="s">
        <v>812</v>
      </c>
      <c r="E1978" t="s">
        <v>290</v>
      </c>
      <c r="F1978" t="s">
        <v>289</v>
      </c>
      <c r="G1978">
        <v>-33.966667000000001</v>
      </c>
      <c r="H1978">
        <v>18.366667</v>
      </c>
      <c r="J1978" t="s">
        <v>14</v>
      </c>
      <c r="K1978" t="s">
        <v>41</v>
      </c>
      <c r="L1978" t="s">
        <v>3</v>
      </c>
      <c r="M1978" t="s">
        <v>727</v>
      </c>
      <c r="N1978" t="s">
        <v>85</v>
      </c>
      <c r="O1978" t="s">
        <v>142</v>
      </c>
      <c r="P1978" t="s">
        <v>70</v>
      </c>
      <c r="Q1978">
        <v>14</v>
      </c>
      <c r="R1978" t="s">
        <v>213</v>
      </c>
      <c r="S1978" s="2" t="s">
        <v>15</v>
      </c>
      <c r="T1978">
        <v>1</v>
      </c>
      <c r="U1978" t="s">
        <v>28</v>
      </c>
      <c r="V1978" t="s">
        <v>28</v>
      </c>
      <c r="W1978">
        <v>22.5</v>
      </c>
      <c r="X1978">
        <v>1.86</v>
      </c>
      <c r="Y1978" t="s">
        <v>28</v>
      </c>
      <c r="AC1978" s="18"/>
    </row>
    <row r="1979" spans="1:29" x14ac:dyDescent="0.2">
      <c r="A1979" t="s">
        <v>291</v>
      </c>
      <c r="B1979">
        <v>1985</v>
      </c>
      <c r="C1979" t="s">
        <v>826</v>
      </c>
      <c r="D1979" t="s">
        <v>812</v>
      </c>
      <c r="E1979" t="s">
        <v>290</v>
      </c>
      <c r="F1979" t="s">
        <v>289</v>
      </c>
      <c r="G1979">
        <v>-33.966667000000001</v>
      </c>
      <c r="H1979">
        <v>18.366667</v>
      </c>
      <c r="J1979" t="s">
        <v>14</v>
      </c>
      <c r="K1979" t="s">
        <v>41</v>
      </c>
      <c r="L1979" t="s">
        <v>3</v>
      </c>
      <c r="M1979" t="s">
        <v>727</v>
      </c>
      <c r="N1979" t="s">
        <v>85</v>
      </c>
      <c r="O1979" t="s">
        <v>142</v>
      </c>
      <c r="P1979" t="s">
        <v>70</v>
      </c>
      <c r="Q1979">
        <v>14</v>
      </c>
      <c r="R1979" t="s">
        <v>213</v>
      </c>
      <c r="S1979" s="2" t="s">
        <v>37</v>
      </c>
      <c r="T1979">
        <v>1</v>
      </c>
      <c r="U1979" t="s">
        <v>28</v>
      </c>
      <c r="V1979" t="s">
        <v>28</v>
      </c>
      <c r="W1979">
        <v>25</v>
      </c>
      <c r="X1979">
        <v>0.78</v>
      </c>
      <c r="Y1979" t="s">
        <v>28</v>
      </c>
      <c r="AC1979" s="18"/>
    </row>
    <row r="1980" spans="1:29" x14ac:dyDescent="0.2">
      <c r="A1980" t="s">
        <v>292</v>
      </c>
      <c r="B1980">
        <v>2009</v>
      </c>
      <c r="C1980" t="s">
        <v>807</v>
      </c>
      <c r="D1980" t="s">
        <v>808</v>
      </c>
      <c r="E1980" t="s">
        <v>205</v>
      </c>
      <c r="F1980" t="s">
        <v>341</v>
      </c>
      <c r="G1980">
        <v>78.923593999999994</v>
      </c>
      <c r="H1980">
        <v>12.039701000000001</v>
      </c>
      <c r="I1980" t="s">
        <v>776</v>
      </c>
      <c r="J1980" t="s">
        <v>7</v>
      </c>
      <c r="K1980" t="s">
        <v>203</v>
      </c>
      <c r="L1980" t="s">
        <v>300</v>
      </c>
      <c r="M1980" t="s">
        <v>726</v>
      </c>
      <c r="N1980" t="s">
        <v>85</v>
      </c>
      <c r="O1980" s="6" t="s">
        <v>84</v>
      </c>
      <c r="Q1980">
        <f t="shared" ref="Q1980:Q2003" si="47">8/24</f>
        <v>0.33333333333333331</v>
      </c>
      <c r="R1980" t="s">
        <v>213</v>
      </c>
      <c r="S1980" s="2" t="s">
        <v>7</v>
      </c>
      <c r="T1980">
        <v>5</v>
      </c>
      <c r="U1980" t="s">
        <v>28</v>
      </c>
      <c r="V1980" t="s">
        <v>28</v>
      </c>
      <c r="W1980">
        <v>7</v>
      </c>
      <c r="X1980">
        <v>5.2999999999999999E-2</v>
      </c>
      <c r="Y1980">
        <v>8.0000000000000002E-3</v>
      </c>
      <c r="AA1980" s="6"/>
      <c r="AB1980" s="6"/>
      <c r="AC1980" s="18"/>
    </row>
    <row r="1981" spans="1:29" x14ac:dyDescent="0.2">
      <c r="A1981" t="s">
        <v>292</v>
      </c>
      <c r="B1981">
        <v>2009</v>
      </c>
      <c r="C1981" t="s">
        <v>807</v>
      </c>
      <c r="D1981" t="s">
        <v>808</v>
      </c>
      <c r="E1981" t="s">
        <v>205</v>
      </c>
      <c r="F1981" t="s">
        <v>341</v>
      </c>
      <c r="G1981">
        <v>78.923593999999994</v>
      </c>
      <c r="H1981">
        <v>12.039701000000001</v>
      </c>
      <c r="I1981" t="s">
        <v>776</v>
      </c>
      <c r="J1981" t="s">
        <v>14</v>
      </c>
      <c r="K1981" t="s">
        <v>203</v>
      </c>
      <c r="L1981" t="s">
        <v>300</v>
      </c>
      <c r="M1981" t="s">
        <v>726</v>
      </c>
      <c r="N1981" t="s">
        <v>85</v>
      </c>
      <c r="O1981" s="6" t="s">
        <v>84</v>
      </c>
      <c r="Q1981">
        <f t="shared" si="47"/>
        <v>0.33333333333333331</v>
      </c>
      <c r="R1981" t="s">
        <v>213</v>
      </c>
      <c r="S1981" s="2" t="s">
        <v>9</v>
      </c>
      <c r="T1981">
        <v>5</v>
      </c>
      <c r="U1981" t="s">
        <v>28</v>
      </c>
      <c r="V1981" t="s">
        <v>28</v>
      </c>
      <c r="W1981">
        <v>13</v>
      </c>
      <c r="X1981">
        <v>9.2999999999999999E-2</v>
      </c>
      <c r="Y1981">
        <v>1.2999999999999999E-2</v>
      </c>
      <c r="AA1981" s="6"/>
      <c r="AB1981" s="6"/>
      <c r="AC1981" s="18"/>
    </row>
    <row r="1982" spans="1:29" x14ac:dyDescent="0.2">
      <c r="A1982" t="s">
        <v>292</v>
      </c>
      <c r="B1982">
        <v>2009</v>
      </c>
      <c r="C1982" t="s">
        <v>807</v>
      </c>
      <c r="D1982" t="s">
        <v>808</v>
      </c>
      <c r="E1982" t="s">
        <v>205</v>
      </c>
      <c r="F1982" t="s">
        <v>341</v>
      </c>
      <c r="G1982">
        <v>78.923593999999994</v>
      </c>
      <c r="H1982">
        <v>12.039701000000001</v>
      </c>
      <c r="I1982" t="s">
        <v>776</v>
      </c>
      <c r="J1982" t="s">
        <v>14</v>
      </c>
      <c r="K1982" t="s">
        <v>203</v>
      </c>
      <c r="L1982" t="s">
        <v>300</v>
      </c>
      <c r="M1982" t="s">
        <v>726</v>
      </c>
      <c r="N1982" t="s">
        <v>85</v>
      </c>
      <c r="O1982" s="6" t="s">
        <v>84</v>
      </c>
      <c r="Q1982">
        <f t="shared" si="47"/>
        <v>0.33333333333333331</v>
      </c>
      <c r="R1982" t="s">
        <v>213</v>
      </c>
      <c r="S1982" s="2" t="s">
        <v>27</v>
      </c>
      <c r="T1982">
        <v>5</v>
      </c>
      <c r="U1982" t="s">
        <v>28</v>
      </c>
      <c r="V1982" t="s">
        <v>28</v>
      </c>
      <c r="W1982">
        <v>19</v>
      </c>
      <c r="X1982">
        <v>0.11600000000000001</v>
      </c>
      <c r="Y1982">
        <v>0.01</v>
      </c>
      <c r="AA1982" s="6"/>
      <c r="AB1982" s="6"/>
      <c r="AC1982" s="18"/>
    </row>
    <row r="1983" spans="1:29" x14ac:dyDescent="0.2">
      <c r="A1983" t="s">
        <v>292</v>
      </c>
      <c r="B1983">
        <v>2009</v>
      </c>
      <c r="C1983" t="s">
        <v>816</v>
      </c>
      <c r="D1983" t="s">
        <v>817</v>
      </c>
      <c r="E1983" t="s">
        <v>31</v>
      </c>
      <c r="F1983" t="s">
        <v>341</v>
      </c>
      <c r="G1983">
        <v>78.923593999999994</v>
      </c>
      <c r="H1983">
        <v>12.039701000000001</v>
      </c>
      <c r="I1983" t="s">
        <v>776</v>
      </c>
      <c r="J1983" t="s">
        <v>7</v>
      </c>
      <c r="K1983" t="s">
        <v>203</v>
      </c>
      <c r="L1983" t="s">
        <v>300</v>
      </c>
      <c r="M1983" t="s">
        <v>726</v>
      </c>
      <c r="N1983" t="s">
        <v>85</v>
      </c>
      <c r="O1983" s="6" t="s">
        <v>84</v>
      </c>
      <c r="Q1983">
        <f t="shared" si="47"/>
        <v>0.33333333333333331</v>
      </c>
      <c r="R1983" t="s">
        <v>213</v>
      </c>
      <c r="S1983" s="2" t="s">
        <v>7</v>
      </c>
      <c r="T1983">
        <v>5</v>
      </c>
      <c r="U1983" t="s">
        <v>28</v>
      </c>
      <c r="V1983" t="s">
        <v>28</v>
      </c>
      <c r="W1983">
        <v>7</v>
      </c>
      <c r="X1983">
        <v>6.2E-2</v>
      </c>
      <c r="Y1983">
        <v>0.01</v>
      </c>
      <c r="AA1983" s="6"/>
      <c r="AB1983" s="6"/>
      <c r="AC1983" s="18"/>
    </row>
    <row r="1984" spans="1:29" x14ac:dyDescent="0.2">
      <c r="A1984" t="s">
        <v>292</v>
      </c>
      <c r="B1984">
        <v>2009</v>
      </c>
      <c r="C1984" t="s">
        <v>816</v>
      </c>
      <c r="D1984" t="s">
        <v>817</v>
      </c>
      <c r="E1984" t="s">
        <v>31</v>
      </c>
      <c r="F1984" t="s">
        <v>341</v>
      </c>
      <c r="G1984">
        <v>78.923593999999994</v>
      </c>
      <c r="H1984">
        <v>12.039701000000001</v>
      </c>
      <c r="I1984" t="s">
        <v>776</v>
      </c>
      <c r="J1984" t="s">
        <v>14</v>
      </c>
      <c r="K1984" t="s">
        <v>203</v>
      </c>
      <c r="L1984" t="s">
        <v>300</v>
      </c>
      <c r="M1984" t="s">
        <v>726</v>
      </c>
      <c r="N1984" t="s">
        <v>85</v>
      </c>
      <c r="O1984" s="6" t="s">
        <v>84</v>
      </c>
      <c r="Q1984">
        <f t="shared" si="47"/>
        <v>0.33333333333333331</v>
      </c>
      <c r="R1984" t="s">
        <v>213</v>
      </c>
      <c r="S1984" s="2" t="s">
        <v>9</v>
      </c>
      <c r="T1984">
        <v>5</v>
      </c>
      <c r="U1984" t="s">
        <v>28</v>
      </c>
      <c r="V1984" t="s">
        <v>28</v>
      </c>
      <c r="W1984">
        <v>13</v>
      </c>
      <c r="X1984">
        <v>7.0999999999999994E-2</v>
      </c>
      <c r="Y1984">
        <v>0.01</v>
      </c>
      <c r="AA1984" s="6"/>
      <c r="AB1984" s="6"/>
    </row>
    <row r="1985" spans="1:28" x14ac:dyDescent="0.2">
      <c r="A1985" t="s">
        <v>292</v>
      </c>
      <c r="B1985">
        <v>2009</v>
      </c>
      <c r="C1985" t="s">
        <v>816</v>
      </c>
      <c r="D1985" t="s">
        <v>817</v>
      </c>
      <c r="E1985" t="s">
        <v>31</v>
      </c>
      <c r="F1985" t="s">
        <v>341</v>
      </c>
      <c r="G1985">
        <v>78.923593999999994</v>
      </c>
      <c r="H1985">
        <v>12.039701000000001</v>
      </c>
      <c r="I1985" t="s">
        <v>776</v>
      </c>
      <c r="J1985" t="s">
        <v>14</v>
      </c>
      <c r="K1985" t="s">
        <v>203</v>
      </c>
      <c r="L1985" t="s">
        <v>300</v>
      </c>
      <c r="M1985" t="s">
        <v>726</v>
      </c>
      <c r="N1985" t="s">
        <v>85</v>
      </c>
      <c r="O1985" s="6" t="s">
        <v>84</v>
      </c>
      <c r="Q1985">
        <f t="shared" si="47"/>
        <v>0.33333333333333331</v>
      </c>
      <c r="R1985" t="s">
        <v>213</v>
      </c>
      <c r="S1985" s="2" t="s">
        <v>27</v>
      </c>
      <c r="T1985">
        <v>5</v>
      </c>
      <c r="U1985" t="s">
        <v>28</v>
      </c>
      <c r="V1985" t="s">
        <v>28</v>
      </c>
      <c r="W1985">
        <v>19</v>
      </c>
      <c r="X1985">
        <v>5.5E-2</v>
      </c>
      <c r="Y1985">
        <v>8.0000000000000002E-3</v>
      </c>
      <c r="AA1985" s="6"/>
      <c r="AB1985" s="6"/>
    </row>
    <row r="1986" spans="1:28" x14ac:dyDescent="0.2">
      <c r="A1986" t="s">
        <v>292</v>
      </c>
      <c r="B1986">
        <v>2009</v>
      </c>
      <c r="C1986" t="s">
        <v>826</v>
      </c>
      <c r="D1986" t="s">
        <v>824</v>
      </c>
      <c r="E1986" t="s">
        <v>48</v>
      </c>
      <c r="F1986" t="s">
        <v>341</v>
      </c>
      <c r="G1986">
        <v>78.923593999999994</v>
      </c>
      <c r="H1986">
        <v>12.039701000000001</v>
      </c>
      <c r="I1986" t="s">
        <v>776</v>
      </c>
      <c r="J1986" t="s">
        <v>7</v>
      </c>
      <c r="K1986" t="s">
        <v>203</v>
      </c>
      <c r="L1986" t="s">
        <v>300</v>
      </c>
      <c r="M1986" t="s">
        <v>726</v>
      </c>
      <c r="N1986" t="s">
        <v>85</v>
      </c>
      <c r="O1986" s="6" t="s">
        <v>84</v>
      </c>
      <c r="Q1986">
        <f t="shared" si="47"/>
        <v>0.33333333333333331</v>
      </c>
      <c r="R1986" t="s">
        <v>213</v>
      </c>
      <c r="S1986" s="2" t="s">
        <v>7</v>
      </c>
      <c r="T1986">
        <v>5</v>
      </c>
      <c r="U1986" t="s">
        <v>28</v>
      </c>
      <c r="V1986" t="s">
        <v>28</v>
      </c>
      <c r="W1986">
        <v>7</v>
      </c>
      <c r="X1986">
        <v>0.04</v>
      </c>
      <c r="Y1986">
        <v>1.2E-2</v>
      </c>
      <c r="AA1986" s="6"/>
      <c r="AB1986" s="6"/>
    </row>
    <row r="1987" spans="1:28" x14ac:dyDescent="0.2">
      <c r="A1987" t="s">
        <v>292</v>
      </c>
      <c r="B1987">
        <v>2009</v>
      </c>
      <c r="C1987" t="s">
        <v>826</v>
      </c>
      <c r="D1987" t="s">
        <v>824</v>
      </c>
      <c r="E1987" t="s">
        <v>48</v>
      </c>
      <c r="F1987" t="s">
        <v>341</v>
      </c>
      <c r="G1987">
        <v>78.923593999999994</v>
      </c>
      <c r="H1987">
        <v>12.039701000000001</v>
      </c>
      <c r="I1987" t="s">
        <v>776</v>
      </c>
      <c r="J1987" t="s">
        <v>14</v>
      </c>
      <c r="K1987" t="s">
        <v>203</v>
      </c>
      <c r="L1987" t="s">
        <v>300</v>
      </c>
      <c r="M1987" t="s">
        <v>726</v>
      </c>
      <c r="N1987" t="s">
        <v>85</v>
      </c>
      <c r="O1987" s="6" t="s">
        <v>84</v>
      </c>
      <c r="Q1987">
        <f t="shared" si="47"/>
        <v>0.33333333333333331</v>
      </c>
      <c r="R1987" t="s">
        <v>213</v>
      </c>
      <c r="S1987" s="2" t="s">
        <v>9</v>
      </c>
      <c r="T1987">
        <v>5</v>
      </c>
      <c r="U1987" t="s">
        <v>28</v>
      </c>
      <c r="V1987" t="s">
        <v>28</v>
      </c>
      <c r="W1987">
        <v>13</v>
      </c>
      <c r="X1987">
        <v>5.8999999999999997E-2</v>
      </c>
      <c r="Y1987">
        <v>5.0000000000000001E-3</v>
      </c>
      <c r="AA1987" s="6"/>
      <c r="AB1987" s="6"/>
    </row>
    <row r="1988" spans="1:28" x14ac:dyDescent="0.2">
      <c r="A1988" t="s">
        <v>292</v>
      </c>
      <c r="B1988">
        <v>2009</v>
      </c>
      <c r="C1988" t="s">
        <v>826</v>
      </c>
      <c r="D1988" t="s">
        <v>824</v>
      </c>
      <c r="E1988" t="s">
        <v>48</v>
      </c>
      <c r="F1988" t="s">
        <v>341</v>
      </c>
      <c r="G1988">
        <v>78.923593999999994</v>
      </c>
      <c r="H1988">
        <v>12.039701000000001</v>
      </c>
      <c r="I1988" t="s">
        <v>776</v>
      </c>
      <c r="J1988" t="s">
        <v>14</v>
      </c>
      <c r="K1988" t="s">
        <v>203</v>
      </c>
      <c r="L1988" t="s">
        <v>300</v>
      </c>
      <c r="M1988" t="s">
        <v>726</v>
      </c>
      <c r="N1988" t="s">
        <v>85</v>
      </c>
      <c r="O1988" s="6" t="s">
        <v>84</v>
      </c>
      <c r="Q1988">
        <f t="shared" si="47"/>
        <v>0.33333333333333331</v>
      </c>
      <c r="R1988" t="s">
        <v>213</v>
      </c>
      <c r="S1988" s="2" t="s">
        <v>27</v>
      </c>
      <c r="T1988">
        <v>5</v>
      </c>
      <c r="U1988" t="s">
        <v>28</v>
      </c>
      <c r="V1988" t="s">
        <v>28</v>
      </c>
      <c r="W1988">
        <v>19</v>
      </c>
      <c r="X1988">
        <v>4.3999999999999997E-2</v>
      </c>
      <c r="Y1988">
        <v>1.7999999999999999E-2</v>
      </c>
      <c r="AA1988" s="6"/>
      <c r="AB1988" s="6"/>
    </row>
    <row r="1989" spans="1:28" x14ac:dyDescent="0.2">
      <c r="A1989" t="s">
        <v>292</v>
      </c>
      <c r="B1989">
        <v>2009</v>
      </c>
      <c r="C1989" t="s">
        <v>807</v>
      </c>
      <c r="D1989" t="s">
        <v>808</v>
      </c>
      <c r="E1989" t="s">
        <v>205</v>
      </c>
      <c r="F1989" t="s">
        <v>341</v>
      </c>
      <c r="G1989">
        <v>78.923593999999994</v>
      </c>
      <c r="H1989">
        <v>12.039701000000001</v>
      </c>
      <c r="I1989" t="s">
        <v>776</v>
      </c>
      <c r="J1989" t="s">
        <v>7</v>
      </c>
      <c r="K1989" t="s">
        <v>203</v>
      </c>
      <c r="L1989" t="s">
        <v>300</v>
      </c>
      <c r="M1989" t="s">
        <v>726</v>
      </c>
      <c r="N1989" t="s">
        <v>86</v>
      </c>
      <c r="O1989" s="6" t="s">
        <v>837</v>
      </c>
      <c r="P1989" t="s">
        <v>70</v>
      </c>
      <c r="Q1989">
        <f t="shared" si="47"/>
        <v>0.33333333333333331</v>
      </c>
      <c r="R1989" t="s">
        <v>213</v>
      </c>
      <c r="S1989" s="2" t="s">
        <v>7</v>
      </c>
      <c r="T1989">
        <v>5</v>
      </c>
      <c r="U1989" t="s">
        <v>28</v>
      </c>
      <c r="V1989" t="s">
        <v>28</v>
      </c>
      <c r="W1989">
        <v>7</v>
      </c>
      <c r="X1989">
        <v>87.51</v>
      </c>
      <c r="Y1989" s="6">
        <f t="shared" ref="Y1989:Y2013" si="48">Z1989*SQRT(T1989)</f>
        <v>1.2745587471748649</v>
      </c>
      <c r="Z1989">
        <f>88.08-X1989</f>
        <v>0.56999999999999318</v>
      </c>
      <c r="AA1989" s="6"/>
      <c r="AB1989" s="6"/>
    </row>
    <row r="1990" spans="1:28" x14ac:dyDescent="0.2">
      <c r="A1990" t="s">
        <v>292</v>
      </c>
      <c r="B1990">
        <v>2009</v>
      </c>
      <c r="C1990" t="s">
        <v>807</v>
      </c>
      <c r="D1990" t="s">
        <v>808</v>
      </c>
      <c r="E1990" t="s">
        <v>205</v>
      </c>
      <c r="F1990" t="s">
        <v>341</v>
      </c>
      <c r="G1990">
        <v>78.923593999999994</v>
      </c>
      <c r="H1990">
        <v>12.039701000000001</v>
      </c>
      <c r="I1990" t="s">
        <v>776</v>
      </c>
      <c r="J1990" t="s">
        <v>14</v>
      </c>
      <c r="K1990" t="s">
        <v>203</v>
      </c>
      <c r="L1990" t="s">
        <v>300</v>
      </c>
      <c r="M1990" t="s">
        <v>726</v>
      </c>
      <c r="N1990" t="s">
        <v>86</v>
      </c>
      <c r="O1990" s="6" t="s">
        <v>837</v>
      </c>
      <c r="P1990" t="s">
        <v>70</v>
      </c>
      <c r="Q1990">
        <f t="shared" si="47"/>
        <v>0.33333333333333331</v>
      </c>
      <c r="R1990" t="s">
        <v>213</v>
      </c>
      <c r="S1990" s="2" t="s">
        <v>9</v>
      </c>
      <c r="T1990">
        <v>5</v>
      </c>
      <c r="U1990" t="s">
        <v>28</v>
      </c>
      <c r="V1990" t="s">
        <v>28</v>
      </c>
      <c r="W1990">
        <v>13</v>
      </c>
      <c r="X1990">
        <v>78.040000000000006</v>
      </c>
      <c r="Y1990" s="6">
        <f t="shared" si="48"/>
        <v>2.5491174943497619</v>
      </c>
      <c r="Z1990">
        <f>79.18-X1990</f>
        <v>1.1400000000000006</v>
      </c>
      <c r="AA1990" s="6"/>
      <c r="AB1990" s="6"/>
    </row>
    <row r="1991" spans="1:28" x14ac:dyDescent="0.2">
      <c r="A1991" t="s">
        <v>292</v>
      </c>
      <c r="B1991">
        <v>2009</v>
      </c>
      <c r="C1991" t="s">
        <v>807</v>
      </c>
      <c r="D1991" t="s">
        <v>808</v>
      </c>
      <c r="E1991" t="s">
        <v>205</v>
      </c>
      <c r="F1991" t="s">
        <v>341</v>
      </c>
      <c r="G1991">
        <v>78.923593999999994</v>
      </c>
      <c r="H1991">
        <v>12.039701000000001</v>
      </c>
      <c r="I1991" t="s">
        <v>776</v>
      </c>
      <c r="J1991" t="s">
        <v>14</v>
      </c>
      <c r="K1991" t="s">
        <v>203</v>
      </c>
      <c r="L1991" t="s">
        <v>300</v>
      </c>
      <c r="M1991" t="s">
        <v>726</v>
      </c>
      <c r="N1991" t="s">
        <v>86</v>
      </c>
      <c r="O1991" s="6" t="s">
        <v>837</v>
      </c>
      <c r="P1991" t="s">
        <v>70</v>
      </c>
      <c r="Q1991">
        <f t="shared" si="47"/>
        <v>0.33333333333333331</v>
      </c>
      <c r="R1991" t="s">
        <v>213</v>
      </c>
      <c r="S1991" s="2" t="s">
        <v>27</v>
      </c>
      <c r="T1991">
        <v>5</v>
      </c>
      <c r="U1991" t="s">
        <v>28</v>
      </c>
      <c r="V1991" t="s">
        <v>28</v>
      </c>
      <c r="W1991">
        <v>19</v>
      </c>
      <c r="X1991">
        <v>72.739999999999995</v>
      </c>
      <c r="Y1991" s="6">
        <f t="shared" si="48"/>
        <v>2.1242645786248069</v>
      </c>
      <c r="Z1991">
        <f>73.69-X1991</f>
        <v>0.95000000000000284</v>
      </c>
      <c r="AA1991" s="6"/>
      <c r="AB1991" s="6"/>
    </row>
    <row r="1992" spans="1:28" x14ac:dyDescent="0.2">
      <c r="A1992" t="s">
        <v>292</v>
      </c>
      <c r="B1992">
        <v>2009</v>
      </c>
      <c r="C1992" t="s">
        <v>816</v>
      </c>
      <c r="D1992" t="s">
        <v>817</v>
      </c>
      <c r="E1992" t="s">
        <v>31</v>
      </c>
      <c r="F1992" t="s">
        <v>341</v>
      </c>
      <c r="G1992">
        <v>78.923593999999994</v>
      </c>
      <c r="H1992">
        <v>12.039701000000001</v>
      </c>
      <c r="I1992" t="s">
        <v>776</v>
      </c>
      <c r="J1992" t="s">
        <v>7</v>
      </c>
      <c r="K1992" t="s">
        <v>203</v>
      </c>
      <c r="L1992" t="s">
        <v>300</v>
      </c>
      <c r="M1992" t="s">
        <v>726</v>
      </c>
      <c r="N1992" t="s">
        <v>86</v>
      </c>
      <c r="O1992" s="6" t="s">
        <v>837</v>
      </c>
      <c r="P1992" t="s">
        <v>70</v>
      </c>
      <c r="Q1992">
        <f t="shared" si="47"/>
        <v>0.33333333333333331</v>
      </c>
      <c r="R1992" t="s">
        <v>213</v>
      </c>
      <c r="S1992" s="2" t="s">
        <v>7</v>
      </c>
      <c r="T1992">
        <v>5</v>
      </c>
      <c r="U1992" t="s">
        <v>28</v>
      </c>
      <c r="V1992" t="s">
        <v>28</v>
      </c>
      <c r="W1992">
        <v>7</v>
      </c>
      <c r="X1992">
        <v>86.14</v>
      </c>
      <c r="Y1992" s="6">
        <f t="shared" si="48"/>
        <v>1.9006577808748086</v>
      </c>
      <c r="Z1992">
        <f>86.99-X1992</f>
        <v>0.84999999999999432</v>
      </c>
      <c r="AA1992" s="6"/>
      <c r="AB1992" s="6"/>
    </row>
    <row r="1993" spans="1:28" x14ac:dyDescent="0.2">
      <c r="A1993" t="s">
        <v>292</v>
      </c>
      <c r="B1993">
        <v>2009</v>
      </c>
      <c r="C1993" t="s">
        <v>816</v>
      </c>
      <c r="D1993" t="s">
        <v>817</v>
      </c>
      <c r="E1993" t="s">
        <v>31</v>
      </c>
      <c r="F1993" t="s">
        <v>341</v>
      </c>
      <c r="G1993">
        <v>78.923593999999994</v>
      </c>
      <c r="H1993">
        <v>12.039701000000001</v>
      </c>
      <c r="I1993" t="s">
        <v>776</v>
      </c>
      <c r="J1993" t="s">
        <v>14</v>
      </c>
      <c r="K1993" t="s">
        <v>203</v>
      </c>
      <c r="L1993" t="s">
        <v>300</v>
      </c>
      <c r="M1993" t="s">
        <v>726</v>
      </c>
      <c r="N1993" t="s">
        <v>86</v>
      </c>
      <c r="O1993" s="6" t="s">
        <v>837</v>
      </c>
      <c r="P1993" t="s">
        <v>70</v>
      </c>
      <c r="Q1993">
        <f t="shared" si="47"/>
        <v>0.33333333333333331</v>
      </c>
      <c r="R1993" t="s">
        <v>213</v>
      </c>
      <c r="S1993" s="2" t="s">
        <v>9</v>
      </c>
      <c r="T1993">
        <v>5</v>
      </c>
      <c r="U1993" t="s">
        <v>28</v>
      </c>
      <c r="V1993" t="s">
        <v>28</v>
      </c>
      <c r="W1993">
        <v>13</v>
      </c>
      <c r="X1993">
        <v>84.05</v>
      </c>
      <c r="Y1993" s="6">
        <f t="shared" si="48"/>
        <v>2.1242645786248069</v>
      </c>
      <c r="Z1993">
        <f>85-X1993</f>
        <v>0.95000000000000284</v>
      </c>
      <c r="AA1993" s="6"/>
      <c r="AB1993" s="6"/>
    </row>
    <row r="1994" spans="1:28" x14ac:dyDescent="0.2">
      <c r="A1994" t="s">
        <v>292</v>
      </c>
      <c r="B1994">
        <v>2009</v>
      </c>
      <c r="C1994" t="s">
        <v>816</v>
      </c>
      <c r="D1994" t="s">
        <v>817</v>
      </c>
      <c r="E1994" t="s">
        <v>31</v>
      </c>
      <c r="F1994" t="s">
        <v>341</v>
      </c>
      <c r="G1994">
        <v>78.923593999999994</v>
      </c>
      <c r="H1994">
        <v>12.039701000000001</v>
      </c>
      <c r="I1994" t="s">
        <v>776</v>
      </c>
      <c r="J1994" t="s">
        <v>14</v>
      </c>
      <c r="K1994" t="s">
        <v>203</v>
      </c>
      <c r="L1994" t="s">
        <v>300</v>
      </c>
      <c r="M1994" t="s">
        <v>726</v>
      </c>
      <c r="N1994" t="s">
        <v>86</v>
      </c>
      <c r="O1994" s="6" t="s">
        <v>837</v>
      </c>
      <c r="P1994" t="s">
        <v>70</v>
      </c>
      <c r="Q1994">
        <f t="shared" si="47"/>
        <v>0.33333333333333331</v>
      </c>
      <c r="R1994" t="s">
        <v>213</v>
      </c>
      <c r="S1994" s="2" t="s">
        <v>27</v>
      </c>
      <c r="T1994">
        <v>5</v>
      </c>
      <c r="U1994" t="s">
        <v>28</v>
      </c>
      <c r="V1994" t="s">
        <v>28</v>
      </c>
      <c r="W1994">
        <v>19</v>
      </c>
      <c r="X1994">
        <v>87.75</v>
      </c>
      <c r="Y1994" s="6">
        <f t="shared" si="48"/>
        <v>1.2745587471748649</v>
      </c>
      <c r="Z1994">
        <f>88.32-X1994</f>
        <v>0.56999999999999318</v>
      </c>
      <c r="AA1994" s="6"/>
      <c r="AB1994" s="6"/>
    </row>
    <row r="1995" spans="1:28" x14ac:dyDescent="0.2">
      <c r="A1995" t="s">
        <v>292</v>
      </c>
      <c r="B1995">
        <v>2009</v>
      </c>
      <c r="C1995" t="s">
        <v>826</v>
      </c>
      <c r="D1995" t="s">
        <v>824</v>
      </c>
      <c r="E1995" t="s">
        <v>48</v>
      </c>
      <c r="F1995" t="s">
        <v>341</v>
      </c>
      <c r="G1995">
        <v>78.923593999999994</v>
      </c>
      <c r="H1995">
        <v>12.039701000000001</v>
      </c>
      <c r="I1995" t="s">
        <v>776</v>
      </c>
      <c r="J1995" t="s">
        <v>7</v>
      </c>
      <c r="K1995" t="s">
        <v>203</v>
      </c>
      <c r="L1995" t="s">
        <v>300</v>
      </c>
      <c r="M1995" t="s">
        <v>726</v>
      </c>
      <c r="N1995" t="s">
        <v>86</v>
      </c>
      <c r="O1995" s="6" t="s">
        <v>837</v>
      </c>
      <c r="P1995" t="s">
        <v>70</v>
      </c>
      <c r="Q1995">
        <f t="shared" si="47"/>
        <v>0.33333333333333331</v>
      </c>
      <c r="R1995" t="s">
        <v>213</v>
      </c>
      <c r="S1995" s="2" t="s">
        <v>7</v>
      </c>
      <c r="T1995">
        <v>5</v>
      </c>
      <c r="U1995" t="s">
        <v>28</v>
      </c>
      <c r="V1995" t="s">
        <v>28</v>
      </c>
      <c r="W1995">
        <v>7</v>
      </c>
      <c r="X1995">
        <v>91.08</v>
      </c>
      <c r="Y1995" s="6">
        <f t="shared" si="48"/>
        <v>2.9739704100747164</v>
      </c>
      <c r="Z1995">
        <f>92.41-X1995</f>
        <v>1.3299999999999983</v>
      </c>
      <c r="AA1995" s="6"/>
      <c r="AB1995" s="6"/>
    </row>
    <row r="1996" spans="1:28" x14ac:dyDescent="0.2">
      <c r="A1996" t="s">
        <v>292</v>
      </c>
      <c r="B1996">
        <v>2009</v>
      </c>
      <c r="C1996" t="s">
        <v>826</v>
      </c>
      <c r="D1996" t="s">
        <v>824</v>
      </c>
      <c r="E1996" t="s">
        <v>48</v>
      </c>
      <c r="F1996" t="s">
        <v>341</v>
      </c>
      <c r="G1996">
        <v>78.923593999999994</v>
      </c>
      <c r="H1996">
        <v>12.039701000000001</v>
      </c>
      <c r="I1996" t="s">
        <v>776</v>
      </c>
      <c r="J1996" t="s">
        <v>14</v>
      </c>
      <c r="K1996" t="s">
        <v>203</v>
      </c>
      <c r="L1996" t="s">
        <v>300</v>
      </c>
      <c r="M1996" t="s">
        <v>726</v>
      </c>
      <c r="N1996" t="s">
        <v>86</v>
      </c>
      <c r="O1996" s="6" t="s">
        <v>837</v>
      </c>
      <c r="P1996" t="s">
        <v>70</v>
      </c>
      <c r="Q1996">
        <f t="shared" si="47"/>
        <v>0.33333333333333331</v>
      </c>
      <c r="R1996" t="s">
        <v>213</v>
      </c>
      <c r="S1996" s="2" t="s">
        <v>9</v>
      </c>
      <c r="T1996">
        <v>5</v>
      </c>
      <c r="U1996" t="s">
        <v>28</v>
      </c>
      <c r="V1996" t="s">
        <v>28</v>
      </c>
      <c r="W1996">
        <v>13</v>
      </c>
      <c r="X1996">
        <v>86.8</v>
      </c>
      <c r="Y1996" s="6">
        <f t="shared" si="48"/>
        <v>1.073312629199908</v>
      </c>
      <c r="Z1996">
        <f>87.28-X1996</f>
        <v>0.48000000000000398</v>
      </c>
      <c r="AA1996" s="6"/>
      <c r="AB1996" s="6"/>
    </row>
    <row r="1997" spans="1:28" x14ac:dyDescent="0.2">
      <c r="A1997" t="s">
        <v>292</v>
      </c>
      <c r="B1997">
        <v>2009</v>
      </c>
      <c r="C1997" t="s">
        <v>826</v>
      </c>
      <c r="D1997" t="s">
        <v>824</v>
      </c>
      <c r="E1997" t="s">
        <v>48</v>
      </c>
      <c r="F1997" t="s">
        <v>341</v>
      </c>
      <c r="G1997">
        <v>78.923593999999994</v>
      </c>
      <c r="H1997">
        <v>12.039701000000001</v>
      </c>
      <c r="I1997" t="s">
        <v>776</v>
      </c>
      <c r="J1997" t="s">
        <v>14</v>
      </c>
      <c r="K1997" t="s">
        <v>203</v>
      </c>
      <c r="L1997" t="s">
        <v>300</v>
      </c>
      <c r="M1997" t="s">
        <v>726</v>
      </c>
      <c r="N1997" t="s">
        <v>86</v>
      </c>
      <c r="O1997" s="6" t="s">
        <v>837</v>
      </c>
      <c r="P1997" t="s">
        <v>70</v>
      </c>
      <c r="Q1997">
        <f t="shared" si="47"/>
        <v>0.33333333333333331</v>
      </c>
      <c r="R1997" t="s">
        <v>213</v>
      </c>
      <c r="S1997" s="2" t="s">
        <v>27</v>
      </c>
      <c r="T1997">
        <v>5</v>
      </c>
      <c r="U1997" t="s">
        <v>28</v>
      </c>
      <c r="V1997" t="s">
        <v>28</v>
      </c>
      <c r="W1997">
        <v>19</v>
      </c>
      <c r="X1997">
        <v>90.13</v>
      </c>
      <c r="Y1997" s="6">
        <f t="shared" si="48"/>
        <v>4.0249223594996471</v>
      </c>
      <c r="Z1997">
        <f>91.93-X1997</f>
        <v>1.8000000000000114</v>
      </c>
      <c r="AA1997" s="6"/>
      <c r="AB1997" s="6"/>
    </row>
    <row r="1998" spans="1:28" x14ac:dyDescent="0.2">
      <c r="A1998" t="s">
        <v>292</v>
      </c>
      <c r="B1998">
        <v>2009</v>
      </c>
      <c r="C1998" t="s">
        <v>807</v>
      </c>
      <c r="D1998" t="s">
        <v>808</v>
      </c>
      <c r="E1998" t="s">
        <v>205</v>
      </c>
      <c r="F1998" t="s">
        <v>341</v>
      </c>
      <c r="G1998">
        <v>78.923593999999994</v>
      </c>
      <c r="H1998">
        <v>12.039701000000001</v>
      </c>
      <c r="I1998" t="s">
        <v>776</v>
      </c>
      <c r="J1998" t="s">
        <v>7</v>
      </c>
      <c r="K1998" t="s">
        <v>203</v>
      </c>
      <c r="L1998" t="s">
        <v>300</v>
      </c>
      <c r="M1998" t="s">
        <v>726</v>
      </c>
      <c r="N1998" t="s">
        <v>85</v>
      </c>
      <c r="O1998" s="6" t="s">
        <v>208</v>
      </c>
      <c r="P1998" t="s">
        <v>293</v>
      </c>
      <c r="Q1998">
        <f t="shared" si="47"/>
        <v>0.33333333333333331</v>
      </c>
      <c r="R1998" t="s">
        <v>213</v>
      </c>
      <c r="S1998" s="2" t="s">
        <v>7</v>
      </c>
      <c r="T1998">
        <v>5</v>
      </c>
      <c r="U1998" t="s">
        <v>28</v>
      </c>
      <c r="V1998" t="s">
        <v>28</v>
      </c>
      <c r="W1998">
        <v>7</v>
      </c>
      <c r="X1998">
        <v>7.69</v>
      </c>
      <c r="Y1998" s="6">
        <f t="shared" si="48"/>
        <v>3.37646264602468</v>
      </c>
      <c r="Z1998">
        <f>9.2-X1998</f>
        <v>1.5099999999999989</v>
      </c>
      <c r="AA1998" s="6"/>
      <c r="AB1998" s="6"/>
    </row>
    <row r="1999" spans="1:28" x14ac:dyDescent="0.2">
      <c r="A1999" t="s">
        <v>292</v>
      </c>
      <c r="B1999">
        <v>2009</v>
      </c>
      <c r="C1999" t="s">
        <v>807</v>
      </c>
      <c r="D1999" t="s">
        <v>808</v>
      </c>
      <c r="E1999" t="s">
        <v>205</v>
      </c>
      <c r="F1999" t="s">
        <v>341</v>
      </c>
      <c r="G1999">
        <v>78.923593999999994</v>
      </c>
      <c r="H1999">
        <v>12.039701000000001</v>
      </c>
      <c r="I1999" t="s">
        <v>776</v>
      </c>
      <c r="J1999" t="s">
        <v>14</v>
      </c>
      <c r="K1999" t="s">
        <v>203</v>
      </c>
      <c r="L1999" t="s">
        <v>300</v>
      </c>
      <c r="M1999" t="s">
        <v>726</v>
      </c>
      <c r="N1999" t="s">
        <v>85</v>
      </c>
      <c r="O1999" s="6" t="s">
        <v>208</v>
      </c>
      <c r="P1999" t="s">
        <v>293</v>
      </c>
      <c r="Q1999">
        <f t="shared" si="47"/>
        <v>0.33333333333333331</v>
      </c>
      <c r="R1999" t="s">
        <v>213</v>
      </c>
      <c r="S1999" s="2" t="s">
        <v>9</v>
      </c>
      <c r="T1999">
        <v>5</v>
      </c>
      <c r="U1999" t="s">
        <v>28</v>
      </c>
      <c r="V1999" t="s">
        <v>28</v>
      </c>
      <c r="W1999">
        <v>13</v>
      </c>
      <c r="X1999">
        <v>7.78</v>
      </c>
      <c r="Y1999" s="6">
        <f t="shared" si="48"/>
        <v>2.4596747752497699</v>
      </c>
      <c r="Z1999">
        <f>8.88-X1999</f>
        <v>1.1000000000000005</v>
      </c>
      <c r="AA1999" s="6"/>
      <c r="AB1999" s="6"/>
    </row>
    <row r="2000" spans="1:28" x14ac:dyDescent="0.2">
      <c r="A2000" t="s">
        <v>292</v>
      </c>
      <c r="B2000">
        <v>2009</v>
      </c>
      <c r="C2000" t="s">
        <v>807</v>
      </c>
      <c r="D2000" t="s">
        <v>808</v>
      </c>
      <c r="E2000" t="s">
        <v>205</v>
      </c>
      <c r="F2000" t="s">
        <v>341</v>
      </c>
      <c r="G2000">
        <v>78.923593999999994</v>
      </c>
      <c r="H2000">
        <v>12.039701000000001</v>
      </c>
      <c r="I2000" t="s">
        <v>776</v>
      </c>
      <c r="J2000" t="s">
        <v>14</v>
      </c>
      <c r="K2000" t="s">
        <v>203</v>
      </c>
      <c r="L2000" t="s">
        <v>300</v>
      </c>
      <c r="M2000" t="s">
        <v>726</v>
      </c>
      <c r="N2000" t="s">
        <v>85</v>
      </c>
      <c r="O2000" s="6" t="s">
        <v>208</v>
      </c>
      <c r="P2000" t="s">
        <v>293</v>
      </c>
      <c r="Q2000">
        <f t="shared" si="47"/>
        <v>0.33333333333333331</v>
      </c>
      <c r="R2000" t="s">
        <v>213</v>
      </c>
      <c r="S2000" s="2" t="s">
        <v>27</v>
      </c>
      <c r="T2000">
        <v>5</v>
      </c>
      <c r="U2000" t="s">
        <v>28</v>
      </c>
      <c r="V2000" t="s">
        <v>28</v>
      </c>
      <c r="W2000">
        <v>19</v>
      </c>
      <c r="X2000">
        <v>9.76</v>
      </c>
      <c r="Y2000" s="6">
        <f t="shared" si="48"/>
        <v>3.9802009999496244</v>
      </c>
      <c r="Z2000">
        <f>11.54-X2000</f>
        <v>1.7799999999999994</v>
      </c>
      <c r="AA2000" s="6"/>
      <c r="AB2000" s="6"/>
    </row>
    <row r="2001" spans="1:28" x14ac:dyDescent="0.2">
      <c r="A2001" t="s">
        <v>292</v>
      </c>
      <c r="B2001">
        <v>2009</v>
      </c>
      <c r="C2001" t="s">
        <v>816</v>
      </c>
      <c r="D2001" t="s">
        <v>817</v>
      </c>
      <c r="E2001" t="s">
        <v>31</v>
      </c>
      <c r="F2001" t="s">
        <v>341</v>
      </c>
      <c r="G2001">
        <v>78.923593999999994</v>
      </c>
      <c r="H2001">
        <v>12.039701000000001</v>
      </c>
      <c r="I2001" t="s">
        <v>776</v>
      </c>
      <c r="J2001" t="s">
        <v>7</v>
      </c>
      <c r="K2001" t="s">
        <v>203</v>
      </c>
      <c r="L2001" t="s">
        <v>300</v>
      </c>
      <c r="M2001" t="s">
        <v>726</v>
      </c>
      <c r="N2001" t="s">
        <v>85</v>
      </c>
      <c r="O2001" s="6" t="s">
        <v>208</v>
      </c>
      <c r="P2001" t="s">
        <v>293</v>
      </c>
      <c r="Q2001">
        <f t="shared" si="47"/>
        <v>0.33333333333333331</v>
      </c>
      <c r="R2001" t="s">
        <v>213</v>
      </c>
      <c r="S2001" s="2" t="s">
        <v>7</v>
      </c>
      <c r="T2001">
        <v>5</v>
      </c>
      <c r="U2001" t="s">
        <v>28</v>
      </c>
      <c r="V2001" t="s">
        <v>28</v>
      </c>
      <c r="W2001">
        <v>7</v>
      </c>
      <c r="X2001">
        <v>15.08</v>
      </c>
      <c r="Y2001" s="6">
        <f t="shared" si="48"/>
        <v>7.5579097639492909</v>
      </c>
      <c r="Z2001">
        <f>18.46-X2001</f>
        <v>3.3800000000000008</v>
      </c>
      <c r="AA2001" s="6"/>
      <c r="AB2001" s="6"/>
    </row>
    <row r="2002" spans="1:28" x14ac:dyDescent="0.2">
      <c r="A2002" t="s">
        <v>292</v>
      </c>
      <c r="B2002">
        <v>2009</v>
      </c>
      <c r="C2002" t="s">
        <v>816</v>
      </c>
      <c r="D2002" t="s">
        <v>817</v>
      </c>
      <c r="E2002" t="s">
        <v>31</v>
      </c>
      <c r="F2002" t="s">
        <v>341</v>
      </c>
      <c r="G2002">
        <v>78.923593999999994</v>
      </c>
      <c r="H2002">
        <v>12.039701000000001</v>
      </c>
      <c r="I2002" t="s">
        <v>776</v>
      </c>
      <c r="J2002" t="s">
        <v>14</v>
      </c>
      <c r="K2002" t="s">
        <v>203</v>
      </c>
      <c r="L2002" t="s">
        <v>300</v>
      </c>
      <c r="M2002" t="s">
        <v>726</v>
      </c>
      <c r="N2002" t="s">
        <v>85</v>
      </c>
      <c r="O2002" s="6" t="s">
        <v>208</v>
      </c>
      <c r="P2002" t="s">
        <v>293</v>
      </c>
      <c r="Q2002">
        <f t="shared" si="47"/>
        <v>0.33333333333333331</v>
      </c>
      <c r="R2002" t="s">
        <v>213</v>
      </c>
      <c r="S2002" s="2" t="s">
        <v>9</v>
      </c>
      <c r="T2002">
        <v>5</v>
      </c>
      <c r="U2002" t="s">
        <v>28</v>
      </c>
      <c r="V2002" t="s">
        <v>28</v>
      </c>
      <c r="W2002">
        <v>13</v>
      </c>
      <c r="X2002">
        <v>17.600000000000001</v>
      </c>
      <c r="Y2002" s="6">
        <f t="shared" si="48"/>
        <v>7.1330568482243244</v>
      </c>
      <c r="Z2002">
        <f>20.79-X2002</f>
        <v>3.1899999999999977</v>
      </c>
      <c r="AA2002" s="6"/>
      <c r="AB2002" s="6"/>
    </row>
    <row r="2003" spans="1:28" x14ac:dyDescent="0.2">
      <c r="A2003" t="s">
        <v>292</v>
      </c>
      <c r="B2003">
        <v>2009</v>
      </c>
      <c r="C2003" t="s">
        <v>816</v>
      </c>
      <c r="D2003" t="s">
        <v>817</v>
      </c>
      <c r="E2003" t="s">
        <v>31</v>
      </c>
      <c r="F2003" t="s">
        <v>341</v>
      </c>
      <c r="G2003">
        <v>78.923593999999994</v>
      </c>
      <c r="H2003">
        <v>12.039701000000001</v>
      </c>
      <c r="I2003" t="s">
        <v>776</v>
      </c>
      <c r="J2003" t="s">
        <v>14</v>
      </c>
      <c r="K2003" t="s">
        <v>203</v>
      </c>
      <c r="L2003" t="s">
        <v>300</v>
      </c>
      <c r="M2003" t="s">
        <v>726</v>
      </c>
      <c r="N2003" t="s">
        <v>85</v>
      </c>
      <c r="O2003" s="6" t="s">
        <v>208</v>
      </c>
      <c r="P2003" t="s">
        <v>293</v>
      </c>
      <c r="Q2003">
        <f t="shared" si="47"/>
        <v>0.33333333333333331</v>
      </c>
      <c r="R2003" t="s">
        <v>213</v>
      </c>
      <c r="S2003" s="2" t="s">
        <v>27</v>
      </c>
      <c r="T2003">
        <v>5</v>
      </c>
      <c r="U2003" t="s">
        <v>28</v>
      </c>
      <c r="V2003" t="s">
        <v>28</v>
      </c>
      <c r="W2003">
        <v>19</v>
      </c>
      <c r="X2003">
        <v>21.54</v>
      </c>
      <c r="Y2003" s="6">
        <f t="shared" si="48"/>
        <v>7.4013850055243093</v>
      </c>
      <c r="Z2003">
        <f>24.85-X2003</f>
        <v>3.3100000000000023</v>
      </c>
      <c r="AA2003" s="6"/>
      <c r="AB2003" s="6"/>
    </row>
    <row r="2004" spans="1:28" x14ac:dyDescent="0.2">
      <c r="A2004" t="s">
        <v>294</v>
      </c>
      <c r="B2004">
        <v>2015</v>
      </c>
      <c r="C2004" t="s">
        <v>816</v>
      </c>
      <c r="D2004" t="s">
        <v>817</v>
      </c>
      <c r="E2004" t="s">
        <v>121</v>
      </c>
      <c r="F2004" t="s">
        <v>324</v>
      </c>
      <c r="G2004">
        <v>48.698683000000003</v>
      </c>
      <c r="H2004">
        <v>-3.9412500000000001</v>
      </c>
      <c r="I2004" t="s">
        <v>764</v>
      </c>
      <c r="J2004" t="s">
        <v>7</v>
      </c>
      <c r="K2004" t="s">
        <v>295</v>
      </c>
      <c r="L2004" t="s">
        <v>144</v>
      </c>
      <c r="M2004" t="s">
        <v>726</v>
      </c>
      <c r="N2004" t="s">
        <v>85</v>
      </c>
      <c r="O2004" s="6" t="s">
        <v>84</v>
      </c>
      <c r="Q2004">
        <f>1/24</f>
        <v>4.1666666666666664E-2</v>
      </c>
      <c r="R2004" t="s">
        <v>213</v>
      </c>
      <c r="S2004" s="2" t="s">
        <v>7</v>
      </c>
      <c r="T2004">
        <v>5</v>
      </c>
      <c r="U2004" t="s">
        <v>28</v>
      </c>
      <c r="V2004" t="s">
        <v>28</v>
      </c>
      <c r="W2004">
        <v>15</v>
      </c>
      <c r="X2004">
        <v>1.002</v>
      </c>
      <c r="Y2004" s="6">
        <f t="shared" si="48"/>
        <v>3.8013155617496214E-2</v>
      </c>
      <c r="Z2004">
        <f>1.019-X2004</f>
        <v>1.6999999999999904E-2</v>
      </c>
      <c r="AA2004" s="6"/>
      <c r="AB2004" s="6"/>
    </row>
    <row r="2005" spans="1:28" x14ac:dyDescent="0.2">
      <c r="A2005" t="s">
        <v>294</v>
      </c>
      <c r="B2005">
        <v>2015</v>
      </c>
      <c r="C2005" t="s">
        <v>816</v>
      </c>
      <c r="D2005" t="s">
        <v>817</v>
      </c>
      <c r="E2005" t="s">
        <v>121</v>
      </c>
      <c r="F2005" t="s">
        <v>324</v>
      </c>
      <c r="G2005">
        <v>48.698683000000003</v>
      </c>
      <c r="H2005">
        <v>-3.9412500000000001</v>
      </c>
      <c r="I2005" t="s">
        <v>764</v>
      </c>
      <c r="J2005" t="s">
        <v>14</v>
      </c>
      <c r="K2005" t="s">
        <v>295</v>
      </c>
      <c r="L2005" t="s">
        <v>144</v>
      </c>
      <c r="M2005" t="s">
        <v>726</v>
      </c>
      <c r="N2005" t="s">
        <v>85</v>
      </c>
      <c r="O2005" s="6" t="s">
        <v>84</v>
      </c>
      <c r="Q2005">
        <f t="shared" ref="Q2005:Q2013" si="49">1/24</f>
        <v>4.1666666666666664E-2</v>
      </c>
      <c r="R2005" t="s">
        <v>213</v>
      </c>
      <c r="S2005" s="2" t="s">
        <v>9</v>
      </c>
      <c r="T2005">
        <v>5</v>
      </c>
      <c r="U2005" t="s">
        <v>28</v>
      </c>
      <c r="V2005" t="s">
        <v>28</v>
      </c>
      <c r="W2005">
        <v>22.5</v>
      </c>
      <c r="X2005">
        <v>0.97599999999999998</v>
      </c>
      <c r="Y2005" s="6">
        <f t="shared" si="48"/>
        <v>6.9318107302493298E-2</v>
      </c>
      <c r="Z2005">
        <f>1.007-X2005</f>
        <v>3.0999999999999917E-2</v>
      </c>
      <c r="AA2005" s="6"/>
      <c r="AB2005" s="6"/>
    </row>
    <row r="2006" spans="1:28" x14ac:dyDescent="0.2">
      <c r="A2006" t="s">
        <v>294</v>
      </c>
      <c r="B2006">
        <v>2015</v>
      </c>
      <c r="C2006" t="s">
        <v>816</v>
      </c>
      <c r="D2006" t="s">
        <v>817</v>
      </c>
      <c r="E2006" t="s">
        <v>121</v>
      </c>
      <c r="F2006" t="s">
        <v>324</v>
      </c>
      <c r="G2006">
        <v>48.698683000000003</v>
      </c>
      <c r="H2006">
        <v>-3.9412500000000001</v>
      </c>
      <c r="I2006" t="s">
        <v>764</v>
      </c>
      <c r="J2006" t="s">
        <v>14</v>
      </c>
      <c r="K2006" t="s">
        <v>295</v>
      </c>
      <c r="L2006" t="s">
        <v>144</v>
      </c>
      <c r="M2006" t="s">
        <v>726</v>
      </c>
      <c r="N2006" t="s">
        <v>85</v>
      </c>
      <c r="O2006" s="6" t="s">
        <v>84</v>
      </c>
      <c r="Q2006">
        <f t="shared" si="49"/>
        <v>4.1666666666666664E-2</v>
      </c>
      <c r="R2006" t="s">
        <v>213</v>
      </c>
      <c r="S2006" s="2" t="s">
        <v>27</v>
      </c>
      <c r="T2006">
        <v>5</v>
      </c>
      <c r="U2006" t="s">
        <v>28</v>
      </c>
      <c r="V2006" t="s">
        <v>28</v>
      </c>
      <c r="W2006">
        <v>25</v>
      </c>
      <c r="X2006">
        <v>0.90300000000000002</v>
      </c>
      <c r="Y2006" s="6">
        <f t="shared" si="48"/>
        <v>5.3665631459995006E-2</v>
      </c>
      <c r="Z2006">
        <f>0.927-X2006</f>
        <v>2.4000000000000021E-2</v>
      </c>
      <c r="AA2006" s="6"/>
      <c r="AB2006" s="6"/>
    </row>
    <row r="2007" spans="1:28" x14ac:dyDescent="0.2">
      <c r="A2007" t="s">
        <v>294</v>
      </c>
      <c r="B2007">
        <v>2015</v>
      </c>
      <c r="C2007" t="s">
        <v>816</v>
      </c>
      <c r="D2007" t="s">
        <v>817</v>
      </c>
      <c r="E2007" t="s">
        <v>121</v>
      </c>
      <c r="F2007" t="s">
        <v>324</v>
      </c>
      <c r="G2007">
        <v>48.698683000000003</v>
      </c>
      <c r="H2007">
        <v>-3.9412500000000001</v>
      </c>
      <c r="I2007" t="s">
        <v>764</v>
      </c>
      <c r="J2007" t="s">
        <v>14</v>
      </c>
      <c r="K2007" t="s">
        <v>295</v>
      </c>
      <c r="L2007" t="s">
        <v>144</v>
      </c>
      <c r="M2007" t="s">
        <v>726</v>
      </c>
      <c r="N2007" t="s">
        <v>85</v>
      </c>
      <c r="O2007" s="6" t="s">
        <v>84</v>
      </c>
      <c r="Q2007">
        <f t="shared" si="49"/>
        <v>4.1666666666666664E-2</v>
      </c>
      <c r="R2007" t="s">
        <v>213</v>
      </c>
      <c r="S2007" s="2" t="s">
        <v>13</v>
      </c>
      <c r="T2007">
        <v>5</v>
      </c>
      <c r="U2007" t="s">
        <v>28</v>
      </c>
      <c r="V2007" t="s">
        <v>28</v>
      </c>
      <c r="W2007">
        <v>27.5</v>
      </c>
      <c r="X2007">
        <v>0.90100000000000002</v>
      </c>
      <c r="Y2007" s="6">
        <f t="shared" si="48"/>
        <v>6.2609903369994169E-2</v>
      </c>
      <c r="Z2007">
        <f>0.929-X2007</f>
        <v>2.8000000000000025E-2</v>
      </c>
      <c r="AA2007" s="6"/>
      <c r="AB2007" s="6"/>
    </row>
    <row r="2008" spans="1:28" x14ac:dyDescent="0.2">
      <c r="A2008" t="s">
        <v>294</v>
      </c>
      <c r="B2008">
        <v>2015</v>
      </c>
      <c r="C2008" t="s">
        <v>816</v>
      </c>
      <c r="D2008" t="s">
        <v>817</v>
      </c>
      <c r="E2008" t="s">
        <v>121</v>
      </c>
      <c r="F2008" t="s">
        <v>324</v>
      </c>
      <c r="G2008">
        <v>48.698683000000003</v>
      </c>
      <c r="H2008">
        <v>-3.9412500000000001</v>
      </c>
      <c r="I2008" t="s">
        <v>764</v>
      </c>
      <c r="J2008" t="s">
        <v>14</v>
      </c>
      <c r="K2008" t="s">
        <v>295</v>
      </c>
      <c r="L2008" t="s">
        <v>144</v>
      </c>
      <c r="M2008" t="s">
        <v>726</v>
      </c>
      <c r="N2008" t="s">
        <v>85</v>
      </c>
      <c r="O2008" s="6" t="s">
        <v>84</v>
      </c>
      <c r="Q2008">
        <f t="shared" si="49"/>
        <v>4.1666666666666664E-2</v>
      </c>
      <c r="R2008" t="s">
        <v>213</v>
      </c>
      <c r="S2008" s="2" t="s">
        <v>15</v>
      </c>
      <c r="T2008">
        <v>5</v>
      </c>
      <c r="U2008" t="s">
        <v>28</v>
      </c>
      <c r="V2008" t="s">
        <v>28</v>
      </c>
      <c r="W2008">
        <v>30</v>
      </c>
      <c r="X2008">
        <v>0.80400000000000005</v>
      </c>
      <c r="Y2008" s="6">
        <f t="shared" si="48"/>
        <v>5.3665631459994756E-2</v>
      </c>
      <c r="Z2008">
        <f>0.828-X2008</f>
        <v>2.399999999999991E-2</v>
      </c>
      <c r="AA2008" s="6"/>
      <c r="AB2008" s="6"/>
    </row>
    <row r="2009" spans="1:28" x14ac:dyDescent="0.2">
      <c r="A2009" t="s">
        <v>294</v>
      </c>
      <c r="B2009">
        <v>2015</v>
      </c>
      <c r="C2009" t="s">
        <v>816</v>
      </c>
      <c r="D2009" t="s">
        <v>817</v>
      </c>
      <c r="E2009" t="s">
        <v>121</v>
      </c>
      <c r="F2009" t="s">
        <v>331</v>
      </c>
      <c r="G2009">
        <v>41.707721999999997</v>
      </c>
      <c r="H2009">
        <v>-8.8625830000000008</v>
      </c>
      <c r="I2009" t="s">
        <v>762</v>
      </c>
      <c r="J2009" t="s">
        <v>7</v>
      </c>
      <c r="K2009" t="s">
        <v>295</v>
      </c>
      <c r="L2009" t="s">
        <v>144</v>
      </c>
      <c r="M2009" t="s">
        <v>726</v>
      </c>
      <c r="N2009" t="s">
        <v>85</v>
      </c>
      <c r="O2009" s="6" t="s">
        <v>84</v>
      </c>
      <c r="Q2009">
        <f>1/24</f>
        <v>4.1666666666666664E-2</v>
      </c>
      <c r="R2009" t="s">
        <v>213</v>
      </c>
      <c r="S2009" s="2" t="s">
        <v>7</v>
      </c>
      <c r="T2009">
        <v>5</v>
      </c>
      <c r="U2009" t="s">
        <v>28</v>
      </c>
      <c r="V2009" t="s">
        <v>28</v>
      </c>
      <c r="W2009">
        <v>15</v>
      </c>
      <c r="X2009">
        <v>1.0149999999999999</v>
      </c>
      <c r="Y2009" s="6">
        <f t="shared" si="48"/>
        <v>3.3541019662497125E-2</v>
      </c>
      <c r="Z2009">
        <f>1.03-X2009</f>
        <v>1.5000000000000124E-2</v>
      </c>
      <c r="AA2009" s="6"/>
      <c r="AB2009" s="6"/>
    </row>
    <row r="2010" spans="1:28" x14ac:dyDescent="0.2">
      <c r="A2010" t="s">
        <v>294</v>
      </c>
      <c r="B2010">
        <v>2015</v>
      </c>
      <c r="C2010" t="s">
        <v>816</v>
      </c>
      <c r="D2010" t="s">
        <v>817</v>
      </c>
      <c r="E2010" t="s">
        <v>121</v>
      </c>
      <c r="F2010" t="s">
        <v>331</v>
      </c>
      <c r="G2010">
        <v>41.707721999999997</v>
      </c>
      <c r="H2010">
        <v>-8.8625830000000008</v>
      </c>
      <c r="I2010" t="s">
        <v>762</v>
      </c>
      <c r="J2010" t="s">
        <v>14</v>
      </c>
      <c r="K2010" t="s">
        <v>295</v>
      </c>
      <c r="L2010" t="s">
        <v>144</v>
      </c>
      <c r="M2010" t="s">
        <v>726</v>
      </c>
      <c r="N2010" t="s">
        <v>85</v>
      </c>
      <c r="O2010" s="6" t="s">
        <v>84</v>
      </c>
      <c r="Q2010">
        <f t="shared" si="49"/>
        <v>4.1666666666666664E-2</v>
      </c>
      <c r="R2010" t="s">
        <v>213</v>
      </c>
      <c r="S2010" s="2" t="s">
        <v>9</v>
      </c>
      <c r="T2010">
        <v>5</v>
      </c>
      <c r="U2010" t="s">
        <v>28</v>
      </c>
      <c r="V2010" t="s">
        <v>28</v>
      </c>
      <c r="W2010">
        <v>22.5</v>
      </c>
      <c r="X2010">
        <v>1.0049999999999999</v>
      </c>
      <c r="Y2010" s="6">
        <f t="shared" si="48"/>
        <v>0.11851160280748921</v>
      </c>
      <c r="Z2010">
        <f>1.058-X2010</f>
        <v>5.3000000000000158E-2</v>
      </c>
      <c r="AA2010" s="6"/>
      <c r="AB2010" s="6"/>
    </row>
    <row r="2011" spans="1:28" x14ac:dyDescent="0.2">
      <c r="A2011" t="s">
        <v>294</v>
      </c>
      <c r="B2011">
        <v>2015</v>
      </c>
      <c r="C2011" t="s">
        <v>816</v>
      </c>
      <c r="D2011" t="s">
        <v>817</v>
      </c>
      <c r="E2011" t="s">
        <v>121</v>
      </c>
      <c r="F2011" t="s">
        <v>331</v>
      </c>
      <c r="G2011">
        <v>41.707721999999997</v>
      </c>
      <c r="H2011">
        <v>-8.8625830000000008</v>
      </c>
      <c r="I2011" t="s">
        <v>762</v>
      </c>
      <c r="J2011" t="s">
        <v>14</v>
      </c>
      <c r="K2011" t="s">
        <v>295</v>
      </c>
      <c r="L2011" t="s">
        <v>144</v>
      </c>
      <c r="M2011" t="s">
        <v>726</v>
      </c>
      <c r="N2011" t="s">
        <v>85</v>
      </c>
      <c r="O2011" s="6" t="s">
        <v>84</v>
      </c>
      <c r="Q2011">
        <f t="shared" si="49"/>
        <v>4.1666666666666664E-2</v>
      </c>
      <c r="R2011" t="s">
        <v>213</v>
      </c>
      <c r="S2011" s="2" t="s">
        <v>27</v>
      </c>
      <c r="T2011">
        <v>5</v>
      </c>
      <c r="U2011" t="s">
        <v>28</v>
      </c>
      <c r="V2011" t="s">
        <v>28</v>
      </c>
      <c r="W2011">
        <v>25</v>
      </c>
      <c r="X2011">
        <v>0.93899999999999995</v>
      </c>
      <c r="Y2011" s="6">
        <f t="shared" si="48"/>
        <v>6.2609903369994169E-2</v>
      </c>
      <c r="Z2011">
        <f>0.967-X2011</f>
        <v>2.8000000000000025E-2</v>
      </c>
      <c r="AA2011" s="6"/>
      <c r="AB2011" s="6"/>
    </row>
    <row r="2012" spans="1:28" x14ac:dyDescent="0.2">
      <c r="A2012" t="s">
        <v>294</v>
      </c>
      <c r="B2012">
        <v>2015</v>
      </c>
      <c r="C2012" t="s">
        <v>816</v>
      </c>
      <c r="D2012" t="s">
        <v>817</v>
      </c>
      <c r="E2012" t="s">
        <v>121</v>
      </c>
      <c r="F2012" t="s">
        <v>331</v>
      </c>
      <c r="G2012">
        <v>41.707721999999997</v>
      </c>
      <c r="H2012">
        <v>-8.8625830000000008</v>
      </c>
      <c r="I2012" t="s">
        <v>762</v>
      </c>
      <c r="J2012" t="s">
        <v>14</v>
      </c>
      <c r="K2012" t="s">
        <v>295</v>
      </c>
      <c r="L2012" t="s">
        <v>144</v>
      </c>
      <c r="M2012" t="s">
        <v>726</v>
      </c>
      <c r="N2012" t="s">
        <v>85</v>
      </c>
      <c r="O2012" s="6" t="s">
        <v>84</v>
      </c>
      <c r="Q2012">
        <f t="shared" si="49"/>
        <v>4.1666666666666664E-2</v>
      </c>
      <c r="R2012" t="s">
        <v>213</v>
      </c>
      <c r="S2012" s="2" t="s">
        <v>13</v>
      </c>
      <c r="T2012">
        <v>5</v>
      </c>
      <c r="U2012" t="s">
        <v>28</v>
      </c>
      <c r="V2012" t="s">
        <v>28</v>
      </c>
      <c r="W2012">
        <v>27.5</v>
      </c>
      <c r="X2012">
        <v>0.97</v>
      </c>
      <c r="Y2012" s="6">
        <f t="shared" si="48"/>
        <v>6.2609903369994169E-2</v>
      </c>
      <c r="Z2012">
        <f>0.998-X2012</f>
        <v>2.8000000000000025E-2</v>
      </c>
      <c r="AA2012" s="6"/>
      <c r="AB2012" s="6"/>
    </row>
    <row r="2013" spans="1:28" x14ac:dyDescent="0.2">
      <c r="A2013" t="s">
        <v>294</v>
      </c>
      <c r="B2013">
        <v>2015</v>
      </c>
      <c r="C2013" t="s">
        <v>816</v>
      </c>
      <c r="D2013" t="s">
        <v>817</v>
      </c>
      <c r="E2013" t="s">
        <v>121</v>
      </c>
      <c r="F2013" t="s">
        <v>331</v>
      </c>
      <c r="G2013">
        <v>41.707721999999997</v>
      </c>
      <c r="H2013">
        <v>-8.8625830000000008</v>
      </c>
      <c r="I2013" t="s">
        <v>762</v>
      </c>
      <c r="J2013" t="s">
        <v>14</v>
      </c>
      <c r="K2013" t="s">
        <v>295</v>
      </c>
      <c r="L2013" t="s">
        <v>144</v>
      </c>
      <c r="M2013" t="s">
        <v>726</v>
      </c>
      <c r="N2013" t="s">
        <v>85</v>
      </c>
      <c r="O2013" s="6" t="s">
        <v>84</v>
      </c>
      <c r="Q2013">
        <f t="shared" si="49"/>
        <v>4.1666666666666664E-2</v>
      </c>
      <c r="R2013" t="s">
        <v>213</v>
      </c>
      <c r="S2013" s="2" t="s">
        <v>15</v>
      </c>
      <c r="T2013">
        <v>5</v>
      </c>
      <c r="U2013" t="s">
        <v>28</v>
      </c>
      <c r="V2013" t="s">
        <v>28</v>
      </c>
      <c r="W2013">
        <v>30</v>
      </c>
      <c r="X2013">
        <v>0.96699999999999997</v>
      </c>
      <c r="Y2013" s="6">
        <f t="shared" si="48"/>
        <v>6.2609903369994169E-2</v>
      </c>
      <c r="Z2013">
        <f>0.995-X2013</f>
        <v>2.8000000000000025E-2</v>
      </c>
      <c r="AA2013" s="6"/>
      <c r="AB2013" s="6"/>
    </row>
    <row r="2014" spans="1:28" x14ac:dyDescent="0.2">
      <c r="A2014" t="s">
        <v>296</v>
      </c>
      <c r="B2014">
        <v>1973</v>
      </c>
      <c r="C2014" t="s">
        <v>807</v>
      </c>
      <c r="D2014" t="s">
        <v>825</v>
      </c>
      <c r="E2014" t="s">
        <v>35</v>
      </c>
      <c r="F2014" t="s">
        <v>297</v>
      </c>
      <c r="G2014">
        <v>34.666666999999997</v>
      </c>
      <c r="H2014">
        <v>138.94999999999999</v>
      </c>
      <c r="I2014" t="s">
        <v>93</v>
      </c>
      <c r="J2014" t="s">
        <v>7</v>
      </c>
      <c r="K2014" t="s">
        <v>144</v>
      </c>
      <c r="L2014" t="s">
        <v>144</v>
      </c>
      <c r="M2014" t="s">
        <v>73</v>
      </c>
      <c r="N2014" t="s">
        <v>85</v>
      </c>
      <c r="O2014" s="6" t="s">
        <v>146</v>
      </c>
      <c r="P2014" t="s">
        <v>298</v>
      </c>
      <c r="Q2014">
        <f>0.5/24</f>
        <v>2.0833333333333332E-2</v>
      </c>
      <c r="R2014" t="s">
        <v>213</v>
      </c>
      <c r="S2014" s="2" t="s">
        <v>7</v>
      </c>
      <c r="T2014">
        <f>AVERAGE(3,9)</f>
        <v>6</v>
      </c>
      <c r="U2014" t="s">
        <v>28</v>
      </c>
      <c r="V2014" t="s">
        <v>28</v>
      </c>
      <c r="W2014">
        <v>15</v>
      </c>
      <c r="X2014">
        <v>14.26</v>
      </c>
      <c r="Y2014" s="6">
        <f>15.42-X2014</f>
        <v>1.1600000000000001</v>
      </c>
      <c r="AA2014" s="6"/>
      <c r="AB2014" s="6"/>
    </row>
    <row r="2015" spans="1:28" x14ac:dyDescent="0.2">
      <c r="A2015" t="s">
        <v>296</v>
      </c>
      <c r="B2015">
        <v>1973</v>
      </c>
      <c r="C2015" t="s">
        <v>807</v>
      </c>
      <c r="D2015" t="s">
        <v>825</v>
      </c>
      <c r="E2015" t="s">
        <v>35</v>
      </c>
      <c r="F2015" t="s">
        <v>297</v>
      </c>
      <c r="G2015">
        <v>34.666666999999997</v>
      </c>
      <c r="H2015">
        <v>138.94999999999999</v>
      </c>
      <c r="I2015" t="s">
        <v>93</v>
      </c>
      <c r="J2015" t="s">
        <v>14</v>
      </c>
      <c r="K2015" t="s">
        <v>144</v>
      </c>
      <c r="L2015" t="s">
        <v>144</v>
      </c>
      <c r="M2015" t="s">
        <v>73</v>
      </c>
      <c r="N2015" t="s">
        <v>85</v>
      </c>
      <c r="O2015" s="6" t="s">
        <v>146</v>
      </c>
      <c r="P2015" t="s">
        <v>298</v>
      </c>
      <c r="Q2015">
        <f>0.5/24</f>
        <v>2.0833333333333332E-2</v>
      </c>
      <c r="R2015" t="s">
        <v>213</v>
      </c>
      <c r="S2015" s="2" t="s">
        <v>9</v>
      </c>
      <c r="T2015">
        <f>AVERAGE(3,9)</f>
        <v>6</v>
      </c>
      <c r="U2015" t="s">
        <v>28</v>
      </c>
      <c r="V2015" t="s">
        <v>28</v>
      </c>
      <c r="W2015">
        <v>20</v>
      </c>
      <c r="X2015">
        <v>16.62</v>
      </c>
      <c r="Y2015" s="6">
        <f>17.63-X2015</f>
        <v>1.009999999999998</v>
      </c>
      <c r="AA2015" s="6"/>
      <c r="AB2015" s="6"/>
    </row>
    <row r="2016" spans="1:28" x14ac:dyDescent="0.2">
      <c r="A2016" t="s">
        <v>296</v>
      </c>
      <c r="B2016">
        <v>1973</v>
      </c>
      <c r="C2016" t="s">
        <v>807</v>
      </c>
      <c r="D2016" t="s">
        <v>825</v>
      </c>
      <c r="E2016" t="s">
        <v>35</v>
      </c>
      <c r="F2016" t="s">
        <v>297</v>
      </c>
      <c r="G2016">
        <v>34.666666999999997</v>
      </c>
      <c r="H2016">
        <v>138.94999999999999</v>
      </c>
      <c r="I2016" t="s">
        <v>93</v>
      </c>
      <c r="J2016" t="s">
        <v>14</v>
      </c>
      <c r="K2016" t="s">
        <v>144</v>
      </c>
      <c r="L2016" t="s">
        <v>144</v>
      </c>
      <c r="M2016" t="s">
        <v>73</v>
      </c>
      <c r="N2016" t="s">
        <v>85</v>
      </c>
      <c r="O2016" s="6" t="s">
        <v>146</v>
      </c>
      <c r="P2016" t="s">
        <v>298</v>
      </c>
      <c r="Q2016">
        <f>0.5/24</f>
        <v>2.0833333333333332E-2</v>
      </c>
      <c r="R2016" t="s">
        <v>213</v>
      </c>
      <c r="S2016" s="2" t="s">
        <v>27</v>
      </c>
      <c r="T2016">
        <f>AVERAGE(3,9)</f>
        <v>6</v>
      </c>
      <c r="U2016" t="s">
        <v>28</v>
      </c>
      <c r="V2016" t="s">
        <v>28</v>
      </c>
      <c r="W2016">
        <v>25</v>
      </c>
      <c r="X2016">
        <v>17.68</v>
      </c>
      <c r="Y2016">
        <f>19.27-X2016</f>
        <v>1.5899999999999999</v>
      </c>
      <c r="AA2016" s="6"/>
      <c r="AB2016" s="6"/>
    </row>
    <row r="2017" spans="1:28" x14ac:dyDescent="0.2">
      <c r="A2017" t="s">
        <v>296</v>
      </c>
      <c r="B2017">
        <v>1973</v>
      </c>
      <c r="C2017" t="s">
        <v>807</v>
      </c>
      <c r="D2017" t="s">
        <v>825</v>
      </c>
      <c r="E2017" t="s">
        <v>35</v>
      </c>
      <c r="F2017" t="s">
        <v>297</v>
      </c>
      <c r="G2017">
        <v>34.666666999999997</v>
      </c>
      <c r="H2017">
        <v>138.94999999999999</v>
      </c>
      <c r="I2017" t="s">
        <v>93</v>
      </c>
      <c r="J2017" t="s">
        <v>14</v>
      </c>
      <c r="K2017" t="s">
        <v>144</v>
      </c>
      <c r="L2017" t="s">
        <v>144</v>
      </c>
      <c r="M2017" t="s">
        <v>73</v>
      </c>
      <c r="N2017" t="s">
        <v>85</v>
      </c>
      <c r="O2017" s="6" t="s">
        <v>146</v>
      </c>
      <c r="P2017" t="s">
        <v>298</v>
      </c>
      <c r="Q2017">
        <f>0.5/24</f>
        <v>2.0833333333333332E-2</v>
      </c>
      <c r="R2017" t="s">
        <v>213</v>
      </c>
      <c r="S2017" s="2" t="s">
        <v>13</v>
      </c>
      <c r="T2017">
        <f>AVERAGE(3,9)</f>
        <v>6</v>
      </c>
      <c r="U2017" t="s">
        <v>28</v>
      </c>
      <c r="V2017" t="s">
        <v>28</v>
      </c>
      <c r="W2017">
        <v>30</v>
      </c>
      <c r="X2017">
        <v>8.19</v>
      </c>
      <c r="Y2017">
        <f>10.94-X2017</f>
        <v>2.75</v>
      </c>
      <c r="AA2017" s="6"/>
      <c r="AB2017" s="6"/>
    </row>
    <row r="2018" spans="1:28" x14ac:dyDescent="0.2">
      <c r="A2018" t="s">
        <v>296</v>
      </c>
      <c r="B2018">
        <v>1973</v>
      </c>
      <c r="C2018" t="s">
        <v>807</v>
      </c>
      <c r="D2018" t="s">
        <v>825</v>
      </c>
      <c r="E2018" t="s">
        <v>35</v>
      </c>
      <c r="F2018" t="s">
        <v>297</v>
      </c>
      <c r="G2018">
        <v>34.666666999999997</v>
      </c>
      <c r="H2018">
        <v>138.94999999999999</v>
      </c>
      <c r="I2018" t="s">
        <v>93</v>
      </c>
      <c r="J2018" t="s">
        <v>7</v>
      </c>
      <c r="K2018" t="s">
        <v>144</v>
      </c>
      <c r="L2018" t="s">
        <v>144</v>
      </c>
      <c r="M2018" t="s">
        <v>172</v>
      </c>
      <c r="N2018" t="s">
        <v>86</v>
      </c>
      <c r="O2018" s="6" t="s">
        <v>62</v>
      </c>
      <c r="P2018" t="s">
        <v>298</v>
      </c>
      <c r="Q2018">
        <f>0.5/24</f>
        <v>2.0833333333333332E-2</v>
      </c>
      <c r="R2018" t="s">
        <v>213</v>
      </c>
      <c r="S2018" s="2" t="s">
        <v>7</v>
      </c>
      <c r="T2018">
        <f>AVERAGE(3,9)</f>
        <v>6</v>
      </c>
      <c r="U2018" t="s">
        <v>28</v>
      </c>
      <c r="V2018" t="s">
        <v>28</v>
      </c>
      <c r="W2018">
        <v>15</v>
      </c>
      <c r="X2018">
        <v>-0.41</v>
      </c>
      <c r="Y2018">
        <f>0.24-X2018</f>
        <v>0.64999999999999991</v>
      </c>
      <c r="AA2018" s="6"/>
      <c r="AB2018" s="6"/>
    </row>
    <row r="2019" spans="1:28" x14ac:dyDescent="0.2">
      <c r="A2019" t="s">
        <v>296</v>
      </c>
      <c r="B2019">
        <v>1973</v>
      </c>
      <c r="C2019" t="s">
        <v>807</v>
      </c>
      <c r="D2019" t="s">
        <v>825</v>
      </c>
      <c r="E2019" t="s">
        <v>35</v>
      </c>
      <c r="F2019" t="s">
        <v>297</v>
      </c>
      <c r="G2019">
        <v>34.666666999999997</v>
      </c>
      <c r="H2019">
        <v>138.94999999999999</v>
      </c>
      <c r="I2019" t="s">
        <v>93</v>
      </c>
      <c r="J2019" t="s">
        <v>14</v>
      </c>
      <c r="K2019" t="s">
        <v>144</v>
      </c>
      <c r="L2019" t="s">
        <v>144</v>
      </c>
      <c r="M2019" t="s">
        <v>172</v>
      </c>
      <c r="N2019" t="s">
        <v>86</v>
      </c>
      <c r="O2019" s="6" t="s">
        <v>62</v>
      </c>
      <c r="P2019" t="s">
        <v>298</v>
      </c>
      <c r="Q2019">
        <f t="shared" ref="Q2019:Q2022" si="50">0.5/24</f>
        <v>2.0833333333333332E-2</v>
      </c>
      <c r="R2019" t="s">
        <v>213</v>
      </c>
      <c r="S2019" s="2" t="s">
        <v>9</v>
      </c>
      <c r="T2019">
        <f t="shared" ref="T2019:T2022" si="51">AVERAGE(3,9)</f>
        <v>6</v>
      </c>
      <c r="U2019" t="s">
        <v>28</v>
      </c>
      <c r="V2019" t="s">
        <v>28</v>
      </c>
      <c r="W2019">
        <v>20</v>
      </c>
      <c r="X2019">
        <v>-0.87</v>
      </c>
      <c r="Y2019">
        <f>0.29-X2019</f>
        <v>1.1599999999999999</v>
      </c>
      <c r="AA2019" s="6"/>
      <c r="AB2019" s="6"/>
    </row>
    <row r="2020" spans="1:28" x14ac:dyDescent="0.2">
      <c r="A2020" t="s">
        <v>296</v>
      </c>
      <c r="B2020">
        <v>1973</v>
      </c>
      <c r="C2020" t="s">
        <v>807</v>
      </c>
      <c r="D2020" t="s">
        <v>825</v>
      </c>
      <c r="E2020" t="s">
        <v>35</v>
      </c>
      <c r="F2020" t="s">
        <v>297</v>
      </c>
      <c r="G2020">
        <v>34.666666999999997</v>
      </c>
      <c r="H2020">
        <v>138.94999999999999</v>
      </c>
      <c r="I2020" t="s">
        <v>93</v>
      </c>
      <c r="J2020" t="s">
        <v>14</v>
      </c>
      <c r="K2020" t="s">
        <v>144</v>
      </c>
      <c r="L2020" t="s">
        <v>144</v>
      </c>
      <c r="M2020" t="s">
        <v>172</v>
      </c>
      <c r="N2020" t="s">
        <v>86</v>
      </c>
      <c r="O2020" s="6" t="s">
        <v>62</v>
      </c>
      <c r="P2020" t="s">
        <v>298</v>
      </c>
      <c r="Q2020">
        <f t="shared" si="50"/>
        <v>2.0833333333333332E-2</v>
      </c>
      <c r="R2020" t="s">
        <v>213</v>
      </c>
      <c r="S2020" s="2" t="s">
        <v>27</v>
      </c>
      <c r="T2020">
        <f t="shared" si="51"/>
        <v>6</v>
      </c>
      <c r="U2020" t="s">
        <v>28</v>
      </c>
      <c r="V2020" t="s">
        <v>28</v>
      </c>
      <c r="W2020">
        <v>25</v>
      </c>
      <c r="X2020">
        <v>-1.18</v>
      </c>
      <c r="Y2020">
        <f>-0.53-X2020</f>
        <v>0.64999999999999991</v>
      </c>
      <c r="AA2020" s="6"/>
      <c r="AB2020" s="6"/>
    </row>
    <row r="2021" spans="1:28" x14ac:dyDescent="0.2">
      <c r="A2021" t="s">
        <v>296</v>
      </c>
      <c r="B2021">
        <v>1973</v>
      </c>
      <c r="C2021" t="s">
        <v>807</v>
      </c>
      <c r="D2021" t="s">
        <v>825</v>
      </c>
      <c r="E2021" t="s">
        <v>35</v>
      </c>
      <c r="F2021" t="s">
        <v>297</v>
      </c>
      <c r="G2021">
        <v>34.666666999999997</v>
      </c>
      <c r="H2021">
        <v>138.94999999999999</v>
      </c>
      <c r="I2021" t="s">
        <v>93</v>
      </c>
      <c r="J2021" t="s">
        <v>14</v>
      </c>
      <c r="K2021" t="s">
        <v>144</v>
      </c>
      <c r="L2021" t="s">
        <v>144</v>
      </c>
      <c r="M2021" t="s">
        <v>172</v>
      </c>
      <c r="N2021" t="s">
        <v>86</v>
      </c>
      <c r="O2021" s="6" t="s">
        <v>62</v>
      </c>
      <c r="P2021" t="s">
        <v>298</v>
      </c>
      <c r="Q2021">
        <f t="shared" si="50"/>
        <v>2.0833333333333332E-2</v>
      </c>
      <c r="R2021" t="s">
        <v>213</v>
      </c>
      <c r="S2021" s="2" t="s">
        <v>13</v>
      </c>
      <c r="T2021">
        <f t="shared" si="51"/>
        <v>6</v>
      </c>
      <c r="U2021" t="s">
        <v>28</v>
      </c>
      <c r="V2021" t="s">
        <v>28</v>
      </c>
      <c r="W2021">
        <v>30</v>
      </c>
      <c r="X2021">
        <v>-1.06</v>
      </c>
      <c r="Y2021">
        <f>-0.48-X2021</f>
        <v>0.58000000000000007</v>
      </c>
      <c r="AA2021" s="6"/>
      <c r="AB2021" s="6"/>
    </row>
    <row r="2022" spans="1:28" x14ac:dyDescent="0.2">
      <c r="A2022" t="s">
        <v>296</v>
      </c>
      <c r="B2022">
        <v>1973</v>
      </c>
      <c r="C2022" t="s">
        <v>807</v>
      </c>
      <c r="D2022" t="s">
        <v>825</v>
      </c>
      <c r="E2022" t="s">
        <v>35</v>
      </c>
      <c r="F2022" t="s">
        <v>297</v>
      </c>
      <c r="G2022">
        <v>34.666666999999997</v>
      </c>
      <c r="H2022">
        <v>138.94999999999999</v>
      </c>
      <c r="I2022" t="s">
        <v>93</v>
      </c>
      <c r="J2022" t="s">
        <v>14</v>
      </c>
      <c r="K2022" t="s">
        <v>144</v>
      </c>
      <c r="L2022" t="s">
        <v>144</v>
      </c>
      <c r="M2022" t="s">
        <v>172</v>
      </c>
      <c r="N2022" t="s">
        <v>86</v>
      </c>
      <c r="O2022" s="6" t="s">
        <v>62</v>
      </c>
      <c r="P2022" t="s">
        <v>298</v>
      </c>
      <c r="Q2022">
        <f t="shared" si="50"/>
        <v>2.0833333333333332E-2</v>
      </c>
      <c r="R2022" t="s">
        <v>213</v>
      </c>
      <c r="S2022" s="2" t="s">
        <v>15</v>
      </c>
      <c r="T2022">
        <f t="shared" si="51"/>
        <v>6</v>
      </c>
      <c r="U2022" t="s">
        <v>28</v>
      </c>
      <c r="V2022" t="s">
        <v>28</v>
      </c>
      <c r="W2022">
        <v>35</v>
      </c>
      <c r="X2022">
        <v>-1.52</v>
      </c>
      <c r="Y2022">
        <f>-0.29-X2022</f>
        <v>1.23</v>
      </c>
      <c r="AA2022" s="6"/>
      <c r="AB2022" s="6"/>
    </row>
    <row r="2023" spans="1:28" x14ac:dyDescent="0.2">
      <c r="A2023" t="s">
        <v>342</v>
      </c>
      <c r="B2023">
        <v>2015</v>
      </c>
      <c r="C2023" t="s">
        <v>807</v>
      </c>
      <c r="D2023" t="s">
        <v>808</v>
      </c>
      <c r="E2023" t="s">
        <v>205</v>
      </c>
      <c r="F2023" t="s">
        <v>424</v>
      </c>
      <c r="G2023">
        <v>78.916667000000004</v>
      </c>
      <c r="H2023">
        <v>11.933332999999999</v>
      </c>
      <c r="I2023" t="s">
        <v>764</v>
      </c>
      <c r="J2023" t="s">
        <v>7</v>
      </c>
      <c r="K2023" t="s">
        <v>343</v>
      </c>
      <c r="L2023" t="s">
        <v>143</v>
      </c>
      <c r="M2023" t="s">
        <v>26</v>
      </c>
      <c r="N2023" t="s">
        <v>85</v>
      </c>
      <c r="O2023" t="s">
        <v>839</v>
      </c>
      <c r="P2023" t="s">
        <v>72</v>
      </c>
      <c r="Q2023">
        <v>12</v>
      </c>
      <c r="R2023" t="s">
        <v>213</v>
      </c>
      <c r="S2023" s="2" t="s">
        <v>7</v>
      </c>
      <c r="T2023">
        <v>4</v>
      </c>
      <c r="U2023">
        <v>8.14</v>
      </c>
      <c r="V2023">
        <v>351</v>
      </c>
      <c r="W2023" t="s">
        <v>28</v>
      </c>
      <c r="X2023">
        <v>1.81</v>
      </c>
      <c r="Y2023">
        <v>0.14000000000000001</v>
      </c>
      <c r="AA2023" s="6"/>
      <c r="AB2023" s="6"/>
    </row>
    <row r="2024" spans="1:28" x14ac:dyDescent="0.2">
      <c r="A2024" t="s">
        <v>342</v>
      </c>
      <c r="B2024">
        <v>2015</v>
      </c>
      <c r="C2024" t="s">
        <v>807</v>
      </c>
      <c r="D2024" t="s">
        <v>808</v>
      </c>
      <c r="E2024" t="s">
        <v>205</v>
      </c>
      <c r="F2024" t="s">
        <v>424</v>
      </c>
      <c r="G2024">
        <v>78.916667000000004</v>
      </c>
      <c r="H2024">
        <v>11.933332999999999</v>
      </c>
      <c r="I2024" t="s">
        <v>764</v>
      </c>
      <c r="J2024" t="s">
        <v>5</v>
      </c>
      <c r="K2024" t="s">
        <v>343</v>
      </c>
      <c r="L2024" t="s">
        <v>143</v>
      </c>
      <c r="M2024" t="s">
        <v>26</v>
      </c>
      <c r="N2024" t="s">
        <v>85</v>
      </c>
      <c r="O2024" t="s">
        <v>839</v>
      </c>
      <c r="P2024" t="s">
        <v>72</v>
      </c>
      <c r="Q2024">
        <v>12</v>
      </c>
      <c r="R2024" t="s">
        <v>213</v>
      </c>
      <c r="S2024" s="2" t="s">
        <v>9</v>
      </c>
      <c r="T2024">
        <v>4</v>
      </c>
      <c r="U2024">
        <v>7.71</v>
      </c>
      <c r="V2024">
        <v>1028</v>
      </c>
      <c r="W2024" t="s">
        <v>28</v>
      </c>
      <c r="X2024">
        <v>0.96</v>
      </c>
      <c r="Y2024">
        <v>0.04</v>
      </c>
      <c r="AA2024" s="6"/>
      <c r="AB2024" s="6"/>
    </row>
    <row r="2025" spans="1:28" x14ac:dyDescent="0.2">
      <c r="A2025" t="s">
        <v>342</v>
      </c>
      <c r="B2025">
        <v>2015</v>
      </c>
      <c r="C2025" t="s">
        <v>826</v>
      </c>
      <c r="D2025" t="s">
        <v>824</v>
      </c>
      <c r="E2025" t="s">
        <v>48</v>
      </c>
      <c r="F2025" t="s">
        <v>424</v>
      </c>
      <c r="G2025">
        <v>78.916667000000004</v>
      </c>
      <c r="H2025">
        <v>11.933332999999999</v>
      </c>
      <c r="I2025" t="s">
        <v>764</v>
      </c>
      <c r="J2025" t="s">
        <v>7</v>
      </c>
      <c r="K2025" t="s">
        <v>343</v>
      </c>
      <c r="L2025" t="s">
        <v>143</v>
      </c>
      <c r="M2025" t="s">
        <v>26</v>
      </c>
      <c r="N2025" t="s">
        <v>85</v>
      </c>
      <c r="O2025" t="s">
        <v>839</v>
      </c>
      <c r="P2025" t="s">
        <v>72</v>
      </c>
      <c r="Q2025">
        <v>12</v>
      </c>
      <c r="R2025" t="s">
        <v>213</v>
      </c>
      <c r="S2025" s="2" t="s">
        <v>7</v>
      </c>
      <c r="T2025">
        <v>4</v>
      </c>
      <c r="U2025">
        <v>8.32</v>
      </c>
      <c r="V2025">
        <v>217</v>
      </c>
      <c r="W2025" t="s">
        <v>28</v>
      </c>
      <c r="X2025">
        <v>2.06</v>
      </c>
      <c r="Y2025">
        <v>0.09</v>
      </c>
      <c r="AA2025" s="6"/>
      <c r="AB2025" s="6"/>
    </row>
    <row r="2026" spans="1:28" x14ac:dyDescent="0.2">
      <c r="A2026" t="s">
        <v>342</v>
      </c>
      <c r="B2026">
        <v>2015</v>
      </c>
      <c r="C2026" t="s">
        <v>826</v>
      </c>
      <c r="D2026" t="s">
        <v>824</v>
      </c>
      <c r="E2026" t="s">
        <v>48</v>
      </c>
      <c r="F2026" t="s">
        <v>424</v>
      </c>
      <c r="G2026">
        <v>78.916667000000004</v>
      </c>
      <c r="H2026">
        <v>11.933332999999999</v>
      </c>
      <c r="I2026" t="s">
        <v>764</v>
      </c>
      <c r="J2026" t="s">
        <v>5</v>
      </c>
      <c r="K2026" t="s">
        <v>343</v>
      </c>
      <c r="L2026" t="s">
        <v>143</v>
      </c>
      <c r="M2026" t="s">
        <v>26</v>
      </c>
      <c r="N2026" t="s">
        <v>85</v>
      </c>
      <c r="O2026" t="s">
        <v>839</v>
      </c>
      <c r="P2026" t="s">
        <v>72</v>
      </c>
      <c r="Q2026">
        <v>12</v>
      </c>
      <c r="R2026" t="s">
        <v>213</v>
      </c>
      <c r="S2026" s="2" t="s">
        <v>9</v>
      </c>
      <c r="T2026">
        <v>4</v>
      </c>
      <c r="U2026">
        <v>7.79</v>
      </c>
      <c r="V2026">
        <v>846</v>
      </c>
      <c r="W2026" t="s">
        <v>28</v>
      </c>
      <c r="X2026">
        <v>2.2400000000000002</v>
      </c>
      <c r="Y2026">
        <v>0.67</v>
      </c>
      <c r="AA2026" s="6"/>
      <c r="AB2026" s="6"/>
    </row>
    <row r="2027" spans="1:28" x14ac:dyDescent="0.2">
      <c r="A2027" t="s">
        <v>342</v>
      </c>
      <c r="B2027">
        <v>2015</v>
      </c>
      <c r="C2027" t="s">
        <v>807</v>
      </c>
      <c r="D2027" t="s">
        <v>808</v>
      </c>
      <c r="E2027" t="s">
        <v>205</v>
      </c>
      <c r="F2027" t="s">
        <v>424</v>
      </c>
      <c r="G2027">
        <v>78.916667000000004</v>
      </c>
      <c r="H2027">
        <v>11.933332999999999</v>
      </c>
      <c r="I2027" t="s">
        <v>764</v>
      </c>
      <c r="J2027" t="s">
        <v>7</v>
      </c>
      <c r="K2027" t="s">
        <v>343</v>
      </c>
      <c r="L2027" t="s">
        <v>143</v>
      </c>
      <c r="M2027" t="s">
        <v>726</v>
      </c>
      <c r="N2027" t="s">
        <v>85</v>
      </c>
      <c r="O2027" s="6" t="s">
        <v>84</v>
      </c>
      <c r="Q2027">
        <v>2</v>
      </c>
      <c r="R2027" t="s">
        <v>214</v>
      </c>
      <c r="S2027" s="2" t="s">
        <v>7</v>
      </c>
      <c r="T2027">
        <v>6</v>
      </c>
      <c r="U2027">
        <v>8.14</v>
      </c>
      <c r="V2027">
        <v>351</v>
      </c>
      <c r="W2027" t="s">
        <v>28</v>
      </c>
      <c r="X2027">
        <v>0.71150000000000002</v>
      </c>
      <c r="Y2027">
        <f>X2027-0.6662</f>
        <v>4.5300000000000007E-2</v>
      </c>
      <c r="AA2027" s="6"/>
      <c r="AB2027" s="6"/>
    </row>
    <row r="2028" spans="1:28" x14ac:dyDescent="0.2">
      <c r="A2028" t="s">
        <v>342</v>
      </c>
      <c r="B2028">
        <v>2015</v>
      </c>
      <c r="C2028" t="s">
        <v>807</v>
      </c>
      <c r="D2028" t="s">
        <v>808</v>
      </c>
      <c r="E2028" t="s">
        <v>205</v>
      </c>
      <c r="F2028" t="s">
        <v>424</v>
      </c>
      <c r="G2028">
        <v>78.916667000000004</v>
      </c>
      <c r="H2028">
        <v>11.933332999999999</v>
      </c>
      <c r="I2028" t="s">
        <v>764</v>
      </c>
      <c r="J2028" t="s">
        <v>7</v>
      </c>
      <c r="K2028" t="s">
        <v>343</v>
      </c>
      <c r="L2028" t="s">
        <v>143</v>
      </c>
      <c r="M2028" t="s">
        <v>726</v>
      </c>
      <c r="N2028" t="s">
        <v>85</v>
      </c>
      <c r="O2028" s="6" t="s">
        <v>84</v>
      </c>
      <c r="Q2028">
        <v>6</v>
      </c>
      <c r="R2028" t="s">
        <v>214</v>
      </c>
      <c r="S2028" s="2" t="s">
        <v>7</v>
      </c>
      <c r="T2028">
        <v>6</v>
      </c>
      <c r="U2028">
        <v>8.14</v>
      </c>
      <c r="V2028">
        <v>351</v>
      </c>
      <c r="W2028" t="s">
        <v>28</v>
      </c>
      <c r="X2028">
        <v>0.74490000000000001</v>
      </c>
      <c r="Y2028">
        <f>X2028-AD2015</f>
        <v>0.74490000000000001</v>
      </c>
      <c r="AA2028" s="6"/>
      <c r="AB2028" s="6"/>
    </row>
    <row r="2029" spans="1:28" x14ac:dyDescent="0.2">
      <c r="A2029" t="s">
        <v>342</v>
      </c>
      <c r="B2029">
        <v>2015</v>
      </c>
      <c r="C2029" t="s">
        <v>807</v>
      </c>
      <c r="D2029" t="s">
        <v>808</v>
      </c>
      <c r="E2029" t="s">
        <v>205</v>
      </c>
      <c r="F2029" t="s">
        <v>424</v>
      </c>
      <c r="G2029">
        <v>78.916667000000004</v>
      </c>
      <c r="H2029">
        <v>11.933332999999999</v>
      </c>
      <c r="I2029" t="s">
        <v>764</v>
      </c>
      <c r="J2029" t="s">
        <v>7</v>
      </c>
      <c r="K2029" t="s">
        <v>343</v>
      </c>
      <c r="L2029" t="s">
        <v>143</v>
      </c>
      <c r="M2029" t="s">
        <v>726</v>
      </c>
      <c r="N2029" t="s">
        <v>85</v>
      </c>
      <c r="O2029" s="6" t="s">
        <v>84</v>
      </c>
      <c r="Q2029">
        <v>12</v>
      </c>
      <c r="R2029" t="s">
        <v>213</v>
      </c>
      <c r="S2029" s="2" t="s">
        <v>7</v>
      </c>
      <c r="T2029">
        <v>6</v>
      </c>
      <c r="U2029">
        <v>8.14</v>
      </c>
      <c r="V2029">
        <v>351</v>
      </c>
      <c r="W2029" t="s">
        <v>28</v>
      </c>
      <c r="X2029">
        <v>0.73899999999999999</v>
      </c>
      <c r="Y2029">
        <f>X2029-0.7026</f>
        <v>3.6399999999999988E-2</v>
      </c>
      <c r="AA2029" s="6"/>
      <c r="AB2029" s="6"/>
    </row>
    <row r="2030" spans="1:28" x14ac:dyDescent="0.2">
      <c r="A2030" t="s">
        <v>342</v>
      </c>
      <c r="B2030">
        <v>2015</v>
      </c>
      <c r="C2030" t="s">
        <v>807</v>
      </c>
      <c r="D2030" t="s">
        <v>808</v>
      </c>
      <c r="E2030" t="s">
        <v>205</v>
      </c>
      <c r="F2030" t="s">
        <v>424</v>
      </c>
      <c r="G2030">
        <v>78.916667000000004</v>
      </c>
      <c r="H2030">
        <v>11.933332999999999</v>
      </c>
      <c r="I2030" t="s">
        <v>764</v>
      </c>
      <c r="J2030" t="s">
        <v>5</v>
      </c>
      <c r="K2030" t="s">
        <v>343</v>
      </c>
      <c r="L2030" t="s">
        <v>143</v>
      </c>
      <c r="M2030" t="s">
        <v>726</v>
      </c>
      <c r="N2030" t="s">
        <v>85</v>
      </c>
      <c r="O2030" s="6" t="s">
        <v>84</v>
      </c>
      <c r="Q2030">
        <v>2</v>
      </c>
      <c r="R2030" t="s">
        <v>214</v>
      </c>
      <c r="S2030" s="2" t="s">
        <v>9</v>
      </c>
      <c r="T2030">
        <v>6</v>
      </c>
      <c r="U2030">
        <v>7.71</v>
      </c>
      <c r="V2030">
        <v>1028</v>
      </c>
      <c r="W2030" t="s">
        <v>28</v>
      </c>
      <c r="X2030">
        <v>0.55210000000000004</v>
      </c>
      <c r="Y2030">
        <f>X2030-0.5305</f>
        <v>2.1600000000000064E-2</v>
      </c>
      <c r="AA2030" s="6"/>
      <c r="AB2030" s="6"/>
    </row>
    <row r="2031" spans="1:28" x14ac:dyDescent="0.2">
      <c r="A2031" t="s">
        <v>342</v>
      </c>
      <c r="B2031">
        <v>2015</v>
      </c>
      <c r="C2031" t="s">
        <v>807</v>
      </c>
      <c r="D2031" t="s">
        <v>808</v>
      </c>
      <c r="E2031" t="s">
        <v>205</v>
      </c>
      <c r="F2031" t="s">
        <v>424</v>
      </c>
      <c r="G2031">
        <v>78.916667000000004</v>
      </c>
      <c r="H2031">
        <v>11.933332999999999</v>
      </c>
      <c r="I2031" t="s">
        <v>764</v>
      </c>
      <c r="J2031" t="s">
        <v>5</v>
      </c>
      <c r="K2031" t="s">
        <v>343</v>
      </c>
      <c r="L2031" t="s">
        <v>143</v>
      </c>
      <c r="M2031" t="s">
        <v>726</v>
      </c>
      <c r="N2031" t="s">
        <v>85</v>
      </c>
      <c r="O2031" s="6" t="s">
        <v>84</v>
      </c>
      <c r="Q2031">
        <v>6</v>
      </c>
      <c r="R2031" t="s">
        <v>214</v>
      </c>
      <c r="S2031" s="2" t="s">
        <v>9</v>
      </c>
      <c r="T2031">
        <v>6</v>
      </c>
      <c r="U2031">
        <v>7.71</v>
      </c>
      <c r="V2031">
        <v>1028</v>
      </c>
      <c r="W2031" t="s">
        <v>28</v>
      </c>
      <c r="X2031">
        <v>0.69569999999999999</v>
      </c>
      <c r="Y2031">
        <f>X2031-0.6367</f>
        <v>5.8999999999999941E-2</v>
      </c>
      <c r="AA2031" s="6"/>
      <c r="AB2031" s="6"/>
    </row>
    <row r="2032" spans="1:28" x14ac:dyDescent="0.2">
      <c r="A2032" t="s">
        <v>342</v>
      </c>
      <c r="B2032">
        <v>2015</v>
      </c>
      <c r="C2032" t="s">
        <v>807</v>
      </c>
      <c r="D2032" t="s">
        <v>808</v>
      </c>
      <c r="E2032" t="s">
        <v>205</v>
      </c>
      <c r="F2032" t="s">
        <v>424</v>
      </c>
      <c r="G2032">
        <v>78.916667000000004</v>
      </c>
      <c r="H2032">
        <v>11.933332999999999</v>
      </c>
      <c r="I2032" t="s">
        <v>764</v>
      </c>
      <c r="J2032" t="s">
        <v>5</v>
      </c>
      <c r="K2032" t="s">
        <v>343</v>
      </c>
      <c r="L2032" t="s">
        <v>143</v>
      </c>
      <c r="M2032" t="s">
        <v>726</v>
      </c>
      <c r="N2032" t="s">
        <v>85</v>
      </c>
      <c r="O2032" s="6" t="s">
        <v>84</v>
      </c>
      <c r="Q2032">
        <v>12</v>
      </c>
      <c r="R2032" t="s">
        <v>213</v>
      </c>
      <c r="S2032" s="2" t="s">
        <v>9</v>
      </c>
      <c r="T2032">
        <v>6</v>
      </c>
      <c r="U2032">
        <v>7.71</v>
      </c>
      <c r="V2032">
        <v>1028</v>
      </c>
      <c r="W2032" t="s">
        <v>28</v>
      </c>
      <c r="X2032">
        <v>0.65639999999999998</v>
      </c>
      <c r="Y2032">
        <f>X2032-0.5679</f>
        <v>8.8500000000000023E-2</v>
      </c>
      <c r="AA2032" s="6"/>
      <c r="AB2032" s="6"/>
    </row>
    <row r="2033" spans="1:28" x14ac:dyDescent="0.2">
      <c r="A2033" t="s">
        <v>342</v>
      </c>
      <c r="B2033">
        <v>2015</v>
      </c>
      <c r="C2033" t="s">
        <v>826</v>
      </c>
      <c r="D2033" t="s">
        <v>824</v>
      </c>
      <c r="E2033" t="s">
        <v>48</v>
      </c>
      <c r="F2033" t="s">
        <v>424</v>
      </c>
      <c r="G2033">
        <v>78.916667000000004</v>
      </c>
      <c r="H2033">
        <v>11.933332999999999</v>
      </c>
      <c r="I2033" t="s">
        <v>764</v>
      </c>
      <c r="J2033" t="s">
        <v>7</v>
      </c>
      <c r="K2033" t="s">
        <v>343</v>
      </c>
      <c r="L2033" t="s">
        <v>143</v>
      </c>
      <c r="M2033" t="s">
        <v>726</v>
      </c>
      <c r="N2033" t="s">
        <v>85</v>
      </c>
      <c r="O2033" s="6" t="s">
        <v>84</v>
      </c>
      <c r="Q2033">
        <v>2</v>
      </c>
      <c r="R2033" t="s">
        <v>214</v>
      </c>
      <c r="S2033" s="2" t="s">
        <v>7</v>
      </c>
      <c r="T2033">
        <v>6</v>
      </c>
      <c r="U2033">
        <v>8.14</v>
      </c>
      <c r="V2033">
        <v>351</v>
      </c>
      <c r="W2033" t="s">
        <v>28</v>
      </c>
      <c r="X2033">
        <v>0.69879999999999998</v>
      </c>
      <c r="Y2033">
        <f>0.7215-X2033</f>
        <v>2.2700000000000053E-2</v>
      </c>
      <c r="AA2033" s="6"/>
      <c r="AB2033" s="6"/>
    </row>
    <row r="2034" spans="1:28" x14ac:dyDescent="0.2">
      <c r="A2034" t="s">
        <v>342</v>
      </c>
      <c r="B2034">
        <v>2015</v>
      </c>
      <c r="C2034" t="s">
        <v>826</v>
      </c>
      <c r="D2034" t="s">
        <v>824</v>
      </c>
      <c r="E2034" t="s">
        <v>48</v>
      </c>
      <c r="F2034" t="s">
        <v>424</v>
      </c>
      <c r="G2034">
        <v>78.916667000000004</v>
      </c>
      <c r="H2034">
        <v>11.933332999999999</v>
      </c>
      <c r="I2034" t="s">
        <v>764</v>
      </c>
      <c r="J2034" t="s">
        <v>7</v>
      </c>
      <c r="K2034" t="s">
        <v>343</v>
      </c>
      <c r="L2034" t="s">
        <v>143</v>
      </c>
      <c r="M2034" t="s">
        <v>726</v>
      </c>
      <c r="N2034" t="s">
        <v>85</v>
      </c>
      <c r="O2034" s="6" t="s">
        <v>84</v>
      </c>
      <c r="Q2034">
        <v>6</v>
      </c>
      <c r="R2034" t="s">
        <v>214</v>
      </c>
      <c r="S2034" s="2" t="s">
        <v>7</v>
      </c>
      <c r="T2034">
        <v>6</v>
      </c>
      <c r="U2034">
        <v>8.14</v>
      </c>
      <c r="V2034">
        <v>351</v>
      </c>
      <c r="W2034" t="s">
        <v>28</v>
      </c>
      <c r="X2034">
        <v>0.67279999999999995</v>
      </c>
      <c r="Y2034">
        <f>0.7408-X2034</f>
        <v>6.800000000000006E-2</v>
      </c>
      <c r="AA2034" s="6"/>
      <c r="AB2034" s="6"/>
    </row>
    <row r="2035" spans="1:28" x14ac:dyDescent="0.2">
      <c r="A2035" t="s">
        <v>342</v>
      </c>
      <c r="B2035">
        <v>2015</v>
      </c>
      <c r="C2035" t="s">
        <v>826</v>
      </c>
      <c r="D2035" t="s">
        <v>824</v>
      </c>
      <c r="E2035" t="s">
        <v>48</v>
      </c>
      <c r="F2035" t="s">
        <v>424</v>
      </c>
      <c r="G2035">
        <v>78.916667000000004</v>
      </c>
      <c r="H2035">
        <v>11.933332999999999</v>
      </c>
      <c r="I2035" t="s">
        <v>764</v>
      </c>
      <c r="J2035" t="s">
        <v>7</v>
      </c>
      <c r="K2035" t="s">
        <v>343</v>
      </c>
      <c r="L2035" t="s">
        <v>143</v>
      </c>
      <c r="M2035" t="s">
        <v>726</v>
      </c>
      <c r="N2035" t="s">
        <v>85</v>
      </c>
      <c r="O2035" s="6" t="s">
        <v>84</v>
      </c>
      <c r="Q2035">
        <v>12</v>
      </c>
      <c r="R2035" t="s">
        <v>213</v>
      </c>
      <c r="S2035" s="2" t="s">
        <v>7</v>
      </c>
      <c r="T2035">
        <v>6</v>
      </c>
      <c r="U2035">
        <v>8.14</v>
      </c>
      <c r="V2035">
        <v>351</v>
      </c>
      <c r="W2035" t="s">
        <v>28</v>
      </c>
      <c r="X2035">
        <v>0.71750000000000003</v>
      </c>
      <c r="Y2035">
        <f>0.7411-X2035</f>
        <v>2.3599999999999954E-2</v>
      </c>
      <c r="AA2035" s="6"/>
      <c r="AB2035" s="6"/>
    </row>
    <row r="2036" spans="1:28" x14ac:dyDescent="0.2">
      <c r="A2036" t="s">
        <v>342</v>
      </c>
      <c r="B2036">
        <v>2015</v>
      </c>
      <c r="C2036" t="s">
        <v>826</v>
      </c>
      <c r="D2036" t="s">
        <v>824</v>
      </c>
      <c r="E2036" t="s">
        <v>48</v>
      </c>
      <c r="F2036" t="s">
        <v>424</v>
      </c>
      <c r="G2036">
        <v>78.916667000000004</v>
      </c>
      <c r="H2036">
        <v>11.933332999999999</v>
      </c>
      <c r="I2036" t="s">
        <v>764</v>
      </c>
      <c r="J2036" t="s">
        <v>5</v>
      </c>
      <c r="K2036" t="s">
        <v>343</v>
      </c>
      <c r="L2036" t="s">
        <v>143</v>
      </c>
      <c r="M2036" t="s">
        <v>726</v>
      </c>
      <c r="N2036" t="s">
        <v>85</v>
      </c>
      <c r="O2036" s="6" t="s">
        <v>84</v>
      </c>
      <c r="Q2036">
        <v>2</v>
      </c>
      <c r="R2036" t="s">
        <v>214</v>
      </c>
      <c r="S2036" s="2" t="s">
        <v>9</v>
      </c>
      <c r="T2036">
        <v>6</v>
      </c>
      <c r="U2036">
        <v>7.71</v>
      </c>
      <c r="V2036">
        <v>1028</v>
      </c>
      <c r="W2036" t="s">
        <v>28</v>
      </c>
      <c r="X2036">
        <v>0.21360000000000001</v>
      </c>
      <c r="Y2036">
        <f>X2036-0.1722</f>
        <v>4.140000000000002E-2</v>
      </c>
      <c r="AA2036" s="6"/>
      <c r="AB2036" s="6"/>
    </row>
    <row r="2037" spans="1:28" x14ac:dyDescent="0.2">
      <c r="A2037" t="s">
        <v>342</v>
      </c>
      <c r="B2037">
        <v>2015</v>
      </c>
      <c r="C2037" t="s">
        <v>826</v>
      </c>
      <c r="D2037" t="s">
        <v>824</v>
      </c>
      <c r="E2037" t="s">
        <v>48</v>
      </c>
      <c r="F2037" t="s">
        <v>424</v>
      </c>
      <c r="G2037">
        <v>78.916667000000004</v>
      </c>
      <c r="H2037">
        <v>11.933332999999999</v>
      </c>
      <c r="I2037" t="s">
        <v>764</v>
      </c>
      <c r="J2037" t="s">
        <v>5</v>
      </c>
      <c r="K2037" t="s">
        <v>343</v>
      </c>
      <c r="L2037" t="s">
        <v>143</v>
      </c>
      <c r="M2037" t="s">
        <v>726</v>
      </c>
      <c r="N2037" t="s">
        <v>85</v>
      </c>
      <c r="O2037" s="6" t="s">
        <v>84</v>
      </c>
      <c r="Q2037">
        <v>6</v>
      </c>
      <c r="R2037" t="s">
        <v>214</v>
      </c>
      <c r="S2037" s="2" t="s">
        <v>9</v>
      </c>
      <c r="T2037">
        <v>6</v>
      </c>
      <c r="U2037">
        <v>7.71</v>
      </c>
      <c r="V2037">
        <v>1028</v>
      </c>
      <c r="W2037" t="s">
        <v>28</v>
      </c>
      <c r="X2037">
        <v>0.65410000000000001</v>
      </c>
      <c r="Y2037">
        <f>X2037-0.6</f>
        <v>5.4100000000000037E-2</v>
      </c>
      <c r="AA2037" s="6"/>
      <c r="AB2037" s="6"/>
    </row>
    <row r="2038" spans="1:28" x14ac:dyDescent="0.2">
      <c r="A2038" t="s">
        <v>342</v>
      </c>
      <c r="B2038">
        <v>2015</v>
      </c>
      <c r="C2038" t="s">
        <v>826</v>
      </c>
      <c r="D2038" t="s">
        <v>824</v>
      </c>
      <c r="E2038" t="s">
        <v>48</v>
      </c>
      <c r="F2038" t="s">
        <v>424</v>
      </c>
      <c r="G2038">
        <v>78.916667000000004</v>
      </c>
      <c r="H2038">
        <v>11.933332999999999</v>
      </c>
      <c r="I2038" t="s">
        <v>764</v>
      </c>
      <c r="J2038" t="s">
        <v>5</v>
      </c>
      <c r="K2038" t="s">
        <v>343</v>
      </c>
      <c r="L2038" t="s">
        <v>143</v>
      </c>
      <c r="M2038" t="s">
        <v>726</v>
      </c>
      <c r="N2038" t="s">
        <v>85</v>
      </c>
      <c r="O2038" s="6" t="s">
        <v>84</v>
      </c>
      <c r="Q2038">
        <v>12</v>
      </c>
      <c r="R2038" t="s">
        <v>213</v>
      </c>
      <c r="S2038" s="2" t="s">
        <v>9</v>
      </c>
      <c r="T2038">
        <v>6</v>
      </c>
      <c r="U2038">
        <v>7.71</v>
      </c>
      <c r="V2038">
        <v>1028</v>
      </c>
      <c r="W2038" t="s">
        <v>28</v>
      </c>
      <c r="X2038">
        <v>0.68010000000000004</v>
      </c>
      <c r="Y2038">
        <f>X2038-0.6516</f>
        <v>2.8500000000000081E-2</v>
      </c>
      <c r="AA2038" s="6"/>
      <c r="AB2038" s="6"/>
    </row>
    <row r="2039" spans="1:28" x14ac:dyDescent="0.2">
      <c r="A2039" t="s">
        <v>342</v>
      </c>
      <c r="B2039">
        <v>2015</v>
      </c>
      <c r="C2039" t="s">
        <v>807</v>
      </c>
      <c r="D2039" t="s">
        <v>808</v>
      </c>
      <c r="E2039" t="s">
        <v>205</v>
      </c>
      <c r="F2039" t="s">
        <v>424</v>
      </c>
      <c r="G2039">
        <v>78.916667000000004</v>
      </c>
      <c r="H2039">
        <v>11.933332999999999</v>
      </c>
      <c r="I2039" t="s">
        <v>764</v>
      </c>
      <c r="J2039" t="s">
        <v>7</v>
      </c>
      <c r="K2039" t="s">
        <v>343</v>
      </c>
      <c r="L2039" t="s">
        <v>143</v>
      </c>
      <c r="M2039" t="s">
        <v>726</v>
      </c>
      <c r="N2039" t="s">
        <v>85</v>
      </c>
      <c r="O2039" s="6" t="s">
        <v>58</v>
      </c>
      <c r="Q2039">
        <v>2</v>
      </c>
      <c r="R2039" t="s">
        <v>214</v>
      </c>
      <c r="S2039" s="2" t="s">
        <v>7</v>
      </c>
      <c r="T2039">
        <v>6</v>
      </c>
      <c r="U2039">
        <v>8.14</v>
      </c>
      <c r="V2039">
        <v>351</v>
      </c>
      <c r="W2039" t="s">
        <v>28</v>
      </c>
      <c r="X2039">
        <v>0.2019</v>
      </c>
      <c r="Y2039">
        <f>X2039-0.1925</f>
        <v>9.3999999999999917E-3</v>
      </c>
      <c r="AA2039" s="6"/>
      <c r="AB2039" s="6"/>
    </row>
    <row r="2040" spans="1:28" x14ac:dyDescent="0.2">
      <c r="A2040" t="s">
        <v>342</v>
      </c>
      <c r="B2040">
        <v>2015</v>
      </c>
      <c r="C2040" t="s">
        <v>807</v>
      </c>
      <c r="D2040" t="s">
        <v>808</v>
      </c>
      <c r="E2040" t="s">
        <v>205</v>
      </c>
      <c r="F2040" t="s">
        <v>424</v>
      </c>
      <c r="G2040">
        <v>78.916667000000004</v>
      </c>
      <c r="H2040">
        <v>11.933332999999999</v>
      </c>
      <c r="I2040" t="s">
        <v>764</v>
      </c>
      <c r="J2040" t="s">
        <v>7</v>
      </c>
      <c r="K2040" t="s">
        <v>343</v>
      </c>
      <c r="L2040" t="s">
        <v>143</v>
      </c>
      <c r="M2040" t="s">
        <v>726</v>
      </c>
      <c r="N2040" t="s">
        <v>85</v>
      </c>
      <c r="O2040" s="6" t="s">
        <v>58</v>
      </c>
      <c r="Q2040">
        <v>6</v>
      </c>
      <c r="R2040" t="s">
        <v>214</v>
      </c>
      <c r="S2040" s="2" t="s">
        <v>7</v>
      </c>
      <c r="T2040">
        <v>6</v>
      </c>
      <c r="U2040">
        <v>8.14</v>
      </c>
      <c r="V2040">
        <v>351</v>
      </c>
      <c r="W2040" t="s">
        <v>28</v>
      </c>
      <c r="X2040">
        <v>0.18970000000000001</v>
      </c>
      <c r="Y2040">
        <f>X2040-0.1607</f>
        <v>2.8999999999999998E-2</v>
      </c>
      <c r="AA2040" s="6"/>
      <c r="AB2040" s="6"/>
    </row>
    <row r="2041" spans="1:28" x14ac:dyDescent="0.2">
      <c r="A2041" t="s">
        <v>342</v>
      </c>
      <c r="B2041">
        <v>2015</v>
      </c>
      <c r="C2041" t="s">
        <v>807</v>
      </c>
      <c r="D2041" t="s">
        <v>808</v>
      </c>
      <c r="E2041" t="s">
        <v>205</v>
      </c>
      <c r="F2041" t="s">
        <v>424</v>
      </c>
      <c r="G2041">
        <v>78.916667000000004</v>
      </c>
      <c r="H2041">
        <v>11.933332999999999</v>
      </c>
      <c r="I2041" t="s">
        <v>764</v>
      </c>
      <c r="J2041" t="s">
        <v>7</v>
      </c>
      <c r="K2041" t="s">
        <v>343</v>
      </c>
      <c r="L2041" t="s">
        <v>143</v>
      </c>
      <c r="M2041" t="s">
        <v>726</v>
      </c>
      <c r="N2041" t="s">
        <v>85</v>
      </c>
      <c r="O2041" s="6" t="s">
        <v>58</v>
      </c>
      <c r="Q2041">
        <v>12</v>
      </c>
      <c r="R2041" t="s">
        <v>213</v>
      </c>
      <c r="S2041" s="2" t="s">
        <v>7</v>
      </c>
      <c r="T2041">
        <v>6</v>
      </c>
      <c r="U2041">
        <v>8.14</v>
      </c>
      <c r="V2041">
        <v>351</v>
      </c>
      <c r="W2041" t="s">
        <v>28</v>
      </c>
      <c r="X2041">
        <v>0.1477</v>
      </c>
      <c r="Y2041">
        <f>0.1673-X2041</f>
        <v>1.9600000000000006E-2</v>
      </c>
      <c r="AA2041" s="6"/>
      <c r="AB2041" s="6"/>
    </row>
    <row r="2042" spans="1:28" x14ac:dyDescent="0.2">
      <c r="A2042" t="s">
        <v>342</v>
      </c>
      <c r="B2042">
        <v>2015</v>
      </c>
      <c r="C2042" t="s">
        <v>807</v>
      </c>
      <c r="D2042" t="s">
        <v>808</v>
      </c>
      <c r="E2042" t="s">
        <v>205</v>
      </c>
      <c r="F2042" t="s">
        <v>424</v>
      </c>
      <c r="G2042">
        <v>78.916667000000004</v>
      </c>
      <c r="H2042">
        <v>11.933332999999999</v>
      </c>
      <c r="I2042" t="s">
        <v>764</v>
      </c>
      <c r="J2042" t="s">
        <v>5</v>
      </c>
      <c r="K2042" t="s">
        <v>343</v>
      </c>
      <c r="L2042" t="s">
        <v>143</v>
      </c>
      <c r="M2042" t="s">
        <v>726</v>
      </c>
      <c r="N2042" t="s">
        <v>85</v>
      </c>
      <c r="O2042" s="6" t="s">
        <v>58</v>
      </c>
      <c r="Q2042">
        <v>2</v>
      </c>
      <c r="R2042" t="s">
        <v>214</v>
      </c>
      <c r="S2042" s="2" t="s">
        <v>9</v>
      </c>
      <c r="T2042">
        <v>6</v>
      </c>
      <c r="U2042">
        <v>7.71</v>
      </c>
      <c r="V2042">
        <v>1028</v>
      </c>
      <c r="W2042" t="s">
        <v>28</v>
      </c>
      <c r="X2042">
        <v>0.15049999999999999</v>
      </c>
      <c r="Y2042">
        <f>0.1617-X2042</f>
        <v>1.1200000000000015E-2</v>
      </c>
      <c r="AA2042" s="6"/>
      <c r="AB2042" s="6"/>
    </row>
    <row r="2043" spans="1:28" x14ac:dyDescent="0.2">
      <c r="A2043" t="s">
        <v>342</v>
      </c>
      <c r="B2043">
        <v>2015</v>
      </c>
      <c r="C2043" t="s">
        <v>807</v>
      </c>
      <c r="D2043" t="s">
        <v>808</v>
      </c>
      <c r="E2043" t="s">
        <v>205</v>
      </c>
      <c r="F2043" t="s">
        <v>424</v>
      </c>
      <c r="G2043">
        <v>78.916667000000004</v>
      </c>
      <c r="H2043">
        <v>11.933332999999999</v>
      </c>
      <c r="I2043" t="s">
        <v>764</v>
      </c>
      <c r="J2043" t="s">
        <v>5</v>
      </c>
      <c r="K2043" t="s">
        <v>343</v>
      </c>
      <c r="L2043" t="s">
        <v>143</v>
      </c>
      <c r="M2043" t="s">
        <v>726</v>
      </c>
      <c r="N2043" t="s">
        <v>85</v>
      </c>
      <c r="O2043" s="6" t="s">
        <v>58</v>
      </c>
      <c r="Q2043">
        <v>6</v>
      </c>
      <c r="R2043" t="s">
        <v>214</v>
      </c>
      <c r="S2043" s="2" t="s">
        <v>9</v>
      </c>
      <c r="T2043">
        <v>6</v>
      </c>
      <c r="U2043">
        <v>7.71</v>
      </c>
      <c r="V2043">
        <v>1028</v>
      </c>
      <c r="W2043" t="s">
        <v>28</v>
      </c>
      <c r="X2043">
        <v>0.2019</v>
      </c>
      <c r="Y2043">
        <f>0.2215-X2043</f>
        <v>1.9600000000000006E-2</v>
      </c>
      <c r="AA2043" s="6"/>
      <c r="AB2043" s="6"/>
    </row>
    <row r="2044" spans="1:28" x14ac:dyDescent="0.2">
      <c r="A2044" t="s">
        <v>342</v>
      </c>
      <c r="B2044">
        <v>2015</v>
      </c>
      <c r="C2044" t="s">
        <v>807</v>
      </c>
      <c r="D2044" t="s">
        <v>808</v>
      </c>
      <c r="E2044" t="s">
        <v>205</v>
      </c>
      <c r="F2044" t="s">
        <v>424</v>
      </c>
      <c r="G2044">
        <v>78.916667000000004</v>
      </c>
      <c r="H2044">
        <v>11.933332999999999</v>
      </c>
      <c r="I2044" t="s">
        <v>764</v>
      </c>
      <c r="J2044" t="s">
        <v>5</v>
      </c>
      <c r="K2044" t="s">
        <v>343</v>
      </c>
      <c r="L2044" t="s">
        <v>143</v>
      </c>
      <c r="M2044" t="s">
        <v>726</v>
      </c>
      <c r="N2044" t="s">
        <v>85</v>
      </c>
      <c r="O2044" s="6" t="s">
        <v>58</v>
      </c>
      <c r="Q2044">
        <v>12</v>
      </c>
      <c r="R2044" t="s">
        <v>213</v>
      </c>
      <c r="S2044" s="2" t="s">
        <v>9</v>
      </c>
      <c r="T2044">
        <v>6</v>
      </c>
      <c r="U2044">
        <v>7.71</v>
      </c>
      <c r="V2044">
        <v>1028</v>
      </c>
      <c r="W2044" t="s">
        <v>28</v>
      </c>
      <c r="X2044">
        <v>0.13739999999999999</v>
      </c>
      <c r="Y2044">
        <f>X2044-0.0944</f>
        <v>4.2999999999999997E-2</v>
      </c>
      <c r="AA2044" s="6"/>
      <c r="AB2044" s="6"/>
    </row>
    <row r="2045" spans="1:28" x14ac:dyDescent="0.2">
      <c r="A2045" t="s">
        <v>342</v>
      </c>
      <c r="B2045">
        <v>2015</v>
      </c>
      <c r="C2045" t="s">
        <v>826</v>
      </c>
      <c r="D2045" t="s">
        <v>824</v>
      </c>
      <c r="E2045" t="s">
        <v>48</v>
      </c>
      <c r="F2045" t="s">
        <v>424</v>
      </c>
      <c r="G2045">
        <v>78.916667000000004</v>
      </c>
      <c r="H2045">
        <v>11.933332999999999</v>
      </c>
      <c r="I2045" t="s">
        <v>764</v>
      </c>
      <c r="J2045" t="s">
        <v>7</v>
      </c>
      <c r="K2045" t="s">
        <v>343</v>
      </c>
      <c r="L2045" t="s">
        <v>143</v>
      </c>
      <c r="M2045" t="s">
        <v>726</v>
      </c>
      <c r="N2045" t="s">
        <v>85</v>
      </c>
      <c r="O2045" s="6" t="s">
        <v>58</v>
      </c>
      <c r="Q2045">
        <v>2</v>
      </c>
      <c r="R2045" t="s">
        <v>214</v>
      </c>
      <c r="S2045" s="2" t="s">
        <v>7</v>
      </c>
      <c r="T2045">
        <v>6</v>
      </c>
      <c r="U2045">
        <v>8.14</v>
      </c>
      <c r="V2045">
        <v>351</v>
      </c>
      <c r="W2045" t="s">
        <v>28</v>
      </c>
      <c r="X2045">
        <v>0.16139999999999999</v>
      </c>
      <c r="Y2045">
        <f>0.1893-X2045</f>
        <v>2.7900000000000008E-2</v>
      </c>
      <c r="AA2045" s="6"/>
      <c r="AB2045" s="6"/>
    </row>
    <row r="2046" spans="1:28" x14ac:dyDescent="0.2">
      <c r="A2046" t="s">
        <v>342</v>
      </c>
      <c r="B2046">
        <v>2015</v>
      </c>
      <c r="C2046" t="s">
        <v>826</v>
      </c>
      <c r="D2046" t="s">
        <v>824</v>
      </c>
      <c r="E2046" t="s">
        <v>48</v>
      </c>
      <c r="F2046" t="s">
        <v>424</v>
      </c>
      <c r="G2046">
        <v>78.916667000000004</v>
      </c>
      <c r="H2046">
        <v>11.933332999999999</v>
      </c>
      <c r="I2046" t="s">
        <v>764</v>
      </c>
      <c r="J2046" t="s">
        <v>7</v>
      </c>
      <c r="K2046" t="s">
        <v>343</v>
      </c>
      <c r="L2046" t="s">
        <v>143</v>
      </c>
      <c r="M2046" t="s">
        <v>726</v>
      </c>
      <c r="N2046" t="s">
        <v>85</v>
      </c>
      <c r="O2046" s="6" t="s">
        <v>58</v>
      </c>
      <c r="Q2046">
        <v>6</v>
      </c>
      <c r="R2046" t="s">
        <v>214</v>
      </c>
      <c r="S2046" s="2" t="s">
        <v>7</v>
      </c>
      <c r="T2046">
        <v>6</v>
      </c>
      <c r="U2046">
        <v>8.14</v>
      </c>
      <c r="V2046">
        <v>351</v>
      </c>
      <c r="W2046" t="s">
        <v>28</v>
      </c>
      <c r="X2046">
        <v>0.1283</v>
      </c>
      <c r="Y2046">
        <f>0.1573-X2046</f>
        <v>2.8999999999999998E-2</v>
      </c>
      <c r="AA2046" s="6"/>
      <c r="AB2046" s="6"/>
    </row>
    <row r="2047" spans="1:28" x14ac:dyDescent="0.2">
      <c r="A2047" t="s">
        <v>342</v>
      </c>
      <c r="B2047">
        <v>2015</v>
      </c>
      <c r="C2047" t="s">
        <v>826</v>
      </c>
      <c r="D2047" t="s">
        <v>824</v>
      </c>
      <c r="E2047" t="s">
        <v>48</v>
      </c>
      <c r="F2047" t="s">
        <v>424</v>
      </c>
      <c r="G2047">
        <v>78.916667000000004</v>
      </c>
      <c r="H2047">
        <v>11.933332999999999</v>
      </c>
      <c r="I2047" t="s">
        <v>764</v>
      </c>
      <c r="J2047" t="s">
        <v>7</v>
      </c>
      <c r="K2047" t="s">
        <v>343</v>
      </c>
      <c r="L2047" t="s">
        <v>143</v>
      </c>
      <c r="M2047" t="s">
        <v>726</v>
      </c>
      <c r="N2047" t="s">
        <v>85</v>
      </c>
      <c r="O2047" s="6" t="s">
        <v>58</v>
      </c>
      <c r="Q2047">
        <v>12</v>
      </c>
      <c r="R2047" t="s">
        <v>213</v>
      </c>
      <c r="S2047" s="2" t="s">
        <v>7</v>
      </c>
      <c r="T2047">
        <v>6</v>
      </c>
      <c r="U2047">
        <v>8.14</v>
      </c>
      <c r="V2047">
        <v>351</v>
      </c>
      <c r="W2047" t="s">
        <v>28</v>
      </c>
      <c r="X2047">
        <v>0.1492</v>
      </c>
      <c r="Y2047">
        <f>X2047-0.1325</f>
        <v>1.6699999999999993E-2</v>
      </c>
      <c r="AA2047" s="6"/>
      <c r="AB2047" s="6"/>
    </row>
    <row r="2048" spans="1:28" x14ac:dyDescent="0.2">
      <c r="A2048" t="s">
        <v>342</v>
      </c>
      <c r="B2048">
        <v>2015</v>
      </c>
      <c r="C2048" t="s">
        <v>826</v>
      </c>
      <c r="D2048" t="s">
        <v>824</v>
      </c>
      <c r="E2048" t="s">
        <v>48</v>
      </c>
      <c r="F2048" t="s">
        <v>424</v>
      </c>
      <c r="G2048">
        <v>78.916667000000004</v>
      </c>
      <c r="H2048">
        <v>11.933332999999999</v>
      </c>
      <c r="I2048" t="s">
        <v>764</v>
      </c>
      <c r="J2048" t="s">
        <v>5</v>
      </c>
      <c r="K2048" t="s">
        <v>343</v>
      </c>
      <c r="L2048" t="s">
        <v>143</v>
      </c>
      <c r="M2048" t="s">
        <v>726</v>
      </c>
      <c r="N2048" t="s">
        <v>85</v>
      </c>
      <c r="O2048" s="6" t="s">
        <v>58</v>
      </c>
      <c r="Q2048">
        <v>2</v>
      </c>
      <c r="R2048" t="s">
        <v>214</v>
      </c>
      <c r="S2048" s="2" t="s">
        <v>9</v>
      </c>
      <c r="T2048">
        <v>6</v>
      </c>
      <c r="U2048">
        <v>7.71</v>
      </c>
      <c r="V2048">
        <v>1028</v>
      </c>
      <c r="W2048" t="s">
        <v>28</v>
      </c>
      <c r="X2048">
        <v>5.5100000000000003E-2</v>
      </c>
      <c r="Y2048">
        <f>X2048-0.0047</f>
        <v>5.04E-2</v>
      </c>
      <c r="AA2048" s="6"/>
      <c r="AB2048" s="6"/>
    </row>
    <row r="2049" spans="1:28" x14ac:dyDescent="0.2">
      <c r="A2049" t="s">
        <v>342</v>
      </c>
      <c r="B2049">
        <v>2015</v>
      </c>
      <c r="C2049" t="s">
        <v>826</v>
      </c>
      <c r="D2049" t="s">
        <v>824</v>
      </c>
      <c r="E2049" t="s">
        <v>48</v>
      </c>
      <c r="F2049" t="s">
        <v>424</v>
      </c>
      <c r="G2049">
        <v>78.916667000000004</v>
      </c>
      <c r="H2049">
        <v>11.933332999999999</v>
      </c>
      <c r="I2049" t="s">
        <v>764</v>
      </c>
      <c r="J2049" t="s">
        <v>5</v>
      </c>
      <c r="K2049" t="s">
        <v>343</v>
      </c>
      <c r="L2049" t="s">
        <v>143</v>
      </c>
      <c r="M2049" t="s">
        <v>726</v>
      </c>
      <c r="N2049" t="s">
        <v>85</v>
      </c>
      <c r="O2049" s="6" t="s">
        <v>58</v>
      </c>
      <c r="Q2049">
        <v>6</v>
      </c>
      <c r="R2049" t="s">
        <v>214</v>
      </c>
      <c r="S2049" s="2" t="s">
        <v>9</v>
      </c>
      <c r="T2049">
        <v>6</v>
      </c>
      <c r="U2049">
        <v>7.71</v>
      </c>
      <c r="V2049">
        <v>1028</v>
      </c>
      <c r="W2049" t="s">
        <v>28</v>
      </c>
      <c r="X2049">
        <v>0.22439999999999999</v>
      </c>
      <c r="Y2049">
        <f>X2049-0.2057</f>
        <v>1.8699999999999994E-2</v>
      </c>
      <c r="AA2049" s="6"/>
      <c r="AB2049" s="6"/>
    </row>
    <row r="2050" spans="1:28" x14ac:dyDescent="0.2">
      <c r="A2050" t="s">
        <v>342</v>
      </c>
      <c r="B2050">
        <v>2015</v>
      </c>
      <c r="C2050" t="s">
        <v>826</v>
      </c>
      <c r="D2050" t="s">
        <v>824</v>
      </c>
      <c r="E2050" t="s">
        <v>48</v>
      </c>
      <c r="F2050" t="s">
        <v>424</v>
      </c>
      <c r="G2050">
        <v>78.916667000000004</v>
      </c>
      <c r="H2050">
        <v>11.933332999999999</v>
      </c>
      <c r="I2050" t="s">
        <v>764</v>
      </c>
      <c r="J2050" t="s">
        <v>5</v>
      </c>
      <c r="K2050" t="s">
        <v>343</v>
      </c>
      <c r="L2050" t="s">
        <v>143</v>
      </c>
      <c r="M2050" t="s">
        <v>726</v>
      </c>
      <c r="N2050" t="s">
        <v>85</v>
      </c>
      <c r="O2050" s="6" t="s">
        <v>58</v>
      </c>
      <c r="Q2050">
        <v>12</v>
      </c>
      <c r="R2050" t="s">
        <v>213</v>
      </c>
      <c r="S2050" s="2" t="s">
        <v>9</v>
      </c>
      <c r="T2050">
        <v>6</v>
      </c>
      <c r="U2050">
        <v>7.71</v>
      </c>
      <c r="V2050">
        <v>1028</v>
      </c>
      <c r="W2050" t="s">
        <v>28</v>
      </c>
      <c r="X2050">
        <v>0.15759999999999999</v>
      </c>
      <c r="Y2050">
        <f>X2050-0.1399</f>
        <v>1.7699999999999994E-2</v>
      </c>
      <c r="AA2050" s="6"/>
      <c r="AB2050" s="6"/>
    </row>
    <row r="2051" spans="1:28" x14ac:dyDescent="0.2">
      <c r="A2051" t="s">
        <v>342</v>
      </c>
      <c r="B2051">
        <v>2015</v>
      </c>
      <c r="C2051" t="s">
        <v>807</v>
      </c>
      <c r="D2051" t="s">
        <v>808</v>
      </c>
      <c r="E2051" t="s">
        <v>205</v>
      </c>
      <c r="F2051" t="s">
        <v>424</v>
      </c>
      <c r="G2051">
        <v>78.916667000000004</v>
      </c>
      <c r="H2051">
        <v>11.933332999999999</v>
      </c>
      <c r="I2051" t="s">
        <v>764</v>
      </c>
      <c r="J2051" t="s">
        <v>7</v>
      </c>
      <c r="K2051" t="s">
        <v>343</v>
      </c>
      <c r="L2051" t="s">
        <v>143</v>
      </c>
      <c r="M2051" t="s">
        <v>726</v>
      </c>
      <c r="N2051" t="s">
        <v>85</v>
      </c>
      <c r="O2051" s="6" t="s">
        <v>835</v>
      </c>
      <c r="P2051" t="s">
        <v>83</v>
      </c>
      <c r="Q2051">
        <v>2</v>
      </c>
      <c r="R2051" t="s">
        <v>214</v>
      </c>
      <c r="S2051" s="2" t="s">
        <v>7</v>
      </c>
      <c r="T2051">
        <v>6</v>
      </c>
      <c r="U2051">
        <v>8.14</v>
      </c>
      <c r="V2051">
        <v>351</v>
      </c>
      <c r="W2051" t="s">
        <v>28</v>
      </c>
      <c r="X2051">
        <v>8.0109999999999992</v>
      </c>
      <c r="Y2051">
        <f>9.004-X2051</f>
        <v>0.99300000000000033</v>
      </c>
      <c r="AA2051" s="6"/>
      <c r="AB2051" s="6"/>
    </row>
    <row r="2052" spans="1:28" x14ac:dyDescent="0.2">
      <c r="A2052" t="s">
        <v>342</v>
      </c>
      <c r="B2052">
        <v>2015</v>
      </c>
      <c r="C2052" t="s">
        <v>807</v>
      </c>
      <c r="D2052" t="s">
        <v>808</v>
      </c>
      <c r="E2052" t="s">
        <v>205</v>
      </c>
      <c r="F2052" t="s">
        <v>424</v>
      </c>
      <c r="G2052">
        <v>78.916667000000004</v>
      </c>
      <c r="H2052">
        <v>11.933332999999999</v>
      </c>
      <c r="I2052" t="s">
        <v>764</v>
      </c>
      <c r="J2052" t="s">
        <v>7</v>
      </c>
      <c r="K2052" t="s">
        <v>343</v>
      </c>
      <c r="L2052" t="s">
        <v>143</v>
      </c>
      <c r="M2052" t="s">
        <v>726</v>
      </c>
      <c r="N2052" t="s">
        <v>85</v>
      </c>
      <c r="O2052" s="6" t="s">
        <v>835</v>
      </c>
      <c r="P2052" t="s">
        <v>83</v>
      </c>
      <c r="Q2052">
        <v>6</v>
      </c>
      <c r="R2052" t="s">
        <v>214</v>
      </c>
      <c r="S2052" s="2" t="s">
        <v>7</v>
      </c>
      <c r="T2052">
        <v>6</v>
      </c>
      <c r="U2052">
        <v>8.14</v>
      </c>
      <c r="V2052">
        <v>351</v>
      </c>
      <c r="W2052" t="s">
        <v>28</v>
      </c>
      <c r="X2052">
        <v>6.0640000000000001</v>
      </c>
      <c r="Y2052">
        <f>6.738-X2052</f>
        <v>0.67400000000000038</v>
      </c>
      <c r="AA2052" s="6"/>
      <c r="AB2052" s="6"/>
    </row>
    <row r="2053" spans="1:28" x14ac:dyDescent="0.2">
      <c r="A2053" t="s">
        <v>342</v>
      </c>
      <c r="B2053">
        <v>2015</v>
      </c>
      <c r="C2053" t="s">
        <v>807</v>
      </c>
      <c r="D2053" t="s">
        <v>808</v>
      </c>
      <c r="E2053" t="s">
        <v>205</v>
      </c>
      <c r="F2053" t="s">
        <v>424</v>
      </c>
      <c r="G2053">
        <v>78.916667000000004</v>
      </c>
      <c r="H2053">
        <v>11.933332999999999</v>
      </c>
      <c r="I2053" t="s">
        <v>764</v>
      </c>
      <c r="J2053" t="s">
        <v>7</v>
      </c>
      <c r="K2053" t="s">
        <v>343</v>
      </c>
      <c r="L2053" t="s">
        <v>143</v>
      </c>
      <c r="M2053" t="s">
        <v>726</v>
      </c>
      <c r="N2053" t="s">
        <v>85</v>
      </c>
      <c r="O2053" s="6" t="s">
        <v>835</v>
      </c>
      <c r="P2053" t="s">
        <v>83</v>
      </c>
      <c r="Q2053">
        <v>12</v>
      </c>
      <c r="R2053" t="s">
        <v>213</v>
      </c>
      <c r="S2053" s="2" t="s">
        <v>7</v>
      </c>
      <c r="T2053">
        <v>6</v>
      </c>
      <c r="U2053">
        <v>8.14</v>
      </c>
      <c r="V2053">
        <v>351</v>
      </c>
      <c r="W2053" t="s">
        <v>28</v>
      </c>
      <c r="X2053">
        <v>2.8610000000000002</v>
      </c>
      <c r="Y2053">
        <f>3.479-X2053</f>
        <v>0.61799999999999988</v>
      </c>
      <c r="AA2053" s="6"/>
      <c r="AB2053" s="6"/>
    </row>
    <row r="2054" spans="1:28" x14ac:dyDescent="0.2">
      <c r="A2054" t="s">
        <v>342</v>
      </c>
      <c r="B2054">
        <v>2015</v>
      </c>
      <c r="C2054" t="s">
        <v>807</v>
      </c>
      <c r="D2054" t="s">
        <v>808</v>
      </c>
      <c r="E2054" t="s">
        <v>205</v>
      </c>
      <c r="F2054" t="s">
        <v>424</v>
      </c>
      <c r="G2054">
        <v>78.916667000000004</v>
      </c>
      <c r="H2054">
        <v>11.933332999999999</v>
      </c>
      <c r="I2054" t="s">
        <v>764</v>
      </c>
      <c r="J2054" t="s">
        <v>5</v>
      </c>
      <c r="K2054" t="s">
        <v>343</v>
      </c>
      <c r="L2054" t="s">
        <v>143</v>
      </c>
      <c r="M2054" t="s">
        <v>726</v>
      </c>
      <c r="N2054" t="s">
        <v>85</v>
      </c>
      <c r="O2054" s="6" t="s">
        <v>835</v>
      </c>
      <c r="P2054" t="s">
        <v>83</v>
      </c>
      <c r="Q2054">
        <v>2</v>
      </c>
      <c r="R2054" t="s">
        <v>214</v>
      </c>
      <c r="S2054" s="2" t="s">
        <v>9</v>
      </c>
      <c r="T2054">
        <v>6</v>
      </c>
      <c r="U2054">
        <v>7.71</v>
      </c>
      <c r="V2054">
        <v>1028</v>
      </c>
      <c r="W2054" t="s">
        <v>28</v>
      </c>
      <c r="X2054">
        <v>6.12</v>
      </c>
      <c r="Y2054">
        <f>X2054-4.753</f>
        <v>1.367</v>
      </c>
      <c r="AA2054" s="6"/>
      <c r="AB2054" s="6"/>
    </row>
    <row r="2055" spans="1:28" x14ac:dyDescent="0.2">
      <c r="A2055" t="s">
        <v>342</v>
      </c>
      <c r="B2055">
        <v>2015</v>
      </c>
      <c r="C2055" t="s">
        <v>807</v>
      </c>
      <c r="D2055" t="s">
        <v>808</v>
      </c>
      <c r="E2055" t="s">
        <v>205</v>
      </c>
      <c r="F2055" t="s">
        <v>424</v>
      </c>
      <c r="G2055">
        <v>78.916667000000004</v>
      </c>
      <c r="H2055">
        <v>11.933332999999999</v>
      </c>
      <c r="I2055" t="s">
        <v>764</v>
      </c>
      <c r="J2055" t="s">
        <v>5</v>
      </c>
      <c r="K2055" t="s">
        <v>343</v>
      </c>
      <c r="L2055" t="s">
        <v>143</v>
      </c>
      <c r="M2055" t="s">
        <v>726</v>
      </c>
      <c r="N2055" t="s">
        <v>85</v>
      </c>
      <c r="O2055" s="6" t="s">
        <v>835</v>
      </c>
      <c r="P2055" t="s">
        <v>83</v>
      </c>
      <c r="Q2055">
        <v>6</v>
      </c>
      <c r="R2055" t="s">
        <v>214</v>
      </c>
      <c r="S2055" s="2" t="s">
        <v>9</v>
      </c>
      <c r="T2055">
        <v>6</v>
      </c>
      <c r="U2055">
        <v>7.71</v>
      </c>
      <c r="V2055">
        <v>1028</v>
      </c>
      <c r="W2055" t="s">
        <v>28</v>
      </c>
      <c r="X2055">
        <v>3.536</v>
      </c>
      <c r="Y2055">
        <f>X2055-2.787</f>
        <v>0.74900000000000011</v>
      </c>
      <c r="AA2055" s="6"/>
      <c r="AB2055" s="6"/>
    </row>
    <row r="2056" spans="1:28" x14ac:dyDescent="0.2">
      <c r="A2056" t="s">
        <v>342</v>
      </c>
      <c r="B2056">
        <v>2015</v>
      </c>
      <c r="C2056" t="s">
        <v>807</v>
      </c>
      <c r="D2056" t="s">
        <v>808</v>
      </c>
      <c r="E2056" t="s">
        <v>205</v>
      </c>
      <c r="F2056" t="s">
        <v>424</v>
      </c>
      <c r="G2056">
        <v>78.916667000000004</v>
      </c>
      <c r="H2056">
        <v>11.933332999999999</v>
      </c>
      <c r="I2056" t="s">
        <v>764</v>
      </c>
      <c r="J2056" t="s">
        <v>5</v>
      </c>
      <c r="K2056" t="s">
        <v>343</v>
      </c>
      <c r="L2056" t="s">
        <v>143</v>
      </c>
      <c r="M2056" t="s">
        <v>726</v>
      </c>
      <c r="N2056" t="s">
        <v>85</v>
      </c>
      <c r="O2056" s="6" t="s">
        <v>835</v>
      </c>
      <c r="P2056" t="s">
        <v>83</v>
      </c>
      <c r="Q2056">
        <v>12</v>
      </c>
      <c r="R2056" t="s">
        <v>213</v>
      </c>
      <c r="S2056" s="2" t="s">
        <v>9</v>
      </c>
      <c r="T2056">
        <v>6</v>
      </c>
      <c r="U2056">
        <v>7.71</v>
      </c>
      <c r="V2056">
        <v>1028</v>
      </c>
      <c r="W2056" t="s">
        <v>28</v>
      </c>
      <c r="X2056">
        <v>2.206</v>
      </c>
      <c r="Y2056">
        <f>X2056-1.551</f>
        <v>0.65500000000000003</v>
      </c>
      <c r="AA2056" s="6"/>
      <c r="AB2056" s="6"/>
    </row>
    <row r="2057" spans="1:28" x14ac:dyDescent="0.2">
      <c r="A2057" t="s">
        <v>342</v>
      </c>
      <c r="B2057">
        <v>2015</v>
      </c>
      <c r="C2057" t="s">
        <v>826</v>
      </c>
      <c r="D2057" t="s">
        <v>824</v>
      </c>
      <c r="E2057" t="s">
        <v>48</v>
      </c>
      <c r="F2057" t="s">
        <v>424</v>
      </c>
      <c r="G2057">
        <v>78.916667000000004</v>
      </c>
      <c r="H2057">
        <v>11.933332999999999</v>
      </c>
      <c r="I2057" t="s">
        <v>764</v>
      </c>
      <c r="J2057" t="s">
        <v>7</v>
      </c>
      <c r="K2057" t="s">
        <v>343</v>
      </c>
      <c r="L2057" t="s">
        <v>143</v>
      </c>
      <c r="M2057" t="s">
        <v>726</v>
      </c>
      <c r="N2057" t="s">
        <v>85</v>
      </c>
      <c r="O2057" s="6" t="s">
        <v>835</v>
      </c>
      <c r="P2057" t="s">
        <v>83</v>
      </c>
      <c r="Q2057">
        <v>2</v>
      </c>
      <c r="R2057" t="s">
        <v>214</v>
      </c>
      <c r="S2057" s="2" t="s">
        <v>7</v>
      </c>
      <c r="T2057">
        <v>6</v>
      </c>
      <c r="U2057">
        <v>8.14</v>
      </c>
      <c r="V2057">
        <v>351</v>
      </c>
      <c r="W2057" t="s">
        <v>28</v>
      </c>
      <c r="X2057">
        <v>8.6890000000000001</v>
      </c>
      <c r="Y2057">
        <f>X2057-8.108</f>
        <v>0.58099999999999952</v>
      </c>
      <c r="AA2057" s="6"/>
      <c r="AB2057" s="6"/>
    </row>
    <row r="2058" spans="1:28" x14ac:dyDescent="0.2">
      <c r="A2058" t="s">
        <v>342</v>
      </c>
      <c r="B2058">
        <v>2015</v>
      </c>
      <c r="C2058" t="s">
        <v>826</v>
      </c>
      <c r="D2058" t="s">
        <v>824</v>
      </c>
      <c r="E2058" t="s">
        <v>48</v>
      </c>
      <c r="F2058" t="s">
        <v>424</v>
      </c>
      <c r="G2058">
        <v>78.916667000000004</v>
      </c>
      <c r="H2058">
        <v>11.933332999999999</v>
      </c>
      <c r="I2058" t="s">
        <v>764</v>
      </c>
      <c r="J2058" t="s">
        <v>7</v>
      </c>
      <c r="K2058" t="s">
        <v>343</v>
      </c>
      <c r="L2058" t="s">
        <v>143</v>
      </c>
      <c r="M2058" t="s">
        <v>726</v>
      </c>
      <c r="N2058" t="s">
        <v>85</v>
      </c>
      <c r="O2058" s="6" t="s">
        <v>835</v>
      </c>
      <c r="P2058" t="s">
        <v>83</v>
      </c>
      <c r="Q2058">
        <v>6</v>
      </c>
      <c r="R2058" t="s">
        <v>214</v>
      </c>
      <c r="S2058" s="2" t="s">
        <v>7</v>
      </c>
      <c r="T2058">
        <v>6</v>
      </c>
      <c r="U2058">
        <v>8.14</v>
      </c>
      <c r="V2058">
        <v>351</v>
      </c>
      <c r="W2058" t="s">
        <v>28</v>
      </c>
      <c r="X2058">
        <v>3.03</v>
      </c>
      <c r="Y2058">
        <f>X2058-2.431</f>
        <v>0.59899999999999975</v>
      </c>
      <c r="AA2058" s="6"/>
      <c r="AB2058" s="6"/>
    </row>
    <row r="2059" spans="1:28" x14ac:dyDescent="0.2">
      <c r="A2059" t="s">
        <v>342</v>
      </c>
      <c r="B2059">
        <v>2015</v>
      </c>
      <c r="C2059" t="s">
        <v>826</v>
      </c>
      <c r="D2059" t="s">
        <v>824</v>
      </c>
      <c r="E2059" t="s">
        <v>48</v>
      </c>
      <c r="F2059" t="s">
        <v>424</v>
      </c>
      <c r="G2059">
        <v>78.916667000000004</v>
      </c>
      <c r="H2059">
        <v>11.933332999999999</v>
      </c>
      <c r="I2059" t="s">
        <v>764</v>
      </c>
      <c r="J2059" t="s">
        <v>7</v>
      </c>
      <c r="K2059" t="s">
        <v>343</v>
      </c>
      <c r="L2059" t="s">
        <v>143</v>
      </c>
      <c r="M2059" t="s">
        <v>726</v>
      </c>
      <c r="N2059" t="s">
        <v>85</v>
      </c>
      <c r="O2059" s="6" t="s">
        <v>835</v>
      </c>
      <c r="P2059" t="s">
        <v>83</v>
      </c>
      <c r="Q2059">
        <v>12</v>
      </c>
      <c r="R2059" t="s">
        <v>213</v>
      </c>
      <c r="S2059" s="2" t="s">
        <v>7</v>
      </c>
      <c r="T2059">
        <v>6</v>
      </c>
      <c r="U2059">
        <v>8.14</v>
      </c>
      <c r="V2059">
        <v>351</v>
      </c>
      <c r="W2059" t="s">
        <v>28</v>
      </c>
      <c r="X2059">
        <v>3.105</v>
      </c>
      <c r="Y2059">
        <f>X2059-2.375</f>
        <v>0.73</v>
      </c>
      <c r="AA2059" s="6"/>
      <c r="AB2059" s="6"/>
    </row>
    <row r="2060" spans="1:28" x14ac:dyDescent="0.2">
      <c r="A2060" t="s">
        <v>342</v>
      </c>
      <c r="B2060">
        <v>2015</v>
      </c>
      <c r="C2060" t="s">
        <v>826</v>
      </c>
      <c r="D2060" t="s">
        <v>824</v>
      </c>
      <c r="E2060" t="s">
        <v>48</v>
      </c>
      <c r="F2060" t="s">
        <v>424</v>
      </c>
      <c r="G2060">
        <v>78.916667000000004</v>
      </c>
      <c r="H2060">
        <v>11.933332999999999</v>
      </c>
      <c r="I2060" t="s">
        <v>764</v>
      </c>
      <c r="J2060" t="s">
        <v>5</v>
      </c>
      <c r="K2060" t="s">
        <v>343</v>
      </c>
      <c r="L2060" t="s">
        <v>143</v>
      </c>
      <c r="M2060" t="s">
        <v>726</v>
      </c>
      <c r="N2060" t="s">
        <v>85</v>
      </c>
      <c r="O2060" s="6" t="s">
        <v>835</v>
      </c>
      <c r="P2060" t="s">
        <v>83</v>
      </c>
      <c r="Q2060">
        <v>2</v>
      </c>
      <c r="R2060" t="s">
        <v>214</v>
      </c>
      <c r="S2060" s="2" t="s">
        <v>9</v>
      </c>
      <c r="T2060">
        <v>6</v>
      </c>
      <c r="U2060">
        <v>7.71</v>
      </c>
      <c r="V2060">
        <v>1028</v>
      </c>
      <c r="W2060" t="s">
        <v>28</v>
      </c>
      <c r="X2060">
        <v>1.0069999999999999</v>
      </c>
      <c r="Y2060">
        <f>X2060-0.801</f>
        <v>0.20599999999999985</v>
      </c>
      <c r="AA2060" s="6"/>
      <c r="AB2060" s="6"/>
    </row>
    <row r="2061" spans="1:28" x14ac:dyDescent="0.2">
      <c r="A2061" t="s">
        <v>342</v>
      </c>
      <c r="B2061">
        <v>2015</v>
      </c>
      <c r="C2061" t="s">
        <v>826</v>
      </c>
      <c r="D2061" t="s">
        <v>824</v>
      </c>
      <c r="E2061" t="s">
        <v>48</v>
      </c>
      <c r="F2061" t="s">
        <v>424</v>
      </c>
      <c r="G2061">
        <v>78.916667000000004</v>
      </c>
      <c r="H2061">
        <v>11.933332999999999</v>
      </c>
      <c r="I2061" t="s">
        <v>764</v>
      </c>
      <c r="J2061" t="s">
        <v>5</v>
      </c>
      <c r="K2061" t="s">
        <v>343</v>
      </c>
      <c r="L2061" t="s">
        <v>143</v>
      </c>
      <c r="M2061" t="s">
        <v>726</v>
      </c>
      <c r="N2061" t="s">
        <v>85</v>
      </c>
      <c r="O2061" s="6" t="s">
        <v>835</v>
      </c>
      <c r="P2061" t="s">
        <v>83</v>
      </c>
      <c r="Q2061">
        <v>6</v>
      </c>
      <c r="R2061" t="s">
        <v>214</v>
      </c>
      <c r="S2061" s="2" t="s">
        <v>9</v>
      </c>
      <c r="T2061">
        <v>6</v>
      </c>
      <c r="U2061">
        <v>7.71</v>
      </c>
      <c r="V2061">
        <v>1028</v>
      </c>
      <c r="W2061" t="s">
        <v>28</v>
      </c>
      <c r="X2061">
        <v>3.7989999999999999</v>
      </c>
      <c r="Y2061">
        <f>X2061-3.424</f>
        <v>0.375</v>
      </c>
      <c r="AA2061" s="6"/>
      <c r="AB2061" s="6"/>
    </row>
    <row r="2062" spans="1:28" x14ac:dyDescent="0.2">
      <c r="A2062" t="s">
        <v>342</v>
      </c>
      <c r="B2062">
        <v>2015</v>
      </c>
      <c r="C2062" t="s">
        <v>826</v>
      </c>
      <c r="D2062" t="s">
        <v>824</v>
      </c>
      <c r="E2062" t="s">
        <v>48</v>
      </c>
      <c r="F2062" t="s">
        <v>424</v>
      </c>
      <c r="G2062">
        <v>78.916667000000004</v>
      </c>
      <c r="H2062">
        <v>11.933332999999999</v>
      </c>
      <c r="I2062" t="s">
        <v>764</v>
      </c>
      <c r="J2062" t="s">
        <v>5</v>
      </c>
      <c r="K2062" t="s">
        <v>343</v>
      </c>
      <c r="L2062" t="s">
        <v>143</v>
      </c>
      <c r="M2062" t="s">
        <v>726</v>
      </c>
      <c r="N2062" t="s">
        <v>85</v>
      </c>
      <c r="O2062" s="6" t="s">
        <v>835</v>
      </c>
      <c r="P2062" t="s">
        <v>83</v>
      </c>
      <c r="Q2062">
        <v>12</v>
      </c>
      <c r="R2062" t="s">
        <v>213</v>
      </c>
      <c r="S2062" s="2" t="s">
        <v>9</v>
      </c>
      <c r="T2062">
        <v>6</v>
      </c>
      <c r="U2062">
        <v>7.71</v>
      </c>
      <c r="V2062">
        <v>1028</v>
      </c>
      <c r="W2062" t="s">
        <v>28</v>
      </c>
      <c r="X2062">
        <v>3.7610000000000001</v>
      </c>
      <c r="Y2062">
        <f>4.379-X2062</f>
        <v>0.61799999999999944</v>
      </c>
      <c r="AA2062" s="6"/>
      <c r="AB2062" s="6"/>
    </row>
    <row r="2063" spans="1:28" x14ac:dyDescent="0.2">
      <c r="A2063" t="s">
        <v>342</v>
      </c>
      <c r="B2063">
        <v>2015</v>
      </c>
      <c r="C2063" t="s">
        <v>807</v>
      </c>
      <c r="D2063" t="s">
        <v>808</v>
      </c>
      <c r="E2063" t="s">
        <v>205</v>
      </c>
      <c r="F2063" t="s">
        <v>424</v>
      </c>
      <c r="G2063">
        <v>78.916667000000004</v>
      </c>
      <c r="H2063">
        <v>11.933332999999999</v>
      </c>
      <c r="I2063" t="s">
        <v>764</v>
      </c>
      <c r="J2063" t="s">
        <v>7</v>
      </c>
      <c r="K2063" t="s">
        <v>343</v>
      </c>
      <c r="L2063" t="s">
        <v>143</v>
      </c>
      <c r="M2063" t="s">
        <v>553</v>
      </c>
      <c r="N2063" t="s">
        <v>85</v>
      </c>
      <c r="O2063" s="6" t="s">
        <v>61</v>
      </c>
      <c r="P2063" t="s">
        <v>147</v>
      </c>
      <c r="Q2063">
        <v>2</v>
      </c>
      <c r="R2063" t="s">
        <v>214</v>
      </c>
      <c r="S2063" s="2" t="s">
        <v>7</v>
      </c>
      <c r="T2063">
        <v>4</v>
      </c>
      <c r="U2063">
        <v>8.14</v>
      </c>
      <c r="V2063">
        <v>351</v>
      </c>
      <c r="W2063" t="s">
        <v>28</v>
      </c>
      <c r="X2063">
        <v>1.444</v>
      </c>
      <c r="Y2063">
        <f>1.603-X2063</f>
        <v>0.15900000000000003</v>
      </c>
      <c r="AA2063" s="6"/>
      <c r="AB2063" s="6"/>
    </row>
    <row r="2064" spans="1:28" x14ac:dyDescent="0.2">
      <c r="A2064" t="s">
        <v>342</v>
      </c>
      <c r="B2064">
        <v>2015</v>
      </c>
      <c r="C2064" t="s">
        <v>807</v>
      </c>
      <c r="D2064" t="s">
        <v>808</v>
      </c>
      <c r="E2064" t="s">
        <v>205</v>
      </c>
      <c r="F2064" t="s">
        <v>424</v>
      </c>
      <c r="G2064">
        <v>78.916667000000004</v>
      </c>
      <c r="H2064">
        <v>11.933332999999999</v>
      </c>
      <c r="I2064" t="s">
        <v>764</v>
      </c>
      <c r="J2064" t="s">
        <v>7</v>
      </c>
      <c r="K2064" t="s">
        <v>343</v>
      </c>
      <c r="L2064" t="s">
        <v>143</v>
      </c>
      <c r="M2064" t="s">
        <v>553</v>
      </c>
      <c r="N2064" t="s">
        <v>85</v>
      </c>
      <c r="O2064" s="6" t="s">
        <v>61</v>
      </c>
      <c r="P2064" t="s">
        <v>147</v>
      </c>
      <c r="Q2064">
        <v>6</v>
      </c>
      <c r="R2064" t="s">
        <v>214</v>
      </c>
      <c r="S2064" s="2" t="s">
        <v>7</v>
      </c>
      <c r="T2064">
        <v>4</v>
      </c>
      <c r="U2064">
        <v>8.14</v>
      </c>
      <c r="V2064">
        <v>351</v>
      </c>
      <c r="W2064" t="s">
        <v>28</v>
      </c>
      <c r="X2064">
        <v>1.1890000000000001</v>
      </c>
      <c r="Y2064">
        <f>1.213-X2064</f>
        <v>2.4000000000000021E-2</v>
      </c>
      <c r="AA2064" s="6"/>
      <c r="AB2064" s="6"/>
    </row>
    <row r="2065" spans="1:28" x14ac:dyDescent="0.2">
      <c r="A2065" t="s">
        <v>342</v>
      </c>
      <c r="B2065">
        <v>2015</v>
      </c>
      <c r="C2065" t="s">
        <v>807</v>
      </c>
      <c r="D2065" t="s">
        <v>808</v>
      </c>
      <c r="E2065" t="s">
        <v>205</v>
      </c>
      <c r="F2065" t="s">
        <v>424</v>
      </c>
      <c r="G2065">
        <v>78.916667000000004</v>
      </c>
      <c r="H2065">
        <v>11.933332999999999</v>
      </c>
      <c r="I2065" t="s">
        <v>764</v>
      </c>
      <c r="J2065" t="s">
        <v>7</v>
      </c>
      <c r="K2065" t="s">
        <v>343</v>
      </c>
      <c r="L2065" t="s">
        <v>143</v>
      </c>
      <c r="M2065" t="s">
        <v>553</v>
      </c>
      <c r="N2065" t="s">
        <v>85</v>
      </c>
      <c r="O2065" s="6" t="s">
        <v>61</v>
      </c>
      <c r="P2065" t="s">
        <v>147</v>
      </c>
      <c r="Q2065">
        <v>12</v>
      </c>
      <c r="R2065" t="s">
        <v>213</v>
      </c>
      <c r="S2065" s="2" t="s">
        <v>7</v>
      </c>
      <c r="T2065">
        <v>4</v>
      </c>
      <c r="U2065">
        <v>8.14</v>
      </c>
      <c r="V2065">
        <v>351</v>
      </c>
      <c r="W2065" t="s">
        <v>28</v>
      </c>
      <c r="X2065">
        <v>0.61699999999999999</v>
      </c>
      <c r="Y2065">
        <f>0.638-X2065</f>
        <v>2.1000000000000019E-2</v>
      </c>
      <c r="AA2065" s="6"/>
      <c r="AB2065" s="6"/>
    </row>
    <row r="2066" spans="1:28" x14ac:dyDescent="0.2">
      <c r="A2066" t="s">
        <v>342</v>
      </c>
      <c r="B2066">
        <v>2015</v>
      </c>
      <c r="C2066" t="s">
        <v>807</v>
      </c>
      <c r="D2066" t="s">
        <v>808</v>
      </c>
      <c r="E2066" t="s">
        <v>205</v>
      </c>
      <c r="F2066" t="s">
        <v>424</v>
      </c>
      <c r="G2066">
        <v>78.916667000000004</v>
      </c>
      <c r="H2066">
        <v>11.933332999999999</v>
      </c>
      <c r="I2066" t="s">
        <v>764</v>
      </c>
      <c r="J2066" t="s">
        <v>5</v>
      </c>
      <c r="K2066" t="s">
        <v>343</v>
      </c>
      <c r="L2066" t="s">
        <v>143</v>
      </c>
      <c r="M2066" t="s">
        <v>553</v>
      </c>
      <c r="N2066" t="s">
        <v>85</v>
      </c>
      <c r="O2066" s="6" t="s">
        <v>61</v>
      </c>
      <c r="P2066" t="s">
        <v>147</v>
      </c>
      <c r="Q2066">
        <v>2</v>
      </c>
      <c r="R2066" t="s">
        <v>214</v>
      </c>
      <c r="S2066" s="2" t="s">
        <v>9</v>
      </c>
      <c r="T2066">
        <v>4</v>
      </c>
      <c r="U2066">
        <v>7.71</v>
      </c>
      <c r="V2066">
        <v>1028</v>
      </c>
      <c r="W2066" t="s">
        <v>28</v>
      </c>
      <c r="X2066">
        <v>0.98699999999999999</v>
      </c>
      <c r="Y2066">
        <f>X2066-0.843</f>
        <v>0.14400000000000002</v>
      </c>
      <c r="AA2066" s="6"/>
      <c r="AB2066" s="6"/>
    </row>
    <row r="2067" spans="1:28" x14ac:dyDescent="0.2">
      <c r="A2067" t="s">
        <v>342</v>
      </c>
      <c r="B2067">
        <v>2015</v>
      </c>
      <c r="C2067" t="s">
        <v>807</v>
      </c>
      <c r="D2067" t="s">
        <v>808</v>
      </c>
      <c r="E2067" t="s">
        <v>205</v>
      </c>
      <c r="F2067" t="s">
        <v>424</v>
      </c>
      <c r="G2067">
        <v>78.916667000000004</v>
      </c>
      <c r="H2067">
        <v>11.933332999999999</v>
      </c>
      <c r="I2067" t="s">
        <v>764</v>
      </c>
      <c r="J2067" t="s">
        <v>5</v>
      </c>
      <c r="K2067" t="s">
        <v>343</v>
      </c>
      <c r="L2067" t="s">
        <v>143</v>
      </c>
      <c r="M2067" t="s">
        <v>553</v>
      </c>
      <c r="N2067" t="s">
        <v>85</v>
      </c>
      <c r="O2067" s="6" t="s">
        <v>61</v>
      </c>
      <c r="P2067" t="s">
        <v>147</v>
      </c>
      <c r="Q2067">
        <v>6</v>
      </c>
      <c r="R2067" t="s">
        <v>214</v>
      </c>
      <c r="S2067" s="2" t="s">
        <v>9</v>
      </c>
      <c r="T2067">
        <v>4</v>
      </c>
      <c r="U2067">
        <v>7.71</v>
      </c>
      <c r="V2067">
        <v>1028</v>
      </c>
      <c r="W2067" t="s">
        <v>28</v>
      </c>
      <c r="X2067">
        <v>0.70199999999999996</v>
      </c>
      <c r="Y2067">
        <f>0.861-X2067</f>
        <v>0.15900000000000003</v>
      </c>
      <c r="AA2067" s="6"/>
      <c r="AB2067" s="6"/>
    </row>
    <row r="2068" spans="1:28" x14ac:dyDescent="0.2">
      <c r="A2068" t="s">
        <v>342</v>
      </c>
      <c r="B2068">
        <v>2015</v>
      </c>
      <c r="C2068" t="s">
        <v>807</v>
      </c>
      <c r="D2068" t="s">
        <v>808</v>
      </c>
      <c r="E2068" t="s">
        <v>205</v>
      </c>
      <c r="F2068" t="s">
        <v>424</v>
      </c>
      <c r="G2068">
        <v>78.916667000000004</v>
      </c>
      <c r="H2068">
        <v>11.933332999999999</v>
      </c>
      <c r="I2068" t="s">
        <v>764</v>
      </c>
      <c r="J2068" t="s">
        <v>5</v>
      </c>
      <c r="K2068" t="s">
        <v>343</v>
      </c>
      <c r="L2068" t="s">
        <v>143</v>
      </c>
      <c r="M2068" t="s">
        <v>553</v>
      </c>
      <c r="N2068" t="s">
        <v>85</v>
      </c>
      <c r="O2068" s="6" t="s">
        <v>61</v>
      </c>
      <c r="P2068" t="s">
        <v>147</v>
      </c>
      <c r="Q2068">
        <v>12</v>
      </c>
      <c r="R2068" t="s">
        <v>213</v>
      </c>
      <c r="S2068" s="2" t="s">
        <v>9</v>
      </c>
      <c r="T2068">
        <v>4</v>
      </c>
      <c r="U2068">
        <v>7.71</v>
      </c>
      <c r="V2068">
        <v>1028</v>
      </c>
      <c r="W2068" t="s">
        <v>28</v>
      </c>
      <c r="X2068">
        <v>0.28299999999999997</v>
      </c>
      <c r="Y2068">
        <f>0.345-X2068</f>
        <v>6.2E-2</v>
      </c>
      <c r="AA2068" s="6"/>
      <c r="AB2068" s="6"/>
    </row>
    <row r="2069" spans="1:28" x14ac:dyDescent="0.2">
      <c r="A2069" t="s">
        <v>342</v>
      </c>
      <c r="B2069">
        <v>2015</v>
      </c>
      <c r="C2069" t="s">
        <v>826</v>
      </c>
      <c r="D2069" t="s">
        <v>824</v>
      </c>
      <c r="E2069" t="s">
        <v>48</v>
      </c>
      <c r="F2069" t="s">
        <v>424</v>
      </c>
      <c r="G2069">
        <v>78.916667000000004</v>
      </c>
      <c r="H2069">
        <v>11.933332999999999</v>
      </c>
      <c r="I2069" t="s">
        <v>764</v>
      </c>
      <c r="J2069" t="s">
        <v>7</v>
      </c>
      <c r="K2069" t="s">
        <v>343</v>
      </c>
      <c r="L2069" t="s">
        <v>143</v>
      </c>
      <c r="M2069" t="s">
        <v>553</v>
      </c>
      <c r="N2069" t="s">
        <v>85</v>
      </c>
      <c r="O2069" s="6" t="s">
        <v>61</v>
      </c>
      <c r="P2069" t="s">
        <v>147</v>
      </c>
      <c r="Q2069">
        <v>2</v>
      </c>
      <c r="R2069" t="s">
        <v>214</v>
      </c>
      <c r="S2069" s="2" t="s">
        <v>7</v>
      </c>
      <c r="T2069">
        <v>4</v>
      </c>
      <c r="U2069">
        <v>8.14</v>
      </c>
      <c r="V2069">
        <v>351</v>
      </c>
      <c r="W2069" t="s">
        <v>28</v>
      </c>
      <c r="X2069">
        <v>0.42699999999999999</v>
      </c>
      <c r="Y2069">
        <f>0.45-X2069</f>
        <v>2.300000000000002E-2</v>
      </c>
      <c r="AA2069" s="6"/>
      <c r="AB2069" s="6"/>
    </row>
    <row r="2070" spans="1:28" x14ac:dyDescent="0.2">
      <c r="A2070" t="s">
        <v>342</v>
      </c>
      <c r="B2070">
        <v>2015</v>
      </c>
      <c r="C2070" t="s">
        <v>826</v>
      </c>
      <c r="D2070" t="s">
        <v>824</v>
      </c>
      <c r="E2070" t="s">
        <v>48</v>
      </c>
      <c r="F2070" t="s">
        <v>424</v>
      </c>
      <c r="G2070">
        <v>78.916667000000004</v>
      </c>
      <c r="H2070">
        <v>11.933332999999999</v>
      </c>
      <c r="I2070" t="s">
        <v>764</v>
      </c>
      <c r="J2070" t="s">
        <v>7</v>
      </c>
      <c r="K2070" t="s">
        <v>343</v>
      </c>
      <c r="L2070" t="s">
        <v>143</v>
      </c>
      <c r="M2070" t="s">
        <v>553</v>
      </c>
      <c r="N2070" t="s">
        <v>85</v>
      </c>
      <c r="O2070" s="6" t="s">
        <v>61</v>
      </c>
      <c r="P2070" t="s">
        <v>147</v>
      </c>
      <c r="Q2070">
        <v>6</v>
      </c>
      <c r="R2070" t="s">
        <v>214</v>
      </c>
      <c r="S2070" s="2" t="s">
        <v>7</v>
      </c>
      <c r="T2070">
        <v>4</v>
      </c>
      <c r="U2070">
        <v>8.14</v>
      </c>
      <c r="V2070">
        <v>351</v>
      </c>
      <c r="W2070" t="s">
        <v>28</v>
      </c>
      <c r="X2070">
        <v>0.34200000000000003</v>
      </c>
      <c r="Y2070">
        <f>0.365-X2070</f>
        <v>2.2999999999999965E-2</v>
      </c>
      <c r="AA2070" s="6"/>
      <c r="AB2070" s="6"/>
    </row>
    <row r="2071" spans="1:28" x14ac:dyDescent="0.2">
      <c r="A2071" t="s">
        <v>342</v>
      </c>
      <c r="B2071">
        <v>2015</v>
      </c>
      <c r="C2071" t="s">
        <v>826</v>
      </c>
      <c r="D2071" t="s">
        <v>824</v>
      </c>
      <c r="E2071" t="s">
        <v>48</v>
      </c>
      <c r="F2071" t="s">
        <v>424</v>
      </c>
      <c r="G2071">
        <v>78.916667000000004</v>
      </c>
      <c r="H2071">
        <v>11.933332999999999</v>
      </c>
      <c r="I2071" t="s">
        <v>764</v>
      </c>
      <c r="J2071" t="s">
        <v>7</v>
      </c>
      <c r="K2071" t="s">
        <v>343</v>
      </c>
      <c r="L2071" t="s">
        <v>143</v>
      </c>
      <c r="M2071" t="s">
        <v>553</v>
      </c>
      <c r="N2071" t="s">
        <v>85</v>
      </c>
      <c r="O2071" s="6" t="s">
        <v>61</v>
      </c>
      <c r="P2071" t="s">
        <v>147</v>
      </c>
      <c r="Q2071">
        <v>12</v>
      </c>
      <c r="R2071" t="s">
        <v>213</v>
      </c>
      <c r="S2071" s="2" t="s">
        <v>7</v>
      </c>
      <c r="T2071">
        <v>4</v>
      </c>
      <c r="U2071">
        <v>8.14</v>
      </c>
      <c r="V2071">
        <v>351</v>
      </c>
      <c r="W2071" t="s">
        <v>28</v>
      </c>
      <c r="X2071">
        <v>0.38300000000000001</v>
      </c>
      <c r="Y2071">
        <f>0.406-X2071</f>
        <v>2.300000000000002E-2</v>
      </c>
      <c r="AA2071" s="6"/>
      <c r="AB2071" s="6"/>
    </row>
    <row r="2072" spans="1:28" x14ac:dyDescent="0.2">
      <c r="A2072" t="s">
        <v>342</v>
      </c>
      <c r="B2072">
        <v>2015</v>
      </c>
      <c r="C2072" t="s">
        <v>826</v>
      </c>
      <c r="D2072" t="s">
        <v>824</v>
      </c>
      <c r="E2072" t="s">
        <v>48</v>
      </c>
      <c r="F2072" t="s">
        <v>424</v>
      </c>
      <c r="G2072">
        <v>78.916667000000004</v>
      </c>
      <c r="H2072">
        <v>11.933332999999999</v>
      </c>
      <c r="I2072" t="s">
        <v>764</v>
      </c>
      <c r="J2072" t="s">
        <v>5</v>
      </c>
      <c r="K2072" t="s">
        <v>343</v>
      </c>
      <c r="L2072" t="s">
        <v>143</v>
      </c>
      <c r="M2072" t="s">
        <v>553</v>
      </c>
      <c r="N2072" t="s">
        <v>85</v>
      </c>
      <c r="O2072" s="6" t="s">
        <v>61</v>
      </c>
      <c r="P2072" t="s">
        <v>147</v>
      </c>
      <c r="Q2072">
        <v>2</v>
      </c>
      <c r="R2072" t="s">
        <v>214</v>
      </c>
      <c r="S2072" s="2" t="s">
        <v>9</v>
      </c>
      <c r="T2072">
        <v>4</v>
      </c>
      <c r="U2072">
        <v>7.71</v>
      </c>
      <c r="V2072">
        <v>1028</v>
      </c>
      <c r="W2072" t="s">
        <v>28</v>
      </c>
      <c r="X2072">
        <v>0.61399999999999999</v>
      </c>
      <c r="Y2072">
        <f>0.658-X2072</f>
        <v>4.4000000000000039E-2</v>
      </c>
      <c r="AA2072" s="6"/>
      <c r="AB2072" s="6"/>
    </row>
    <row r="2073" spans="1:28" x14ac:dyDescent="0.2">
      <c r="A2073" t="s">
        <v>342</v>
      </c>
      <c r="B2073">
        <v>2015</v>
      </c>
      <c r="C2073" t="s">
        <v>826</v>
      </c>
      <c r="D2073" t="s">
        <v>824</v>
      </c>
      <c r="E2073" t="s">
        <v>48</v>
      </c>
      <c r="F2073" t="s">
        <v>424</v>
      </c>
      <c r="G2073">
        <v>78.916667000000004</v>
      </c>
      <c r="H2073">
        <v>11.933332999999999</v>
      </c>
      <c r="I2073" t="s">
        <v>764</v>
      </c>
      <c r="J2073" t="s">
        <v>5</v>
      </c>
      <c r="K2073" t="s">
        <v>343</v>
      </c>
      <c r="L2073" t="s">
        <v>143</v>
      </c>
      <c r="M2073" t="s">
        <v>553</v>
      </c>
      <c r="N2073" t="s">
        <v>85</v>
      </c>
      <c r="O2073" s="6" t="s">
        <v>61</v>
      </c>
      <c r="P2073" t="s">
        <v>147</v>
      </c>
      <c r="Q2073">
        <v>6</v>
      </c>
      <c r="R2073" t="s">
        <v>214</v>
      </c>
      <c r="S2073" s="2" t="s">
        <v>9</v>
      </c>
      <c r="T2073">
        <v>4</v>
      </c>
      <c r="U2073">
        <v>7.71</v>
      </c>
      <c r="V2073">
        <v>1028</v>
      </c>
      <c r="W2073" t="s">
        <v>28</v>
      </c>
      <c r="X2073">
        <v>0.43</v>
      </c>
      <c r="Y2073">
        <f>0.576-X2073</f>
        <v>0.14599999999999996</v>
      </c>
      <c r="AA2073" s="6"/>
      <c r="AB2073" s="6"/>
    </row>
    <row r="2074" spans="1:28" x14ac:dyDescent="0.2">
      <c r="A2074" t="s">
        <v>342</v>
      </c>
      <c r="B2074">
        <v>2015</v>
      </c>
      <c r="C2074" t="s">
        <v>826</v>
      </c>
      <c r="D2074" t="s">
        <v>824</v>
      </c>
      <c r="E2074" t="s">
        <v>48</v>
      </c>
      <c r="F2074" t="s">
        <v>424</v>
      </c>
      <c r="G2074">
        <v>78.916667000000004</v>
      </c>
      <c r="H2074">
        <v>11.933332999999999</v>
      </c>
      <c r="I2074" t="s">
        <v>764</v>
      </c>
      <c r="J2074" t="s">
        <v>5</v>
      </c>
      <c r="K2074" t="s">
        <v>343</v>
      </c>
      <c r="L2074" t="s">
        <v>143</v>
      </c>
      <c r="M2074" t="s">
        <v>553</v>
      </c>
      <c r="N2074" t="s">
        <v>85</v>
      </c>
      <c r="O2074" s="6" t="s">
        <v>61</v>
      </c>
      <c r="P2074" t="s">
        <v>147</v>
      </c>
      <c r="Q2074">
        <v>12</v>
      </c>
      <c r="R2074" t="s">
        <v>213</v>
      </c>
      <c r="S2074" s="2" t="s">
        <v>9</v>
      </c>
      <c r="T2074">
        <v>4</v>
      </c>
      <c r="U2074">
        <v>7.71</v>
      </c>
      <c r="V2074">
        <v>1028</v>
      </c>
      <c r="W2074" t="s">
        <v>28</v>
      </c>
      <c r="X2074">
        <v>0.67600000000000005</v>
      </c>
      <c r="Y2074">
        <f>X2074-0.567</f>
        <v>0.1090000000000001</v>
      </c>
      <c r="AA2074" s="6"/>
      <c r="AB2074" s="6"/>
    </row>
    <row r="2075" spans="1:28" x14ac:dyDescent="0.2">
      <c r="A2075" t="s">
        <v>342</v>
      </c>
      <c r="B2075">
        <v>2015</v>
      </c>
      <c r="C2075" t="s">
        <v>807</v>
      </c>
      <c r="D2075" t="s">
        <v>808</v>
      </c>
      <c r="E2075" t="s">
        <v>205</v>
      </c>
      <c r="F2075" t="s">
        <v>424</v>
      </c>
      <c r="G2075">
        <v>78.916667000000004</v>
      </c>
      <c r="H2075">
        <v>11.933332999999999</v>
      </c>
      <c r="I2075" t="s">
        <v>764</v>
      </c>
      <c r="J2075" t="s">
        <v>7</v>
      </c>
      <c r="K2075" t="s">
        <v>343</v>
      </c>
      <c r="L2075" t="s">
        <v>143</v>
      </c>
      <c r="M2075" t="s">
        <v>553</v>
      </c>
      <c r="N2075" t="s">
        <v>85</v>
      </c>
      <c r="O2075" s="6" t="s">
        <v>432</v>
      </c>
      <c r="P2075" t="s">
        <v>147</v>
      </c>
      <c r="Q2075">
        <v>2</v>
      </c>
      <c r="R2075" t="s">
        <v>214</v>
      </c>
      <c r="S2075" s="2" t="s">
        <v>7</v>
      </c>
      <c r="T2075">
        <v>4</v>
      </c>
      <c r="U2075">
        <v>8.14</v>
      </c>
      <c r="V2075">
        <v>351</v>
      </c>
      <c r="W2075" t="s">
        <v>28</v>
      </c>
      <c r="X2075">
        <v>0.31290000000000001</v>
      </c>
      <c r="Y2075">
        <f>0.3186-X2075</f>
        <v>5.6999999999999829E-3</v>
      </c>
      <c r="AA2075" s="6"/>
      <c r="AB2075" s="6"/>
    </row>
    <row r="2076" spans="1:28" x14ac:dyDescent="0.2">
      <c r="A2076" t="s">
        <v>342</v>
      </c>
      <c r="B2076">
        <v>2015</v>
      </c>
      <c r="C2076" t="s">
        <v>807</v>
      </c>
      <c r="D2076" t="s">
        <v>808</v>
      </c>
      <c r="E2076" t="s">
        <v>205</v>
      </c>
      <c r="F2076" t="s">
        <v>424</v>
      </c>
      <c r="G2076">
        <v>78.916667000000004</v>
      </c>
      <c r="H2076">
        <v>11.933332999999999</v>
      </c>
      <c r="I2076" t="s">
        <v>764</v>
      </c>
      <c r="J2076" t="s">
        <v>7</v>
      </c>
      <c r="K2076" t="s">
        <v>343</v>
      </c>
      <c r="L2076" t="s">
        <v>143</v>
      </c>
      <c r="M2076" t="s">
        <v>553</v>
      </c>
      <c r="N2076" t="s">
        <v>85</v>
      </c>
      <c r="O2076" s="6" t="s">
        <v>432</v>
      </c>
      <c r="P2076" t="s">
        <v>147</v>
      </c>
      <c r="Q2076">
        <v>6</v>
      </c>
      <c r="R2076" t="s">
        <v>214</v>
      </c>
      <c r="S2076" s="2" t="s">
        <v>7</v>
      </c>
      <c r="T2076">
        <v>4</v>
      </c>
      <c r="U2076">
        <v>8.14</v>
      </c>
      <c r="V2076">
        <v>351</v>
      </c>
      <c r="W2076" t="s">
        <v>28</v>
      </c>
      <c r="X2076">
        <v>0.2893</v>
      </c>
      <c r="Y2076">
        <f>0.2943-X2076</f>
        <v>5.0000000000000044E-3</v>
      </c>
      <c r="AA2076" s="6"/>
      <c r="AB2076" s="6"/>
    </row>
    <row r="2077" spans="1:28" x14ac:dyDescent="0.2">
      <c r="A2077" t="s">
        <v>342</v>
      </c>
      <c r="B2077">
        <v>2015</v>
      </c>
      <c r="C2077" t="s">
        <v>807</v>
      </c>
      <c r="D2077" t="s">
        <v>808</v>
      </c>
      <c r="E2077" t="s">
        <v>205</v>
      </c>
      <c r="F2077" t="s">
        <v>424</v>
      </c>
      <c r="G2077">
        <v>78.916667000000004</v>
      </c>
      <c r="H2077">
        <v>11.933332999999999</v>
      </c>
      <c r="I2077" t="s">
        <v>764</v>
      </c>
      <c r="J2077" t="s">
        <v>7</v>
      </c>
      <c r="K2077" t="s">
        <v>343</v>
      </c>
      <c r="L2077" t="s">
        <v>143</v>
      </c>
      <c r="M2077" t="s">
        <v>553</v>
      </c>
      <c r="N2077" t="s">
        <v>85</v>
      </c>
      <c r="O2077" s="6" t="s">
        <v>432</v>
      </c>
      <c r="P2077" t="s">
        <v>147</v>
      </c>
      <c r="Q2077">
        <v>12</v>
      </c>
      <c r="R2077" t="s">
        <v>213</v>
      </c>
      <c r="S2077" s="2" t="s">
        <v>7</v>
      </c>
      <c r="T2077">
        <v>4</v>
      </c>
      <c r="U2077">
        <v>8.14</v>
      </c>
      <c r="V2077">
        <v>351</v>
      </c>
      <c r="W2077" t="s">
        <v>28</v>
      </c>
      <c r="X2077">
        <v>0.15</v>
      </c>
      <c r="Y2077">
        <f>0.1557-X2077</f>
        <v>5.7000000000000106E-3</v>
      </c>
      <c r="AA2077" s="6"/>
      <c r="AB2077" s="6"/>
    </row>
    <row r="2078" spans="1:28" x14ac:dyDescent="0.2">
      <c r="A2078" t="s">
        <v>342</v>
      </c>
      <c r="B2078">
        <v>2015</v>
      </c>
      <c r="C2078" t="s">
        <v>807</v>
      </c>
      <c r="D2078" t="s">
        <v>808</v>
      </c>
      <c r="E2078" t="s">
        <v>205</v>
      </c>
      <c r="F2078" t="s">
        <v>424</v>
      </c>
      <c r="G2078">
        <v>78.916667000000004</v>
      </c>
      <c r="H2078">
        <v>11.933332999999999</v>
      </c>
      <c r="I2078" t="s">
        <v>764</v>
      </c>
      <c r="J2078" t="s">
        <v>5</v>
      </c>
      <c r="K2078" t="s">
        <v>343</v>
      </c>
      <c r="L2078" t="s">
        <v>143</v>
      </c>
      <c r="M2078" t="s">
        <v>553</v>
      </c>
      <c r="N2078" t="s">
        <v>85</v>
      </c>
      <c r="O2078" s="6" t="s">
        <v>432</v>
      </c>
      <c r="P2078" t="s">
        <v>147</v>
      </c>
      <c r="Q2078">
        <v>2</v>
      </c>
      <c r="R2078" t="s">
        <v>214</v>
      </c>
      <c r="S2078" s="2" t="s">
        <v>9</v>
      </c>
      <c r="T2078">
        <v>4</v>
      </c>
      <c r="U2078">
        <v>7.71</v>
      </c>
      <c r="V2078">
        <v>1028</v>
      </c>
      <c r="W2078" t="s">
        <v>28</v>
      </c>
      <c r="X2078">
        <v>0.25790000000000002</v>
      </c>
      <c r="Y2078">
        <f>X2078-0.2279</f>
        <v>3.0000000000000027E-2</v>
      </c>
      <c r="AA2078" s="6"/>
      <c r="AB2078" s="6"/>
    </row>
    <row r="2079" spans="1:28" x14ac:dyDescent="0.2">
      <c r="A2079" t="s">
        <v>342</v>
      </c>
      <c r="B2079">
        <v>2015</v>
      </c>
      <c r="C2079" t="s">
        <v>807</v>
      </c>
      <c r="D2079" t="s">
        <v>808</v>
      </c>
      <c r="E2079" t="s">
        <v>205</v>
      </c>
      <c r="F2079" t="s">
        <v>424</v>
      </c>
      <c r="G2079">
        <v>78.916667000000004</v>
      </c>
      <c r="H2079">
        <v>11.933332999999999</v>
      </c>
      <c r="I2079" t="s">
        <v>764</v>
      </c>
      <c r="J2079" t="s">
        <v>5</v>
      </c>
      <c r="K2079" t="s">
        <v>343</v>
      </c>
      <c r="L2079" t="s">
        <v>143</v>
      </c>
      <c r="M2079" t="s">
        <v>553</v>
      </c>
      <c r="N2079" t="s">
        <v>85</v>
      </c>
      <c r="O2079" s="6" t="s">
        <v>432</v>
      </c>
      <c r="P2079" t="s">
        <v>147</v>
      </c>
      <c r="Q2079">
        <v>6</v>
      </c>
      <c r="R2079" t="s">
        <v>214</v>
      </c>
      <c r="S2079" s="2" t="s">
        <v>9</v>
      </c>
      <c r="T2079">
        <v>4</v>
      </c>
      <c r="U2079">
        <v>7.71</v>
      </c>
      <c r="V2079">
        <v>1028</v>
      </c>
      <c r="W2079" t="s">
        <v>28</v>
      </c>
      <c r="X2079">
        <v>0.185</v>
      </c>
      <c r="Y2079">
        <f>X2079-0.1379</f>
        <v>4.7100000000000003E-2</v>
      </c>
      <c r="AA2079" s="6"/>
      <c r="AB2079" s="6"/>
    </row>
    <row r="2080" spans="1:28" x14ac:dyDescent="0.2">
      <c r="A2080" t="s">
        <v>342</v>
      </c>
      <c r="B2080">
        <v>2015</v>
      </c>
      <c r="C2080" t="s">
        <v>807</v>
      </c>
      <c r="D2080" t="s">
        <v>808</v>
      </c>
      <c r="E2080" t="s">
        <v>205</v>
      </c>
      <c r="F2080" t="s">
        <v>424</v>
      </c>
      <c r="G2080">
        <v>78.916667000000004</v>
      </c>
      <c r="H2080">
        <v>11.933332999999999</v>
      </c>
      <c r="I2080" t="s">
        <v>764</v>
      </c>
      <c r="J2080" t="s">
        <v>5</v>
      </c>
      <c r="K2080" t="s">
        <v>343</v>
      </c>
      <c r="L2080" t="s">
        <v>143</v>
      </c>
      <c r="M2080" t="s">
        <v>553</v>
      </c>
      <c r="N2080" t="s">
        <v>85</v>
      </c>
      <c r="O2080" s="6" t="s">
        <v>432</v>
      </c>
      <c r="P2080" t="s">
        <v>147</v>
      </c>
      <c r="Q2080">
        <v>12</v>
      </c>
      <c r="R2080" t="s">
        <v>213</v>
      </c>
      <c r="S2080" s="2" t="s">
        <v>9</v>
      </c>
      <c r="T2080">
        <v>4</v>
      </c>
      <c r="U2080">
        <v>7.71</v>
      </c>
      <c r="V2080">
        <v>1028</v>
      </c>
      <c r="W2080" t="s">
        <v>28</v>
      </c>
      <c r="X2080">
        <v>7.9299999999999995E-2</v>
      </c>
      <c r="Y2080">
        <f>0.0986-X2080</f>
        <v>1.9299999999999998E-2</v>
      </c>
      <c r="AA2080" s="6"/>
      <c r="AB2080" s="6"/>
    </row>
    <row r="2081" spans="1:28" x14ac:dyDescent="0.2">
      <c r="A2081" t="s">
        <v>342</v>
      </c>
      <c r="B2081">
        <v>2015</v>
      </c>
      <c r="C2081" t="s">
        <v>826</v>
      </c>
      <c r="D2081" t="s">
        <v>824</v>
      </c>
      <c r="E2081" t="s">
        <v>48</v>
      </c>
      <c r="F2081" t="s">
        <v>424</v>
      </c>
      <c r="G2081">
        <v>78.916667000000004</v>
      </c>
      <c r="H2081">
        <v>11.933332999999999</v>
      </c>
      <c r="I2081" t="s">
        <v>764</v>
      </c>
      <c r="J2081" t="s">
        <v>7</v>
      </c>
      <c r="K2081" t="s">
        <v>343</v>
      </c>
      <c r="L2081" t="s">
        <v>143</v>
      </c>
      <c r="M2081" t="s">
        <v>553</v>
      </c>
      <c r="N2081" t="s">
        <v>85</v>
      </c>
      <c r="O2081" s="6" t="s">
        <v>432</v>
      </c>
      <c r="P2081" t="s">
        <v>147</v>
      </c>
      <c r="Q2081">
        <v>2</v>
      </c>
      <c r="R2081" t="s">
        <v>214</v>
      </c>
      <c r="S2081" s="2" t="s">
        <v>7</v>
      </c>
      <c r="T2081">
        <v>4</v>
      </c>
      <c r="U2081">
        <v>8.14</v>
      </c>
      <c r="V2081">
        <v>351</v>
      </c>
      <c r="W2081" t="s">
        <v>28</v>
      </c>
      <c r="X2081">
        <v>0.10929999999999999</v>
      </c>
      <c r="Y2081">
        <f>0.115-X2081</f>
        <v>5.7000000000000106E-3</v>
      </c>
      <c r="AA2081" s="6"/>
      <c r="AB2081" s="6"/>
    </row>
    <row r="2082" spans="1:28" x14ac:dyDescent="0.2">
      <c r="A2082" t="s">
        <v>342</v>
      </c>
      <c r="B2082">
        <v>2015</v>
      </c>
      <c r="C2082" t="s">
        <v>826</v>
      </c>
      <c r="D2082" t="s">
        <v>824</v>
      </c>
      <c r="E2082" t="s">
        <v>48</v>
      </c>
      <c r="F2082" t="s">
        <v>424</v>
      </c>
      <c r="G2082">
        <v>78.916667000000004</v>
      </c>
      <c r="H2082">
        <v>11.933332999999999</v>
      </c>
      <c r="I2082" t="s">
        <v>764</v>
      </c>
      <c r="J2082" t="s">
        <v>7</v>
      </c>
      <c r="K2082" t="s">
        <v>343</v>
      </c>
      <c r="L2082" t="s">
        <v>143</v>
      </c>
      <c r="M2082" t="s">
        <v>553</v>
      </c>
      <c r="N2082" t="s">
        <v>85</v>
      </c>
      <c r="O2082" s="6" t="s">
        <v>432</v>
      </c>
      <c r="P2082" t="s">
        <v>147</v>
      </c>
      <c r="Q2082">
        <v>6</v>
      </c>
      <c r="R2082" t="s">
        <v>214</v>
      </c>
      <c r="S2082" s="2" t="s">
        <v>7</v>
      </c>
      <c r="T2082">
        <v>4</v>
      </c>
      <c r="U2082">
        <v>8.14</v>
      </c>
      <c r="V2082">
        <v>351</v>
      </c>
      <c r="W2082" t="s">
        <v>28</v>
      </c>
      <c r="X2082">
        <v>8.5000000000000006E-2</v>
      </c>
      <c r="Y2082">
        <f>0.0907-X2082</f>
        <v>5.6999999999999967E-3</v>
      </c>
      <c r="AA2082" s="6"/>
      <c r="AB2082" s="6"/>
    </row>
    <row r="2083" spans="1:28" x14ac:dyDescent="0.2">
      <c r="A2083" t="s">
        <v>342</v>
      </c>
      <c r="B2083">
        <v>2015</v>
      </c>
      <c r="C2083" t="s">
        <v>826</v>
      </c>
      <c r="D2083" t="s">
        <v>824</v>
      </c>
      <c r="E2083" t="s">
        <v>48</v>
      </c>
      <c r="F2083" t="s">
        <v>424</v>
      </c>
      <c r="G2083">
        <v>78.916667000000004</v>
      </c>
      <c r="H2083">
        <v>11.933332999999999</v>
      </c>
      <c r="I2083" t="s">
        <v>764</v>
      </c>
      <c r="J2083" t="s">
        <v>7</v>
      </c>
      <c r="K2083" t="s">
        <v>343</v>
      </c>
      <c r="L2083" t="s">
        <v>143</v>
      </c>
      <c r="M2083" t="s">
        <v>553</v>
      </c>
      <c r="N2083" t="s">
        <v>85</v>
      </c>
      <c r="O2083" s="6" t="s">
        <v>432</v>
      </c>
      <c r="P2083" t="s">
        <v>147</v>
      </c>
      <c r="Q2083">
        <v>12</v>
      </c>
      <c r="R2083" t="s">
        <v>213</v>
      </c>
      <c r="S2083" s="2" t="s">
        <v>7</v>
      </c>
      <c r="T2083">
        <v>4</v>
      </c>
      <c r="U2083">
        <v>8.14</v>
      </c>
      <c r="V2083">
        <v>351</v>
      </c>
      <c r="W2083" t="s">
        <v>28</v>
      </c>
      <c r="X2083">
        <v>9.8599999999999993E-2</v>
      </c>
      <c r="Y2083">
        <f>0.1036-X2083</f>
        <v>5.0000000000000044E-3</v>
      </c>
      <c r="AA2083" s="6"/>
      <c r="AB2083" s="6"/>
    </row>
    <row r="2084" spans="1:28" x14ac:dyDescent="0.2">
      <c r="A2084" t="s">
        <v>342</v>
      </c>
      <c r="B2084">
        <v>2015</v>
      </c>
      <c r="C2084" t="s">
        <v>826</v>
      </c>
      <c r="D2084" t="s">
        <v>824</v>
      </c>
      <c r="E2084" t="s">
        <v>48</v>
      </c>
      <c r="F2084" t="s">
        <v>424</v>
      </c>
      <c r="G2084">
        <v>78.916667000000004</v>
      </c>
      <c r="H2084">
        <v>11.933332999999999</v>
      </c>
      <c r="I2084" t="s">
        <v>764</v>
      </c>
      <c r="J2084" t="s">
        <v>5</v>
      </c>
      <c r="K2084" t="s">
        <v>343</v>
      </c>
      <c r="L2084" t="s">
        <v>143</v>
      </c>
      <c r="M2084" t="s">
        <v>553</v>
      </c>
      <c r="N2084" t="s">
        <v>85</v>
      </c>
      <c r="O2084" s="6" t="s">
        <v>432</v>
      </c>
      <c r="P2084" t="s">
        <v>147</v>
      </c>
      <c r="Q2084">
        <v>2</v>
      </c>
      <c r="R2084" t="s">
        <v>214</v>
      </c>
      <c r="S2084" s="2" t="s">
        <v>9</v>
      </c>
      <c r="T2084">
        <v>4</v>
      </c>
      <c r="U2084">
        <v>7.71</v>
      </c>
      <c r="V2084">
        <v>1028</v>
      </c>
      <c r="W2084" t="s">
        <v>28</v>
      </c>
      <c r="X2084">
        <v>0.16589999999999999</v>
      </c>
      <c r="Y2084">
        <f>0.1723-X2084</f>
        <v>6.4000000000000168E-3</v>
      </c>
      <c r="AA2084" s="6"/>
      <c r="AB2084" s="6"/>
    </row>
    <row r="2085" spans="1:28" x14ac:dyDescent="0.2">
      <c r="A2085" t="s">
        <v>342</v>
      </c>
      <c r="B2085">
        <v>2015</v>
      </c>
      <c r="C2085" t="s">
        <v>826</v>
      </c>
      <c r="D2085" t="s">
        <v>824</v>
      </c>
      <c r="E2085" t="s">
        <v>48</v>
      </c>
      <c r="F2085" t="s">
        <v>424</v>
      </c>
      <c r="G2085">
        <v>78.916667000000004</v>
      </c>
      <c r="H2085">
        <v>11.933332999999999</v>
      </c>
      <c r="I2085" t="s">
        <v>764</v>
      </c>
      <c r="J2085" t="s">
        <v>5</v>
      </c>
      <c r="K2085" t="s">
        <v>343</v>
      </c>
      <c r="L2085" t="s">
        <v>143</v>
      </c>
      <c r="M2085" t="s">
        <v>553</v>
      </c>
      <c r="N2085" t="s">
        <v>85</v>
      </c>
      <c r="O2085" s="6" t="s">
        <v>432</v>
      </c>
      <c r="P2085" t="s">
        <v>147</v>
      </c>
      <c r="Q2085">
        <v>6</v>
      </c>
      <c r="R2085" t="s">
        <v>214</v>
      </c>
      <c r="S2085" s="2" t="s">
        <v>9</v>
      </c>
      <c r="T2085">
        <v>4</v>
      </c>
      <c r="U2085">
        <v>7.71</v>
      </c>
      <c r="V2085">
        <v>1028</v>
      </c>
      <c r="W2085" t="s">
        <v>28</v>
      </c>
      <c r="X2085">
        <v>0.1172</v>
      </c>
      <c r="Y2085">
        <f>0.1487-X2085</f>
        <v>3.15E-2</v>
      </c>
      <c r="AA2085" s="6"/>
      <c r="AB2085" s="6"/>
    </row>
    <row r="2086" spans="1:28" x14ac:dyDescent="0.2">
      <c r="A2086" t="s">
        <v>342</v>
      </c>
      <c r="B2086">
        <v>2015</v>
      </c>
      <c r="C2086" t="s">
        <v>826</v>
      </c>
      <c r="D2086" t="s">
        <v>824</v>
      </c>
      <c r="E2086" t="s">
        <v>48</v>
      </c>
      <c r="F2086" t="s">
        <v>424</v>
      </c>
      <c r="G2086">
        <v>78.916667000000004</v>
      </c>
      <c r="H2086">
        <v>11.933332999999999</v>
      </c>
      <c r="I2086" t="s">
        <v>764</v>
      </c>
      <c r="J2086" t="s">
        <v>5</v>
      </c>
      <c r="K2086" t="s">
        <v>343</v>
      </c>
      <c r="L2086" t="s">
        <v>143</v>
      </c>
      <c r="M2086" t="s">
        <v>553</v>
      </c>
      <c r="N2086" t="s">
        <v>85</v>
      </c>
      <c r="O2086" s="6" t="s">
        <v>432</v>
      </c>
      <c r="P2086" t="s">
        <v>147</v>
      </c>
      <c r="Q2086">
        <v>12</v>
      </c>
      <c r="R2086" t="s">
        <v>213</v>
      </c>
      <c r="S2086" s="2" t="s">
        <v>9</v>
      </c>
      <c r="T2086">
        <v>4</v>
      </c>
      <c r="U2086">
        <v>7.71</v>
      </c>
      <c r="V2086">
        <v>1028</v>
      </c>
      <c r="W2086" t="s">
        <v>28</v>
      </c>
      <c r="X2086">
        <v>0.17519999999999999</v>
      </c>
      <c r="Y2086">
        <f>X2086-0.1458</f>
        <v>2.9399999999999982E-2</v>
      </c>
      <c r="AA2086" s="6"/>
      <c r="AB2086" s="6"/>
    </row>
    <row r="2087" spans="1:28" x14ac:dyDescent="0.2">
      <c r="A2087" t="s">
        <v>342</v>
      </c>
      <c r="B2087">
        <v>2015</v>
      </c>
      <c r="C2087" t="s">
        <v>807</v>
      </c>
      <c r="D2087" t="s">
        <v>808</v>
      </c>
      <c r="E2087" t="s">
        <v>205</v>
      </c>
      <c r="F2087" t="s">
        <v>424</v>
      </c>
      <c r="G2087">
        <v>78.916667000000004</v>
      </c>
      <c r="H2087">
        <v>11.933332999999999</v>
      </c>
      <c r="I2087" t="s">
        <v>764</v>
      </c>
      <c r="J2087" t="s">
        <v>7</v>
      </c>
      <c r="K2087" t="s">
        <v>343</v>
      </c>
      <c r="L2087" t="s">
        <v>143</v>
      </c>
      <c r="M2087" t="s">
        <v>638</v>
      </c>
      <c r="N2087" t="s">
        <v>85</v>
      </c>
      <c r="O2087" s="6" t="s">
        <v>221</v>
      </c>
      <c r="P2087" t="s">
        <v>70</v>
      </c>
      <c r="Q2087">
        <v>2</v>
      </c>
      <c r="R2087" t="s">
        <v>214</v>
      </c>
      <c r="S2087" s="2" t="s">
        <v>7</v>
      </c>
      <c r="T2087">
        <v>8</v>
      </c>
      <c r="U2087">
        <v>8.14</v>
      </c>
      <c r="V2087">
        <v>351</v>
      </c>
      <c r="W2087" t="s">
        <v>28</v>
      </c>
      <c r="X2087">
        <v>30.9</v>
      </c>
      <c r="Y2087">
        <f>X2087-28.84</f>
        <v>2.0599999999999987</v>
      </c>
      <c r="AA2087" s="6"/>
      <c r="AB2087" s="6"/>
    </row>
    <row r="2088" spans="1:28" x14ac:dyDescent="0.2">
      <c r="A2088" t="s">
        <v>342</v>
      </c>
      <c r="B2088">
        <v>2015</v>
      </c>
      <c r="C2088" t="s">
        <v>807</v>
      </c>
      <c r="D2088" t="s">
        <v>808</v>
      </c>
      <c r="E2088" t="s">
        <v>205</v>
      </c>
      <c r="F2088" t="s">
        <v>424</v>
      </c>
      <c r="G2088">
        <v>78.916667000000004</v>
      </c>
      <c r="H2088">
        <v>11.933332999999999</v>
      </c>
      <c r="I2088" t="s">
        <v>764</v>
      </c>
      <c r="J2088" t="s">
        <v>7</v>
      </c>
      <c r="K2088" t="s">
        <v>343</v>
      </c>
      <c r="L2088" t="s">
        <v>143</v>
      </c>
      <c r="M2088" t="s">
        <v>638</v>
      </c>
      <c r="N2088" t="s">
        <v>85</v>
      </c>
      <c r="O2088" s="6" t="s">
        <v>221</v>
      </c>
      <c r="P2088" t="s">
        <v>70</v>
      </c>
      <c r="Q2088">
        <v>6</v>
      </c>
      <c r="R2088" t="s">
        <v>214</v>
      </c>
      <c r="S2088" s="2" t="s">
        <v>7</v>
      </c>
      <c r="T2088">
        <v>8</v>
      </c>
      <c r="U2088">
        <v>8.14</v>
      </c>
      <c r="V2088">
        <v>351</v>
      </c>
      <c r="W2088" t="s">
        <v>28</v>
      </c>
      <c r="X2088">
        <v>32.409999999999997</v>
      </c>
      <c r="Y2088">
        <f>X2088-31.04</f>
        <v>1.3699999999999974</v>
      </c>
      <c r="AA2088" s="6"/>
      <c r="AB2088" s="6"/>
    </row>
    <row r="2089" spans="1:28" x14ac:dyDescent="0.2">
      <c r="A2089" t="s">
        <v>342</v>
      </c>
      <c r="B2089">
        <v>2015</v>
      </c>
      <c r="C2089" t="s">
        <v>807</v>
      </c>
      <c r="D2089" t="s">
        <v>808</v>
      </c>
      <c r="E2089" t="s">
        <v>205</v>
      </c>
      <c r="F2089" t="s">
        <v>424</v>
      </c>
      <c r="G2089">
        <v>78.916667000000004</v>
      </c>
      <c r="H2089">
        <v>11.933332999999999</v>
      </c>
      <c r="I2089" t="s">
        <v>764</v>
      </c>
      <c r="J2089" t="s">
        <v>7</v>
      </c>
      <c r="K2089" t="s">
        <v>343</v>
      </c>
      <c r="L2089" t="s">
        <v>143</v>
      </c>
      <c r="M2089" t="s">
        <v>638</v>
      </c>
      <c r="N2089" t="s">
        <v>85</v>
      </c>
      <c r="O2089" s="6" t="s">
        <v>221</v>
      </c>
      <c r="P2089" t="s">
        <v>70</v>
      </c>
      <c r="Q2089">
        <v>12</v>
      </c>
      <c r="R2089" t="s">
        <v>213</v>
      </c>
      <c r="S2089" s="2" t="s">
        <v>7</v>
      </c>
      <c r="T2089">
        <v>8</v>
      </c>
      <c r="U2089">
        <v>8.14</v>
      </c>
      <c r="V2089">
        <v>351</v>
      </c>
      <c r="W2089" t="s">
        <v>28</v>
      </c>
      <c r="X2089">
        <v>32.130000000000003</v>
      </c>
      <c r="Y2089">
        <f>X2089-30.02</f>
        <v>2.110000000000003</v>
      </c>
      <c r="AA2089" s="6"/>
      <c r="AB2089" s="6"/>
    </row>
    <row r="2090" spans="1:28" x14ac:dyDescent="0.2">
      <c r="A2090" t="s">
        <v>342</v>
      </c>
      <c r="B2090">
        <v>2015</v>
      </c>
      <c r="C2090" t="s">
        <v>807</v>
      </c>
      <c r="D2090" t="s">
        <v>808</v>
      </c>
      <c r="E2090" t="s">
        <v>205</v>
      </c>
      <c r="F2090" t="s">
        <v>424</v>
      </c>
      <c r="G2090">
        <v>78.916667000000004</v>
      </c>
      <c r="H2090">
        <v>11.933332999999999</v>
      </c>
      <c r="I2090" t="s">
        <v>764</v>
      </c>
      <c r="J2090" t="s">
        <v>5</v>
      </c>
      <c r="K2090" t="s">
        <v>343</v>
      </c>
      <c r="L2090" t="s">
        <v>143</v>
      </c>
      <c r="M2090" t="s">
        <v>638</v>
      </c>
      <c r="N2090" t="s">
        <v>85</v>
      </c>
      <c r="O2090" s="6" t="s">
        <v>221</v>
      </c>
      <c r="P2090" t="s">
        <v>70</v>
      </c>
      <c r="Q2090">
        <v>2</v>
      </c>
      <c r="R2090" t="s">
        <v>214</v>
      </c>
      <c r="S2090" s="2" t="s">
        <v>9</v>
      </c>
      <c r="T2090">
        <v>8</v>
      </c>
      <c r="U2090">
        <v>7.71</v>
      </c>
      <c r="V2090">
        <v>1028</v>
      </c>
      <c r="W2090" t="s">
        <v>28</v>
      </c>
      <c r="X2090">
        <v>33.520000000000003</v>
      </c>
      <c r="Y2090">
        <f>X2090-32.59</f>
        <v>0.92999999999999972</v>
      </c>
      <c r="AA2090" s="6"/>
      <c r="AB2090" s="6"/>
    </row>
    <row r="2091" spans="1:28" x14ac:dyDescent="0.2">
      <c r="A2091" t="s">
        <v>342</v>
      </c>
      <c r="B2091">
        <v>2015</v>
      </c>
      <c r="C2091" t="s">
        <v>807</v>
      </c>
      <c r="D2091" t="s">
        <v>808</v>
      </c>
      <c r="E2091" t="s">
        <v>205</v>
      </c>
      <c r="F2091" t="s">
        <v>424</v>
      </c>
      <c r="G2091">
        <v>78.916667000000004</v>
      </c>
      <c r="H2091">
        <v>11.933332999999999</v>
      </c>
      <c r="I2091" t="s">
        <v>764</v>
      </c>
      <c r="J2091" t="s">
        <v>5</v>
      </c>
      <c r="K2091" t="s">
        <v>343</v>
      </c>
      <c r="L2091" t="s">
        <v>143</v>
      </c>
      <c r="M2091" t="s">
        <v>638</v>
      </c>
      <c r="N2091" t="s">
        <v>85</v>
      </c>
      <c r="O2091" s="6" t="s">
        <v>221</v>
      </c>
      <c r="P2091" t="s">
        <v>70</v>
      </c>
      <c r="Q2091">
        <v>6</v>
      </c>
      <c r="R2091" t="s">
        <v>214</v>
      </c>
      <c r="S2091" s="2" t="s">
        <v>9</v>
      </c>
      <c r="T2091">
        <v>8</v>
      </c>
      <c r="U2091">
        <v>7.71</v>
      </c>
      <c r="V2091">
        <v>1028</v>
      </c>
      <c r="W2091" t="s">
        <v>28</v>
      </c>
      <c r="X2091">
        <v>33.89</v>
      </c>
      <c r="Y2091">
        <f>35.74-X2091</f>
        <v>1.8500000000000014</v>
      </c>
      <c r="AA2091" s="6"/>
      <c r="AB2091" s="6"/>
    </row>
    <row r="2092" spans="1:28" x14ac:dyDescent="0.2">
      <c r="A2092" t="s">
        <v>342</v>
      </c>
      <c r="B2092">
        <v>2015</v>
      </c>
      <c r="C2092" t="s">
        <v>807</v>
      </c>
      <c r="D2092" t="s">
        <v>808</v>
      </c>
      <c r="E2092" t="s">
        <v>205</v>
      </c>
      <c r="F2092" t="s">
        <v>424</v>
      </c>
      <c r="G2092">
        <v>78.916667000000004</v>
      </c>
      <c r="H2092">
        <v>11.933332999999999</v>
      </c>
      <c r="I2092" t="s">
        <v>764</v>
      </c>
      <c r="J2092" t="s">
        <v>5</v>
      </c>
      <c r="K2092" t="s">
        <v>343</v>
      </c>
      <c r="L2092" t="s">
        <v>143</v>
      </c>
      <c r="M2092" t="s">
        <v>638</v>
      </c>
      <c r="N2092" t="s">
        <v>85</v>
      </c>
      <c r="O2092" s="6" t="s">
        <v>221</v>
      </c>
      <c r="P2092" t="s">
        <v>70</v>
      </c>
      <c r="Q2092">
        <v>12</v>
      </c>
      <c r="R2092" t="s">
        <v>213</v>
      </c>
      <c r="S2092" s="2" t="s">
        <v>9</v>
      </c>
      <c r="T2092">
        <v>8</v>
      </c>
      <c r="U2092">
        <v>7.71</v>
      </c>
      <c r="V2092">
        <v>1028</v>
      </c>
      <c r="W2092" t="s">
        <v>28</v>
      </c>
      <c r="X2092">
        <v>34.770000000000003</v>
      </c>
      <c r="Y2092">
        <f>36.97-X2092</f>
        <v>2.1999999999999957</v>
      </c>
      <c r="AA2092" s="6"/>
      <c r="AB2092" s="6"/>
    </row>
    <row r="2093" spans="1:28" x14ac:dyDescent="0.2">
      <c r="A2093" t="s">
        <v>342</v>
      </c>
      <c r="B2093">
        <v>2015</v>
      </c>
      <c r="C2093" t="s">
        <v>826</v>
      </c>
      <c r="D2093" t="s">
        <v>824</v>
      </c>
      <c r="E2093" t="s">
        <v>48</v>
      </c>
      <c r="F2093" t="s">
        <v>424</v>
      </c>
      <c r="G2093">
        <v>78.916667000000004</v>
      </c>
      <c r="H2093">
        <v>11.933332999999999</v>
      </c>
      <c r="I2093" t="s">
        <v>764</v>
      </c>
      <c r="J2093" t="s">
        <v>7</v>
      </c>
      <c r="K2093" t="s">
        <v>343</v>
      </c>
      <c r="L2093" t="s">
        <v>143</v>
      </c>
      <c r="M2093" t="s">
        <v>638</v>
      </c>
      <c r="N2093" t="s">
        <v>85</v>
      </c>
      <c r="O2093" s="6" t="s">
        <v>221</v>
      </c>
      <c r="P2093" t="s">
        <v>70</v>
      </c>
      <c r="Q2093">
        <v>2</v>
      </c>
      <c r="R2093" t="s">
        <v>214</v>
      </c>
      <c r="S2093" s="2" t="s">
        <v>7</v>
      </c>
      <c r="T2093">
        <v>8</v>
      </c>
      <c r="U2093">
        <v>8.14</v>
      </c>
      <c r="V2093">
        <v>351</v>
      </c>
      <c r="W2093" t="s">
        <v>28</v>
      </c>
      <c r="X2093">
        <v>30.19</v>
      </c>
      <c r="Y2093">
        <f>31.44-X2093</f>
        <v>1.25</v>
      </c>
      <c r="AA2093" s="6"/>
      <c r="AB2093" s="6"/>
    </row>
    <row r="2094" spans="1:28" x14ac:dyDescent="0.2">
      <c r="A2094" t="s">
        <v>342</v>
      </c>
      <c r="B2094">
        <v>2015</v>
      </c>
      <c r="C2094" t="s">
        <v>826</v>
      </c>
      <c r="D2094" t="s">
        <v>824</v>
      </c>
      <c r="E2094" t="s">
        <v>48</v>
      </c>
      <c r="F2094" t="s">
        <v>424</v>
      </c>
      <c r="G2094">
        <v>78.916667000000004</v>
      </c>
      <c r="H2094">
        <v>11.933332999999999</v>
      </c>
      <c r="I2094" t="s">
        <v>764</v>
      </c>
      <c r="J2094" t="s">
        <v>7</v>
      </c>
      <c r="K2094" t="s">
        <v>343</v>
      </c>
      <c r="L2094" t="s">
        <v>143</v>
      </c>
      <c r="M2094" t="s">
        <v>638</v>
      </c>
      <c r="N2094" t="s">
        <v>85</v>
      </c>
      <c r="O2094" s="6" t="s">
        <v>221</v>
      </c>
      <c r="P2094" t="s">
        <v>70</v>
      </c>
      <c r="Q2094">
        <v>6</v>
      </c>
      <c r="R2094" t="s">
        <v>214</v>
      </c>
      <c r="S2094" s="2" t="s">
        <v>7</v>
      </c>
      <c r="T2094">
        <v>8</v>
      </c>
      <c r="U2094">
        <v>8.14</v>
      </c>
      <c r="V2094">
        <v>351</v>
      </c>
      <c r="W2094" t="s">
        <v>28</v>
      </c>
      <c r="X2094">
        <v>30.06</v>
      </c>
      <c r="Y2094">
        <f>31.38-X2094</f>
        <v>1.3200000000000003</v>
      </c>
      <c r="AA2094" s="6"/>
      <c r="AB2094" s="6"/>
    </row>
    <row r="2095" spans="1:28" x14ac:dyDescent="0.2">
      <c r="A2095" t="s">
        <v>342</v>
      </c>
      <c r="B2095">
        <v>2015</v>
      </c>
      <c r="C2095" t="s">
        <v>826</v>
      </c>
      <c r="D2095" t="s">
        <v>824</v>
      </c>
      <c r="E2095" t="s">
        <v>48</v>
      </c>
      <c r="F2095" t="s">
        <v>424</v>
      </c>
      <c r="G2095">
        <v>78.916667000000004</v>
      </c>
      <c r="H2095">
        <v>11.933332999999999</v>
      </c>
      <c r="I2095" t="s">
        <v>764</v>
      </c>
      <c r="J2095" t="s">
        <v>7</v>
      </c>
      <c r="K2095" t="s">
        <v>343</v>
      </c>
      <c r="L2095" t="s">
        <v>143</v>
      </c>
      <c r="M2095" t="s">
        <v>638</v>
      </c>
      <c r="N2095" t="s">
        <v>85</v>
      </c>
      <c r="O2095" s="6" t="s">
        <v>221</v>
      </c>
      <c r="P2095" t="s">
        <v>70</v>
      </c>
      <c r="Q2095">
        <v>12</v>
      </c>
      <c r="R2095" t="s">
        <v>213</v>
      </c>
      <c r="S2095" s="2" t="s">
        <v>7</v>
      </c>
      <c r="T2095">
        <v>8</v>
      </c>
      <c r="U2095">
        <v>8.14</v>
      </c>
      <c r="V2095">
        <v>351</v>
      </c>
      <c r="W2095" t="s">
        <v>28</v>
      </c>
      <c r="X2095">
        <v>32</v>
      </c>
      <c r="Y2095">
        <f>33.45-X2095</f>
        <v>1.4500000000000028</v>
      </c>
      <c r="AA2095" s="6"/>
      <c r="AB2095" s="6"/>
    </row>
    <row r="2096" spans="1:28" x14ac:dyDescent="0.2">
      <c r="A2096" t="s">
        <v>342</v>
      </c>
      <c r="B2096">
        <v>2015</v>
      </c>
      <c r="C2096" t="s">
        <v>826</v>
      </c>
      <c r="D2096" t="s">
        <v>824</v>
      </c>
      <c r="E2096" t="s">
        <v>48</v>
      </c>
      <c r="F2096" t="s">
        <v>424</v>
      </c>
      <c r="G2096">
        <v>78.916667000000004</v>
      </c>
      <c r="H2096">
        <v>11.933332999999999</v>
      </c>
      <c r="I2096" t="s">
        <v>764</v>
      </c>
      <c r="J2096" t="s">
        <v>5</v>
      </c>
      <c r="K2096" t="s">
        <v>343</v>
      </c>
      <c r="L2096" t="s">
        <v>143</v>
      </c>
      <c r="M2096" t="s">
        <v>638</v>
      </c>
      <c r="N2096" t="s">
        <v>85</v>
      </c>
      <c r="O2096" s="6" t="s">
        <v>221</v>
      </c>
      <c r="P2096" t="s">
        <v>70</v>
      </c>
      <c r="Q2096">
        <v>2</v>
      </c>
      <c r="R2096" t="s">
        <v>214</v>
      </c>
      <c r="S2096" s="2" t="s">
        <v>9</v>
      </c>
      <c r="T2096">
        <v>8</v>
      </c>
      <c r="U2096">
        <v>7.71</v>
      </c>
      <c r="V2096">
        <v>1028</v>
      </c>
      <c r="W2096" t="s">
        <v>28</v>
      </c>
      <c r="X2096">
        <v>27.2</v>
      </c>
      <c r="Y2096">
        <f>28.85-X2096</f>
        <v>1.6500000000000021</v>
      </c>
      <c r="AA2096" s="6"/>
      <c r="AB2096" s="6"/>
    </row>
    <row r="2097" spans="1:28" x14ac:dyDescent="0.2">
      <c r="A2097" t="s">
        <v>342</v>
      </c>
      <c r="B2097">
        <v>2015</v>
      </c>
      <c r="C2097" t="s">
        <v>826</v>
      </c>
      <c r="D2097" t="s">
        <v>824</v>
      </c>
      <c r="E2097" t="s">
        <v>48</v>
      </c>
      <c r="F2097" t="s">
        <v>424</v>
      </c>
      <c r="G2097">
        <v>78.916667000000004</v>
      </c>
      <c r="H2097">
        <v>11.933332999999999</v>
      </c>
      <c r="I2097" t="s">
        <v>764</v>
      </c>
      <c r="J2097" t="s">
        <v>5</v>
      </c>
      <c r="K2097" t="s">
        <v>343</v>
      </c>
      <c r="L2097" t="s">
        <v>143</v>
      </c>
      <c r="M2097" t="s">
        <v>638</v>
      </c>
      <c r="N2097" t="s">
        <v>85</v>
      </c>
      <c r="O2097" s="6" t="s">
        <v>221</v>
      </c>
      <c r="P2097" t="s">
        <v>70</v>
      </c>
      <c r="Q2097">
        <v>6</v>
      </c>
      <c r="R2097" t="s">
        <v>214</v>
      </c>
      <c r="S2097" s="2" t="s">
        <v>9</v>
      </c>
      <c r="T2097">
        <v>8</v>
      </c>
      <c r="U2097">
        <v>7.71</v>
      </c>
      <c r="V2097">
        <v>1028</v>
      </c>
      <c r="W2097" t="s">
        <v>28</v>
      </c>
      <c r="X2097">
        <v>28.83</v>
      </c>
      <c r="Y2097">
        <f>X2097-26.29</f>
        <v>2.5399999999999991</v>
      </c>
      <c r="AA2097" s="6"/>
      <c r="AB2097" s="6"/>
    </row>
    <row r="2098" spans="1:28" x14ac:dyDescent="0.2">
      <c r="A2098" t="s">
        <v>342</v>
      </c>
      <c r="B2098">
        <v>2015</v>
      </c>
      <c r="C2098" t="s">
        <v>826</v>
      </c>
      <c r="D2098" t="s">
        <v>824</v>
      </c>
      <c r="E2098" t="s">
        <v>48</v>
      </c>
      <c r="F2098" t="s">
        <v>424</v>
      </c>
      <c r="G2098">
        <v>78.916667000000004</v>
      </c>
      <c r="H2098">
        <v>11.933332999999999</v>
      </c>
      <c r="I2098" t="s">
        <v>764</v>
      </c>
      <c r="J2098" t="s">
        <v>5</v>
      </c>
      <c r="K2098" t="s">
        <v>343</v>
      </c>
      <c r="L2098" t="s">
        <v>143</v>
      </c>
      <c r="M2098" t="s">
        <v>638</v>
      </c>
      <c r="N2098" t="s">
        <v>85</v>
      </c>
      <c r="O2098" s="6" t="s">
        <v>221</v>
      </c>
      <c r="P2098" t="s">
        <v>70</v>
      </c>
      <c r="Q2098">
        <v>12</v>
      </c>
      <c r="R2098" t="s">
        <v>213</v>
      </c>
      <c r="S2098" s="2" t="s">
        <v>9</v>
      </c>
      <c r="T2098">
        <v>8</v>
      </c>
      <c r="U2098">
        <v>7.71</v>
      </c>
      <c r="V2098">
        <v>1028</v>
      </c>
      <c r="W2098" t="s">
        <v>28</v>
      </c>
      <c r="X2098">
        <v>32.74</v>
      </c>
      <c r="Y2098">
        <f>33.94-X2098</f>
        <v>1.1999999999999957</v>
      </c>
      <c r="AA2098" s="6"/>
      <c r="AB2098" s="6"/>
    </row>
    <row r="2099" spans="1:28" x14ac:dyDescent="0.2">
      <c r="A2099" t="s">
        <v>342</v>
      </c>
      <c r="B2099">
        <v>2015</v>
      </c>
      <c r="C2099" t="s">
        <v>807</v>
      </c>
      <c r="D2099" t="s">
        <v>808</v>
      </c>
      <c r="E2099" t="s">
        <v>205</v>
      </c>
      <c r="F2099" t="s">
        <v>424</v>
      </c>
      <c r="G2099">
        <v>78.916667000000004</v>
      </c>
      <c r="H2099">
        <v>11.933332999999999</v>
      </c>
      <c r="I2099" t="s">
        <v>764</v>
      </c>
      <c r="J2099" t="s">
        <v>7</v>
      </c>
      <c r="K2099" t="s">
        <v>343</v>
      </c>
      <c r="L2099" t="s">
        <v>143</v>
      </c>
      <c r="M2099" t="s">
        <v>638</v>
      </c>
      <c r="N2099" t="s">
        <v>85</v>
      </c>
      <c r="O2099" s="6" t="s">
        <v>107</v>
      </c>
      <c r="P2099" t="s">
        <v>70</v>
      </c>
      <c r="Q2099">
        <v>2</v>
      </c>
      <c r="R2099" t="s">
        <v>214</v>
      </c>
      <c r="S2099" s="2" t="s">
        <v>7</v>
      </c>
      <c r="T2099">
        <v>8</v>
      </c>
      <c r="U2099">
        <v>8.14</v>
      </c>
      <c r="V2099">
        <v>351</v>
      </c>
      <c r="W2099" t="s">
        <v>28</v>
      </c>
      <c r="X2099">
        <v>2.0499999999999998</v>
      </c>
      <c r="Y2099">
        <f>2.212-X2099</f>
        <v>0.16200000000000037</v>
      </c>
      <c r="AA2099" s="6"/>
      <c r="AB2099" s="6"/>
    </row>
    <row r="2100" spans="1:28" x14ac:dyDescent="0.2">
      <c r="A2100" t="s">
        <v>342</v>
      </c>
      <c r="B2100">
        <v>2015</v>
      </c>
      <c r="C2100" t="s">
        <v>807</v>
      </c>
      <c r="D2100" t="s">
        <v>808</v>
      </c>
      <c r="E2100" t="s">
        <v>205</v>
      </c>
      <c r="F2100" t="s">
        <v>424</v>
      </c>
      <c r="G2100">
        <v>78.916667000000004</v>
      </c>
      <c r="H2100">
        <v>11.933332999999999</v>
      </c>
      <c r="I2100" t="s">
        <v>764</v>
      </c>
      <c r="J2100" t="s">
        <v>7</v>
      </c>
      <c r="K2100" t="s">
        <v>343</v>
      </c>
      <c r="L2100" t="s">
        <v>143</v>
      </c>
      <c r="M2100" t="s">
        <v>638</v>
      </c>
      <c r="N2100" t="s">
        <v>85</v>
      </c>
      <c r="O2100" s="6" t="s">
        <v>107</v>
      </c>
      <c r="P2100" t="s">
        <v>70</v>
      </c>
      <c r="Q2100">
        <v>6</v>
      </c>
      <c r="R2100" t="s">
        <v>214</v>
      </c>
      <c r="S2100" s="2" t="s">
        <v>7</v>
      </c>
      <c r="T2100">
        <v>8</v>
      </c>
      <c r="U2100">
        <v>8.14</v>
      </c>
      <c r="V2100">
        <v>351</v>
      </c>
      <c r="W2100" t="s">
        <v>28</v>
      </c>
      <c r="X2100">
        <v>1.369</v>
      </c>
      <c r="Y2100">
        <f>1.408-X2100</f>
        <v>3.8999999999999924E-2</v>
      </c>
      <c r="AA2100" s="6"/>
      <c r="AB2100" s="6"/>
    </row>
    <row r="2101" spans="1:28" x14ac:dyDescent="0.2">
      <c r="A2101" t="s">
        <v>342</v>
      </c>
      <c r="B2101">
        <v>2015</v>
      </c>
      <c r="C2101" t="s">
        <v>807</v>
      </c>
      <c r="D2101" t="s">
        <v>808</v>
      </c>
      <c r="E2101" t="s">
        <v>205</v>
      </c>
      <c r="F2101" t="s">
        <v>424</v>
      </c>
      <c r="G2101">
        <v>78.916667000000004</v>
      </c>
      <c r="H2101">
        <v>11.933332999999999</v>
      </c>
      <c r="I2101" t="s">
        <v>764</v>
      </c>
      <c r="J2101" t="s">
        <v>7</v>
      </c>
      <c r="K2101" t="s">
        <v>343</v>
      </c>
      <c r="L2101" t="s">
        <v>143</v>
      </c>
      <c r="M2101" t="s">
        <v>638</v>
      </c>
      <c r="N2101" t="s">
        <v>85</v>
      </c>
      <c r="O2101" s="6" t="s">
        <v>107</v>
      </c>
      <c r="P2101" t="s">
        <v>70</v>
      </c>
      <c r="Q2101">
        <v>12</v>
      </c>
      <c r="R2101" t="s">
        <v>213</v>
      </c>
      <c r="S2101" s="2" t="s">
        <v>7</v>
      </c>
      <c r="T2101">
        <v>8</v>
      </c>
      <c r="U2101">
        <v>8.14</v>
      </c>
      <c r="V2101">
        <v>351</v>
      </c>
      <c r="W2101" t="s">
        <v>28</v>
      </c>
      <c r="X2101">
        <v>1.542</v>
      </c>
      <c r="Y2101">
        <f>X2101-1.365</f>
        <v>0.17700000000000005</v>
      </c>
      <c r="AA2101" s="6"/>
      <c r="AB2101" s="6"/>
    </row>
    <row r="2102" spans="1:28" x14ac:dyDescent="0.2">
      <c r="A2102" t="s">
        <v>342</v>
      </c>
      <c r="B2102">
        <v>2015</v>
      </c>
      <c r="C2102" t="s">
        <v>807</v>
      </c>
      <c r="D2102" t="s">
        <v>808</v>
      </c>
      <c r="E2102" t="s">
        <v>205</v>
      </c>
      <c r="F2102" t="s">
        <v>424</v>
      </c>
      <c r="G2102">
        <v>78.916667000000004</v>
      </c>
      <c r="H2102">
        <v>11.933332999999999</v>
      </c>
      <c r="I2102" t="s">
        <v>764</v>
      </c>
      <c r="J2102" t="s">
        <v>5</v>
      </c>
      <c r="K2102" t="s">
        <v>343</v>
      </c>
      <c r="L2102" t="s">
        <v>143</v>
      </c>
      <c r="M2102" t="s">
        <v>638</v>
      </c>
      <c r="N2102" t="s">
        <v>85</v>
      </c>
      <c r="O2102" s="6" t="s">
        <v>107</v>
      </c>
      <c r="P2102" t="s">
        <v>70</v>
      </c>
      <c r="Q2102">
        <v>2</v>
      </c>
      <c r="R2102" t="s">
        <v>214</v>
      </c>
      <c r="S2102" s="2" t="s">
        <v>9</v>
      </c>
      <c r="T2102">
        <v>8</v>
      </c>
      <c r="U2102">
        <v>7.71</v>
      </c>
      <c r="V2102">
        <v>1028</v>
      </c>
      <c r="W2102" t="s">
        <v>28</v>
      </c>
      <c r="X2102">
        <v>1.631</v>
      </c>
      <c r="Y2102">
        <f>X2102-1.5</f>
        <v>0.13100000000000001</v>
      </c>
      <c r="AA2102" s="6"/>
      <c r="AB2102" s="6"/>
    </row>
    <row r="2103" spans="1:28" x14ac:dyDescent="0.2">
      <c r="A2103" t="s">
        <v>342</v>
      </c>
      <c r="B2103">
        <v>2015</v>
      </c>
      <c r="C2103" t="s">
        <v>807</v>
      </c>
      <c r="D2103" t="s">
        <v>808</v>
      </c>
      <c r="E2103" t="s">
        <v>205</v>
      </c>
      <c r="F2103" t="s">
        <v>424</v>
      </c>
      <c r="G2103">
        <v>78.916667000000004</v>
      </c>
      <c r="H2103">
        <v>11.933332999999999</v>
      </c>
      <c r="I2103" t="s">
        <v>764</v>
      </c>
      <c r="J2103" t="s">
        <v>5</v>
      </c>
      <c r="K2103" t="s">
        <v>343</v>
      </c>
      <c r="L2103" t="s">
        <v>143</v>
      </c>
      <c r="M2103" t="s">
        <v>638</v>
      </c>
      <c r="N2103" t="s">
        <v>85</v>
      </c>
      <c r="O2103" s="6" t="s">
        <v>107</v>
      </c>
      <c r="P2103" t="s">
        <v>70</v>
      </c>
      <c r="Q2103">
        <v>6</v>
      </c>
      <c r="R2103" t="s">
        <v>214</v>
      </c>
      <c r="S2103" s="2" t="s">
        <v>9</v>
      </c>
      <c r="T2103">
        <v>8</v>
      </c>
      <c r="U2103">
        <v>7.71</v>
      </c>
      <c r="V2103">
        <v>1028</v>
      </c>
      <c r="W2103" t="s">
        <v>28</v>
      </c>
      <c r="X2103">
        <v>1.7809999999999999</v>
      </c>
      <c r="Y2103">
        <f>1.927-X2103</f>
        <v>0.14600000000000013</v>
      </c>
      <c r="AA2103" s="6"/>
      <c r="AB2103" s="6"/>
    </row>
    <row r="2104" spans="1:28" x14ac:dyDescent="0.2">
      <c r="A2104" t="s">
        <v>342</v>
      </c>
      <c r="B2104">
        <v>2015</v>
      </c>
      <c r="C2104" t="s">
        <v>807</v>
      </c>
      <c r="D2104" t="s">
        <v>808</v>
      </c>
      <c r="E2104" t="s">
        <v>205</v>
      </c>
      <c r="F2104" t="s">
        <v>424</v>
      </c>
      <c r="G2104">
        <v>78.916667000000004</v>
      </c>
      <c r="H2104">
        <v>11.933332999999999</v>
      </c>
      <c r="I2104" t="s">
        <v>764</v>
      </c>
      <c r="J2104" t="s">
        <v>5</v>
      </c>
      <c r="K2104" t="s">
        <v>343</v>
      </c>
      <c r="L2104" t="s">
        <v>143</v>
      </c>
      <c r="M2104" t="s">
        <v>638</v>
      </c>
      <c r="N2104" t="s">
        <v>85</v>
      </c>
      <c r="O2104" s="6" t="s">
        <v>107</v>
      </c>
      <c r="P2104" t="s">
        <v>70</v>
      </c>
      <c r="Q2104">
        <v>12</v>
      </c>
      <c r="R2104" t="s">
        <v>213</v>
      </c>
      <c r="S2104" s="2" t="s">
        <v>9</v>
      </c>
      <c r="T2104">
        <v>8</v>
      </c>
      <c r="U2104">
        <v>7.71</v>
      </c>
      <c r="V2104">
        <v>1028</v>
      </c>
      <c r="W2104" t="s">
        <v>28</v>
      </c>
      <c r="X2104">
        <v>1.627</v>
      </c>
      <c r="Y2104">
        <f>X2104-1.488</f>
        <v>0.13900000000000001</v>
      </c>
      <c r="AA2104" s="6"/>
      <c r="AB2104" s="6"/>
    </row>
    <row r="2105" spans="1:28" x14ac:dyDescent="0.2">
      <c r="A2105" t="s">
        <v>342</v>
      </c>
      <c r="B2105">
        <v>2015</v>
      </c>
      <c r="C2105" t="s">
        <v>826</v>
      </c>
      <c r="D2105" t="s">
        <v>824</v>
      </c>
      <c r="E2105" t="s">
        <v>48</v>
      </c>
      <c r="F2105" t="s">
        <v>424</v>
      </c>
      <c r="G2105">
        <v>78.916667000000004</v>
      </c>
      <c r="H2105">
        <v>11.933332999999999</v>
      </c>
      <c r="I2105" t="s">
        <v>764</v>
      </c>
      <c r="J2105" t="s">
        <v>7</v>
      </c>
      <c r="K2105" t="s">
        <v>343</v>
      </c>
      <c r="L2105" t="s">
        <v>143</v>
      </c>
      <c r="M2105" t="s">
        <v>638</v>
      </c>
      <c r="N2105" t="s">
        <v>85</v>
      </c>
      <c r="O2105" s="6" t="s">
        <v>107</v>
      </c>
      <c r="P2105" t="s">
        <v>70</v>
      </c>
      <c r="Q2105">
        <v>2</v>
      </c>
      <c r="R2105" t="s">
        <v>214</v>
      </c>
      <c r="S2105" s="2" t="s">
        <v>7</v>
      </c>
      <c r="T2105">
        <v>8</v>
      </c>
      <c r="U2105">
        <v>8.14</v>
      </c>
      <c r="V2105">
        <v>351</v>
      </c>
      <c r="W2105" t="s">
        <v>28</v>
      </c>
      <c r="X2105">
        <v>0.98</v>
      </c>
      <c r="Y2105">
        <f>1.143-X2105</f>
        <v>0.16300000000000003</v>
      </c>
      <c r="AA2105" s="6"/>
      <c r="AB2105" s="6"/>
    </row>
    <row r="2106" spans="1:28" x14ac:dyDescent="0.2">
      <c r="A2106" t="s">
        <v>342</v>
      </c>
      <c r="B2106">
        <v>2015</v>
      </c>
      <c r="C2106" t="s">
        <v>826</v>
      </c>
      <c r="D2106" t="s">
        <v>824</v>
      </c>
      <c r="E2106" t="s">
        <v>48</v>
      </c>
      <c r="F2106" t="s">
        <v>424</v>
      </c>
      <c r="G2106">
        <v>78.916667000000004</v>
      </c>
      <c r="H2106">
        <v>11.933332999999999</v>
      </c>
      <c r="I2106" t="s">
        <v>764</v>
      </c>
      <c r="J2106" t="s">
        <v>7</v>
      </c>
      <c r="K2106" t="s">
        <v>343</v>
      </c>
      <c r="L2106" t="s">
        <v>143</v>
      </c>
      <c r="M2106" t="s">
        <v>638</v>
      </c>
      <c r="N2106" t="s">
        <v>85</v>
      </c>
      <c r="O2106" s="6" t="s">
        <v>107</v>
      </c>
      <c r="P2106" t="s">
        <v>70</v>
      </c>
      <c r="Q2106">
        <v>6</v>
      </c>
      <c r="R2106" t="s">
        <v>214</v>
      </c>
      <c r="S2106" s="2" t="s">
        <v>7</v>
      </c>
      <c r="T2106">
        <v>8</v>
      </c>
      <c r="U2106">
        <v>8.14</v>
      </c>
      <c r="V2106">
        <v>351</v>
      </c>
      <c r="W2106" t="s">
        <v>28</v>
      </c>
      <c r="X2106">
        <v>0.97599999999999998</v>
      </c>
      <c r="Y2106">
        <f>1.033-X2106</f>
        <v>5.699999999999994E-2</v>
      </c>
      <c r="AA2106" s="6"/>
      <c r="AB2106" s="6"/>
    </row>
    <row r="2107" spans="1:28" x14ac:dyDescent="0.2">
      <c r="A2107" t="s">
        <v>342</v>
      </c>
      <c r="B2107">
        <v>2015</v>
      </c>
      <c r="C2107" t="s">
        <v>826</v>
      </c>
      <c r="D2107" t="s">
        <v>824</v>
      </c>
      <c r="E2107" t="s">
        <v>48</v>
      </c>
      <c r="F2107" t="s">
        <v>424</v>
      </c>
      <c r="G2107">
        <v>78.916667000000004</v>
      </c>
      <c r="H2107">
        <v>11.933332999999999</v>
      </c>
      <c r="I2107" t="s">
        <v>764</v>
      </c>
      <c r="J2107" t="s">
        <v>7</v>
      </c>
      <c r="K2107" t="s">
        <v>343</v>
      </c>
      <c r="L2107" t="s">
        <v>143</v>
      </c>
      <c r="M2107" t="s">
        <v>638</v>
      </c>
      <c r="N2107" t="s">
        <v>85</v>
      </c>
      <c r="O2107" s="6" t="s">
        <v>107</v>
      </c>
      <c r="P2107" t="s">
        <v>70</v>
      </c>
      <c r="Q2107">
        <v>12</v>
      </c>
      <c r="R2107" t="s">
        <v>213</v>
      </c>
      <c r="S2107" s="2" t="s">
        <v>7</v>
      </c>
      <c r="T2107">
        <v>8</v>
      </c>
      <c r="U2107">
        <v>8.14</v>
      </c>
      <c r="V2107">
        <v>351</v>
      </c>
      <c r="W2107" t="s">
        <v>28</v>
      </c>
      <c r="X2107">
        <v>0.84599999999999997</v>
      </c>
      <c r="Y2107">
        <f>0.888-X2107</f>
        <v>4.2000000000000037E-2</v>
      </c>
      <c r="AA2107" s="6"/>
      <c r="AB2107" s="6"/>
    </row>
    <row r="2108" spans="1:28" x14ac:dyDescent="0.2">
      <c r="A2108" t="s">
        <v>342</v>
      </c>
      <c r="B2108">
        <v>2015</v>
      </c>
      <c r="C2108" t="s">
        <v>826</v>
      </c>
      <c r="D2108" t="s">
        <v>824</v>
      </c>
      <c r="E2108" t="s">
        <v>48</v>
      </c>
      <c r="F2108" t="s">
        <v>424</v>
      </c>
      <c r="G2108">
        <v>78.916667000000004</v>
      </c>
      <c r="H2108">
        <v>11.933332999999999</v>
      </c>
      <c r="I2108" t="s">
        <v>764</v>
      </c>
      <c r="J2108" t="s">
        <v>5</v>
      </c>
      <c r="K2108" t="s">
        <v>343</v>
      </c>
      <c r="L2108" t="s">
        <v>143</v>
      </c>
      <c r="M2108" t="s">
        <v>638</v>
      </c>
      <c r="N2108" t="s">
        <v>85</v>
      </c>
      <c r="O2108" s="6" t="s">
        <v>107</v>
      </c>
      <c r="P2108" t="s">
        <v>70</v>
      </c>
      <c r="Q2108">
        <v>2</v>
      </c>
      <c r="R2108" t="s">
        <v>214</v>
      </c>
      <c r="S2108" s="2" t="s">
        <v>9</v>
      </c>
      <c r="T2108">
        <v>8</v>
      </c>
      <c r="U2108">
        <v>7.71</v>
      </c>
      <c r="V2108">
        <v>1028</v>
      </c>
      <c r="W2108" t="s">
        <v>28</v>
      </c>
      <c r="X2108">
        <v>1.57</v>
      </c>
      <c r="Y2108">
        <f>1.855-X2108</f>
        <v>0.28499999999999992</v>
      </c>
      <c r="AA2108" s="6"/>
      <c r="AB2108" s="6"/>
    </row>
    <row r="2109" spans="1:28" x14ac:dyDescent="0.2">
      <c r="A2109" t="s">
        <v>342</v>
      </c>
      <c r="B2109">
        <v>2015</v>
      </c>
      <c r="C2109" t="s">
        <v>826</v>
      </c>
      <c r="D2109" t="s">
        <v>824</v>
      </c>
      <c r="E2109" t="s">
        <v>48</v>
      </c>
      <c r="F2109" t="s">
        <v>424</v>
      </c>
      <c r="G2109">
        <v>78.916667000000004</v>
      </c>
      <c r="H2109">
        <v>11.933332999999999</v>
      </c>
      <c r="I2109" t="s">
        <v>764</v>
      </c>
      <c r="J2109" t="s">
        <v>5</v>
      </c>
      <c r="K2109" t="s">
        <v>343</v>
      </c>
      <c r="L2109" t="s">
        <v>143</v>
      </c>
      <c r="M2109" t="s">
        <v>638</v>
      </c>
      <c r="N2109" t="s">
        <v>85</v>
      </c>
      <c r="O2109" s="6" t="s">
        <v>107</v>
      </c>
      <c r="P2109" t="s">
        <v>70</v>
      </c>
      <c r="Q2109">
        <v>6</v>
      </c>
      <c r="R2109" t="s">
        <v>214</v>
      </c>
      <c r="S2109" s="2" t="s">
        <v>9</v>
      </c>
      <c r="T2109">
        <v>8</v>
      </c>
      <c r="U2109">
        <v>7.71</v>
      </c>
      <c r="V2109">
        <v>1028</v>
      </c>
      <c r="W2109" t="s">
        <v>28</v>
      </c>
      <c r="X2109">
        <v>1.391</v>
      </c>
      <c r="Y2109">
        <f>1.589-X2109</f>
        <v>0.19799999999999995</v>
      </c>
      <c r="AA2109" s="6"/>
      <c r="AB2109" s="6"/>
    </row>
    <row r="2110" spans="1:28" x14ac:dyDescent="0.2">
      <c r="A2110" t="s">
        <v>342</v>
      </c>
      <c r="B2110">
        <v>2015</v>
      </c>
      <c r="C2110" t="s">
        <v>826</v>
      </c>
      <c r="D2110" t="s">
        <v>824</v>
      </c>
      <c r="E2110" t="s">
        <v>48</v>
      </c>
      <c r="F2110" t="s">
        <v>424</v>
      </c>
      <c r="G2110">
        <v>78.916667000000004</v>
      </c>
      <c r="H2110">
        <v>11.933332999999999</v>
      </c>
      <c r="I2110" t="s">
        <v>764</v>
      </c>
      <c r="J2110" t="s">
        <v>5</v>
      </c>
      <c r="K2110" t="s">
        <v>343</v>
      </c>
      <c r="L2110" t="s">
        <v>143</v>
      </c>
      <c r="M2110" t="s">
        <v>638</v>
      </c>
      <c r="N2110" t="s">
        <v>85</v>
      </c>
      <c r="O2110" s="6" t="s">
        <v>107</v>
      </c>
      <c r="P2110" t="s">
        <v>70</v>
      </c>
      <c r="Q2110">
        <v>12</v>
      </c>
      <c r="R2110" t="s">
        <v>213</v>
      </c>
      <c r="S2110" s="2" t="s">
        <v>9</v>
      </c>
      <c r="T2110">
        <v>8</v>
      </c>
      <c r="U2110">
        <v>7.71</v>
      </c>
      <c r="V2110">
        <v>1028</v>
      </c>
      <c r="W2110" t="s">
        <v>28</v>
      </c>
      <c r="X2110">
        <v>1.2010000000000001</v>
      </c>
      <c r="Y2110">
        <f>X2110-0.987</f>
        <v>0.21400000000000008</v>
      </c>
      <c r="AA2110" s="6"/>
      <c r="AB2110" s="6"/>
    </row>
    <row r="2111" spans="1:28" x14ac:dyDescent="0.2">
      <c r="A2111" t="s">
        <v>342</v>
      </c>
      <c r="B2111">
        <v>2015</v>
      </c>
      <c r="C2111" t="s">
        <v>807</v>
      </c>
      <c r="D2111" t="s">
        <v>808</v>
      </c>
      <c r="E2111" t="s">
        <v>205</v>
      </c>
      <c r="F2111" t="s">
        <v>424</v>
      </c>
      <c r="G2111">
        <v>78.916667000000004</v>
      </c>
      <c r="H2111">
        <v>11.933332999999999</v>
      </c>
      <c r="I2111" t="s">
        <v>764</v>
      </c>
      <c r="J2111" t="s">
        <v>7</v>
      </c>
      <c r="K2111" t="s">
        <v>343</v>
      </c>
      <c r="L2111" t="s">
        <v>143</v>
      </c>
      <c r="M2111" t="s">
        <v>638</v>
      </c>
      <c r="N2111" t="s">
        <v>86</v>
      </c>
      <c r="O2111" s="6" t="s">
        <v>272</v>
      </c>
      <c r="Q2111">
        <v>2</v>
      </c>
      <c r="R2111" t="s">
        <v>214</v>
      </c>
      <c r="S2111" s="2" t="s">
        <v>7</v>
      </c>
      <c r="T2111">
        <v>8</v>
      </c>
      <c r="U2111">
        <v>8.14</v>
      </c>
      <c r="V2111">
        <v>351</v>
      </c>
      <c r="W2111" t="s">
        <v>28</v>
      </c>
      <c r="X2111">
        <v>17.7</v>
      </c>
      <c r="Y2111">
        <f>X2111-16.35</f>
        <v>1.3499999999999979</v>
      </c>
      <c r="AA2111" s="6"/>
      <c r="AB2111" s="6"/>
    </row>
    <row r="2112" spans="1:28" x14ac:dyDescent="0.2">
      <c r="A2112" t="s">
        <v>342</v>
      </c>
      <c r="B2112">
        <v>2015</v>
      </c>
      <c r="C2112" t="s">
        <v>807</v>
      </c>
      <c r="D2112" t="s">
        <v>808</v>
      </c>
      <c r="E2112" t="s">
        <v>205</v>
      </c>
      <c r="F2112" t="s">
        <v>424</v>
      </c>
      <c r="G2112">
        <v>78.916667000000004</v>
      </c>
      <c r="H2112">
        <v>11.933332999999999</v>
      </c>
      <c r="I2112" t="s">
        <v>764</v>
      </c>
      <c r="J2112" t="s">
        <v>7</v>
      </c>
      <c r="K2112" t="s">
        <v>343</v>
      </c>
      <c r="L2112" t="s">
        <v>143</v>
      </c>
      <c r="M2112" t="s">
        <v>638</v>
      </c>
      <c r="N2112" t="s">
        <v>86</v>
      </c>
      <c r="O2112" s="6" t="s">
        <v>272</v>
      </c>
      <c r="Q2112">
        <v>6</v>
      </c>
      <c r="R2112" t="s">
        <v>214</v>
      </c>
      <c r="S2112" s="2" t="s">
        <v>7</v>
      </c>
      <c r="T2112">
        <v>8</v>
      </c>
      <c r="U2112">
        <v>8.14</v>
      </c>
      <c r="V2112">
        <v>351</v>
      </c>
      <c r="W2112" t="s">
        <v>28</v>
      </c>
      <c r="X2112">
        <v>27.83</v>
      </c>
      <c r="Y2112">
        <f>33.79-X2112</f>
        <v>5.9600000000000009</v>
      </c>
      <c r="AA2112" s="6"/>
      <c r="AB2112" s="6"/>
    </row>
    <row r="2113" spans="1:28" x14ac:dyDescent="0.2">
      <c r="A2113" t="s">
        <v>342</v>
      </c>
      <c r="B2113">
        <v>2015</v>
      </c>
      <c r="C2113" t="s">
        <v>807</v>
      </c>
      <c r="D2113" t="s">
        <v>808</v>
      </c>
      <c r="E2113" t="s">
        <v>205</v>
      </c>
      <c r="F2113" t="s">
        <v>424</v>
      </c>
      <c r="G2113">
        <v>78.916667000000004</v>
      </c>
      <c r="H2113">
        <v>11.933332999999999</v>
      </c>
      <c r="I2113" t="s">
        <v>764</v>
      </c>
      <c r="J2113" t="s">
        <v>7</v>
      </c>
      <c r="K2113" t="s">
        <v>343</v>
      </c>
      <c r="L2113" t="s">
        <v>143</v>
      </c>
      <c r="M2113" t="s">
        <v>638</v>
      </c>
      <c r="N2113" t="s">
        <v>86</v>
      </c>
      <c r="O2113" s="6" t="s">
        <v>272</v>
      </c>
      <c r="Q2113">
        <v>12</v>
      </c>
      <c r="R2113" t="s">
        <v>213</v>
      </c>
      <c r="S2113" s="2" t="s">
        <v>7</v>
      </c>
      <c r="T2113">
        <v>8</v>
      </c>
      <c r="U2113">
        <v>8.14</v>
      </c>
      <c r="V2113">
        <v>351</v>
      </c>
      <c r="W2113" t="s">
        <v>28</v>
      </c>
      <c r="X2113">
        <v>24.26</v>
      </c>
      <c r="Y2113">
        <f>X2113-19.96</f>
        <v>4.3000000000000007</v>
      </c>
      <c r="AA2113" s="6"/>
      <c r="AB2113" s="6"/>
    </row>
    <row r="2114" spans="1:28" x14ac:dyDescent="0.2">
      <c r="A2114" t="s">
        <v>342</v>
      </c>
      <c r="B2114">
        <v>2015</v>
      </c>
      <c r="C2114" t="s">
        <v>807</v>
      </c>
      <c r="D2114" t="s">
        <v>808</v>
      </c>
      <c r="E2114" t="s">
        <v>205</v>
      </c>
      <c r="F2114" t="s">
        <v>424</v>
      </c>
      <c r="G2114">
        <v>78.916667000000004</v>
      </c>
      <c r="H2114">
        <v>11.933332999999999</v>
      </c>
      <c r="I2114" t="s">
        <v>764</v>
      </c>
      <c r="J2114" t="s">
        <v>5</v>
      </c>
      <c r="K2114" t="s">
        <v>343</v>
      </c>
      <c r="L2114" t="s">
        <v>143</v>
      </c>
      <c r="M2114" t="s">
        <v>638</v>
      </c>
      <c r="N2114" t="s">
        <v>86</v>
      </c>
      <c r="O2114" s="6" t="s">
        <v>272</v>
      </c>
      <c r="Q2114">
        <v>2</v>
      </c>
      <c r="R2114" t="s">
        <v>214</v>
      </c>
      <c r="S2114" s="2" t="s">
        <v>9</v>
      </c>
      <c r="T2114">
        <v>8</v>
      </c>
      <c r="U2114">
        <v>7.71</v>
      </c>
      <c r="V2114">
        <v>1028</v>
      </c>
      <c r="W2114" t="s">
        <v>28</v>
      </c>
      <c r="X2114">
        <v>24.04</v>
      </c>
      <c r="Y2114">
        <f>28.86-X2114</f>
        <v>4.82</v>
      </c>
      <c r="AA2114" s="6"/>
      <c r="AB2114" s="6"/>
    </row>
    <row r="2115" spans="1:28" x14ac:dyDescent="0.2">
      <c r="A2115" t="s">
        <v>342</v>
      </c>
      <c r="B2115">
        <v>2015</v>
      </c>
      <c r="C2115" t="s">
        <v>807</v>
      </c>
      <c r="D2115" t="s">
        <v>808</v>
      </c>
      <c r="E2115" t="s">
        <v>205</v>
      </c>
      <c r="F2115" t="s">
        <v>424</v>
      </c>
      <c r="G2115">
        <v>78.916667000000004</v>
      </c>
      <c r="H2115">
        <v>11.933332999999999</v>
      </c>
      <c r="I2115" t="s">
        <v>764</v>
      </c>
      <c r="J2115" t="s">
        <v>5</v>
      </c>
      <c r="K2115" t="s">
        <v>343</v>
      </c>
      <c r="L2115" t="s">
        <v>143</v>
      </c>
      <c r="M2115" t="s">
        <v>638</v>
      </c>
      <c r="N2115" t="s">
        <v>86</v>
      </c>
      <c r="O2115" s="6" t="s">
        <v>272</v>
      </c>
      <c r="Q2115">
        <v>6</v>
      </c>
      <c r="R2115" t="s">
        <v>214</v>
      </c>
      <c r="S2115" s="2" t="s">
        <v>9</v>
      </c>
      <c r="T2115">
        <v>8</v>
      </c>
      <c r="U2115">
        <v>7.71</v>
      </c>
      <c r="V2115">
        <v>1028</v>
      </c>
      <c r="W2115" t="s">
        <v>28</v>
      </c>
      <c r="X2115">
        <v>22.41</v>
      </c>
      <c r="Y2115">
        <f>X2115-18.64</f>
        <v>3.7699999999999996</v>
      </c>
      <c r="AA2115" s="6"/>
      <c r="AB2115" s="6"/>
    </row>
    <row r="2116" spans="1:28" x14ac:dyDescent="0.2">
      <c r="A2116" t="s">
        <v>342</v>
      </c>
      <c r="B2116">
        <v>2015</v>
      </c>
      <c r="C2116" t="s">
        <v>807</v>
      </c>
      <c r="D2116" t="s">
        <v>808</v>
      </c>
      <c r="E2116" t="s">
        <v>205</v>
      </c>
      <c r="F2116" t="s">
        <v>424</v>
      </c>
      <c r="G2116">
        <v>78.916667000000004</v>
      </c>
      <c r="H2116">
        <v>11.933332999999999</v>
      </c>
      <c r="I2116" t="s">
        <v>764</v>
      </c>
      <c r="J2116" t="s">
        <v>5</v>
      </c>
      <c r="K2116" t="s">
        <v>343</v>
      </c>
      <c r="L2116" t="s">
        <v>143</v>
      </c>
      <c r="M2116" t="s">
        <v>638</v>
      </c>
      <c r="N2116" t="s">
        <v>86</v>
      </c>
      <c r="O2116" s="6" t="s">
        <v>272</v>
      </c>
      <c r="Q2116">
        <v>12</v>
      </c>
      <c r="R2116" t="s">
        <v>213</v>
      </c>
      <c r="S2116" s="2" t="s">
        <v>9</v>
      </c>
      <c r="T2116">
        <v>8</v>
      </c>
      <c r="U2116">
        <v>7.71</v>
      </c>
      <c r="V2116">
        <v>1028</v>
      </c>
      <c r="W2116" t="s">
        <v>28</v>
      </c>
      <c r="X2116">
        <v>25.09</v>
      </c>
      <c r="Y2116">
        <f>29.54-X2116</f>
        <v>4.4499999999999993</v>
      </c>
      <c r="AA2116" s="6"/>
      <c r="AB2116" s="6"/>
    </row>
    <row r="2117" spans="1:28" x14ac:dyDescent="0.2">
      <c r="A2117" t="s">
        <v>342</v>
      </c>
      <c r="B2117">
        <v>2015</v>
      </c>
      <c r="C2117" t="s">
        <v>826</v>
      </c>
      <c r="D2117" t="s">
        <v>824</v>
      </c>
      <c r="E2117" t="s">
        <v>48</v>
      </c>
      <c r="F2117" t="s">
        <v>424</v>
      </c>
      <c r="G2117">
        <v>78.916667000000004</v>
      </c>
      <c r="H2117">
        <v>11.933332999999999</v>
      </c>
      <c r="I2117" t="s">
        <v>764</v>
      </c>
      <c r="J2117" t="s">
        <v>7</v>
      </c>
      <c r="K2117" t="s">
        <v>343</v>
      </c>
      <c r="L2117" t="s">
        <v>143</v>
      </c>
      <c r="M2117" t="s">
        <v>638</v>
      </c>
      <c r="N2117" t="s">
        <v>86</v>
      </c>
      <c r="O2117" s="6" t="s">
        <v>272</v>
      </c>
      <c r="Q2117">
        <v>2</v>
      </c>
      <c r="R2117" t="s">
        <v>214</v>
      </c>
      <c r="S2117" s="2" t="s">
        <v>7</v>
      </c>
      <c r="T2117">
        <v>8</v>
      </c>
      <c r="U2117">
        <v>8.14</v>
      </c>
      <c r="V2117">
        <v>351</v>
      </c>
      <c r="W2117" t="s">
        <v>28</v>
      </c>
      <c r="X2117">
        <v>35.89</v>
      </c>
      <c r="Y2117">
        <f>42.02-X2117</f>
        <v>6.1300000000000026</v>
      </c>
      <c r="AA2117" s="6"/>
      <c r="AB2117" s="6"/>
    </row>
    <row r="2118" spans="1:28" x14ac:dyDescent="0.2">
      <c r="A2118" t="s">
        <v>342</v>
      </c>
      <c r="B2118">
        <v>2015</v>
      </c>
      <c r="C2118" t="s">
        <v>826</v>
      </c>
      <c r="D2118" t="s">
        <v>824</v>
      </c>
      <c r="E2118" t="s">
        <v>48</v>
      </c>
      <c r="F2118" t="s">
        <v>424</v>
      </c>
      <c r="G2118">
        <v>78.916667000000004</v>
      </c>
      <c r="H2118">
        <v>11.933332999999999</v>
      </c>
      <c r="I2118" t="s">
        <v>764</v>
      </c>
      <c r="J2118" t="s">
        <v>7</v>
      </c>
      <c r="K2118" t="s">
        <v>343</v>
      </c>
      <c r="L2118" t="s">
        <v>143</v>
      </c>
      <c r="M2118" t="s">
        <v>638</v>
      </c>
      <c r="N2118" t="s">
        <v>86</v>
      </c>
      <c r="O2118" s="6" t="s">
        <v>272</v>
      </c>
      <c r="Q2118">
        <v>6</v>
      </c>
      <c r="R2118" t="s">
        <v>214</v>
      </c>
      <c r="S2118" s="2" t="s">
        <v>7</v>
      </c>
      <c r="T2118">
        <v>8</v>
      </c>
      <c r="U2118">
        <v>8.14</v>
      </c>
      <c r="V2118">
        <v>351</v>
      </c>
      <c r="W2118" t="s">
        <v>28</v>
      </c>
      <c r="X2118">
        <v>35.89</v>
      </c>
      <c r="Y2118">
        <f>38.5-X2118</f>
        <v>2.6099999999999994</v>
      </c>
      <c r="AA2118" s="6"/>
      <c r="AB2118" s="6"/>
    </row>
    <row r="2119" spans="1:28" x14ac:dyDescent="0.2">
      <c r="A2119" t="s">
        <v>342</v>
      </c>
      <c r="B2119">
        <v>2015</v>
      </c>
      <c r="C2119" t="s">
        <v>826</v>
      </c>
      <c r="D2119" t="s">
        <v>824</v>
      </c>
      <c r="E2119" t="s">
        <v>48</v>
      </c>
      <c r="F2119" t="s">
        <v>424</v>
      </c>
      <c r="G2119">
        <v>78.916667000000004</v>
      </c>
      <c r="H2119">
        <v>11.933332999999999</v>
      </c>
      <c r="I2119" t="s">
        <v>764</v>
      </c>
      <c r="J2119" t="s">
        <v>7</v>
      </c>
      <c r="K2119" t="s">
        <v>343</v>
      </c>
      <c r="L2119" t="s">
        <v>143</v>
      </c>
      <c r="M2119" t="s">
        <v>638</v>
      </c>
      <c r="N2119" t="s">
        <v>86</v>
      </c>
      <c r="O2119" s="6" t="s">
        <v>272</v>
      </c>
      <c r="Q2119">
        <v>12</v>
      </c>
      <c r="R2119" t="s">
        <v>213</v>
      </c>
      <c r="S2119" s="2" t="s">
        <v>7</v>
      </c>
      <c r="T2119">
        <v>8</v>
      </c>
      <c r="U2119">
        <v>8.14</v>
      </c>
      <c r="V2119">
        <v>351</v>
      </c>
      <c r="W2119" t="s">
        <v>28</v>
      </c>
      <c r="X2119">
        <v>44.04</v>
      </c>
      <c r="Y2119">
        <f>46.66-X2119</f>
        <v>2.6199999999999974</v>
      </c>
      <c r="AA2119" s="6"/>
      <c r="AB2119" s="6"/>
    </row>
    <row r="2120" spans="1:28" x14ac:dyDescent="0.2">
      <c r="A2120" t="s">
        <v>342</v>
      </c>
      <c r="B2120">
        <v>2015</v>
      </c>
      <c r="C2120" t="s">
        <v>826</v>
      </c>
      <c r="D2120" t="s">
        <v>824</v>
      </c>
      <c r="E2120" t="s">
        <v>48</v>
      </c>
      <c r="F2120" t="s">
        <v>424</v>
      </c>
      <c r="G2120">
        <v>78.916667000000004</v>
      </c>
      <c r="H2120">
        <v>11.933332999999999</v>
      </c>
      <c r="I2120" t="s">
        <v>764</v>
      </c>
      <c r="J2120" t="s">
        <v>5</v>
      </c>
      <c r="K2120" t="s">
        <v>343</v>
      </c>
      <c r="L2120" t="s">
        <v>143</v>
      </c>
      <c r="M2120" t="s">
        <v>638</v>
      </c>
      <c r="N2120" t="s">
        <v>86</v>
      </c>
      <c r="O2120" s="6" t="s">
        <v>272</v>
      </c>
      <c r="Q2120">
        <v>2</v>
      </c>
      <c r="R2120" t="s">
        <v>214</v>
      </c>
      <c r="S2120" s="2" t="s">
        <v>9</v>
      </c>
      <c r="T2120">
        <v>8</v>
      </c>
      <c r="U2120">
        <v>7.71</v>
      </c>
      <c r="V2120">
        <v>1028</v>
      </c>
      <c r="W2120" t="s">
        <v>28</v>
      </c>
      <c r="X2120">
        <v>20.170000000000002</v>
      </c>
      <c r="Y2120">
        <f>23.09-X2120</f>
        <v>2.9199999999999982</v>
      </c>
      <c r="AA2120" s="6"/>
      <c r="AB2120" s="6"/>
    </row>
    <row r="2121" spans="1:28" x14ac:dyDescent="0.2">
      <c r="A2121" t="s">
        <v>342</v>
      </c>
      <c r="B2121">
        <v>2015</v>
      </c>
      <c r="C2121" t="s">
        <v>826</v>
      </c>
      <c r="D2121" t="s">
        <v>824</v>
      </c>
      <c r="E2121" t="s">
        <v>48</v>
      </c>
      <c r="F2121" t="s">
        <v>424</v>
      </c>
      <c r="G2121">
        <v>78.916667000000004</v>
      </c>
      <c r="H2121">
        <v>11.933332999999999</v>
      </c>
      <c r="I2121" t="s">
        <v>764</v>
      </c>
      <c r="J2121" t="s">
        <v>5</v>
      </c>
      <c r="K2121" t="s">
        <v>343</v>
      </c>
      <c r="L2121" t="s">
        <v>143</v>
      </c>
      <c r="M2121" t="s">
        <v>638</v>
      </c>
      <c r="N2121" t="s">
        <v>86</v>
      </c>
      <c r="O2121" s="6" t="s">
        <v>272</v>
      </c>
      <c r="Q2121">
        <v>6</v>
      </c>
      <c r="R2121" t="s">
        <v>214</v>
      </c>
      <c r="S2121" s="2" t="s">
        <v>9</v>
      </c>
      <c r="T2121">
        <v>8</v>
      </c>
      <c r="U2121">
        <v>7.71</v>
      </c>
      <c r="V2121">
        <v>1028</v>
      </c>
      <c r="W2121" t="s">
        <v>28</v>
      </c>
      <c r="X2121">
        <v>23.99</v>
      </c>
      <c r="Y2121">
        <f>X2121-20.77</f>
        <v>3.2199999999999989</v>
      </c>
      <c r="AA2121" s="6"/>
      <c r="AB2121" s="6"/>
    </row>
    <row r="2122" spans="1:28" x14ac:dyDescent="0.2">
      <c r="A2122" t="s">
        <v>342</v>
      </c>
      <c r="B2122">
        <v>2015</v>
      </c>
      <c r="C2122" t="s">
        <v>826</v>
      </c>
      <c r="D2122" t="s">
        <v>824</v>
      </c>
      <c r="E2122" t="s">
        <v>48</v>
      </c>
      <c r="F2122" t="s">
        <v>424</v>
      </c>
      <c r="G2122">
        <v>78.916667000000004</v>
      </c>
      <c r="H2122">
        <v>11.933332999999999</v>
      </c>
      <c r="I2122" t="s">
        <v>764</v>
      </c>
      <c r="J2122" t="s">
        <v>5</v>
      </c>
      <c r="K2122" t="s">
        <v>343</v>
      </c>
      <c r="L2122" t="s">
        <v>143</v>
      </c>
      <c r="M2122" t="s">
        <v>638</v>
      </c>
      <c r="N2122" t="s">
        <v>86</v>
      </c>
      <c r="O2122" s="6" t="s">
        <v>272</v>
      </c>
      <c r="Q2122">
        <v>12</v>
      </c>
      <c r="R2122" t="s">
        <v>213</v>
      </c>
      <c r="S2122" s="2" t="s">
        <v>9</v>
      </c>
      <c r="T2122">
        <v>8</v>
      </c>
      <c r="U2122">
        <v>7.71</v>
      </c>
      <c r="V2122">
        <v>1028</v>
      </c>
      <c r="W2122" t="s">
        <v>28</v>
      </c>
      <c r="X2122">
        <v>31.7</v>
      </c>
      <c r="Y2122">
        <f>X2122-25.71</f>
        <v>5.9899999999999984</v>
      </c>
      <c r="AA2122" s="6"/>
      <c r="AB2122" s="6"/>
    </row>
    <row r="2123" spans="1:28" x14ac:dyDescent="0.2">
      <c r="A2123" t="s">
        <v>342</v>
      </c>
      <c r="B2123">
        <v>2015</v>
      </c>
      <c r="C2123" t="s">
        <v>807</v>
      </c>
      <c r="D2123" t="s">
        <v>808</v>
      </c>
      <c r="E2123" t="s">
        <v>205</v>
      </c>
      <c r="F2123" t="s">
        <v>424</v>
      </c>
      <c r="G2123">
        <v>78.916667000000004</v>
      </c>
      <c r="H2123">
        <v>11.933332999999999</v>
      </c>
      <c r="I2123" t="s">
        <v>764</v>
      </c>
      <c r="J2123" t="s">
        <v>7</v>
      </c>
      <c r="K2123" t="s">
        <v>343</v>
      </c>
      <c r="L2123" t="s">
        <v>143</v>
      </c>
      <c r="M2123" s="6" t="s">
        <v>664</v>
      </c>
      <c r="N2123" t="s">
        <v>85</v>
      </c>
      <c r="O2123" s="6" t="s">
        <v>846</v>
      </c>
      <c r="P2123" t="s">
        <v>345</v>
      </c>
      <c r="Q2123">
        <v>2</v>
      </c>
      <c r="R2123" t="s">
        <v>214</v>
      </c>
      <c r="S2123" s="2" t="s">
        <v>7</v>
      </c>
      <c r="T2123">
        <v>4</v>
      </c>
      <c r="U2123">
        <v>8.14</v>
      </c>
      <c r="V2123">
        <v>351</v>
      </c>
      <c r="W2123" t="s">
        <v>28</v>
      </c>
      <c r="X2123">
        <v>15.77</v>
      </c>
      <c r="Y2123">
        <f>18.92-X2123</f>
        <v>3.1500000000000021</v>
      </c>
      <c r="AA2123" s="6"/>
      <c r="AB2123" s="6"/>
    </row>
    <row r="2124" spans="1:28" x14ac:dyDescent="0.2">
      <c r="A2124" t="s">
        <v>342</v>
      </c>
      <c r="B2124">
        <v>2015</v>
      </c>
      <c r="C2124" t="s">
        <v>807</v>
      </c>
      <c r="D2124" t="s">
        <v>808</v>
      </c>
      <c r="E2124" t="s">
        <v>205</v>
      </c>
      <c r="F2124" t="s">
        <v>424</v>
      </c>
      <c r="G2124">
        <v>78.916667000000004</v>
      </c>
      <c r="H2124">
        <v>11.933332999999999</v>
      </c>
      <c r="I2124" t="s">
        <v>764</v>
      </c>
      <c r="J2124" t="s">
        <v>7</v>
      </c>
      <c r="K2124" t="s">
        <v>343</v>
      </c>
      <c r="L2124" t="s">
        <v>143</v>
      </c>
      <c r="M2124" s="6" t="s">
        <v>664</v>
      </c>
      <c r="N2124" t="s">
        <v>85</v>
      </c>
      <c r="O2124" s="6" t="s">
        <v>846</v>
      </c>
      <c r="P2124" t="s">
        <v>345</v>
      </c>
      <c r="Q2124">
        <v>6</v>
      </c>
      <c r="R2124" t="s">
        <v>214</v>
      </c>
      <c r="S2124" s="2" t="s">
        <v>7</v>
      </c>
      <c r="T2124">
        <v>4</v>
      </c>
      <c r="U2124">
        <v>8.14</v>
      </c>
      <c r="V2124">
        <v>351</v>
      </c>
      <c r="W2124" t="s">
        <v>28</v>
      </c>
      <c r="X2124">
        <v>15.54</v>
      </c>
      <c r="Y2124">
        <f>18.83-X2124</f>
        <v>3.2899999999999991</v>
      </c>
      <c r="AA2124" s="6"/>
      <c r="AB2124" s="6"/>
    </row>
    <row r="2125" spans="1:28" x14ac:dyDescent="0.2">
      <c r="A2125" t="s">
        <v>342</v>
      </c>
      <c r="B2125">
        <v>2015</v>
      </c>
      <c r="C2125" t="s">
        <v>807</v>
      </c>
      <c r="D2125" t="s">
        <v>808</v>
      </c>
      <c r="E2125" t="s">
        <v>205</v>
      </c>
      <c r="F2125" t="s">
        <v>424</v>
      </c>
      <c r="G2125">
        <v>78.916667000000004</v>
      </c>
      <c r="H2125">
        <v>11.933332999999999</v>
      </c>
      <c r="I2125" t="s">
        <v>764</v>
      </c>
      <c r="J2125" t="s">
        <v>7</v>
      </c>
      <c r="K2125" t="s">
        <v>343</v>
      </c>
      <c r="L2125" t="s">
        <v>143</v>
      </c>
      <c r="M2125" s="6" t="s">
        <v>664</v>
      </c>
      <c r="N2125" t="s">
        <v>85</v>
      </c>
      <c r="O2125" s="6" t="s">
        <v>846</v>
      </c>
      <c r="P2125" t="s">
        <v>345</v>
      </c>
      <c r="Q2125">
        <v>12</v>
      </c>
      <c r="R2125" t="s">
        <v>213</v>
      </c>
      <c r="S2125" s="2" t="s">
        <v>7</v>
      </c>
      <c r="T2125">
        <v>4</v>
      </c>
      <c r="U2125">
        <v>8.14</v>
      </c>
      <c r="V2125">
        <v>351</v>
      </c>
      <c r="W2125" t="s">
        <v>28</v>
      </c>
      <c r="X2125">
        <v>10.95</v>
      </c>
      <c r="Y2125">
        <f>12.34-X2125</f>
        <v>1.3900000000000006</v>
      </c>
      <c r="AA2125" s="6"/>
      <c r="AB2125" s="6"/>
    </row>
    <row r="2126" spans="1:28" x14ac:dyDescent="0.2">
      <c r="A2126" t="s">
        <v>342</v>
      </c>
      <c r="B2126">
        <v>2015</v>
      </c>
      <c r="C2126" t="s">
        <v>807</v>
      </c>
      <c r="D2126" t="s">
        <v>808</v>
      </c>
      <c r="E2126" t="s">
        <v>205</v>
      </c>
      <c r="F2126" t="s">
        <v>424</v>
      </c>
      <c r="G2126">
        <v>78.916667000000004</v>
      </c>
      <c r="H2126">
        <v>11.933332999999999</v>
      </c>
      <c r="I2126" t="s">
        <v>764</v>
      </c>
      <c r="J2126" t="s">
        <v>5</v>
      </c>
      <c r="K2126" t="s">
        <v>343</v>
      </c>
      <c r="L2126" t="s">
        <v>143</v>
      </c>
      <c r="M2126" s="6" t="s">
        <v>664</v>
      </c>
      <c r="N2126" t="s">
        <v>85</v>
      </c>
      <c r="O2126" s="6" t="s">
        <v>846</v>
      </c>
      <c r="P2126" t="s">
        <v>345</v>
      </c>
      <c r="Q2126">
        <v>2</v>
      </c>
      <c r="R2126" t="s">
        <v>214</v>
      </c>
      <c r="S2126" s="2" t="s">
        <v>9</v>
      </c>
      <c r="T2126">
        <v>4</v>
      </c>
      <c r="U2126">
        <v>7.71</v>
      </c>
      <c r="V2126">
        <v>1028</v>
      </c>
      <c r="W2126" t="s">
        <v>28</v>
      </c>
      <c r="X2126">
        <v>11.76</v>
      </c>
      <c r="Y2126">
        <f>X2126-9.77</f>
        <v>1.9900000000000002</v>
      </c>
      <c r="AA2126" s="6"/>
      <c r="AB2126" s="6"/>
    </row>
    <row r="2127" spans="1:28" x14ac:dyDescent="0.2">
      <c r="A2127" t="s">
        <v>342</v>
      </c>
      <c r="B2127">
        <v>2015</v>
      </c>
      <c r="C2127" t="s">
        <v>807</v>
      </c>
      <c r="D2127" t="s">
        <v>808</v>
      </c>
      <c r="E2127" t="s">
        <v>205</v>
      </c>
      <c r="F2127" t="s">
        <v>424</v>
      </c>
      <c r="G2127">
        <v>78.916667000000004</v>
      </c>
      <c r="H2127">
        <v>11.933332999999999</v>
      </c>
      <c r="I2127" t="s">
        <v>764</v>
      </c>
      <c r="J2127" t="s">
        <v>5</v>
      </c>
      <c r="K2127" t="s">
        <v>343</v>
      </c>
      <c r="L2127" t="s">
        <v>143</v>
      </c>
      <c r="M2127" s="6" t="s">
        <v>664</v>
      </c>
      <c r="N2127" t="s">
        <v>85</v>
      </c>
      <c r="O2127" s="6" t="s">
        <v>846</v>
      </c>
      <c r="P2127" t="s">
        <v>345</v>
      </c>
      <c r="Q2127">
        <v>6</v>
      </c>
      <c r="R2127" t="s">
        <v>214</v>
      </c>
      <c r="S2127" s="2" t="s">
        <v>9</v>
      </c>
      <c r="T2127">
        <v>4</v>
      </c>
      <c r="U2127">
        <v>7.71</v>
      </c>
      <c r="V2127">
        <v>1028</v>
      </c>
      <c r="W2127" t="s">
        <v>28</v>
      </c>
      <c r="X2127">
        <v>4.7300000000000004</v>
      </c>
      <c r="Y2127">
        <f>X2127-2.21</f>
        <v>2.5200000000000005</v>
      </c>
      <c r="AA2127" s="6"/>
      <c r="AB2127" s="6"/>
    </row>
    <row r="2128" spans="1:28" x14ac:dyDescent="0.2">
      <c r="A2128" t="s">
        <v>342</v>
      </c>
      <c r="B2128">
        <v>2015</v>
      </c>
      <c r="C2128" t="s">
        <v>807</v>
      </c>
      <c r="D2128" t="s">
        <v>808</v>
      </c>
      <c r="E2128" t="s">
        <v>205</v>
      </c>
      <c r="F2128" t="s">
        <v>424</v>
      </c>
      <c r="G2128">
        <v>78.916667000000004</v>
      </c>
      <c r="H2128">
        <v>11.933332999999999</v>
      </c>
      <c r="I2128" t="s">
        <v>764</v>
      </c>
      <c r="J2128" t="s">
        <v>5</v>
      </c>
      <c r="K2128" t="s">
        <v>343</v>
      </c>
      <c r="L2128" t="s">
        <v>143</v>
      </c>
      <c r="M2128" s="6" t="s">
        <v>664</v>
      </c>
      <c r="N2128" t="s">
        <v>85</v>
      </c>
      <c r="O2128" s="6" t="s">
        <v>846</v>
      </c>
      <c r="P2128" t="s">
        <v>345</v>
      </c>
      <c r="Q2128">
        <v>12</v>
      </c>
      <c r="R2128" t="s">
        <v>213</v>
      </c>
      <c r="S2128" s="2" t="s">
        <v>9</v>
      </c>
      <c r="T2128">
        <v>4</v>
      </c>
      <c r="U2128">
        <v>7.71</v>
      </c>
      <c r="V2128">
        <v>1028</v>
      </c>
      <c r="W2128" t="s">
        <v>28</v>
      </c>
      <c r="X2128">
        <v>5.77</v>
      </c>
      <c r="Y2128">
        <f>X2128-3.47</f>
        <v>2.2999999999999994</v>
      </c>
      <c r="AA2128" s="6"/>
      <c r="AB2128" s="6"/>
    </row>
    <row r="2129" spans="1:28" x14ac:dyDescent="0.2">
      <c r="A2129" t="s">
        <v>342</v>
      </c>
      <c r="B2129">
        <v>2015</v>
      </c>
      <c r="C2129" t="s">
        <v>826</v>
      </c>
      <c r="D2129" t="s">
        <v>824</v>
      </c>
      <c r="E2129" t="s">
        <v>48</v>
      </c>
      <c r="F2129" t="s">
        <v>424</v>
      </c>
      <c r="G2129">
        <v>78.916667000000004</v>
      </c>
      <c r="H2129">
        <v>11.933332999999999</v>
      </c>
      <c r="I2129" t="s">
        <v>764</v>
      </c>
      <c r="J2129" t="s">
        <v>7</v>
      </c>
      <c r="K2129" t="s">
        <v>343</v>
      </c>
      <c r="L2129" t="s">
        <v>143</v>
      </c>
      <c r="M2129" s="6" t="s">
        <v>664</v>
      </c>
      <c r="N2129" t="s">
        <v>85</v>
      </c>
      <c r="O2129" s="6" t="s">
        <v>846</v>
      </c>
      <c r="P2129" t="s">
        <v>345</v>
      </c>
      <c r="Q2129">
        <v>2</v>
      </c>
      <c r="R2129" t="s">
        <v>214</v>
      </c>
      <c r="S2129" s="2" t="s">
        <v>7</v>
      </c>
      <c r="T2129">
        <v>4</v>
      </c>
      <c r="U2129">
        <v>8.14</v>
      </c>
      <c r="V2129">
        <v>351</v>
      </c>
      <c r="W2129" t="s">
        <v>28</v>
      </c>
      <c r="X2129">
        <v>6.78</v>
      </c>
      <c r="Y2129">
        <f>7.81-X2129</f>
        <v>1.0299999999999994</v>
      </c>
      <c r="AA2129" s="6"/>
      <c r="AB2129" s="6"/>
    </row>
    <row r="2130" spans="1:28" x14ac:dyDescent="0.2">
      <c r="A2130" t="s">
        <v>342</v>
      </c>
      <c r="B2130">
        <v>2015</v>
      </c>
      <c r="C2130" t="s">
        <v>826</v>
      </c>
      <c r="D2130" t="s">
        <v>824</v>
      </c>
      <c r="E2130" t="s">
        <v>48</v>
      </c>
      <c r="F2130" t="s">
        <v>424</v>
      </c>
      <c r="G2130">
        <v>78.916667000000004</v>
      </c>
      <c r="H2130">
        <v>11.933332999999999</v>
      </c>
      <c r="I2130" t="s">
        <v>764</v>
      </c>
      <c r="J2130" t="s">
        <v>7</v>
      </c>
      <c r="K2130" t="s">
        <v>343</v>
      </c>
      <c r="L2130" t="s">
        <v>143</v>
      </c>
      <c r="M2130" s="6" t="s">
        <v>664</v>
      </c>
      <c r="N2130" t="s">
        <v>85</v>
      </c>
      <c r="O2130" s="6" t="s">
        <v>846</v>
      </c>
      <c r="P2130" t="s">
        <v>345</v>
      </c>
      <c r="Q2130">
        <v>6</v>
      </c>
      <c r="R2130" t="s">
        <v>214</v>
      </c>
      <c r="S2130" s="2" t="s">
        <v>7</v>
      </c>
      <c r="T2130">
        <v>4</v>
      </c>
      <c r="U2130">
        <v>8.14</v>
      </c>
      <c r="V2130">
        <v>351</v>
      </c>
      <c r="W2130" t="s">
        <v>28</v>
      </c>
      <c r="X2130">
        <v>9.2799999999999994</v>
      </c>
      <c r="Y2130">
        <f>9.82-X2130</f>
        <v>0.54000000000000092</v>
      </c>
      <c r="AA2130" s="6"/>
      <c r="AB2130" s="6"/>
    </row>
    <row r="2131" spans="1:28" x14ac:dyDescent="0.2">
      <c r="A2131" t="s">
        <v>342</v>
      </c>
      <c r="B2131">
        <v>2015</v>
      </c>
      <c r="C2131" t="s">
        <v>826</v>
      </c>
      <c r="D2131" t="s">
        <v>824</v>
      </c>
      <c r="E2131" t="s">
        <v>48</v>
      </c>
      <c r="F2131" t="s">
        <v>424</v>
      </c>
      <c r="G2131">
        <v>78.916667000000004</v>
      </c>
      <c r="H2131">
        <v>11.933332999999999</v>
      </c>
      <c r="I2131" t="s">
        <v>764</v>
      </c>
      <c r="J2131" t="s">
        <v>7</v>
      </c>
      <c r="K2131" t="s">
        <v>343</v>
      </c>
      <c r="L2131" t="s">
        <v>143</v>
      </c>
      <c r="M2131" s="6" t="s">
        <v>664</v>
      </c>
      <c r="N2131" t="s">
        <v>85</v>
      </c>
      <c r="O2131" s="6" t="s">
        <v>846</v>
      </c>
      <c r="P2131" t="s">
        <v>345</v>
      </c>
      <c r="Q2131">
        <v>12</v>
      </c>
      <c r="R2131" t="s">
        <v>213</v>
      </c>
      <c r="S2131" s="2" t="s">
        <v>7</v>
      </c>
      <c r="T2131">
        <v>4</v>
      </c>
      <c r="U2131">
        <v>8.14</v>
      </c>
      <c r="V2131">
        <v>351</v>
      </c>
      <c r="W2131" t="s">
        <v>28</v>
      </c>
      <c r="X2131">
        <v>7.68</v>
      </c>
      <c r="Y2131">
        <f>9.79-X2131</f>
        <v>2.1099999999999994</v>
      </c>
      <c r="AA2131" s="6"/>
      <c r="AB2131" s="6"/>
    </row>
    <row r="2132" spans="1:28" x14ac:dyDescent="0.2">
      <c r="A2132" t="s">
        <v>342</v>
      </c>
      <c r="B2132">
        <v>2015</v>
      </c>
      <c r="C2132" t="s">
        <v>826</v>
      </c>
      <c r="D2132" t="s">
        <v>824</v>
      </c>
      <c r="E2132" t="s">
        <v>48</v>
      </c>
      <c r="F2132" t="s">
        <v>424</v>
      </c>
      <c r="G2132">
        <v>78.916667000000004</v>
      </c>
      <c r="H2132">
        <v>11.933332999999999</v>
      </c>
      <c r="I2132" t="s">
        <v>764</v>
      </c>
      <c r="J2132" t="s">
        <v>5</v>
      </c>
      <c r="K2132" t="s">
        <v>343</v>
      </c>
      <c r="L2132" t="s">
        <v>143</v>
      </c>
      <c r="M2132" s="6" t="s">
        <v>664</v>
      </c>
      <c r="N2132" t="s">
        <v>85</v>
      </c>
      <c r="O2132" s="6" t="s">
        <v>846</v>
      </c>
      <c r="P2132" t="s">
        <v>345</v>
      </c>
      <c r="Q2132">
        <v>2</v>
      </c>
      <c r="R2132" t="s">
        <v>214</v>
      </c>
      <c r="S2132" s="2" t="s">
        <v>9</v>
      </c>
      <c r="T2132">
        <v>4</v>
      </c>
      <c r="U2132">
        <v>7.71</v>
      </c>
      <c r="V2132">
        <v>1028</v>
      </c>
      <c r="W2132" t="s">
        <v>28</v>
      </c>
      <c r="X2132">
        <v>5.74</v>
      </c>
      <c r="Y2132">
        <f>X2132-3.86</f>
        <v>1.8800000000000003</v>
      </c>
      <c r="AA2132" s="6"/>
      <c r="AB2132" s="6"/>
    </row>
    <row r="2133" spans="1:28" x14ac:dyDescent="0.2">
      <c r="A2133" t="s">
        <v>342</v>
      </c>
      <c r="B2133">
        <v>2015</v>
      </c>
      <c r="C2133" t="s">
        <v>826</v>
      </c>
      <c r="D2133" t="s">
        <v>824</v>
      </c>
      <c r="E2133" t="s">
        <v>48</v>
      </c>
      <c r="F2133" t="s">
        <v>424</v>
      </c>
      <c r="G2133">
        <v>78.916667000000004</v>
      </c>
      <c r="H2133">
        <v>11.933332999999999</v>
      </c>
      <c r="I2133" t="s">
        <v>764</v>
      </c>
      <c r="J2133" t="s">
        <v>5</v>
      </c>
      <c r="K2133" t="s">
        <v>343</v>
      </c>
      <c r="L2133" t="s">
        <v>143</v>
      </c>
      <c r="M2133" s="6" t="s">
        <v>664</v>
      </c>
      <c r="N2133" t="s">
        <v>85</v>
      </c>
      <c r="O2133" s="6" t="s">
        <v>846</v>
      </c>
      <c r="P2133" t="s">
        <v>345</v>
      </c>
      <c r="Q2133">
        <v>6</v>
      </c>
      <c r="R2133" t="s">
        <v>214</v>
      </c>
      <c r="S2133" s="2" t="s">
        <v>9</v>
      </c>
      <c r="T2133">
        <v>4</v>
      </c>
      <c r="U2133">
        <v>7.71</v>
      </c>
      <c r="V2133">
        <v>1028</v>
      </c>
      <c r="W2133" t="s">
        <v>28</v>
      </c>
      <c r="X2133">
        <v>4.51</v>
      </c>
      <c r="Y2133">
        <f>X2133-3.75</f>
        <v>0.75999999999999979</v>
      </c>
      <c r="AA2133" s="6"/>
      <c r="AB2133" s="6"/>
    </row>
    <row r="2134" spans="1:28" x14ac:dyDescent="0.2">
      <c r="A2134" t="s">
        <v>342</v>
      </c>
      <c r="B2134">
        <v>2015</v>
      </c>
      <c r="C2134" t="s">
        <v>826</v>
      </c>
      <c r="D2134" t="s">
        <v>824</v>
      </c>
      <c r="E2134" t="s">
        <v>48</v>
      </c>
      <c r="F2134" t="s">
        <v>424</v>
      </c>
      <c r="G2134">
        <v>78.916667000000004</v>
      </c>
      <c r="H2134">
        <v>11.933332999999999</v>
      </c>
      <c r="I2134" t="s">
        <v>764</v>
      </c>
      <c r="J2134" t="s">
        <v>5</v>
      </c>
      <c r="K2134" t="s">
        <v>343</v>
      </c>
      <c r="L2134" t="s">
        <v>143</v>
      </c>
      <c r="M2134" s="6" t="s">
        <v>664</v>
      </c>
      <c r="N2134" t="s">
        <v>85</v>
      </c>
      <c r="O2134" s="6" t="s">
        <v>846</v>
      </c>
      <c r="P2134" t="s">
        <v>345</v>
      </c>
      <c r="Q2134">
        <v>12</v>
      </c>
      <c r="R2134" t="s">
        <v>213</v>
      </c>
      <c r="S2134" s="2" t="s">
        <v>9</v>
      </c>
      <c r="T2134">
        <v>4</v>
      </c>
      <c r="U2134">
        <v>7.71</v>
      </c>
      <c r="V2134">
        <v>1028</v>
      </c>
      <c r="W2134" t="s">
        <v>28</v>
      </c>
      <c r="X2134">
        <v>3.95</v>
      </c>
      <c r="Y2134">
        <f>X2134-2.15</f>
        <v>1.8000000000000003</v>
      </c>
      <c r="AA2134" s="6"/>
      <c r="AB2134" s="6"/>
    </row>
    <row r="2135" spans="1:28" x14ac:dyDescent="0.2">
      <c r="A2135" t="s">
        <v>342</v>
      </c>
      <c r="B2135">
        <v>2015</v>
      </c>
      <c r="C2135" t="s">
        <v>807</v>
      </c>
      <c r="D2135" t="s">
        <v>808</v>
      </c>
      <c r="E2135" t="s">
        <v>205</v>
      </c>
      <c r="F2135" t="s">
        <v>424</v>
      </c>
      <c r="G2135">
        <v>78.916667000000004</v>
      </c>
      <c r="H2135">
        <v>11.933332999999999</v>
      </c>
      <c r="I2135" t="s">
        <v>764</v>
      </c>
      <c r="J2135" t="s">
        <v>7</v>
      </c>
      <c r="K2135" t="s">
        <v>343</v>
      </c>
      <c r="L2135" t="s">
        <v>143</v>
      </c>
      <c r="M2135" s="6" t="s">
        <v>664</v>
      </c>
      <c r="N2135" t="s">
        <v>85</v>
      </c>
      <c r="O2135" s="6" t="s">
        <v>254</v>
      </c>
      <c r="P2135" t="s">
        <v>78</v>
      </c>
      <c r="Q2135">
        <v>2</v>
      </c>
      <c r="R2135" t="s">
        <v>214</v>
      </c>
      <c r="S2135" s="2" t="s">
        <v>7</v>
      </c>
      <c r="T2135">
        <v>4</v>
      </c>
      <c r="U2135">
        <v>8.14</v>
      </c>
      <c r="V2135">
        <v>351</v>
      </c>
      <c r="W2135" t="s">
        <v>28</v>
      </c>
      <c r="X2135">
        <v>0.44059999999999999</v>
      </c>
      <c r="Y2135">
        <f>0.4502-X2135</f>
        <v>9.5999999999999974E-3</v>
      </c>
      <c r="AA2135" s="6"/>
      <c r="AB2135" s="6"/>
    </row>
    <row r="2136" spans="1:28" x14ac:dyDescent="0.2">
      <c r="A2136" t="s">
        <v>342</v>
      </c>
      <c r="B2136">
        <v>2015</v>
      </c>
      <c r="C2136" t="s">
        <v>807</v>
      </c>
      <c r="D2136" t="s">
        <v>808</v>
      </c>
      <c r="E2136" t="s">
        <v>205</v>
      </c>
      <c r="F2136" t="s">
        <v>424</v>
      </c>
      <c r="G2136">
        <v>78.916667000000004</v>
      </c>
      <c r="H2136">
        <v>11.933332999999999</v>
      </c>
      <c r="I2136" t="s">
        <v>764</v>
      </c>
      <c r="J2136" t="s">
        <v>7</v>
      </c>
      <c r="K2136" t="s">
        <v>343</v>
      </c>
      <c r="L2136" t="s">
        <v>143</v>
      </c>
      <c r="M2136" s="6" t="s">
        <v>664</v>
      </c>
      <c r="N2136" t="s">
        <v>85</v>
      </c>
      <c r="O2136" s="6" t="s">
        <v>254</v>
      </c>
      <c r="P2136" t="s">
        <v>78</v>
      </c>
      <c r="Q2136">
        <v>6</v>
      </c>
      <c r="R2136" t="s">
        <v>214</v>
      </c>
      <c r="S2136" s="2" t="s">
        <v>7</v>
      </c>
      <c r="T2136">
        <v>4</v>
      </c>
      <c r="U2136">
        <v>8.14</v>
      </c>
      <c r="V2136">
        <v>351</v>
      </c>
      <c r="W2136" t="s">
        <v>28</v>
      </c>
      <c r="X2136">
        <v>0.36320000000000002</v>
      </c>
      <c r="Y2136">
        <f>0.4145-X2136</f>
        <v>5.1299999999999957E-2</v>
      </c>
      <c r="AA2136" s="6"/>
      <c r="AB2136" s="6"/>
    </row>
    <row r="2137" spans="1:28" x14ac:dyDescent="0.2">
      <c r="A2137" t="s">
        <v>342</v>
      </c>
      <c r="B2137">
        <v>2015</v>
      </c>
      <c r="C2137" t="s">
        <v>807</v>
      </c>
      <c r="D2137" t="s">
        <v>808</v>
      </c>
      <c r="E2137" t="s">
        <v>205</v>
      </c>
      <c r="F2137" t="s">
        <v>424</v>
      </c>
      <c r="G2137">
        <v>78.916667000000004</v>
      </c>
      <c r="H2137">
        <v>11.933332999999999</v>
      </c>
      <c r="I2137" t="s">
        <v>764</v>
      </c>
      <c r="J2137" t="s">
        <v>7</v>
      </c>
      <c r="K2137" t="s">
        <v>343</v>
      </c>
      <c r="L2137" t="s">
        <v>143</v>
      </c>
      <c r="M2137" s="6" t="s">
        <v>664</v>
      </c>
      <c r="N2137" t="s">
        <v>85</v>
      </c>
      <c r="O2137" s="6" t="s">
        <v>254</v>
      </c>
      <c r="P2137" t="s">
        <v>78</v>
      </c>
      <c r="Q2137">
        <v>12</v>
      </c>
      <c r="R2137" t="s">
        <v>213</v>
      </c>
      <c r="S2137" s="2" t="s">
        <v>7</v>
      </c>
      <c r="T2137">
        <v>4</v>
      </c>
      <c r="U2137">
        <v>8.14</v>
      </c>
      <c r="V2137">
        <v>351</v>
      </c>
      <c r="W2137" t="s">
        <v>28</v>
      </c>
      <c r="X2137">
        <v>0.50039999999999996</v>
      </c>
      <c r="Y2137">
        <f>0.5336-X2137</f>
        <v>3.3200000000000007E-2</v>
      </c>
      <c r="AA2137" s="6"/>
      <c r="AB2137" s="6"/>
    </row>
    <row r="2138" spans="1:28" x14ac:dyDescent="0.2">
      <c r="A2138" t="s">
        <v>342</v>
      </c>
      <c r="B2138">
        <v>2015</v>
      </c>
      <c r="C2138" t="s">
        <v>807</v>
      </c>
      <c r="D2138" t="s">
        <v>808</v>
      </c>
      <c r="E2138" t="s">
        <v>205</v>
      </c>
      <c r="F2138" t="s">
        <v>424</v>
      </c>
      <c r="G2138">
        <v>78.916667000000004</v>
      </c>
      <c r="H2138">
        <v>11.933332999999999</v>
      </c>
      <c r="I2138" t="s">
        <v>764</v>
      </c>
      <c r="J2138" t="s">
        <v>5</v>
      </c>
      <c r="K2138" t="s">
        <v>343</v>
      </c>
      <c r="L2138" t="s">
        <v>143</v>
      </c>
      <c r="M2138" s="6" t="s">
        <v>664</v>
      </c>
      <c r="N2138" t="s">
        <v>85</v>
      </c>
      <c r="O2138" s="6" t="s">
        <v>254</v>
      </c>
      <c r="P2138" t="s">
        <v>78</v>
      </c>
      <c r="Q2138">
        <v>2</v>
      </c>
      <c r="R2138" t="s">
        <v>214</v>
      </c>
      <c r="S2138" s="2" t="s">
        <v>9</v>
      </c>
      <c r="T2138">
        <v>4</v>
      </c>
      <c r="U2138">
        <v>7.71</v>
      </c>
      <c r="V2138">
        <v>1028</v>
      </c>
      <c r="W2138" t="s">
        <v>28</v>
      </c>
      <c r="X2138">
        <v>0.21940000000000001</v>
      </c>
      <c r="Y2138">
        <f>0.2579-X2138</f>
        <v>3.8500000000000006E-2</v>
      </c>
      <c r="AA2138" s="6"/>
      <c r="AB2138" s="6"/>
    </row>
    <row r="2139" spans="1:28" x14ac:dyDescent="0.2">
      <c r="A2139" t="s">
        <v>342</v>
      </c>
      <c r="B2139">
        <v>2015</v>
      </c>
      <c r="C2139" t="s">
        <v>807</v>
      </c>
      <c r="D2139" t="s">
        <v>808</v>
      </c>
      <c r="E2139" t="s">
        <v>205</v>
      </c>
      <c r="F2139" t="s">
        <v>424</v>
      </c>
      <c r="G2139">
        <v>78.916667000000004</v>
      </c>
      <c r="H2139">
        <v>11.933332999999999</v>
      </c>
      <c r="I2139" t="s">
        <v>764</v>
      </c>
      <c r="J2139" t="s">
        <v>5</v>
      </c>
      <c r="K2139" t="s">
        <v>343</v>
      </c>
      <c r="L2139" t="s">
        <v>143</v>
      </c>
      <c r="M2139" s="6" t="s">
        <v>664</v>
      </c>
      <c r="N2139" t="s">
        <v>85</v>
      </c>
      <c r="O2139" s="6" t="s">
        <v>254</v>
      </c>
      <c r="P2139" t="s">
        <v>78</v>
      </c>
      <c r="Q2139">
        <v>6</v>
      </c>
      <c r="R2139" t="s">
        <v>214</v>
      </c>
      <c r="S2139" s="2" t="s">
        <v>9</v>
      </c>
      <c r="T2139">
        <v>4</v>
      </c>
      <c r="U2139">
        <v>7.71</v>
      </c>
      <c r="V2139">
        <v>1028</v>
      </c>
      <c r="W2139" t="s">
        <v>28</v>
      </c>
      <c r="X2139">
        <v>0.2853</v>
      </c>
      <c r="Y2139">
        <f>X2139-0.2318</f>
        <v>5.3499999999999992E-2</v>
      </c>
      <c r="AA2139" s="6"/>
      <c r="AB2139" s="6"/>
    </row>
    <row r="2140" spans="1:28" x14ac:dyDescent="0.2">
      <c r="A2140" t="s">
        <v>342</v>
      </c>
      <c r="B2140">
        <v>2015</v>
      </c>
      <c r="C2140" t="s">
        <v>807</v>
      </c>
      <c r="D2140" t="s">
        <v>808</v>
      </c>
      <c r="E2140" t="s">
        <v>205</v>
      </c>
      <c r="F2140" t="s">
        <v>424</v>
      </c>
      <c r="G2140">
        <v>78.916667000000004</v>
      </c>
      <c r="H2140">
        <v>11.933332999999999</v>
      </c>
      <c r="I2140" t="s">
        <v>764</v>
      </c>
      <c r="J2140" t="s">
        <v>5</v>
      </c>
      <c r="K2140" t="s">
        <v>343</v>
      </c>
      <c r="L2140" t="s">
        <v>143</v>
      </c>
      <c r="M2140" s="6" t="s">
        <v>664</v>
      </c>
      <c r="N2140" t="s">
        <v>85</v>
      </c>
      <c r="O2140" s="6" t="s">
        <v>254</v>
      </c>
      <c r="P2140" t="s">
        <v>78</v>
      </c>
      <c r="Q2140">
        <v>12</v>
      </c>
      <c r="R2140" t="s">
        <v>213</v>
      </c>
      <c r="S2140" s="2" t="s">
        <v>9</v>
      </c>
      <c r="T2140">
        <v>4</v>
      </c>
      <c r="U2140">
        <v>7.71</v>
      </c>
      <c r="V2140">
        <v>1028</v>
      </c>
      <c r="W2140" t="s">
        <v>28</v>
      </c>
      <c r="X2140">
        <v>0.40529999999999999</v>
      </c>
      <c r="Y2140">
        <f>X2140-0.3562</f>
        <v>4.9099999999999977E-2</v>
      </c>
      <c r="AA2140" s="6"/>
      <c r="AB2140" s="6"/>
    </row>
    <row r="2141" spans="1:28" x14ac:dyDescent="0.2">
      <c r="A2141" t="s">
        <v>342</v>
      </c>
      <c r="B2141">
        <v>2015</v>
      </c>
      <c r="C2141" t="s">
        <v>826</v>
      </c>
      <c r="D2141" t="s">
        <v>824</v>
      </c>
      <c r="E2141" t="s">
        <v>48</v>
      </c>
      <c r="F2141" t="s">
        <v>424</v>
      </c>
      <c r="G2141">
        <v>78.916667000000004</v>
      </c>
      <c r="H2141">
        <v>11.933332999999999</v>
      </c>
      <c r="I2141" t="s">
        <v>764</v>
      </c>
      <c r="J2141" t="s">
        <v>7</v>
      </c>
      <c r="K2141" t="s">
        <v>343</v>
      </c>
      <c r="L2141" t="s">
        <v>143</v>
      </c>
      <c r="M2141" s="6" t="s">
        <v>664</v>
      </c>
      <c r="N2141" t="s">
        <v>85</v>
      </c>
      <c r="O2141" s="6" t="s">
        <v>254</v>
      </c>
      <c r="P2141" t="s">
        <v>78</v>
      </c>
      <c r="Q2141">
        <v>2</v>
      </c>
      <c r="R2141" t="s">
        <v>214</v>
      </c>
      <c r="S2141" s="2" t="s">
        <v>7</v>
      </c>
      <c r="T2141">
        <v>4</v>
      </c>
      <c r="U2141">
        <v>8.14</v>
      </c>
      <c r="V2141">
        <v>351</v>
      </c>
      <c r="W2141" t="s">
        <v>28</v>
      </c>
      <c r="X2141">
        <v>5.57E-2</v>
      </c>
      <c r="Y2141">
        <f>X2141-0.0278</f>
        <v>2.7900000000000001E-2</v>
      </c>
      <c r="AA2141" s="6"/>
      <c r="AB2141" s="6"/>
    </row>
    <row r="2142" spans="1:28" x14ac:dyDescent="0.2">
      <c r="A2142" t="s">
        <v>342</v>
      </c>
      <c r="B2142">
        <v>2015</v>
      </c>
      <c r="C2142" t="s">
        <v>826</v>
      </c>
      <c r="D2142" t="s">
        <v>824</v>
      </c>
      <c r="E2142" t="s">
        <v>48</v>
      </c>
      <c r="F2142" t="s">
        <v>424</v>
      </c>
      <c r="G2142">
        <v>78.916667000000004</v>
      </c>
      <c r="H2142">
        <v>11.933332999999999</v>
      </c>
      <c r="I2142" t="s">
        <v>764</v>
      </c>
      <c r="J2142" t="s">
        <v>7</v>
      </c>
      <c r="K2142" t="s">
        <v>343</v>
      </c>
      <c r="L2142" t="s">
        <v>143</v>
      </c>
      <c r="M2142" s="6" t="s">
        <v>664</v>
      </c>
      <c r="N2142" t="s">
        <v>85</v>
      </c>
      <c r="O2142" s="6" t="s">
        <v>254</v>
      </c>
      <c r="P2142" t="s">
        <v>78</v>
      </c>
      <c r="Q2142">
        <v>6</v>
      </c>
      <c r="R2142" t="s">
        <v>214</v>
      </c>
      <c r="S2142" s="2" t="s">
        <v>7</v>
      </c>
      <c r="T2142">
        <v>4</v>
      </c>
      <c r="U2142">
        <v>8.14</v>
      </c>
      <c r="V2142">
        <v>351</v>
      </c>
      <c r="W2142" t="s">
        <v>28</v>
      </c>
      <c r="X2142">
        <v>8.3500000000000005E-2</v>
      </c>
      <c r="Y2142">
        <f>X2142-0.045</f>
        <v>3.8500000000000006E-2</v>
      </c>
      <c r="AA2142" s="6"/>
      <c r="AB2142" s="6"/>
    </row>
    <row r="2143" spans="1:28" x14ac:dyDescent="0.2">
      <c r="A2143" t="s">
        <v>342</v>
      </c>
      <c r="B2143">
        <v>2015</v>
      </c>
      <c r="C2143" t="s">
        <v>826</v>
      </c>
      <c r="D2143" t="s">
        <v>824</v>
      </c>
      <c r="E2143" t="s">
        <v>48</v>
      </c>
      <c r="F2143" t="s">
        <v>424</v>
      </c>
      <c r="G2143">
        <v>78.916667000000004</v>
      </c>
      <c r="H2143">
        <v>11.933332999999999</v>
      </c>
      <c r="I2143" t="s">
        <v>764</v>
      </c>
      <c r="J2143" t="s">
        <v>7</v>
      </c>
      <c r="K2143" t="s">
        <v>343</v>
      </c>
      <c r="L2143" t="s">
        <v>143</v>
      </c>
      <c r="M2143" s="6" t="s">
        <v>664</v>
      </c>
      <c r="N2143" t="s">
        <v>85</v>
      </c>
      <c r="O2143" s="6" t="s">
        <v>254</v>
      </c>
      <c r="P2143" t="s">
        <v>78</v>
      </c>
      <c r="Q2143">
        <v>12</v>
      </c>
      <c r="R2143" t="s">
        <v>213</v>
      </c>
      <c r="S2143" s="2" t="s">
        <v>7</v>
      </c>
      <c r="T2143">
        <v>4</v>
      </c>
      <c r="U2143">
        <v>8.14</v>
      </c>
      <c r="V2143">
        <v>351</v>
      </c>
      <c r="W2143" t="s">
        <v>28</v>
      </c>
      <c r="X2143">
        <v>0.1328</v>
      </c>
      <c r="Y2143">
        <f>X2143-0.0996</f>
        <v>3.3200000000000007E-2</v>
      </c>
      <c r="AA2143" s="6"/>
      <c r="AB2143" s="6"/>
    </row>
    <row r="2144" spans="1:28" x14ac:dyDescent="0.2">
      <c r="A2144" t="s">
        <v>342</v>
      </c>
      <c r="B2144">
        <v>2015</v>
      </c>
      <c r="C2144" t="s">
        <v>826</v>
      </c>
      <c r="D2144" t="s">
        <v>824</v>
      </c>
      <c r="E2144" t="s">
        <v>48</v>
      </c>
      <c r="F2144" t="s">
        <v>424</v>
      </c>
      <c r="G2144">
        <v>78.916667000000004</v>
      </c>
      <c r="H2144">
        <v>11.933332999999999</v>
      </c>
      <c r="I2144" t="s">
        <v>764</v>
      </c>
      <c r="J2144" t="s">
        <v>5</v>
      </c>
      <c r="K2144" t="s">
        <v>343</v>
      </c>
      <c r="L2144" t="s">
        <v>143</v>
      </c>
      <c r="M2144" s="6" t="s">
        <v>664</v>
      </c>
      <c r="N2144" t="s">
        <v>85</v>
      </c>
      <c r="O2144" s="6" t="s">
        <v>254</v>
      </c>
      <c r="P2144" t="s">
        <v>78</v>
      </c>
      <c r="Q2144">
        <v>2</v>
      </c>
      <c r="R2144" t="s">
        <v>214</v>
      </c>
      <c r="S2144" s="2" t="s">
        <v>9</v>
      </c>
      <c r="T2144">
        <v>4</v>
      </c>
      <c r="U2144">
        <v>7.71</v>
      </c>
      <c r="V2144">
        <v>1028</v>
      </c>
      <c r="W2144" t="s">
        <v>28</v>
      </c>
      <c r="X2144">
        <v>5.57E-2</v>
      </c>
      <c r="Y2144">
        <f>X2144-0.0278</f>
        <v>2.7900000000000001E-2</v>
      </c>
      <c r="AA2144" s="6"/>
      <c r="AB2144" s="6"/>
    </row>
    <row r="2145" spans="1:28" x14ac:dyDescent="0.2">
      <c r="A2145" t="s">
        <v>342</v>
      </c>
      <c r="B2145">
        <v>2015</v>
      </c>
      <c r="C2145" t="s">
        <v>826</v>
      </c>
      <c r="D2145" t="s">
        <v>824</v>
      </c>
      <c r="E2145" t="s">
        <v>48</v>
      </c>
      <c r="F2145" t="s">
        <v>424</v>
      </c>
      <c r="G2145">
        <v>78.916667000000004</v>
      </c>
      <c r="H2145">
        <v>11.933332999999999</v>
      </c>
      <c r="I2145" t="s">
        <v>764</v>
      </c>
      <c r="J2145" t="s">
        <v>5</v>
      </c>
      <c r="K2145" t="s">
        <v>343</v>
      </c>
      <c r="L2145" t="s">
        <v>143</v>
      </c>
      <c r="M2145" s="6" t="s">
        <v>664</v>
      </c>
      <c r="N2145" t="s">
        <v>85</v>
      </c>
      <c r="O2145" s="6" t="s">
        <v>254</v>
      </c>
      <c r="P2145" t="s">
        <v>78</v>
      </c>
      <c r="Q2145">
        <v>6</v>
      </c>
      <c r="R2145" t="s">
        <v>214</v>
      </c>
      <c r="S2145" s="2" t="s">
        <v>9</v>
      </c>
      <c r="T2145">
        <v>4</v>
      </c>
      <c r="U2145">
        <v>7.71</v>
      </c>
      <c r="V2145">
        <v>1028</v>
      </c>
      <c r="W2145" t="s">
        <v>28</v>
      </c>
      <c r="X2145">
        <v>9.4200000000000006E-2</v>
      </c>
      <c r="Y2145">
        <f>X2145-0.0514</f>
        <v>4.2800000000000005E-2</v>
      </c>
      <c r="AA2145" s="6"/>
      <c r="AB2145" s="6"/>
    </row>
    <row r="2146" spans="1:28" x14ac:dyDescent="0.2">
      <c r="A2146" t="s">
        <v>342</v>
      </c>
      <c r="B2146">
        <v>2015</v>
      </c>
      <c r="C2146" t="s">
        <v>826</v>
      </c>
      <c r="D2146" t="s">
        <v>824</v>
      </c>
      <c r="E2146" t="s">
        <v>48</v>
      </c>
      <c r="F2146" t="s">
        <v>424</v>
      </c>
      <c r="G2146">
        <v>78.916667000000004</v>
      </c>
      <c r="H2146">
        <v>11.933332999999999</v>
      </c>
      <c r="I2146" t="s">
        <v>764</v>
      </c>
      <c r="J2146" t="s">
        <v>5</v>
      </c>
      <c r="K2146" t="s">
        <v>343</v>
      </c>
      <c r="L2146" t="s">
        <v>143</v>
      </c>
      <c r="M2146" s="6" t="s">
        <v>664</v>
      </c>
      <c r="N2146" t="s">
        <v>85</v>
      </c>
      <c r="O2146" s="6" t="s">
        <v>254</v>
      </c>
      <c r="P2146" t="s">
        <v>78</v>
      </c>
      <c r="Q2146">
        <v>12</v>
      </c>
      <c r="R2146" t="s">
        <v>213</v>
      </c>
      <c r="S2146" s="2" t="s">
        <v>9</v>
      </c>
      <c r="T2146">
        <v>4</v>
      </c>
      <c r="U2146">
        <v>7.71</v>
      </c>
      <c r="V2146">
        <v>1028</v>
      </c>
      <c r="W2146" t="s">
        <v>28</v>
      </c>
      <c r="X2146">
        <v>0.151</v>
      </c>
      <c r="Y2146">
        <f>X2146-0.1178</f>
        <v>3.3199999999999993E-2</v>
      </c>
      <c r="AA2146" s="6"/>
      <c r="AB2146" s="6"/>
    </row>
    <row r="2147" spans="1:28" x14ac:dyDescent="0.2">
      <c r="A2147" t="s">
        <v>632</v>
      </c>
      <c r="B2147">
        <v>2014</v>
      </c>
      <c r="C2147" t="s">
        <v>826</v>
      </c>
      <c r="D2147" t="s">
        <v>824</v>
      </c>
      <c r="E2147" t="s">
        <v>48</v>
      </c>
      <c r="F2147" t="s">
        <v>532</v>
      </c>
      <c r="G2147">
        <v>78.066044000000005</v>
      </c>
      <c r="H2147">
        <v>12.608806</v>
      </c>
      <c r="J2147" t="s">
        <v>7</v>
      </c>
      <c r="K2147" t="s">
        <v>143</v>
      </c>
      <c r="L2147" t="s">
        <v>143</v>
      </c>
      <c r="M2147" s="6" t="s">
        <v>663</v>
      </c>
      <c r="N2147" t="s">
        <v>86</v>
      </c>
      <c r="O2147" s="6" t="s">
        <v>274</v>
      </c>
      <c r="P2147" t="s">
        <v>346</v>
      </c>
      <c r="Q2147">
        <v>18</v>
      </c>
      <c r="R2147" t="s">
        <v>213</v>
      </c>
      <c r="S2147" s="2" t="s">
        <v>7</v>
      </c>
      <c r="T2147">
        <v>5</v>
      </c>
      <c r="U2147">
        <v>8.07</v>
      </c>
      <c r="V2147">
        <v>402</v>
      </c>
      <c r="W2147">
        <v>3.8</v>
      </c>
      <c r="X2147">
        <v>5.95</v>
      </c>
      <c r="Y2147">
        <f>6.55-X2147</f>
        <v>0.59999999999999964</v>
      </c>
      <c r="AA2147" s="6"/>
      <c r="AB2147" s="6"/>
    </row>
    <row r="2148" spans="1:28" x14ac:dyDescent="0.2">
      <c r="A2148" t="s">
        <v>632</v>
      </c>
      <c r="B2148">
        <v>2014</v>
      </c>
      <c r="C2148" t="s">
        <v>826</v>
      </c>
      <c r="D2148" t="s">
        <v>824</v>
      </c>
      <c r="E2148" t="s">
        <v>48</v>
      </c>
      <c r="F2148" t="s">
        <v>532</v>
      </c>
      <c r="G2148">
        <v>78.066044000000005</v>
      </c>
      <c r="H2148">
        <v>12.608806</v>
      </c>
      <c r="J2148" t="s">
        <v>5</v>
      </c>
      <c r="K2148" t="s">
        <v>143</v>
      </c>
      <c r="L2148" t="s">
        <v>143</v>
      </c>
      <c r="M2148" s="6" t="s">
        <v>663</v>
      </c>
      <c r="N2148" t="s">
        <v>86</v>
      </c>
      <c r="O2148" s="6" t="s">
        <v>274</v>
      </c>
      <c r="P2148" t="s">
        <v>346</v>
      </c>
      <c r="Q2148">
        <v>18</v>
      </c>
      <c r="R2148" t="s">
        <v>213</v>
      </c>
      <c r="S2148" s="2" t="s">
        <v>9</v>
      </c>
      <c r="T2148">
        <v>5</v>
      </c>
      <c r="U2148">
        <v>7.88</v>
      </c>
      <c r="V2148">
        <v>644</v>
      </c>
      <c r="W2148" t="s">
        <v>28</v>
      </c>
      <c r="X2148">
        <v>6.34</v>
      </c>
      <c r="Y2148">
        <f>7.56-X2148</f>
        <v>1.2199999999999998</v>
      </c>
      <c r="AA2148" s="6"/>
      <c r="AB2148" s="6"/>
    </row>
    <row r="2149" spans="1:28" x14ac:dyDescent="0.2">
      <c r="A2149" t="s">
        <v>632</v>
      </c>
      <c r="B2149">
        <v>2014</v>
      </c>
      <c r="C2149" t="s">
        <v>826</v>
      </c>
      <c r="D2149" t="s">
        <v>824</v>
      </c>
      <c r="E2149" t="s">
        <v>48</v>
      </c>
      <c r="F2149" t="s">
        <v>532</v>
      </c>
      <c r="G2149">
        <v>78.066044000000005</v>
      </c>
      <c r="H2149">
        <v>12.608806</v>
      </c>
      <c r="J2149" t="s">
        <v>5</v>
      </c>
      <c r="K2149" t="s">
        <v>143</v>
      </c>
      <c r="L2149" t="s">
        <v>143</v>
      </c>
      <c r="M2149" s="6" t="s">
        <v>663</v>
      </c>
      <c r="N2149" t="s">
        <v>86</v>
      </c>
      <c r="O2149" s="6" t="s">
        <v>274</v>
      </c>
      <c r="P2149" t="s">
        <v>346</v>
      </c>
      <c r="Q2149">
        <v>18</v>
      </c>
      <c r="R2149" t="s">
        <v>213</v>
      </c>
      <c r="S2149" s="2" t="s">
        <v>27</v>
      </c>
      <c r="T2149">
        <v>5</v>
      </c>
      <c r="U2149">
        <v>7.57</v>
      </c>
      <c r="V2149">
        <v>1354</v>
      </c>
      <c r="W2149" t="s">
        <v>28</v>
      </c>
      <c r="X2149">
        <v>5.83</v>
      </c>
      <c r="Y2149">
        <f>6.28-X2149</f>
        <v>0.45000000000000018</v>
      </c>
      <c r="AA2149" s="6"/>
      <c r="AB2149" s="6"/>
    </row>
    <row r="2150" spans="1:28" x14ac:dyDescent="0.2">
      <c r="A2150" t="s">
        <v>632</v>
      </c>
      <c r="B2150">
        <v>2014</v>
      </c>
      <c r="C2150" t="s">
        <v>826</v>
      </c>
      <c r="D2150" t="s">
        <v>824</v>
      </c>
      <c r="E2150" t="s">
        <v>48</v>
      </c>
      <c r="F2150" t="s">
        <v>532</v>
      </c>
      <c r="G2150">
        <v>78.066044000000005</v>
      </c>
      <c r="H2150">
        <v>12.608806</v>
      </c>
      <c r="J2150" t="s">
        <v>14</v>
      </c>
      <c r="K2150" t="s">
        <v>143</v>
      </c>
      <c r="L2150" t="s">
        <v>143</v>
      </c>
      <c r="M2150" s="6" t="s">
        <v>663</v>
      </c>
      <c r="N2150" t="s">
        <v>86</v>
      </c>
      <c r="O2150" s="6" t="s">
        <v>274</v>
      </c>
      <c r="P2150" t="s">
        <v>346</v>
      </c>
      <c r="Q2150">
        <v>18</v>
      </c>
      <c r="R2150" t="s">
        <v>213</v>
      </c>
      <c r="S2150" s="2" t="s">
        <v>13</v>
      </c>
      <c r="T2150">
        <v>5</v>
      </c>
      <c r="U2150" t="s">
        <v>28</v>
      </c>
      <c r="V2150" t="s">
        <v>28</v>
      </c>
      <c r="W2150">
        <v>9.6999999999999993</v>
      </c>
      <c r="X2150">
        <v>6.34</v>
      </c>
      <c r="Y2150">
        <f>6.83-X2150</f>
        <v>0.49000000000000021</v>
      </c>
      <c r="AA2150" s="6"/>
      <c r="AB2150" s="6"/>
    </row>
    <row r="2151" spans="1:28" x14ac:dyDescent="0.2">
      <c r="A2151" t="s">
        <v>632</v>
      </c>
      <c r="B2151">
        <v>2014</v>
      </c>
      <c r="C2151" t="s">
        <v>826</v>
      </c>
      <c r="D2151" t="s">
        <v>824</v>
      </c>
      <c r="E2151" t="s">
        <v>48</v>
      </c>
      <c r="F2151" t="s">
        <v>532</v>
      </c>
      <c r="G2151">
        <v>78.066044000000005</v>
      </c>
      <c r="H2151">
        <v>12.608806</v>
      </c>
      <c r="J2151" t="s">
        <v>16</v>
      </c>
      <c r="K2151" t="s">
        <v>143</v>
      </c>
      <c r="L2151" t="s">
        <v>143</v>
      </c>
      <c r="M2151" s="6" t="s">
        <v>663</v>
      </c>
      <c r="N2151" t="s">
        <v>86</v>
      </c>
      <c r="O2151" s="6" t="s">
        <v>274</v>
      </c>
      <c r="P2151" t="s">
        <v>346</v>
      </c>
      <c r="Q2151">
        <v>18</v>
      </c>
      <c r="R2151" t="s">
        <v>213</v>
      </c>
      <c r="S2151" s="2" t="s">
        <v>15</v>
      </c>
      <c r="T2151">
        <v>5</v>
      </c>
      <c r="U2151">
        <v>7.89</v>
      </c>
      <c r="V2151">
        <v>683</v>
      </c>
      <c r="W2151">
        <v>9.9</v>
      </c>
      <c r="X2151">
        <v>5.94</v>
      </c>
      <c r="Y2151">
        <f>6.47-X2151</f>
        <v>0.52999999999999936</v>
      </c>
      <c r="AA2151" s="6"/>
      <c r="AB2151" s="6"/>
    </row>
    <row r="2152" spans="1:28" x14ac:dyDescent="0.2">
      <c r="A2152" t="s">
        <v>632</v>
      </c>
      <c r="B2152">
        <v>2014</v>
      </c>
      <c r="C2152" t="s">
        <v>826</v>
      </c>
      <c r="D2152" t="s">
        <v>824</v>
      </c>
      <c r="E2152" t="s">
        <v>48</v>
      </c>
      <c r="F2152" t="s">
        <v>532</v>
      </c>
      <c r="G2152">
        <v>78.066044000000005</v>
      </c>
      <c r="H2152">
        <v>12.608806</v>
      </c>
      <c r="J2152" t="s">
        <v>16</v>
      </c>
      <c r="K2152" t="s">
        <v>143</v>
      </c>
      <c r="L2152" t="s">
        <v>143</v>
      </c>
      <c r="M2152" s="6" t="s">
        <v>663</v>
      </c>
      <c r="N2152" t="s">
        <v>86</v>
      </c>
      <c r="O2152" s="6" t="s">
        <v>274</v>
      </c>
      <c r="P2152" t="s">
        <v>346</v>
      </c>
      <c r="Q2152">
        <v>18</v>
      </c>
      <c r="R2152" t="s">
        <v>213</v>
      </c>
      <c r="S2152" s="2" t="s">
        <v>37</v>
      </c>
      <c r="T2152">
        <v>5</v>
      </c>
      <c r="U2152">
        <v>7.58</v>
      </c>
      <c r="V2152">
        <v>1456</v>
      </c>
      <c r="W2152">
        <v>9.9</v>
      </c>
      <c r="X2152">
        <v>5.5</v>
      </c>
      <c r="Y2152">
        <f>5.87-X2152</f>
        <v>0.37000000000000011</v>
      </c>
      <c r="AA2152" s="6"/>
      <c r="AB2152" s="6"/>
    </row>
    <row r="2153" spans="1:28" x14ac:dyDescent="0.2">
      <c r="A2153" t="s">
        <v>632</v>
      </c>
      <c r="B2153">
        <v>2014</v>
      </c>
      <c r="C2153" t="s">
        <v>826</v>
      </c>
      <c r="D2153" t="s">
        <v>824</v>
      </c>
      <c r="E2153" t="s">
        <v>48</v>
      </c>
      <c r="F2153" t="s">
        <v>307</v>
      </c>
      <c r="G2153">
        <v>54.183827999999998</v>
      </c>
      <c r="H2153">
        <v>7.8726450000000003</v>
      </c>
      <c r="J2153" s="2" t="s">
        <v>7</v>
      </c>
      <c r="K2153" t="s">
        <v>143</v>
      </c>
      <c r="L2153" t="s">
        <v>143</v>
      </c>
      <c r="M2153" s="6" t="s">
        <v>663</v>
      </c>
      <c r="N2153" t="s">
        <v>86</v>
      </c>
      <c r="O2153" s="6" t="s">
        <v>274</v>
      </c>
      <c r="P2153" t="s">
        <v>346</v>
      </c>
      <c r="Q2153">
        <v>18</v>
      </c>
      <c r="R2153" t="s">
        <v>213</v>
      </c>
      <c r="S2153" s="2" t="s">
        <v>7</v>
      </c>
      <c r="T2153">
        <v>5</v>
      </c>
      <c r="U2153">
        <v>8.06</v>
      </c>
      <c r="V2153">
        <v>423</v>
      </c>
      <c r="W2153">
        <v>9.6999999999999993</v>
      </c>
      <c r="X2153">
        <v>8.51</v>
      </c>
      <c r="Y2153">
        <f>8.72-X2153</f>
        <v>0.21000000000000085</v>
      </c>
      <c r="AA2153" s="6"/>
      <c r="AB2153" s="6"/>
    </row>
    <row r="2154" spans="1:28" x14ac:dyDescent="0.2">
      <c r="A2154" t="s">
        <v>632</v>
      </c>
      <c r="B2154">
        <v>2014</v>
      </c>
      <c r="C2154" t="s">
        <v>826</v>
      </c>
      <c r="D2154" t="s">
        <v>824</v>
      </c>
      <c r="E2154" t="s">
        <v>48</v>
      </c>
      <c r="F2154" t="s">
        <v>307</v>
      </c>
      <c r="G2154">
        <v>54.183827999999998</v>
      </c>
      <c r="H2154">
        <v>7.8726450000000003</v>
      </c>
      <c r="J2154" s="2" t="s">
        <v>5</v>
      </c>
      <c r="K2154" t="s">
        <v>143</v>
      </c>
      <c r="L2154" t="s">
        <v>143</v>
      </c>
      <c r="M2154" s="6" t="s">
        <v>663</v>
      </c>
      <c r="N2154" t="s">
        <v>86</v>
      </c>
      <c r="O2154" s="6" t="s">
        <v>274</v>
      </c>
      <c r="P2154" t="s">
        <v>346</v>
      </c>
      <c r="Q2154">
        <v>18</v>
      </c>
      <c r="R2154" t="s">
        <v>213</v>
      </c>
      <c r="S2154" s="2" t="s">
        <v>9</v>
      </c>
      <c r="T2154">
        <v>5</v>
      </c>
      <c r="U2154">
        <v>7.82</v>
      </c>
      <c r="V2154">
        <v>769</v>
      </c>
      <c r="W2154" t="s">
        <v>28</v>
      </c>
      <c r="X2154">
        <v>8.01</v>
      </c>
      <c r="Y2154">
        <f>8.74-X2154</f>
        <v>0.73000000000000043</v>
      </c>
      <c r="AA2154" s="6"/>
      <c r="AB2154" s="6"/>
    </row>
    <row r="2155" spans="1:28" x14ac:dyDescent="0.2">
      <c r="A2155" t="s">
        <v>632</v>
      </c>
      <c r="B2155">
        <v>2014</v>
      </c>
      <c r="C2155" t="s">
        <v>826</v>
      </c>
      <c r="D2155" t="s">
        <v>824</v>
      </c>
      <c r="E2155" t="s">
        <v>48</v>
      </c>
      <c r="F2155" t="s">
        <v>307</v>
      </c>
      <c r="G2155">
        <v>54.183827999999998</v>
      </c>
      <c r="H2155">
        <v>7.8726450000000003</v>
      </c>
      <c r="J2155" s="2" t="s">
        <v>5</v>
      </c>
      <c r="K2155" t="s">
        <v>143</v>
      </c>
      <c r="L2155" t="s">
        <v>143</v>
      </c>
      <c r="M2155" s="6" t="s">
        <v>663</v>
      </c>
      <c r="N2155" t="s">
        <v>86</v>
      </c>
      <c r="O2155" s="6" t="s">
        <v>274</v>
      </c>
      <c r="P2155" t="s">
        <v>346</v>
      </c>
      <c r="Q2155">
        <v>18</v>
      </c>
      <c r="R2155" t="s">
        <v>213</v>
      </c>
      <c r="S2155" s="2" t="s">
        <v>27</v>
      </c>
      <c r="T2155">
        <v>5</v>
      </c>
      <c r="U2155">
        <v>7.56</v>
      </c>
      <c r="V2155">
        <v>1437</v>
      </c>
      <c r="W2155" t="s">
        <v>28</v>
      </c>
      <c r="X2155">
        <v>8.61</v>
      </c>
      <c r="Y2155">
        <f>9.03-X2155</f>
        <v>0.41999999999999993</v>
      </c>
      <c r="AA2155" s="6"/>
      <c r="AB2155" s="6"/>
    </row>
    <row r="2156" spans="1:28" x14ac:dyDescent="0.2">
      <c r="A2156" t="s">
        <v>632</v>
      </c>
      <c r="B2156">
        <v>2014</v>
      </c>
      <c r="C2156" t="s">
        <v>826</v>
      </c>
      <c r="D2156" t="s">
        <v>824</v>
      </c>
      <c r="E2156" t="s">
        <v>48</v>
      </c>
      <c r="F2156" t="s">
        <v>307</v>
      </c>
      <c r="G2156">
        <v>54.183827999999998</v>
      </c>
      <c r="H2156">
        <v>7.8726450000000003</v>
      </c>
      <c r="J2156" s="2" t="s">
        <v>14</v>
      </c>
      <c r="K2156" t="s">
        <v>143</v>
      </c>
      <c r="L2156" t="s">
        <v>143</v>
      </c>
      <c r="M2156" s="6" t="s">
        <v>663</v>
      </c>
      <c r="N2156" t="s">
        <v>86</v>
      </c>
      <c r="O2156" s="6" t="s">
        <v>274</v>
      </c>
      <c r="P2156" t="s">
        <v>346</v>
      </c>
      <c r="Q2156">
        <v>18</v>
      </c>
      <c r="R2156" t="s">
        <v>213</v>
      </c>
      <c r="S2156" s="2" t="s">
        <v>13</v>
      </c>
      <c r="T2156">
        <v>5</v>
      </c>
      <c r="U2156" t="s">
        <v>28</v>
      </c>
      <c r="V2156" t="s">
        <v>28</v>
      </c>
      <c r="W2156">
        <v>17</v>
      </c>
      <c r="X2156">
        <v>7.41</v>
      </c>
      <c r="Y2156">
        <f>7.98-X2156</f>
        <v>0.57000000000000028</v>
      </c>
      <c r="AA2156" s="6"/>
      <c r="AB2156" s="6"/>
    </row>
    <row r="2157" spans="1:28" x14ac:dyDescent="0.2">
      <c r="A2157" t="s">
        <v>632</v>
      </c>
      <c r="B2157">
        <v>2014</v>
      </c>
      <c r="C2157" t="s">
        <v>826</v>
      </c>
      <c r="D2157" t="s">
        <v>824</v>
      </c>
      <c r="E2157" t="s">
        <v>48</v>
      </c>
      <c r="F2157" t="s">
        <v>307</v>
      </c>
      <c r="G2157">
        <v>54.183827999999998</v>
      </c>
      <c r="H2157">
        <v>7.8726450000000003</v>
      </c>
      <c r="J2157" s="2" t="s">
        <v>16</v>
      </c>
      <c r="K2157" t="s">
        <v>143</v>
      </c>
      <c r="L2157" t="s">
        <v>143</v>
      </c>
      <c r="M2157" s="6" t="s">
        <v>663</v>
      </c>
      <c r="N2157" t="s">
        <v>86</v>
      </c>
      <c r="O2157" s="6" t="s">
        <v>274</v>
      </c>
      <c r="P2157" t="s">
        <v>346</v>
      </c>
      <c r="Q2157">
        <v>18</v>
      </c>
      <c r="R2157" t="s">
        <v>213</v>
      </c>
      <c r="S2157" s="2" t="s">
        <v>15</v>
      </c>
      <c r="T2157">
        <v>5</v>
      </c>
      <c r="U2157">
        <v>7.82</v>
      </c>
      <c r="V2157">
        <v>783</v>
      </c>
      <c r="W2157">
        <v>16.8</v>
      </c>
      <c r="X2157">
        <v>6.91</v>
      </c>
      <c r="Y2157">
        <f>7.22-X2157</f>
        <v>0.30999999999999961</v>
      </c>
      <c r="AA2157" s="6"/>
      <c r="AB2157" s="6"/>
    </row>
    <row r="2158" spans="1:28" x14ac:dyDescent="0.2">
      <c r="A2158" t="s">
        <v>632</v>
      </c>
      <c r="B2158">
        <v>2014</v>
      </c>
      <c r="C2158" t="s">
        <v>826</v>
      </c>
      <c r="D2158" t="s">
        <v>824</v>
      </c>
      <c r="E2158" t="s">
        <v>48</v>
      </c>
      <c r="F2158" t="s">
        <v>307</v>
      </c>
      <c r="G2158">
        <v>54.183827999999998</v>
      </c>
      <c r="H2158">
        <v>7.8726450000000003</v>
      </c>
      <c r="J2158" s="2" t="s">
        <v>16</v>
      </c>
      <c r="K2158" t="s">
        <v>143</v>
      </c>
      <c r="L2158" t="s">
        <v>143</v>
      </c>
      <c r="M2158" s="6" t="s">
        <v>663</v>
      </c>
      <c r="N2158" t="s">
        <v>86</v>
      </c>
      <c r="O2158" s="6" t="s">
        <v>274</v>
      </c>
      <c r="P2158" t="s">
        <v>346</v>
      </c>
      <c r="Q2158">
        <v>18</v>
      </c>
      <c r="R2158" t="s">
        <v>213</v>
      </c>
      <c r="S2158" s="2" t="s">
        <v>37</v>
      </c>
      <c r="T2158">
        <v>5</v>
      </c>
      <c r="U2158">
        <v>7.56</v>
      </c>
      <c r="V2158">
        <v>1505</v>
      </c>
      <c r="W2158">
        <v>17.100000000000001</v>
      </c>
      <c r="X2158">
        <v>6.59</v>
      </c>
      <c r="Y2158">
        <f>6.78-X2158</f>
        <v>0.19000000000000039</v>
      </c>
      <c r="AA2158" s="6"/>
      <c r="AB2158" s="6"/>
    </row>
    <row r="2159" spans="1:28" x14ac:dyDescent="0.2">
      <c r="A2159" t="s">
        <v>632</v>
      </c>
      <c r="B2159">
        <v>2014</v>
      </c>
      <c r="C2159" t="s">
        <v>826</v>
      </c>
      <c r="D2159" t="s">
        <v>824</v>
      </c>
      <c r="E2159" t="s">
        <v>48</v>
      </c>
      <c r="F2159" t="s">
        <v>532</v>
      </c>
      <c r="G2159">
        <v>78.066044000000005</v>
      </c>
      <c r="H2159">
        <v>12.608806</v>
      </c>
      <c r="J2159" t="s">
        <v>7</v>
      </c>
      <c r="K2159" t="s">
        <v>143</v>
      </c>
      <c r="L2159" t="s">
        <v>143</v>
      </c>
      <c r="M2159" t="s">
        <v>638</v>
      </c>
      <c r="N2159" t="s">
        <v>85</v>
      </c>
      <c r="O2159" s="6" t="s">
        <v>221</v>
      </c>
      <c r="P2159" t="s">
        <v>126</v>
      </c>
      <c r="Q2159">
        <v>18</v>
      </c>
      <c r="R2159" t="s">
        <v>213</v>
      </c>
      <c r="S2159" s="2" t="s">
        <v>7</v>
      </c>
      <c r="T2159">
        <v>5</v>
      </c>
      <c r="U2159">
        <v>8.07</v>
      </c>
      <c r="V2159">
        <v>402</v>
      </c>
      <c r="W2159">
        <v>3.8</v>
      </c>
      <c r="X2159">
        <v>39.869999999999997</v>
      </c>
      <c r="Y2159">
        <f>41.25-X2159</f>
        <v>1.3800000000000026</v>
      </c>
      <c r="AA2159" s="6"/>
      <c r="AB2159" s="6"/>
    </row>
    <row r="2160" spans="1:28" x14ac:dyDescent="0.2">
      <c r="A2160" t="s">
        <v>632</v>
      </c>
      <c r="B2160">
        <v>2014</v>
      </c>
      <c r="C2160" t="s">
        <v>826</v>
      </c>
      <c r="D2160" t="s">
        <v>824</v>
      </c>
      <c r="E2160" t="s">
        <v>48</v>
      </c>
      <c r="F2160" t="s">
        <v>532</v>
      </c>
      <c r="G2160">
        <v>78.066044000000005</v>
      </c>
      <c r="H2160">
        <v>12.608806</v>
      </c>
      <c r="J2160" t="s">
        <v>5</v>
      </c>
      <c r="K2160" t="s">
        <v>143</v>
      </c>
      <c r="L2160" t="s">
        <v>143</v>
      </c>
      <c r="M2160" t="s">
        <v>638</v>
      </c>
      <c r="N2160" t="s">
        <v>85</v>
      </c>
      <c r="O2160" s="6" t="s">
        <v>221</v>
      </c>
      <c r="P2160" t="s">
        <v>126</v>
      </c>
      <c r="Q2160">
        <v>18</v>
      </c>
      <c r="R2160" t="s">
        <v>213</v>
      </c>
      <c r="S2160" s="2" t="s">
        <v>9</v>
      </c>
      <c r="T2160">
        <v>5</v>
      </c>
      <c r="U2160">
        <v>7.88</v>
      </c>
      <c r="V2160">
        <v>644</v>
      </c>
      <c r="W2160" t="s">
        <v>28</v>
      </c>
      <c r="X2160">
        <v>40.19</v>
      </c>
      <c r="Y2160">
        <f>41.49-X2160</f>
        <v>1.3000000000000043</v>
      </c>
      <c r="AA2160" s="6"/>
      <c r="AB2160" s="6"/>
    </row>
    <row r="2161" spans="1:28" x14ac:dyDescent="0.2">
      <c r="A2161" t="s">
        <v>632</v>
      </c>
      <c r="B2161">
        <v>2014</v>
      </c>
      <c r="C2161" t="s">
        <v>826</v>
      </c>
      <c r="D2161" t="s">
        <v>824</v>
      </c>
      <c r="E2161" t="s">
        <v>48</v>
      </c>
      <c r="F2161" t="s">
        <v>532</v>
      </c>
      <c r="G2161">
        <v>78.066044000000005</v>
      </c>
      <c r="H2161">
        <v>12.608806</v>
      </c>
      <c r="J2161" t="s">
        <v>5</v>
      </c>
      <c r="K2161" t="s">
        <v>143</v>
      </c>
      <c r="L2161" t="s">
        <v>143</v>
      </c>
      <c r="M2161" t="s">
        <v>638</v>
      </c>
      <c r="N2161" t="s">
        <v>85</v>
      </c>
      <c r="O2161" s="6" t="s">
        <v>221</v>
      </c>
      <c r="P2161" t="s">
        <v>126</v>
      </c>
      <c r="Q2161">
        <v>18</v>
      </c>
      <c r="R2161" t="s">
        <v>213</v>
      </c>
      <c r="S2161" s="2" t="s">
        <v>27</v>
      </c>
      <c r="T2161">
        <v>5</v>
      </c>
      <c r="U2161">
        <v>7.57</v>
      </c>
      <c r="V2161">
        <v>1354</v>
      </c>
      <c r="W2161" t="s">
        <v>28</v>
      </c>
      <c r="X2161">
        <v>39.71</v>
      </c>
      <c r="Y2161">
        <f>41.09-X2161</f>
        <v>1.3800000000000026</v>
      </c>
      <c r="AA2161" s="6"/>
      <c r="AB2161" s="6"/>
    </row>
    <row r="2162" spans="1:28" x14ac:dyDescent="0.2">
      <c r="A2162" t="s">
        <v>632</v>
      </c>
      <c r="B2162">
        <v>2014</v>
      </c>
      <c r="C2162" t="s">
        <v>826</v>
      </c>
      <c r="D2162" t="s">
        <v>824</v>
      </c>
      <c r="E2162" t="s">
        <v>48</v>
      </c>
      <c r="F2162" t="s">
        <v>532</v>
      </c>
      <c r="G2162">
        <v>78.066044000000005</v>
      </c>
      <c r="H2162">
        <v>12.608806</v>
      </c>
      <c r="J2162" t="s">
        <v>14</v>
      </c>
      <c r="K2162" t="s">
        <v>143</v>
      </c>
      <c r="L2162" t="s">
        <v>143</v>
      </c>
      <c r="M2162" t="s">
        <v>638</v>
      </c>
      <c r="N2162" t="s">
        <v>85</v>
      </c>
      <c r="O2162" s="6" t="s">
        <v>221</v>
      </c>
      <c r="P2162" t="s">
        <v>126</v>
      </c>
      <c r="Q2162">
        <v>18</v>
      </c>
      <c r="R2162" t="s">
        <v>213</v>
      </c>
      <c r="S2162" s="2" t="s">
        <v>13</v>
      </c>
      <c r="T2162">
        <v>5</v>
      </c>
      <c r="U2162" t="s">
        <v>28</v>
      </c>
      <c r="V2162" t="s">
        <v>28</v>
      </c>
      <c r="W2162">
        <v>9.6999999999999993</v>
      </c>
      <c r="X2162">
        <v>40.6</v>
      </c>
      <c r="Y2162">
        <f>41.41-X2162</f>
        <v>0.80999999999999517</v>
      </c>
      <c r="AA2162" s="6"/>
      <c r="AB2162" s="6"/>
    </row>
    <row r="2163" spans="1:28" x14ac:dyDescent="0.2">
      <c r="A2163" t="s">
        <v>632</v>
      </c>
      <c r="B2163">
        <v>2014</v>
      </c>
      <c r="C2163" t="s">
        <v>826</v>
      </c>
      <c r="D2163" t="s">
        <v>824</v>
      </c>
      <c r="E2163" t="s">
        <v>48</v>
      </c>
      <c r="F2163" t="s">
        <v>532</v>
      </c>
      <c r="G2163">
        <v>78.066044000000005</v>
      </c>
      <c r="H2163">
        <v>12.608806</v>
      </c>
      <c r="J2163" t="s">
        <v>16</v>
      </c>
      <c r="K2163" t="s">
        <v>143</v>
      </c>
      <c r="L2163" t="s">
        <v>143</v>
      </c>
      <c r="M2163" t="s">
        <v>638</v>
      </c>
      <c r="N2163" t="s">
        <v>85</v>
      </c>
      <c r="O2163" s="6" t="s">
        <v>221</v>
      </c>
      <c r="P2163" t="s">
        <v>126</v>
      </c>
      <c r="Q2163">
        <v>18</v>
      </c>
      <c r="R2163" t="s">
        <v>213</v>
      </c>
      <c r="S2163" s="2" t="s">
        <v>15</v>
      </c>
      <c r="T2163">
        <v>5</v>
      </c>
      <c r="U2163">
        <v>7.89</v>
      </c>
      <c r="V2163">
        <v>683</v>
      </c>
      <c r="W2163">
        <v>9.9</v>
      </c>
      <c r="X2163">
        <v>40.840000000000003</v>
      </c>
      <c r="Y2163">
        <f>41.98-X2163</f>
        <v>1.1399999999999935</v>
      </c>
      <c r="AA2163" s="6"/>
      <c r="AB2163" s="6"/>
    </row>
    <row r="2164" spans="1:28" x14ac:dyDescent="0.2">
      <c r="A2164" t="s">
        <v>632</v>
      </c>
      <c r="B2164">
        <v>2014</v>
      </c>
      <c r="C2164" t="s">
        <v>826</v>
      </c>
      <c r="D2164" t="s">
        <v>824</v>
      </c>
      <c r="E2164" t="s">
        <v>48</v>
      </c>
      <c r="F2164" t="s">
        <v>532</v>
      </c>
      <c r="G2164">
        <v>78.066044000000005</v>
      </c>
      <c r="H2164">
        <v>12.608806</v>
      </c>
      <c r="J2164" t="s">
        <v>16</v>
      </c>
      <c r="K2164" t="s">
        <v>143</v>
      </c>
      <c r="L2164" t="s">
        <v>143</v>
      </c>
      <c r="M2164" t="s">
        <v>638</v>
      </c>
      <c r="N2164" t="s">
        <v>85</v>
      </c>
      <c r="O2164" s="6" t="s">
        <v>221</v>
      </c>
      <c r="P2164" t="s">
        <v>126</v>
      </c>
      <c r="Q2164">
        <v>18</v>
      </c>
      <c r="R2164" t="s">
        <v>213</v>
      </c>
      <c r="S2164" s="2" t="s">
        <v>37</v>
      </c>
      <c r="T2164">
        <v>5</v>
      </c>
      <c r="U2164">
        <v>7.58</v>
      </c>
      <c r="V2164">
        <v>1456</v>
      </c>
      <c r="W2164">
        <v>9.9</v>
      </c>
      <c r="X2164">
        <v>42.06</v>
      </c>
      <c r="Y2164">
        <f>42.3-X2164</f>
        <v>0.23999999999999488</v>
      </c>
      <c r="AA2164" s="6"/>
      <c r="AB2164" s="6"/>
    </row>
    <row r="2165" spans="1:28" x14ac:dyDescent="0.2">
      <c r="A2165" t="s">
        <v>632</v>
      </c>
      <c r="B2165">
        <v>2014</v>
      </c>
      <c r="C2165" t="s">
        <v>826</v>
      </c>
      <c r="D2165" t="s">
        <v>824</v>
      </c>
      <c r="E2165" t="s">
        <v>48</v>
      </c>
      <c r="F2165" t="s">
        <v>307</v>
      </c>
      <c r="G2165">
        <v>54.183827999999998</v>
      </c>
      <c r="H2165">
        <v>7.8726450000000003</v>
      </c>
      <c r="J2165" s="2" t="s">
        <v>7</v>
      </c>
      <c r="K2165" t="s">
        <v>143</v>
      </c>
      <c r="L2165" t="s">
        <v>143</v>
      </c>
      <c r="M2165" t="s">
        <v>638</v>
      </c>
      <c r="N2165" t="s">
        <v>85</v>
      </c>
      <c r="O2165" s="6" t="s">
        <v>221</v>
      </c>
      <c r="P2165" t="s">
        <v>126</v>
      </c>
      <c r="Q2165">
        <v>18</v>
      </c>
      <c r="R2165" t="s">
        <v>213</v>
      </c>
      <c r="S2165" s="2" t="s">
        <v>7</v>
      </c>
      <c r="T2165">
        <v>5</v>
      </c>
      <c r="U2165">
        <v>8.06</v>
      </c>
      <c r="V2165">
        <v>423</v>
      </c>
      <c r="W2165">
        <v>9.6999999999999993</v>
      </c>
      <c r="X2165">
        <v>32.58</v>
      </c>
      <c r="Y2165">
        <f>33.06-X2165</f>
        <v>0.48000000000000398</v>
      </c>
      <c r="AA2165" s="6"/>
      <c r="AB2165" s="6"/>
    </row>
    <row r="2166" spans="1:28" x14ac:dyDescent="0.2">
      <c r="A2166" t="s">
        <v>632</v>
      </c>
      <c r="B2166">
        <v>2014</v>
      </c>
      <c r="C2166" t="s">
        <v>826</v>
      </c>
      <c r="D2166" t="s">
        <v>824</v>
      </c>
      <c r="E2166" t="s">
        <v>48</v>
      </c>
      <c r="F2166" t="s">
        <v>307</v>
      </c>
      <c r="G2166">
        <v>54.183827999999998</v>
      </c>
      <c r="H2166">
        <v>7.8726450000000003</v>
      </c>
      <c r="J2166" s="2" t="s">
        <v>5</v>
      </c>
      <c r="K2166" t="s">
        <v>143</v>
      </c>
      <c r="L2166" t="s">
        <v>143</v>
      </c>
      <c r="M2166" t="s">
        <v>638</v>
      </c>
      <c r="N2166" t="s">
        <v>85</v>
      </c>
      <c r="O2166" s="6" t="s">
        <v>221</v>
      </c>
      <c r="P2166" t="s">
        <v>126</v>
      </c>
      <c r="Q2166">
        <v>18</v>
      </c>
      <c r="R2166" t="s">
        <v>213</v>
      </c>
      <c r="S2166" s="2" t="s">
        <v>9</v>
      </c>
      <c r="T2166">
        <v>5</v>
      </c>
      <c r="U2166">
        <v>7.82</v>
      </c>
      <c r="V2166">
        <v>769</v>
      </c>
      <c r="W2166" t="s">
        <v>28</v>
      </c>
      <c r="X2166">
        <v>33.31</v>
      </c>
      <c r="Y2166">
        <f>35.01-X2166</f>
        <v>1.6999999999999957</v>
      </c>
      <c r="AA2166" s="6"/>
      <c r="AB2166" s="6"/>
    </row>
    <row r="2167" spans="1:28" x14ac:dyDescent="0.2">
      <c r="A2167" t="s">
        <v>632</v>
      </c>
      <c r="B2167">
        <v>2014</v>
      </c>
      <c r="C2167" t="s">
        <v>826</v>
      </c>
      <c r="D2167" t="s">
        <v>824</v>
      </c>
      <c r="E2167" t="s">
        <v>48</v>
      </c>
      <c r="F2167" t="s">
        <v>307</v>
      </c>
      <c r="G2167">
        <v>54.183827999999998</v>
      </c>
      <c r="H2167">
        <v>7.8726450000000003</v>
      </c>
      <c r="J2167" s="2" t="s">
        <v>5</v>
      </c>
      <c r="K2167" t="s">
        <v>143</v>
      </c>
      <c r="L2167" t="s">
        <v>143</v>
      </c>
      <c r="M2167" t="s">
        <v>638</v>
      </c>
      <c r="N2167" t="s">
        <v>85</v>
      </c>
      <c r="O2167" s="6" t="s">
        <v>221</v>
      </c>
      <c r="P2167" t="s">
        <v>126</v>
      </c>
      <c r="Q2167">
        <v>18</v>
      </c>
      <c r="R2167" t="s">
        <v>213</v>
      </c>
      <c r="S2167" s="2" t="s">
        <v>27</v>
      </c>
      <c r="T2167">
        <v>5</v>
      </c>
      <c r="U2167">
        <v>7.56</v>
      </c>
      <c r="V2167">
        <v>1437</v>
      </c>
      <c r="W2167" t="s">
        <v>28</v>
      </c>
      <c r="X2167">
        <v>32.979999999999997</v>
      </c>
      <c r="Y2167">
        <f>33.39-X2167</f>
        <v>0.41000000000000369</v>
      </c>
      <c r="AA2167" s="6"/>
      <c r="AB2167" s="6"/>
    </row>
    <row r="2168" spans="1:28" x14ac:dyDescent="0.2">
      <c r="A2168" t="s">
        <v>632</v>
      </c>
      <c r="B2168">
        <v>2014</v>
      </c>
      <c r="C2168" t="s">
        <v>826</v>
      </c>
      <c r="D2168" t="s">
        <v>824</v>
      </c>
      <c r="E2168" t="s">
        <v>48</v>
      </c>
      <c r="F2168" t="s">
        <v>307</v>
      </c>
      <c r="G2168">
        <v>54.183827999999998</v>
      </c>
      <c r="H2168">
        <v>7.8726450000000003</v>
      </c>
      <c r="J2168" s="2" t="s">
        <v>14</v>
      </c>
      <c r="K2168" t="s">
        <v>143</v>
      </c>
      <c r="L2168" t="s">
        <v>143</v>
      </c>
      <c r="M2168" t="s">
        <v>638</v>
      </c>
      <c r="N2168" t="s">
        <v>85</v>
      </c>
      <c r="O2168" s="6" t="s">
        <v>221</v>
      </c>
      <c r="P2168" t="s">
        <v>126</v>
      </c>
      <c r="Q2168">
        <v>18</v>
      </c>
      <c r="R2168" t="s">
        <v>213</v>
      </c>
      <c r="S2168" s="2" t="s">
        <v>13</v>
      </c>
      <c r="T2168">
        <v>5</v>
      </c>
      <c r="U2168" t="s">
        <v>28</v>
      </c>
      <c r="V2168" t="s">
        <v>28</v>
      </c>
      <c r="W2168">
        <v>17</v>
      </c>
      <c r="X2168">
        <v>33.229999999999997</v>
      </c>
      <c r="Y2168">
        <f>33.71-X2168</f>
        <v>0.48000000000000398</v>
      </c>
      <c r="AA2168" s="6"/>
      <c r="AB2168" s="6"/>
    </row>
    <row r="2169" spans="1:28" x14ac:dyDescent="0.2">
      <c r="A2169" t="s">
        <v>632</v>
      </c>
      <c r="B2169">
        <v>2014</v>
      </c>
      <c r="C2169" t="s">
        <v>826</v>
      </c>
      <c r="D2169" t="s">
        <v>824</v>
      </c>
      <c r="E2169" t="s">
        <v>48</v>
      </c>
      <c r="F2169" t="s">
        <v>307</v>
      </c>
      <c r="G2169">
        <v>54.183827999999998</v>
      </c>
      <c r="H2169">
        <v>7.8726450000000003</v>
      </c>
      <c r="J2169" s="2" t="s">
        <v>16</v>
      </c>
      <c r="K2169" t="s">
        <v>143</v>
      </c>
      <c r="L2169" t="s">
        <v>143</v>
      </c>
      <c r="M2169" t="s">
        <v>638</v>
      </c>
      <c r="N2169" t="s">
        <v>85</v>
      </c>
      <c r="O2169" s="6" t="s">
        <v>221</v>
      </c>
      <c r="P2169" t="s">
        <v>126</v>
      </c>
      <c r="Q2169">
        <v>18</v>
      </c>
      <c r="R2169" t="s">
        <v>213</v>
      </c>
      <c r="S2169" s="2" t="s">
        <v>15</v>
      </c>
      <c r="T2169">
        <v>5</v>
      </c>
      <c r="U2169">
        <v>7.82</v>
      </c>
      <c r="V2169">
        <v>783</v>
      </c>
      <c r="W2169">
        <v>16.8</v>
      </c>
      <c r="X2169">
        <v>33.229999999999997</v>
      </c>
      <c r="Y2169">
        <f>33.47-X2169</f>
        <v>0.24000000000000199</v>
      </c>
      <c r="AA2169" s="6"/>
      <c r="AB2169" s="6"/>
    </row>
    <row r="2170" spans="1:28" x14ac:dyDescent="0.2">
      <c r="A2170" t="s">
        <v>632</v>
      </c>
      <c r="B2170">
        <v>2014</v>
      </c>
      <c r="C2170" t="s">
        <v>826</v>
      </c>
      <c r="D2170" t="s">
        <v>824</v>
      </c>
      <c r="E2170" t="s">
        <v>48</v>
      </c>
      <c r="F2170" t="s">
        <v>307</v>
      </c>
      <c r="G2170">
        <v>54.183827999999998</v>
      </c>
      <c r="H2170">
        <v>7.8726450000000003</v>
      </c>
      <c r="J2170" s="2" t="s">
        <v>16</v>
      </c>
      <c r="K2170" t="s">
        <v>143</v>
      </c>
      <c r="L2170" t="s">
        <v>143</v>
      </c>
      <c r="M2170" t="s">
        <v>638</v>
      </c>
      <c r="N2170" t="s">
        <v>85</v>
      </c>
      <c r="O2170" s="6" t="s">
        <v>221</v>
      </c>
      <c r="P2170" t="s">
        <v>126</v>
      </c>
      <c r="Q2170">
        <v>18</v>
      </c>
      <c r="R2170" t="s">
        <v>213</v>
      </c>
      <c r="S2170" s="2" t="s">
        <v>37</v>
      </c>
      <c r="T2170">
        <v>5</v>
      </c>
      <c r="U2170">
        <v>7.56</v>
      </c>
      <c r="V2170">
        <v>1505</v>
      </c>
      <c r="W2170">
        <v>17.100000000000001</v>
      </c>
      <c r="X2170">
        <v>33.14</v>
      </c>
      <c r="Y2170">
        <f>33.63-X2170</f>
        <v>0.49000000000000199</v>
      </c>
      <c r="AA2170" s="6"/>
      <c r="AB2170" s="6"/>
    </row>
    <row r="2171" spans="1:28" x14ac:dyDescent="0.2">
      <c r="A2171" t="s">
        <v>632</v>
      </c>
      <c r="B2171">
        <v>2014</v>
      </c>
      <c r="C2171" t="s">
        <v>826</v>
      </c>
      <c r="D2171" t="s">
        <v>824</v>
      </c>
      <c r="E2171" t="s">
        <v>48</v>
      </c>
      <c r="F2171" t="s">
        <v>532</v>
      </c>
      <c r="G2171">
        <v>78.066044000000005</v>
      </c>
      <c r="H2171">
        <v>12.608806</v>
      </c>
      <c r="J2171" t="s">
        <v>7</v>
      </c>
      <c r="K2171" t="s">
        <v>143</v>
      </c>
      <c r="L2171" t="s">
        <v>143</v>
      </c>
      <c r="M2171" t="s">
        <v>638</v>
      </c>
      <c r="N2171" t="s">
        <v>85</v>
      </c>
      <c r="O2171" s="6" t="s">
        <v>347</v>
      </c>
      <c r="P2171" t="s">
        <v>147</v>
      </c>
      <c r="Q2171">
        <v>18</v>
      </c>
      <c r="R2171" t="s">
        <v>213</v>
      </c>
      <c r="S2171" s="2" t="s">
        <v>7</v>
      </c>
      <c r="T2171">
        <v>5</v>
      </c>
      <c r="U2171">
        <v>8.07</v>
      </c>
      <c r="V2171">
        <v>402</v>
      </c>
      <c r="W2171">
        <v>3.8</v>
      </c>
      <c r="X2171">
        <v>168</v>
      </c>
      <c r="Y2171">
        <f>209.4-X2171</f>
        <v>41.400000000000006</v>
      </c>
      <c r="AA2171" s="6"/>
      <c r="AB2171" s="6"/>
    </row>
    <row r="2172" spans="1:28" x14ac:dyDescent="0.2">
      <c r="A2172" t="s">
        <v>632</v>
      </c>
      <c r="B2172">
        <v>2014</v>
      </c>
      <c r="C2172" t="s">
        <v>826</v>
      </c>
      <c r="D2172" t="s">
        <v>824</v>
      </c>
      <c r="E2172" t="s">
        <v>48</v>
      </c>
      <c r="F2172" t="s">
        <v>532</v>
      </c>
      <c r="G2172">
        <v>78.066044000000005</v>
      </c>
      <c r="H2172">
        <v>12.608806</v>
      </c>
      <c r="J2172" t="s">
        <v>5</v>
      </c>
      <c r="K2172" t="s">
        <v>143</v>
      </c>
      <c r="L2172" t="s">
        <v>143</v>
      </c>
      <c r="M2172" t="s">
        <v>638</v>
      </c>
      <c r="N2172" t="s">
        <v>85</v>
      </c>
      <c r="O2172" s="6" t="s">
        <v>347</v>
      </c>
      <c r="P2172" t="s">
        <v>147</v>
      </c>
      <c r="Q2172">
        <v>18</v>
      </c>
      <c r="R2172" t="s">
        <v>213</v>
      </c>
      <c r="S2172" s="2" t="s">
        <v>9</v>
      </c>
      <c r="T2172">
        <v>5</v>
      </c>
      <c r="U2172">
        <v>7.88</v>
      </c>
      <c r="V2172">
        <v>644</v>
      </c>
      <c r="W2172" t="s">
        <v>28</v>
      </c>
      <c r="X2172">
        <v>182.6</v>
      </c>
      <c r="Y2172">
        <f>225.5-X2172</f>
        <v>42.900000000000006</v>
      </c>
      <c r="AA2172" s="6"/>
      <c r="AB2172" s="6"/>
    </row>
    <row r="2173" spans="1:28" x14ac:dyDescent="0.2">
      <c r="A2173" t="s">
        <v>632</v>
      </c>
      <c r="B2173">
        <v>2014</v>
      </c>
      <c r="C2173" t="s">
        <v>826</v>
      </c>
      <c r="D2173" t="s">
        <v>824</v>
      </c>
      <c r="E2173" t="s">
        <v>48</v>
      </c>
      <c r="F2173" t="s">
        <v>532</v>
      </c>
      <c r="G2173">
        <v>78.066044000000005</v>
      </c>
      <c r="H2173">
        <v>12.608806</v>
      </c>
      <c r="J2173" t="s">
        <v>5</v>
      </c>
      <c r="K2173" t="s">
        <v>143</v>
      </c>
      <c r="L2173" t="s">
        <v>143</v>
      </c>
      <c r="M2173" t="s">
        <v>638</v>
      </c>
      <c r="N2173" t="s">
        <v>85</v>
      </c>
      <c r="O2173" s="6" t="s">
        <v>347</v>
      </c>
      <c r="P2173" t="s">
        <v>147</v>
      </c>
      <c r="Q2173">
        <v>18</v>
      </c>
      <c r="R2173" t="s">
        <v>213</v>
      </c>
      <c r="S2173" s="2" t="s">
        <v>27</v>
      </c>
      <c r="T2173">
        <v>5</v>
      </c>
      <c r="U2173">
        <v>7.57</v>
      </c>
      <c r="V2173">
        <v>1354</v>
      </c>
      <c r="W2173" t="s">
        <v>28</v>
      </c>
      <c r="X2173">
        <v>196.8</v>
      </c>
      <c r="Y2173">
        <f>226.9-X2173</f>
        <v>30.099999999999994</v>
      </c>
      <c r="AA2173" s="6"/>
      <c r="AB2173" s="6"/>
    </row>
    <row r="2174" spans="1:28" x14ac:dyDescent="0.2">
      <c r="A2174" t="s">
        <v>632</v>
      </c>
      <c r="B2174">
        <v>2014</v>
      </c>
      <c r="C2174" t="s">
        <v>826</v>
      </c>
      <c r="D2174" t="s">
        <v>824</v>
      </c>
      <c r="E2174" t="s">
        <v>48</v>
      </c>
      <c r="F2174" t="s">
        <v>532</v>
      </c>
      <c r="G2174">
        <v>78.066044000000005</v>
      </c>
      <c r="H2174">
        <v>12.608806</v>
      </c>
      <c r="J2174" t="s">
        <v>14</v>
      </c>
      <c r="K2174" t="s">
        <v>143</v>
      </c>
      <c r="L2174" t="s">
        <v>143</v>
      </c>
      <c r="M2174" t="s">
        <v>638</v>
      </c>
      <c r="N2174" t="s">
        <v>85</v>
      </c>
      <c r="O2174" s="6" t="s">
        <v>347</v>
      </c>
      <c r="P2174" t="s">
        <v>147</v>
      </c>
      <c r="Q2174">
        <v>18</v>
      </c>
      <c r="R2174" t="s">
        <v>213</v>
      </c>
      <c r="S2174" s="2" t="s">
        <v>13</v>
      </c>
      <c r="T2174">
        <v>5</v>
      </c>
      <c r="U2174" t="s">
        <v>28</v>
      </c>
      <c r="V2174" t="s">
        <v>28</v>
      </c>
      <c r="W2174">
        <v>9.6999999999999993</v>
      </c>
      <c r="X2174">
        <v>182.6</v>
      </c>
      <c r="Y2174">
        <f>226-X2174</f>
        <v>43.400000000000006</v>
      </c>
      <c r="AA2174" s="6"/>
      <c r="AB2174" s="6"/>
    </row>
    <row r="2175" spans="1:28" x14ac:dyDescent="0.2">
      <c r="A2175" t="s">
        <v>632</v>
      </c>
      <c r="B2175">
        <v>2014</v>
      </c>
      <c r="C2175" t="s">
        <v>826</v>
      </c>
      <c r="D2175" t="s">
        <v>824</v>
      </c>
      <c r="E2175" t="s">
        <v>48</v>
      </c>
      <c r="F2175" t="s">
        <v>532</v>
      </c>
      <c r="G2175">
        <v>78.066044000000005</v>
      </c>
      <c r="H2175">
        <v>12.608806</v>
      </c>
      <c r="J2175" t="s">
        <v>16</v>
      </c>
      <c r="K2175" t="s">
        <v>143</v>
      </c>
      <c r="L2175" t="s">
        <v>143</v>
      </c>
      <c r="M2175" t="s">
        <v>638</v>
      </c>
      <c r="N2175" t="s">
        <v>85</v>
      </c>
      <c r="O2175" s="6" t="s">
        <v>347</v>
      </c>
      <c r="P2175" t="s">
        <v>147</v>
      </c>
      <c r="Q2175">
        <v>18</v>
      </c>
      <c r="R2175" t="s">
        <v>213</v>
      </c>
      <c r="S2175" s="2" t="s">
        <v>15</v>
      </c>
      <c r="T2175">
        <v>5</v>
      </c>
      <c r="U2175">
        <v>7.89</v>
      </c>
      <c r="V2175">
        <v>683</v>
      </c>
      <c r="W2175">
        <v>9.9</v>
      </c>
      <c r="X2175">
        <v>189.4</v>
      </c>
      <c r="Y2175">
        <f>245.9-X2175</f>
        <v>56.5</v>
      </c>
      <c r="AA2175" s="6"/>
      <c r="AB2175" s="6"/>
    </row>
    <row r="2176" spans="1:28" x14ac:dyDescent="0.2">
      <c r="A2176" t="s">
        <v>632</v>
      </c>
      <c r="B2176">
        <v>2014</v>
      </c>
      <c r="C2176" t="s">
        <v>826</v>
      </c>
      <c r="D2176" t="s">
        <v>824</v>
      </c>
      <c r="E2176" t="s">
        <v>48</v>
      </c>
      <c r="F2176" t="s">
        <v>532</v>
      </c>
      <c r="G2176">
        <v>78.066044000000005</v>
      </c>
      <c r="H2176">
        <v>12.608806</v>
      </c>
      <c r="J2176" t="s">
        <v>16</v>
      </c>
      <c r="K2176" t="s">
        <v>143</v>
      </c>
      <c r="L2176" t="s">
        <v>143</v>
      </c>
      <c r="M2176" t="s">
        <v>638</v>
      </c>
      <c r="N2176" t="s">
        <v>85</v>
      </c>
      <c r="O2176" s="6" t="s">
        <v>347</v>
      </c>
      <c r="P2176" t="s">
        <v>147</v>
      </c>
      <c r="Q2176">
        <v>18</v>
      </c>
      <c r="R2176" t="s">
        <v>213</v>
      </c>
      <c r="S2176" s="2" t="s">
        <v>37</v>
      </c>
      <c r="T2176">
        <v>5</v>
      </c>
      <c r="U2176">
        <v>7.58</v>
      </c>
      <c r="V2176">
        <v>1456</v>
      </c>
      <c r="W2176">
        <v>9.9</v>
      </c>
      <c r="X2176">
        <v>237.7</v>
      </c>
      <c r="Y2176">
        <f>283-X2176</f>
        <v>45.300000000000011</v>
      </c>
      <c r="AA2176" s="6"/>
      <c r="AB2176" s="6"/>
    </row>
    <row r="2177" spans="1:28" x14ac:dyDescent="0.2">
      <c r="A2177" t="s">
        <v>632</v>
      </c>
      <c r="B2177">
        <v>2014</v>
      </c>
      <c r="C2177" t="s">
        <v>826</v>
      </c>
      <c r="D2177" t="s">
        <v>824</v>
      </c>
      <c r="E2177" t="s">
        <v>48</v>
      </c>
      <c r="F2177" t="s">
        <v>307</v>
      </c>
      <c r="G2177">
        <v>54.183827999999998</v>
      </c>
      <c r="H2177">
        <v>7.8726450000000003</v>
      </c>
      <c r="J2177" s="2" t="s">
        <v>7</v>
      </c>
      <c r="K2177" t="s">
        <v>143</v>
      </c>
      <c r="L2177" t="s">
        <v>143</v>
      </c>
      <c r="M2177" t="s">
        <v>638</v>
      </c>
      <c r="N2177" t="s">
        <v>85</v>
      </c>
      <c r="O2177" s="6" t="s">
        <v>347</v>
      </c>
      <c r="P2177" t="s">
        <v>147</v>
      </c>
      <c r="Q2177">
        <v>18</v>
      </c>
      <c r="R2177" t="s">
        <v>213</v>
      </c>
      <c r="S2177" s="2" t="s">
        <v>7</v>
      </c>
      <c r="T2177">
        <v>5</v>
      </c>
      <c r="U2177">
        <v>8.06</v>
      </c>
      <c r="V2177">
        <v>423</v>
      </c>
      <c r="W2177">
        <v>9.6999999999999993</v>
      </c>
      <c r="X2177">
        <v>126.6</v>
      </c>
      <c r="Y2177">
        <f>137.8-X2177</f>
        <v>11.200000000000017</v>
      </c>
      <c r="AA2177" s="6"/>
      <c r="AB2177" s="6"/>
    </row>
    <row r="2178" spans="1:28" x14ac:dyDescent="0.2">
      <c r="A2178" t="s">
        <v>632</v>
      </c>
      <c r="B2178">
        <v>2014</v>
      </c>
      <c r="C2178" t="s">
        <v>826</v>
      </c>
      <c r="D2178" t="s">
        <v>824</v>
      </c>
      <c r="E2178" t="s">
        <v>48</v>
      </c>
      <c r="F2178" t="s">
        <v>307</v>
      </c>
      <c r="G2178">
        <v>54.183827999999998</v>
      </c>
      <c r="H2178">
        <v>7.8726450000000003</v>
      </c>
      <c r="J2178" s="2" t="s">
        <v>5</v>
      </c>
      <c r="K2178" t="s">
        <v>143</v>
      </c>
      <c r="L2178" t="s">
        <v>143</v>
      </c>
      <c r="M2178" t="s">
        <v>638</v>
      </c>
      <c r="N2178" t="s">
        <v>85</v>
      </c>
      <c r="O2178" s="6" t="s">
        <v>347</v>
      </c>
      <c r="P2178" t="s">
        <v>147</v>
      </c>
      <c r="Q2178">
        <v>18</v>
      </c>
      <c r="R2178" t="s">
        <v>213</v>
      </c>
      <c r="S2178" s="2" t="s">
        <v>9</v>
      </c>
      <c r="T2178">
        <v>5</v>
      </c>
      <c r="U2178">
        <v>7.82</v>
      </c>
      <c r="V2178">
        <v>769</v>
      </c>
      <c r="W2178" t="s">
        <v>28</v>
      </c>
      <c r="X2178">
        <v>114.9</v>
      </c>
      <c r="Y2178">
        <f>117.9-X2178</f>
        <v>3</v>
      </c>
      <c r="AA2178" s="6"/>
      <c r="AB2178" s="6"/>
    </row>
    <row r="2179" spans="1:28" x14ac:dyDescent="0.2">
      <c r="A2179" t="s">
        <v>632</v>
      </c>
      <c r="B2179">
        <v>2014</v>
      </c>
      <c r="C2179" t="s">
        <v>826</v>
      </c>
      <c r="D2179" t="s">
        <v>824</v>
      </c>
      <c r="E2179" t="s">
        <v>48</v>
      </c>
      <c r="F2179" t="s">
        <v>307</v>
      </c>
      <c r="G2179">
        <v>54.183827999999998</v>
      </c>
      <c r="H2179">
        <v>7.8726450000000003</v>
      </c>
      <c r="J2179" s="2" t="s">
        <v>5</v>
      </c>
      <c r="K2179" t="s">
        <v>143</v>
      </c>
      <c r="L2179" t="s">
        <v>143</v>
      </c>
      <c r="M2179" t="s">
        <v>638</v>
      </c>
      <c r="N2179" t="s">
        <v>85</v>
      </c>
      <c r="O2179" s="6" t="s">
        <v>347</v>
      </c>
      <c r="P2179" t="s">
        <v>147</v>
      </c>
      <c r="Q2179">
        <v>18</v>
      </c>
      <c r="R2179" t="s">
        <v>213</v>
      </c>
      <c r="S2179" s="2" t="s">
        <v>27</v>
      </c>
      <c r="T2179">
        <v>5</v>
      </c>
      <c r="U2179">
        <v>7.56</v>
      </c>
      <c r="V2179">
        <v>1437</v>
      </c>
      <c r="W2179" t="s">
        <v>28</v>
      </c>
      <c r="X2179">
        <v>124.2</v>
      </c>
      <c r="Y2179">
        <f>142.2-X2179</f>
        <v>17.999999999999986</v>
      </c>
      <c r="AA2179" s="6"/>
      <c r="AB2179" s="6"/>
    </row>
    <row r="2180" spans="1:28" x14ac:dyDescent="0.2">
      <c r="A2180" t="s">
        <v>632</v>
      </c>
      <c r="B2180">
        <v>2014</v>
      </c>
      <c r="C2180" t="s">
        <v>826</v>
      </c>
      <c r="D2180" t="s">
        <v>824</v>
      </c>
      <c r="E2180" t="s">
        <v>48</v>
      </c>
      <c r="F2180" t="s">
        <v>307</v>
      </c>
      <c r="G2180">
        <v>54.183827999999998</v>
      </c>
      <c r="H2180">
        <v>7.8726450000000003</v>
      </c>
      <c r="J2180" s="2" t="s">
        <v>14</v>
      </c>
      <c r="K2180" t="s">
        <v>143</v>
      </c>
      <c r="L2180" t="s">
        <v>143</v>
      </c>
      <c r="M2180" t="s">
        <v>638</v>
      </c>
      <c r="N2180" t="s">
        <v>85</v>
      </c>
      <c r="O2180" s="6" t="s">
        <v>347</v>
      </c>
      <c r="P2180" t="s">
        <v>147</v>
      </c>
      <c r="Q2180">
        <v>18</v>
      </c>
      <c r="R2180" t="s">
        <v>213</v>
      </c>
      <c r="S2180" s="2" t="s">
        <v>13</v>
      </c>
      <c r="T2180">
        <v>5</v>
      </c>
      <c r="U2180" t="s">
        <v>28</v>
      </c>
      <c r="V2180" t="s">
        <v>28</v>
      </c>
      <c r="W2180">
        <v>17</v>
      </c>
      <c r="X2180">
        <v>81.3</v>
      </c>
      <c r="Y2180">
        <f>91.1-X2180</f>
        <v>9.7999999999999972</v>
      </c>
      <c r="AA2180" s="6"/>
      <c r="AB2180" s="6"/>
    </row>
    <row r="2181" spans="1:28" x14ac:dyDescent="0.2">
      <c r="A2181" t="s">
        <v>632</v>
      </c>
      <c r="B2181">
        <v>2014</v>
      </c>
      <c r="C2181" t="s">
        <v>826</v>
      </c>
      <c r="D2181" t="s">
        <v>824</v>
      </c>
      <c r="E2181" t="s">
        <v>48</v>
      </c>
      <c r="F2181" t="s">
        <v>307</v>
      </c>
      <c r="G2181">
        <v>54.183827999999998</v>
      </c>
      <c r="H2181">
        <v>7.8726450000000003</v>
      </c>
      <c r="J2181" s="2" t="s">
        <v>16</v>
      </c>
      <c r="K2181" t="s">
        <v>143</v>
      </c>
      <c r="L2181" t="s">
        <v>143</v>
      </c>
      <c r="M2181" t="s">
        <v>638</v>
      </c>
      <c r="N2181" t="s">
        <v>85</v>
      </c>
      <c r="O2181" s="6" t="s">
        <v>347</v>
      </c>
      <c r="P2181" t="s">
        <v>147</v>
      </c>
      <c r="Q2181">
        <v>18</v>
      </c>
      <c r="R2181" t="s">
        <v>213</v>
      </c>
      <c r="S2181" s="2" t="s">
        <v>15</v>
      </c>
      <c r="T2181">
        <v>5</v>
      </c>
      <c r="U2181">
        <v>7.82</v>
      </c>
      <c r="V2181">
        <v>783</v>
      </c>
      <c r="W2181">
        <v>16.8</v>
      </c>
      <c r="X2181">
        <v>95.5</v>
      </c>
      <c r="Y2181">
        <f>105.7-X2181</f>
        <v>10.200000000000003</v>
      </c>
      <c r="AA2181" s="6"/>
      <c r="AB2181" s="6"/>
    </row>
    <row r="2182" spans="1:28" x14ac:dyDescent="0.2">
      <c r="A2182" t="s">
        <v>632</v>
      </c>
      <c r="B2182">
        <v>2014</v>
      </c>
      <c r="C2182" t="s">
        <v>826</v>
      </c>
      <c r="D2182" t="s">
        <v>824</v>
      </c>
      <c r="E2182" t="s">
        <v>48</v>
      </c>
      <c r="F2182" t="s">
        <v>307</v>
      </c>
      <c r="G2182">
        <v>54.183827999999998</v>
      </c>
      <c r="H2182">
        <v>7.8726450000000003</v>
      </c>
      <c r="J2182" s="2" t="s">
        <v>16</v>
      </c>
      <c r="K2182" t="s">
        <v>143</v>
      </c>
      <c r="L2182" t="s">
        <v>143</v>
      </c>
      <c r="M2182" t="s">
        <v>638</v>
      </c>
      <c r="N2182" t="s">
        <v>85</v>
      </c>
      <c r="O2182" s="6" t="s">
        <v>347</v>
      </c>
      <c r="P2182" t="s">
        <v>147</v>
      </c>
      <c r="Q2182">
        <v>18</v>
      </c>
      <c r="R2182" t="s">
        <v>213</v>
      </c>
      <c r="S2182" s="2" t="s">
        <v>37</v>
      </c>
      <c r="T2182">
        <v>5</v>
      </c>
      <c r="U2182">
        <v>7.56</v>
      </c>
      <c r="V2182">
        <v>1505</v>
      </c>
      <c r="W2182">
        <v>17.100000000000001</v>
      </c>
      <c r="X2182">
        <v>125.2</v>
      </c>
      <c r="Y2182">
        <f>132-X2182</f>
        <v>6.7999999999999972</v>
      </c>
      <c r="AA2182" s="6"/>
      <c r="AB2182" s="6"/>
    </row>
    <row r="2183" spans="1:28" x14ac:dyDescent="0.2">
      <c r="A2183" t="s">
        <v>632</v>
      </c>
      <c r="B2183">
        <v>2014</v>
      </c>
      <c r="C2183" t="s">
        <v>826</v>
      </c>
      <c r="D2183" t="s">
        <v>824</v>
      </c>
      <c r="E2183" t="s">
        <v>48</v>
      </c>
      <c r="F2183" t="s">
        <v>532</v>
      </c>
      <c r="G2183">
        <v>78.066044000000005</v>
      </c>
      <c r="H2183">
        <v>12.608806</v>
      </c>
      <c r="J2183" t="s">
        <v>7</v>
      </c>
      <c r="K2183" t="s">
        <v>143</v>
      </c>
      <c r="L2183" t="s">
        <v>143</v>
      </c>
      <c r="M2183" t="s">
        <v>638</v>
      </c>
      <c r="N2183" t="s">
        <v>85</v>
      </c>
      <c r="O2183" s="6" t="s">
        <v>107</v>
      </c>
      <c r="P2183" t="s">
        <v>126</v>
      </c>
      <c r="Q2183">
        <v>18</v>
      </c>
      <c r="R2183" t="s">
        <v>213</v>
      </c>
      <c r="S2183" s="2" t="s">
        <v>7</v>
      </c>
      <c r="T2183">
        <v>5</v>
      </c>
      <c r="U2183">
        <v>8.07</v>
      </c>
      <c r="V2183">
        <v>402</v>
      </c>
      <c r="W2183">
        <v>3.8</v>
      </c>
      <c r="X2183">
        <v>3.0609999999999999</v>
      </c>
      <c r="Y2183">
        <f>3.314-X2183</f>
        <v>0.25300000000000011</v>
      </c>
      <c r="AA2183" s="6"/>
      <c r="AB2183" s="6"/>
    </row>
    <row r="2184" spans="1:28" x14ac:dyDescent="0.2">
      <c r="A2184" t="s">
        <v>632</v>
      </c>
      <c r="B2184">
        <v>2014</v>
      </c>
      <c r="C2184" t="s">
        <v>826</v>
      </c>
      <c r="D2184" t="s">
        <v>824</v>
      </c>
      <c r="E2184" t="s">
        <v>48</v>
      </c>
      <c r="F2184" t="s">
        <v>532</v>
      </c>
      <c r="G2184">
        <v>78.066044000000005</v>
      </c>
      <c r="H2184">
        <v>12.608806</v>
      </c>
      <c r="J2184" t="s">
        <v>5</v>
      </c>
      <c r="K2184" t="s">
        <v>143</v>
      </c>
      <c r="L2184" t="s">
        <v>143</v>
      </c>
      <c r="M2184" t="s">
        <v>638</v>
      </c>
      <c r="N2184" t="s">
        <v>85</v>
      </c>
      <c r="O2184" s="6" t="s">
        <v>107</v>
      </c>
      <c r="P2184" t="s">
        <v>126</v>
      </c>
      <c r="Q2184">
        <v>18</v>
      </c>
      <c r="R2184" t="s">
        <v>213</v>
      </c>
      <c r="S2184" s="2" t="s">
        <v>9</v>
      </c>
      <c r="T2184">
        <v>5</v>
      </c>
      <c r="U2184">
        <v>7.88</v>
      </c>
      <c r="V2184">
        <v>644</v>
      </c>
      <c r="W2184" t="s">
        <v>28</v>
      </c>
      <c r="X2184">
        <v>3.3069999999999999</v>
      </c>
      <c r="Y2184">
        <f>3.385-X2184</f>
        <v>7.7999999999999847E-2</v>
      </c>
      <c r="AA2184" s="6"/>
      <c r="AB2184" s="6"/>
    </row>
    <row r="2185" spans="1:28" x14ac:dyDescent="0.2">
      <c r="A2185" t="s">
        <v>632</v>
      </c>
      <c r="B2185">
        <v>2014</v>
      </c>
      <c r="C2185" t="s">
        <v>826</v>
      </c>
      <c r="D2185" t="s">
        <v>824</v>
      </c>
      <c r="E2185" t="s">
        <v>48</v>
      </c>
      <c r="F2185" t="s">
        <v>532</v>
      </c>
      <c r="G2185">
        <v>78.066044000000005</v>
      </c>
      <c r="H2185">
        <v>12.608806</v>
      </c>
      <c r="J2185" t="s">
        <v>5</v>
      </c>
      <c r="K2185" t="s">
        <v>143</v>
      </c>
      <c r="L2185" t="s">
        <v>143</v>
      </c>
      <c r="M2185" t="s">
        <v>638</v>
      </c>
      <c r="N2185" t="s">
        <v>85</v>
      </c>
      <c r="O2185" s="6" t="s">
        <v>107</v>
      </c>
      <c r="P2185" t="s">
        <v>126</v>
      </c>
      <c r="Q2185">
        <v>18</v>
      </c>
      <c r="R2185" t="s">
        <v>213</v>
      </c>
      <c r="S2185" s="2" t="s">
        <v>27</v>
      </c>
      <c r="T2185">
        <v>5</v>
      </c>
      <c r="U2185">
        <v>7.57</v>
      </c>
      <c r="V2185">
        <v>1354</v>
      </c>
      <c r="W2185" t="s">
        <v>28</v>
      </c>
      <c r="X2185">
        <v>3.1840000000000002</v>
      </c>
      <c r="Y2185">
        <f>3.456-X2185</f>
        <v>0.2719999999999998</v>
      </c>
      <c r="AA2185" s="6"/>
      <c r="AB2185" s="6"/>
    </row>
    <row r="2186" spans="1:28" x14ac:dyDescent="0.2">
      <c r="A2186" t="s">
        <v>632</v>
      </c>
      <c r="B2186">
        <v>2014</v>
      </c>
      <c r="C2186" t="s">
        <v>826</v>
      </c>
      <c r="D2186" t="s">
        <v>824</v>
      </c>
      <c r="E2186" t="s">
        <v>48</v>
      </c>
      <c r="F2186" t="s">
        <v>532</v>
      </c>
      <c r="G2186">
        <v>78.066044000000005</v>
      </c>
      <c r="H2186">
        <v>12.608806</v>
      </c>
      <c r="J2186" t="s">
        <v>14</v>
      </c>
      <c r="K2186" t="s">
        <v>143</v>
      </c>
      <c r="L2186" t="s">
        <v>143</v>
      </c>
      <c r="M2186" t="s">
        <v>638</v>
      </c>
      <c r="N2186" t="s">
        <v>85</v>
      </c>
      <c r="O2186" s="6" t="s">
        <v>107</v>
      </c>
      <c r="P2186" t="s">
        <v>126</v>
      </c>
      <c r="Q2186">
        <v>18</v>
      </c>
      <c r="R2186" t="s">
        <v>213</v>
      </c>
      <c r="S2186" s="2" t="s">
        <v>13</v>
      </c>
      <c r="T2186">
        <v>5</v>
      </c>
      <c r="U2186" t="s">
        <v>28</v>
      </c>
      <c r="V2186" t="s">
        <v>28</v>
      </c>
      <c r="W2186">
        <v>9.6999999999999993</v>
      </c>
      <c r="X2186">
        <v>2.343</v>
      </c>
      <c r="Y2186">
        <f>2.485-X2186</f>
        <v>0.1419999999999999</v>
      </c>
      <c r="AA2186" s="6"/>
      <c r="AB2186" s="6"/>
    </row>
    <row r="2187" spans="1:28" x14ac:dyDescent="0.2">
      <c r="A2187" t="s">
        <v>632</v>
      </c>
      <c r="B2187">
        <v>2014</v>
      </c>
      <c r="C2187" t="s">
        <v>826</v>
      </c>
      <c r="D2187" t="s">
        <v>824</v>
      </c>
      <c r="E2187" t="s">
        <v>48</v>
      </c>
      <c r="F2187" t="s">
        <v>532</v>
      </c>
      <c r="G2187">
        <v>78.066044000000005</v>
      </c>
      <c r="H2187">
        <v>12.608806</v>
      </c>
      <c r="J2187" t="s">
        <v>16</v>
      </c>
      <c r="K2187" t="s">
        <v>143</v>
      </c>
      <c r="L2187" t="s">
        <v>143</v>
      </c>
      <c r="M2187" t="s">
        <v>638</v>
      </c>
      <c r="N2187" t="s">
        <v>85</v>
      </c>
      <c r="O2187" s="6" t="s">
        <v>107</v>
      </c>
      <c r="P2187" t="s">
        <v>126</v>
      </c>
      <c r="Q2187">
        <v>18</v>
      </c>
      <c r="R2187" t="s">
        <v>213</v>
      </c>
      <c r="S2187" s="2" t="s">
        <v>15</v>
      </c>
      <c r="T2187">
        <v>5</v>
      </c>
      <c r="U2187">
        <v>7.89</v>
      </c>
      <c r="V2187">
        <v>683</v>
      </c>
      <c r="W2187">
        <v>9.9</v>
      </c>
      <c r="X2187">
        <v>2.395</v>
      </c>
      <c r="Y2187">
        <f>2.557-X2187</f>
        <v>0.16199999999999992</v>
      </c>
      <c r="AA2187" s="6"/>
      <c r="AB2187" s="6"/>
    </row>
    <row r="2188" spans="1:28" x14ac:dyDescent="0.2">
      <c r="A2188" t="s">
        <v>632</v>
      </c>
      <c r="B2188">
        <v>2014</v>
      </c>
      <c r="C2188" t="s">
        <v>826</v>
      </c>
      <c r="D2188" t="s">
        <v>824</v>
      </c>
      <c r="E2188" t="s">
        <v>48</v>
      </c>
      <c r="F2188" t="s">
        <v>532</v>
      </c>
      <c r="G2188">
        <v>78.066044000000005</v>
      </c>
      <c r="H2188">
        <v>12.608806</v>
      </c>
      <c r="J2188" t="s">
        <v>16</v>
      </c>
      <c r="K2188" t="s">
        <v>143</v>
      </c>
      <c r="L2188" t="s">
        <v>143</v>
      </c>
      <c r="M2188" t="s">
        <v>638</v>
      </c>
      <c r="N2188" t="s">
        <v>85</v>
      </c>
      <c r="O2188" s="6" t="s">
        <v>107</v>
      </c>
      <c r="P2188" t="s">
        <v>126</v>
      </c>
      <c r="Q2188">
        <v>18</v>
      </c>
      <c r="R2188" t="s">
        <v>213</v>
      </c>
      <c r="S2188" s="2" t="s">
        <v>37</v>
      </c>
      <c r="T2188">
        <v>5</v>
      </c>
      <c r="U2188">
        <v>7.58</v>
      </c>
      <c r="V2188">
        <v>1456</v>
      </c>
      <c r="W2188">
        <v>9.9</v>
      </c>
      <c r="X2188">
        <v>2.343</v>
      </c>
      <c r="Y2188">
        <f>2.479-X2188</f>
        <v>0.13600000000000012</v>
      </c>
      <c r="AA2188" s="6"/>
      <c r="AB2188" s="6"/>
    </row>
    <row r="2189" spans="1:28" x14ac:dyDescent="0.2">
      <c r="A2189" t="s">
        <v>632</v>
      </c>
      <c r="B2189">
        <v>2014</v>
      </c>
      <c r="C2189" t="s">
        <v>826</v>
      </c>
      <c r="D2189" t="s">
        <v>824</v>
      </c>
      <c r="E2189" t="s">
        <v>48</v>
      </c>
      <c r="F2189" t="s">
        <v>307</v>
      </c>
      <c r="G2189">
        <v>54.183827999999998</v>
      </c>
      <c r="H2189">
        <v>7.8726450000000003</v>
      </c>
      <c r="J2189" s="2" t="s">
        <v>7</v>
      </c>
      <c r="K2189" t="s">
        <v>143</v>
      </c>
      <c r="L2189" t="s">
        <v>143</v>
      </c>
      <c r="M2189" t="s">
        <v>638</v>
      </c>
      <c r="N2189" t="s">
        <v>85</v>
      </c>
      <c r="O2189" s="6" t="s">
        <v>107</v>
      </c>
      <c r="P2189" t="s">
        <v>126</v>
      </c>
      <c r="Q2189">
        <v>18</v>
      </c>
      <c r="R2189" t="s">
        <v>213</v>
      </c>
      <c r="S2189" s="2" t="s">
        <v>7</v>
      </c>
      <c r="T2189">
        <v>5</v>
      </c>
      <c r="U2189">
        <v>8.06</v>
      </c>
      <c r="V2189">
        <v>423</v>
      </c>
      <c r="W2189">
        <v>9.6999999999999993</v>
      </c>
      <c r="X2189">
        <v>3.3919999999999999</v>
      </c>
      <c r="Y2189">
        <f>3.463-X2189</f>
        <v>7.1000000000000174E-2</v>
      </c>
      <c r="AA2189" s="6"/>
      <c r="AB2189" s="6"/>
    </row>
    <row r="2190" spans="1:28" x14ac:dyDescent="0.2">
      <c r="A2190" t="s">
        <v>632</v>
      </c>
      <c r="B2190">
        <v>2014</v>
      </c>
      <c r="C2190" t="s">
        <v>826</v>
      </c>
      <c r="D2190" t="s">
        <v>824</v>
      </c>
      <c r="E2190" t="s">
        <v>48</v>
      </c>
      <c r="F2190" t="s">
        <v>307</v>
      </c>
      <c r="G2190">
        <v>54.183827999999998</v>
      </c>
      <c r="H2190">
        <v>7.8726450000000003</v>
      </c>
      <c r="J2190" s="2" t="s">
        <v>5</v>
      </c>
      <c r="K2190" t="s">
        <v>143</v>
      </c>
      <c r="L2190" t="s">
        <v>143</v>
      </c>
      <c r="M2190" t="s">
        <v>638</v>
      </c>
      <c r="N2190" t="s">
        <v>85</v>
      </c>
      <c r="O2190" s="6" t="s">
        <v>107</v>
      </c>
      <c r="P2190" t="s">
        <v>126</v>
      </c>
      <c r="Q2190">
        <v>18</v>
      </c>
      <c r="R2190" t="s">
        <v>213</v>
      </c>
      <c r="S2190" s="2" t="s">
        <v>9</v>
      </c>
      <c r="T2190">
        <v>5</v>
      </c>
      <c r="U2190">
        <v>7.82</v>
      </c>
      <c r="V2190">
        <v>769</v>
      </c>
      <c r="W2190" t="s">
        <v>28</v>
      </c>
      <c r="X2190">
        <v>3.165</v>
      </c>
      <c r="Y2190">
        <f>3.288-X2190</f>
        <v>0.12299999999999978</v>
      </c>
      <c r="AA2190" s="6"/>
      <c r="AB2190" s="6"/>
    </row>
    <row r="2191" spans="1:28" x14ac:dyDescent="0.2">
      <c r="A2191" t="s">
        <v>632</v>
      </c>
      <c r="B2191">
        <v>2014</v>
      </c>
      <c r="C2191" t="s">
        <v>826</v>
      </c>
      <c r="D2191" t="s">
        <v>824</v>
      </c>
      <c r="E2191" t="s">
        <v>48</v>
      </c>
      <c r="F2191" t="s">
        <v>307</v>
      </c>
      <c r="G2191">
        <v>54.183827999999998</v>
      </c>
      <c r="H2191">
        <v>7.8726450000000003</v>
      </c>
      <c r="J2191" s="2" t="s">
        <v>5</v>
      </c>
      <c r="K2191" t="s">
        <v>143</v>
      </c>
      <c r="L2191" t="s">
        <v>143</v>
      </c>
      <c r="M2191" t="s">
        <v>638</v>
      </c>
      <c r="N2191" t="s">
        <v>85</v>
      </c>
      <c r="O2191" s="6" t="s">
        <v>107</v>
      </c>
      <c r="P2191" t="s">
        <v>126</v>
      </c>
      <c r="Q2191">
        <v>18</v>
      </c>
      <c r="R2191" t="s">
        <v>213</v>
      </c>
      <c r="S2191" s="2" t="s">
        <v>27</v>
      </c>
      <c r="T2191">
        <v>5</v>
      </c>
      <c r="U2191">
        <v>7.56</v>
      </c>
      <c r="V2191">
        <v>1437</v>
      </c>
      <c r="W2191" t="s">
        <v>28</v>
      </c>
      <c r="X2191">
        <v>3.21</v>
      </c>
      <c r="Y2191">
        <f>3.282-X2191</f>
        <v>7.2000000000000064E-2</v>
      </c>
      <c r="AA2191" s="6"/>
      <c r="AB2191" s="6"/>
    </row>
    <row r="2192" spans="1:28" x14ac:dyDescent="0.2">
      <c r="A2192" t="s">
        <v>632</v>
      </c>
      <c r="B2192">
        <v>2014</v>
      </c>
      <c r="C2192" t="s">
        <v>826</v>
      </c>
      <c r="D2192" t="s">
        <v>824</v>
      </c>
      <c r="E2192" t="s">
        <v>48</v>
      </c>
      <c r="F2192" t="s">
        <v>307</v>
      </c>
      <c r="G2192">
        <v>54.183827999999998</v>
      </c>
      <c r="H2192">
        <v>7.8726450000000003</v>
      </c>
      <c r="J2192" s="2" t="s">
        <v>14</v>
      </c>
      <c r="K2192" t="s">
        <v>143</v>
      </c>
      <c r="L2192" t="s">
        <v>143</v>
      </c>
      <c r="M2192" t="s">
        <v>638</v>
      </c>
      <c r="N2192" t="s">
        <v>85</v>
      </c>
      <c r="O2192" s="6" t="s">
        <v>107</v>
      </c>
      <c r="P2192" t="s">
        <v>126</v>
      </c>
      <c r="Q2192">
        <v>18</v>
      </c>
      <c r="R2192" t="s">
        <v>213</v>
      </c>
      <c r="S2192" s="2" t="s">
        <v>13</v>
      </c>
      <c r="T2192">
        <v>5</v>
      </c>
      <c r="U2192" t="s">
        <v>28</v>
      </c>
      <c r="V2192" t="s">
        <v>28</v>
      </c>
      <c r="W2192">
        <v>17</v>
      </c>
      <c r="X2192">
        <v>2.6469999999999998</v>
      </c>
      <c r="Y2192">
        <f>2.757-X2192</f>
        <v>0.11000000000000032</v>
      </c>
      <c r="AA2192" s="6"/>
      <c r="AB2192" s="6"/>
    </row>
    <row r="2193" spans="1:28" x14ac:dyDescent="0.2">
      <c r="A2193" t="s">
        <v>632</v>
      </c>
      <c r="B2193">
        <v>2014</v>
      </c>
      <c r="C2193" t="s">
        <v>826</v>
      </c>
      <c r="D2193" t="s">
        <v>824</v>
      </c>
      <c r="E2193" t="s">
        <v>48</v>
      </c>
      <c r="F2193" t="s">
        <v>307</v>
      </c>
      <c r="G2193">
        <v>54.183827999999998</v>
      </c>
      <c r="H2193">
        <v>7.8726450000000003</v>
      </c>
      <c r="J2193" s="2" t="s">
        <v>16</v>
      </c>
      <c r="K2193" t="s">
        <v>143</v>
      </c>
      <c r="L2193" t="s">
        <v>143</v>
      </c>
      <c r="M2193" t="s">
        <v>638</v>
      </c>
      <c r="N2193" t="s">
        <v>85</v>
      </c>
      <c r="O2193" s="6" t="s">
        <v>107</v>
      </c>
      <c r="P2193" t="s">
        <v>126</v>
      </c>
      <c r="Q2193">
        <v>18</v>
      </c>
      <c r="R2193" t="s">
        <v>213</v>
      </c>
      <c r="S2193" s="2" t="s">
        <v>15</v>
      </c>
      <c r="T2193">
        <v>5</v>
      </c>
      <c r="U2193">
        <v>7.82</v>
      </c>
      <c r="V2193">
        <v>783</v>
      </c>
      <c r="W2193">
        <v>16.8</v>
      </c>
      <c r="X2193">
        <v>2.66</v>
      </c>
      <c r="Y2193">
        <f>2.744-X2193</f>
        <v>8.4000000000000075E-2</v>
      </c>
      <c r="AA2193" s="6"/>
      <c r="AB2193" s="6"/>
    </row>
    <row r="2194" spans="1:28" x14ac:dyDescent="0.2">
      <c r="A2194" t="s">
        <v>632</v>
      </c>
      <c r="B2194">
        <v>2014</v>
      </c>
      <c r="C2194" t="s">
        <v>826</v>
      </c>
      <c r="D2194" t="s">
        <v>824</v>
      </c>
      <c r="E2194" t="s">
        <v>48</v>
      </c>
      <c r="F2194" t="s">
        <v>307</v>
      </c>
      <c r="G2194">
        <v>54.183827999999998</v>
      </c>
      <c r="H2194">
        <v>7.8726450000000003</v>
      </c>
      <c r="J2194" s="2" t="s">
        <v>16</v>
      </c>
      <c r="K2194" t="s">
        <v>143</v>
      </c>
      <c r="L2194" t="s">
        <v>143</v>
      </c>
      <c r="M2194" t="s">
        <v>638</v>
      </c>
      <c r="N2194" t="s">
        <v>85</v>
      </c>
      <c r="O2194" s="6" t="s">
        <v>107</v>
      </c>
      <c r="P2194" t="s">
        <v>126</v>
      </c>
      <c r="Q2194">
        <v>18</v>
      </c>
      <c r="R2194" t="s">
        <v>213</v>
      </c>
      <c r="S2194" s="2" t="s">
        <v>37</v>
      </c>
      <c r="T2194">
        <v>5</v>
      </c>
      <c r="U2194">
        <v>7.56</v>
      </c>
      <c r="V2194">
        <v>1505</v>
      </c>
      <c r="W2194">
        <v>17.100000000000001</v>
      </c>
      <c r="X2194">
        <v>2.5630000000000002</v>
      </c>
      <c r="Y2194">
        <f>2.641-X2194</f>
        <v>7.7999999999999847E-2</v>
      </c>
      <c r="AA2194" s="6"/>
      <c r="AB2194" s="6"/>
    </row>
    <row r="2195" spans="1:28" x14ac:dyDescent="0.2">
      <c r="A2195" t="s">
        <v>632</v>
      </c>
      <c r="B2195">
        <v>2014</v>
      </c>
      <c r="C2195" t="s">
        <v>826</v>
      </c>
      <c r="D2195" t="s">
        <v>824</v>
      </c>
      <c r="E2195" t="s">
        <v>48</v>
      </c>
      <c r="F2195" t="s">
        <v>532</v>
      </c>
      <c r="G2195">
        <v>78.066044000000005</v>
      </c>
      <c r="H2195">
        <v>12.608806</v>
      </c>
      <c r="J2195" t="s">
        <v>7</v>
      </c>
      <c r="K2195" t="s">
        <v>143</v>
      </c>
      <c r="L2195" t="s">
        <v>143</v>
      </c>
      <c r="M2195" t="s">
        <v>638</v>
      </c>
      <c r="N2195" t="s">
        <v>85</v>
      </c>
      <c r="O2195" s="6" t="s">
        <v>348</v>
      </c>
      <c r="P2195" t="s">
        <v>147</v>
      </c>
      <c r="Q2195">
        <v>18</v>
      </c>
      <c r="R2195" t="s">
        <v>213</v>
      </c>
      <c r="S2195" s="2" t="s">
        <v>7</v>
      </c>
      <c r="T2195">
        <v>5</v>
      </c>
      <c r="U2195">
        <v>8.07</v>
      </c>
      <c r="V2195">
        <v>402</v>
      </c>
      <c r="W2195">
        <v>3.8</v>
      </c>
      <c r="X2195">
        <v>197.1</v>
      </c>
      <c r="Y2195">
        <f>230.7-X2195</f>
        <v>33.599999999999994</v>
      </c>
      <c r="AA2195" s="6"/>
      <c r="AB2195" s="6"/>
    </row>
    <row r="2196" spans="1:28" x14ac:dyDescent="0.2">
      <c r="A2196" t="s">
        <v>632</v>
      </c>
      <c r="B2196">
        <v>2014</v>
      </c>
      <c r="C2196" t="s">
        <v>826</v>
      </c>
      <c r="D2196" t="s">
        <v>824</v>
      </c>
      <c r="E2196" t="s">
        <v>48</v>
      </c>
      <c r="F2196" t="s">
        <v>532</v>
      </c>
      <c r="G2196">
        <v>78.066044000000005</v>
      </c>
      <c r="H2196">
        <v>12.608806</v>
      </c>
      <c r="J2196" t="s">
        <v>5</v>
      </c>
      <c r="K2196" t="s">
        <v>143</v>
      </c>
      <c r="L2196" t="s">
        <v>143</v>
      </c>
      <c r="M2196" t="s">
        <v>638</v>
      </c>
      <c r="N2196" t="s">
        <v>85</v>
      </c>
      <c r="O2196" s="6" t="s">
        <v>348</v>
      </c>
      <c r="P2196" t="s">
        <v>147</v>
      </c>
      <c r="Q2196">
        <v>18</v>
      </c>
      <c r="R2196" t="s">
        <v>213</v>
      </c>
      <c r="S2196" s="2" t="s">
        <v>9</v>
      </c>
      <c r="T2196">
        <v>5</v>
      </c>
      <c r="U2196">
        <v>7.88</v>
      </c>
      <c r="V2196">
        <v>644</v>
      </c>
      <c r="W2196" t="s">
        <v>28</v>
      </c>
      <c r="X2196">
        <v>192.7</v>
      </c>
      <c r="Y2196">
        <f>209.3-X2196</f>
        <v>16.600000000000023</v>
      </c>
      <c r="AA2196" s="6"/>
      <c r="AB2196" s="6"/>
    </row>
    <row r="2197" spans="1:28" x14ac:dyDescent="0.2">
      <c r="A2197" t="s">
        <v>632</v>
      </c>
      <c r="B2197">
        <v>2014</v>
      </c>
      <c r="C2197" t="s">
        <v>826</v>
      </c>
      <c r="D2197" t="s">
        <v>824</v>
      </c>
      <c r="E2197" t="s">
        <v>48</v>
      </c>
      <c r="F2197" t="s">
        <v>532</v>
      </c>
      <c r="G2197">
        <v>78.066044000000005</v>
      </c>
      <c r="H2197">
        <v>12.608806</v>
      </c>
      <c r="J2197" t="s">
        <v>5</v>
      </c>
      <c r="K2197" t="s">
        <v>143</v>
      </c>
      <c r="L2197" t="s">
        <v>143</v>
      </c>
      <c r="M2197" t="s">
        <v>638</v>
      </c>
      <c r="N2197" t="s">
        <v>85</v>
      </c>
      <c r="O2197" s="6" t="s">
        <v>348</v>
      </c>
      <c r="P2197" t="s">
        <v>147</v>
      </c>
      <c r="Q2197">
        <v>18</v>
      </c>
      <c r="R2197" t="s">
        <v>213</v>
      </c>
      <c r="S2197" s="2" t="s">
        <v>27</v>
      </c>
      <c r="T2197">
        <v>5</v>
      </c>
      <c r="U2197">
        <v>7.57</v>
      </c>
      <c r="V2197">
        <v>1354</v>
      </c>
      <c r="W2197" t="s">
        <v>28</v>
      </c>
      <c r="X2197">
        <v>176.1</v>
      </c>
      <c r="Y2197">
        <f>195.1-X2197</f>
        <v>19</v>
      </c>
      <c r="AA2197" s="6"/>
      <c r="AB2197" s="6"/>
    </row>
    <row r="2198" spans="1:28" x14ac:dyDescent="0.2">
      <c r="A2198" t="s">
        <v>632</v>
      </c>
      <c r="B2198">
        <v>2014</v>
      </c>
      <c r="C2198" t="s">
        <v>826</v>
      </c>
      <c r="D2198" t="s">
        <v>824</v>
      </c>
      <c r="E2198" t="s">
        <v>48</v>
      </c>
      <c r="F2198" t="s">
        <v>532</v>
      </c>
      <c r="G2198">
        <v>78.066044000000005</v>
      </c>
      <c r="H2198">
        <v>12.608806</v>
      </c>
      <c r="J2198" t="s">
        <v>14</v>
      </c>
      <c r="K2198" t="s">
        <v>143</v>
      </c>
      <c r="L2198" t="s">
        <v>143</v>
      </c>
      <c r="M2198" t="s">
        <v>638</v>
      </c>
      <c r="N2198" t="s">
        <v>85</v>
      </c>
      <c r="O2198" s="6" t="s">
        <v>348</v>
      </c>
      <c r="P2198" t="s">
        <v>147</v>
      </c>
      <c r="Q2198">
        <v>18</v>
      </c>
      <c r="R2198" t="s">
        <v>213</v>
      </c>
      <c r="S2198" s="2" t="s">
        <v>13</v>
      </c>
      <c r="T2198">
        <v>5</v>
      </c>
      <c r="U2198" t="s">
        <v>28</v>
      </c>
      <c r="V2198" t="s">
        <v>28</v>
      </c>
      <c r="W2198">
        <v>9.6999999999999993</v>
      </c>
      <c r="X2198">
        <v>137.1</v>
      </c>
      <c r="Y2198">
        <f>146.3-X2198</f>
        <v>9.2000000000000171</v>
      </c>
      <c r="AA2198" s="6"/>
      <c r="AB2198" s="6"/>
    </row>
    <row r="2199" spans="1:28" x14ac:dyDescent="0.2">
      <c r="A2199" t="s">
        <v>632</v>
      </c>
      <c r="B2199">
        <v>2014</v>
      </c>
      <c r="C2199" t="s">
        <v>826</v>
      </c>
      <c r="D2199" t="s">
        <v>824</v>
      </c>
      <c r="E2199" t="s">
        <v>48</v>
      </c>
      <c r="F2199" t="s">
        <v>532</v>
      </c>
      <c r="G2199">
        <v>78.066044000000005</v>
      </c>
      <c r="H2199">
        <v>12.608806</v>
      </c>
      <c r="J2199" t="s">
        <v>16</v>
      </c>
      <c r="K2199" t="s">
        <v>143</v>
      </c>
      <c r="L2199" t="s">
        <v>143</v>
      </c>
      <c r="M2199" t="s">
        <v>638</v>
      </c>
      <c r="N2199" t="s">
        <v>85</v>
      </c>
      <c r="O2199" s="6" t="s">
        <v>348</v>
      </c>
      <c r="P2199" t="s">
        <v>147</v>
      </c>
      <c r="Q2199">
        <v>18</v>
      </c>
      <c r="R2199" t="s">
        <v>213</v>
      </c>
      <c r="S2199" s="2" t="s">
        <v>15</v>
      </c>
      <c r="T2199">
        <v>5</v>
      </c>
      <c r="U2199">
        <v>7.89</v>
      </c>
      <c r="V2199">
        <v>683</v>
      </c>
      <c r="W2199">
        <v>9.9</v>
      </c>
      <c r="X2199">
        <v>181</v>
      </c>
      <c r="Y2199">
        <f>210.2-X2199</f>
        <v>29.199999999999989</v>
      </c>
      <c r="AA2199" s="6"/>
      <c r="AB2199" s="6"/>
    </row>
    <row r="2200" spans="1:28" x14ac:dyDescent="0.2">
      <c r="A2200" t="s">
        <v>632</v>
      </c>
      <c r="B2200">
        <v>2014</v>
      </c>
      <c r="C2200" t="s">
        <v>826</v>
      </c>
      <c r="D2200" t="s">
        <v>824</v>
      </c>
      <c r="E2200" t="s">
        <v>48</v>
      </c>
      <c r="F2200" t="s">
        <v>532</v>
      </c>
      <c r="G2200">
        <v>78.066044000000005</v>
      </c>
      <c r="H2200">
        <v>12.608806</v>
      </c>
      <c r="J2200" t="s">
        <v>16</v>
      </c>
      <c r="K2200" t="s">
        <v>143</v>
      </c>
      <c r="L2200" t="s">
        <v>143</v>
      </c>
      <c r="M2200" t="s">
        <v>638</v>
      </c>
      <c r="N2200" t="s">
        <v>85</v>
      </c>
      <c r="O2200" s="6" t="s">
        <v>348</v>
      </c>
      <c r="P2200" t="s">
        <v>147</v>
      </c>
      <c r="Q2200">
        <v>18</v>
      </c>
      <c r="R2200" t="s">
        <v>213</v>
      </c>
      <c r="S2200" s="2" t="s">
        <v>37</v>
      </c>
      <c r="T2200">
        <v>5</v>
      </c>
      <c r="U2200">
        <v>7.58</v>
      </c>
      <c r="V2200">
        <v>1456</v>
      </c>
      <c r="W2200">
        <v>9.9</v>
      </c>
      <c r="X2200">
        <v>161</v>
      </c>
      <c r="Y2200">
        <f>178-X2200</f>
        <v>17</v>
      </c>
      <c r="AA2200" s="6"/>
      <c r="AB2200" s="6"/>
    </row>
    <row r="2201" spans="1:28" x14ac:dyDescent="0.2">
      <c r="A2201" t="s">
        <v>632</v>
      </c>
      <c r="B2201">
        <v>2014</v>
      </c>
      <c r="C2201" t="s">
        <v>826</v>
      </c>
      <c r="D2201" t="s">
        <v>824</v>
      </c>
      <c r="E2201" t="s">
        <v>48</v>
      </c>
      <c r="F2201" t="s">
        <v>307</v>
      </c>
      <c r="G2201">
        <v>54.183827999999998</v>
      </c>
      <c r="H2201">
        <v>7.8726450000000003</v>
      </c>
      <c r="J2201" s="2" t="s">
        <v>7</v>
      </c>
      <c r="K2201" t="s">
        <v>143</v>
      </c>
      <c r="L2201" t="s">
        <v>143</v>
      </c>
      <c r="M2201" t="s">
        <v>638</v>
      </c>
      <c r="N2201" t="s">
        <v>85</v>
      </c>
      <c r="O2201" s="6" t="s">
        <v>348</v>
      </c>
      <c r="P2201" t="s">
        <v>147</v>
      </c>
      <c r="Q2201">
        <v>18</v>
      </c>
      <c r="R2201" t="s">
        <v>213</v>
      </c>
      <c r="S2201" s="2" t="s">
        <v>7</v>
      </c>
      <c r="T2201">
        <v>5</v>
      </c>
      <c r="U2201">
        <v>8.06</v>
      </c>
      <c r="V2201">
        <v>423</v>
      </c>
      <c r="W2201">
        <v>9.6999999999999993</v>
      </c>
      <c r="X2201">
        <v>199</v>
      </c>
      <c r="Y2201">
        <f>219-X2201</f>
        <v>20</v>
      </c>
      <c r="AA2201" s="6"/>
      <c r="AB2201" s="6"/>
    </row>
    <row r="2202" spans="1:28" x14ac:dyDescent="0.2">
      <c r="A2202" t="s">
        <v>632</v>
      </c>
      <c r="B2202">
        <v>2014</v>
      </c>
      <c r="C2202" t="s">
        <v>826</v>
      </c>
      <c r="D2202" t="s">
        <v>824</v>
      </c>
      <c r="E2202" t="s">
        <v>48</v>
      </c>
      <c r="F2202" t="s">
        <v>307</v>
      </c>
      <c r="G2202">
        <v>54.183827999999998</v>
      </c>
      <c r="H2202">
        <v>7.8726450000000003</v>
      </c>
      <c r="J2202" s="2" t="s">
        <v>5</v>
      </c>
      <c r="K2202" t="s">
        <v>143</v>
      </c>
      <c r="L2202" t="s">
        <v>143</v>
      </c>
      <c r="M2202" t="s">
        <v>638</v>
      </c>
      <c r="N2202" t="s">
        <v>85</v>
      </c>
      <c r="O2202" s="6" t="s">
        <v>348</v>
      </c>
      <c r="P2202" t="s">
        <v>147</v>
      </c>
      <c r="Q2202">
        <v>18</v>
      </c>
      <c r="R2202" t="s">
        <v>213</v>
      </c>
      <c r="S2202" s="2" t="s">
        <v>9</v>
      </c>
      <c r="T2202">
        <v>5</v>
      </c>
      <c r="U2202">
        <v>7.82</v>
      </c>
      <c r="V2202">
        <v>769</v>
      </c>
      <c r="W2202" t="s">
        <v>28</v>
      </c>
      <c r="X2202">
        <v>170.2</v>
      </c>
      <c r="Y2202">
        <f>202.9-X2202</f>
        <v>32.700000000000017</v>
      </c>
      <c r="AA2202" s="6"/>
      <c r="AB2202" s="6"/>
    </row>
    <row r="2203" spans="1:28" x14ac:dyDescent="0.2">
      <c r="A2203" t="s">
        <v>632</v>
      </c>
      <c r="B2203">
        <v>2014</v>
      </c>
      <c r="C2203" t="s">
        <v>826</v>
      </c>
      <c r="D2203" t="s">
        <v>824</v>
      </c>
      <c r="E2203" t="s">
        <v>48</v>
      </c>
      <c r="F2203" t="s">
        <v>307</v>
      </c>
      <c r="G2203">
        <v>54.183827999999998</v>
      </c>
      <c r="H2203">
        <v>7.8726450000000003</v>
      </c>
      <c r="J2203" s="2" t="s">
        <v>5</v>
      </c>
      <c r="K2203" t="s">
        <v>143</v>
      </c>
      <c r="L2203" t="s">
        <v>143</v>
      </c>
      <c r="M2203" t="s">
        <v>638</v>
      </c>
      <c r="N2203" t="s">
        <v>85</v>
      </c>
      <c r="O2203" s="6" t="s">
        <v>348</v>
      </c>
      <c r="P2203" t="s">
        <v>147</v>
      </c>
      <c r="Q2203">
        <v>18</v>
      </c>
      <c r="R2203" t="s">
        <v>213</v>
      </c>
      <c r="S2203" s="2" t="s">
        <v>27</v>
      </c>
      <c r="T2203">
        <v>5</v>
      </c>
      <c r="U2203">
        <v>7.56</v>
      </c>
      <c r="V2203">
        <v>1437</v>
      </c>
      <c r="W2203" t="s">
        <v>28</v>
      </c>
      <c r="X2203">
        <v>208.8</v>
      </c>
      <c r="Y2203">
        <f>246.3-X2203</f>
        <v>37.5</v>
      </c>
      <c r="AA2203" s="6"/>
      <c r="AB2203" s="6"/>
    </row>
    <row r="2204" spans="1:28" x14ac:dyDescent="0.2">
      <c r="A2204" t="s">
        <v>632</v>
      </c>
      <c r="B2204">
        <v>2014</v>
      </c>
      <c r="C2204" t="s">
        <v>826</v>
      </c>
      <c r="D2204" t="s">
        <v>824</v>
      </c>
      <c r="E2204" t="s">
        <v>48</v>
      </c>
      <c r="F2204" t="s">
        <v>307</v>
      </c>
      <c r="G2204">
        <v>54.183827999999998</v>
      </c>
      <c r="H2204">
        <v>7.8726450000000003</v>
      </c>
      <c r="J2204" s="2" t="s">
        <v>14</v>
      </c>
      <c r="K2204" t="s">
        <v>143</v>
      </c>
      <c r="L2204" t="s">
        <v>143</v>
      </c>
      <c r="M2204" t="s">
        <v>638</v>
      </c>
      <c r="N2204" t="s">
        <v>85</v>
      </c>
      <c r="O2204" s="6" t="s">
        <v>348</v>
      </c>
      <c r="P2204" t="s">
        <v>147</v>
      </c>
      <c r="Q2204">
        <v>18</v>
      </c>
      <c r="R2204" t="s">
        <v>213</v>
      </c>
      <c r="S2204" s="2" t="s">
        <v>13</v>
      </c>
      <c r="T2204">
        <v>5</v>
      </c>
      <c r="U2204" t="s">
        <v>28</v>
      </c>
      <c r="V2204" t="s">
        <v>28</v>
      </c>
      <c r="W2204">
        <v>17</v>
      </c>
      <c r="X2204">
        <v>180.5</v>
      </c>
      <c r="Y2204">
        <f>192.2-X2204</f>
        <v>11.699999999999989</v>
      </c>
      <c r="AA2204" s="6"/>
      <c r="AB2204" s="6"/>
    </row>
    <row r="2205" spans="1:28" x14ac:dyDescent="0.2">
      <c r="A2205" t="s">
        <v>632</v>
      </c>
      <c r="B2205">
        <v>2014</v>
      </c>
      <c r="C2205" t="s">
        <v>826</v>
      </c>
      <c r="D2205" t="s">
        <v>824</v>
      </c>
      <c r="E2205" t="s">
        <v>48</v>
      </c>
      <c r="F2205" t="s">
        <v>307</v>
      </c>
      <c r="G2205">
        <v>54.183827999999998</v>
      </c>
      <c r="H2205">
        <v>7.8726450000000003</v>
      </c>
      <c r="J2205" s="2" t="s">
        <v>16</v>
      </c>
      <c r="K2205" t="s">
        <v>143</v>
      </c>
      <c r="L2205" t="s">
        <v>143</v>
      </c>
      <c r="M2205" t="s">
        <v>638</v>
      </c>
      <c r="N2205" t="s">
        <v>85</v>
      </c>
      <c r="O2205" s="6" t="s">
        <v>348</v>
      </c>
      <c r="P2205" t="s">
        <v>147</v>
      </c>
      <c r="Q2205">
        <v>18</v>
      </c>
      <c r="R2205" t="s">
        <v>213</v>
      </c>
      <c r="S2205" s="2" t="s">
        <v>15</v>
      </c>
      <c r="T2205">
        <v>5</v>
      </c>
      <c r="U2205">
        <v>7.82</v>
      </c>
      <c r="V2205">
        <v>783</v>
      </c>
      <c r="W2205">
        <v>16.8</v>
      </c>
      <c r="X2205">
        <v>158</v>
      </c>
      <c r="Y2205">
        <f>183.4-X2205</f>
        <v>25.400000000000006</v>
      </c>
      <c r="AA2205" s="6"/>
      <c r="AB2205" s="6"/>
    </row>
    <row r="2206" spans="1:28" x14ac:dyDescent="0.2">
      <c r="A2206" t="s">
        <v>632</v>
      </c>
      <c r="B2206">
        <v>2014</v>
      </c>
      <c r="C2206" t="s">
        <v>826</v>
      </c>
      <c r="D2206" t="s">
        <v>824</v>
      </c>
      <c r="E2206" t="s">
        <v>48</v>
      </c>
      <c r="F2206" t="s">
        <v>307</v>
      </c>
      <c r="G2206">
        <v>54.183827999999998</v>
      </c>
      <c r="H2206">
        <v>7.8726450000000003</v>
      </c>
      <c r="J2206" s="2" t="s">
        <v>16</v>
      </c>
      <c r="K2206" t="s">
        <v>143</v>
      </c>
      <c r="L2206" t="s">
        <v>143</v>
      </c>
      <c r="M2206" t="s">
        <v>638</v>
      </c>
      <c r="N2206" t="s">
        <v>85</v>
      </c>
      <c r="O2206" s="6" t="s">
        <v>348</v>
      </c>
      <c r="P2206" t="s">
        <v>147</v>
      </c>
      <c r="Q2206">
        <v>18</v>
      </c>
      <c r="R2206" t="s">
        <v>213</v>
      </c>
      <c r="S2206" s="2" t="s">
        <v>37</v>
      </c>
      <c r="T2206">
        <v>5</v>
      </c>
      <c r="U2206">
        <v>7.56</v>
      </c>
      <c r="V2206">
        <v>1505</v>
      </c>
      <c r="W2206">
        <v>17.100000000000001</v>
      </c>
      <c r="X2206">
        <v>154.1</v>
      </c>
      <c r="Y2206">
        <f>179-X2206</f>
        <v>24.900000000000006</v>
      </c>
      <c r="AA2206" s="6"/>
      <c r="AB2206" s="6"/>
    </row>
    <row r="2207" spans="1:28" x14ac:dyDescent="0.2">
      <c r="A2207" t="s">
        <v>632</v>
      </c>
      <c r="B2207">
        <v>2014</v>
      </c>
      <c r="C2207" t="s">
        <v>826</v>
      </c>
      <c r="D2207" t="s">
        <v>824</v>
      </c>
      <c r="E2207" t="s">
        <v>48</v>
      </c>
      <c r="F2207" t="s">
        <v>532</v>
      </c>
      <c r="G2207">
        <v>78.066044000000005</v>
      </c>
      <c r="H2207">
        <v>12.608806</v>
      </c>
      <c r="J2207" t="s">
        <v>7</v>
      </c>
      <c r="K2207" t="s">
        <v>143</v>
      </c>
      <c r="L2207" t="s">
        <v>143</v>
      </c>
      <c r="M2207" t="s">
        <v>638</v>
      </c>
      <c r="N2207" t="s">
        <v>86</v>
      </c>
      <c r="O2207" s="6" t="s">
        <v>272</v>
      </c>
      <c r="P2207" t="s">
        <v>349</v>
      </c>
      <c r="Q2207">
        <v>18</v>
      </c>
      <c r="R2207" t="s">
        <v>213</v>
      </c>
      <c r="S2207" s="2" t="s">
        <v>7</v>
      </c>
      <c r="T2207">
        <v>5</v>
      </c>
      <c r="U2207">
        <v>8.07</v>
      </c>
      <c r="V2207">
        <v>402</v>
      </c>
      <c r="W2207">
        <v>3.8</v>
      </c>
      <c r="X2207">
        <v>15.3</v>
      </c>
      <c r="Y2207">
        <f>16.8-X2207</f>
        <v>1.5</v>
      </c>
      <c r="AA2207" s="6"/>
      <c r="AB2207" s="6"/>
    </row>
    <row r="2208" spans="1:28" x14ac:dyDescent="0.2">
      <c r="A2208" t="s">
        <v>632</v>
      </c>
      <c r="B2208">
        <v>2014</v>
      </c>
      <c r="C2208" t="s">
        <v>826</v>
      </c>
      <c r="D2208" t="s">
        <v>824</v>
      </c>
      <c r="E2208" t="s">
        <v>48</v>
      </c>
      <c r="F2208" t="s">
        <v>532</v>
      </c>
      <c r="G2208">
        <v>78.066044000000005</v>
      </c>
      <c r="H2208">
        <v>12.608806</v>
      </c>
      <c r="J2208" t="s">
        <v>5</v>
      </c>
      <c r="K2208" t="s">
        <v>143</v>
      </c>
      <c r="L2208" t="s">
        <v>143</v>
      </c>
      <c r="M2208" t="s">
        <v>638</v>
      </c>
      <c r="N2208" t="s">
        <v>86</v>
      </c>
      <c r="O2208" s="6" t="s">
        <v>272</v>
      </c>
      <c r="P2208" t="s">
        <v>349</v>
      </c>
      <c r="Q2208">
        <v>18</v>
      </c>
      <c r="R2208" t="s">
        <v>213</v>
      </c>
      <c r="S2208" s="2" t="s">
        <v>9</v>
      </c>
      <c r="T2208">
        <v>5</v>
      </c>
      <c r="U2208">
        <v>7.88</v>
      </c>
      <c r="V2208">
        <v>644</v>
      </c>
      <c r="W2208" t="s">
        <v>28</v>
      </c>
      <c r="X2208">
        <v>14.04</v>
      </c>
      <c r="Y2208">
        <f>14.61-X2208</f>
        <v>0.57000000000000028</v>
      </c>
      <c r="AA2208" s="6"/>
      <c r="AB2208" s="6"/>
    </row>
    <row r="2209" spans="1:28" x14ac:dyDescent="0.2">
      <c r="A2209" t="s">
        <v>632</v>
      </c>
      <c r="B2209">
        <v>2014</v>
      </c>
      <c r="C2209" t="s">
        <v>826</v>
      </c>
      <c r="D2209" t="s">
        <v>824</v>
      </c>
      <c r="E2209" t="s">
        <v>48</v>
      </c>
      <c r="F2209" t="s">
        <v>532</v>
      </c>
      <c r="G2209">
        <v>78.066044000000005</v>
      </c>
      <c r="H2209">
        <v>12.608806</v>
      </c>
      <c r="J2209" t="s">
        <v>5</v>
      </c>
      <c r="K2209" t="s">
        <v>143</v>
      </c>
      <c r="L2209" t="s">
        <v>143</v>
      </c>
      <c r="M2209" t="s">
        <v>638</v>
      </c>
      <c r="N2209" t="s">
        <v>86</v>
      </c>
      <c r="O2209" s="6" t="s">
        <v>272</v>
      </c>
      <c r="P2209" t="s">
        <v>349</v>
      </c>
      <c r="Q2209">
        <v>18</v>
      </c>
      <c r="R2209" t="s">
        <v>213</v>
      </c>
      <c r="S2209" s="2" t="s">
        <v>27</v>
      </c>
      <c r="T2209">
        <v>5</v>
      </c>
      <c r="U2209">
        <v>7.57</v>
      </c>
      <c r="V2209">
        <v>1354</v>
      </c>
      <c r="W2209" t="s">
        <v>28</v>
      </c>
      <c r="X2209">
        <v>14.73</v>
      </c>
      <c r="Y2209">
        <f>16.19-X2209</f>
        <v>1.4600000000000009</v>
      </c>
      <c r="AA2209" s="6"/>
      <c r="AB2209" s="6"/>
    </row>
    <row r="2210" spans="1:28" x14ac:dyDescent="0.2">
      <c r="A2210" t="s">
        <v>632</v>
      </c>
      <c r="B2210">
        <v>2014</v>
      </c>
      <c r="C2210" t="s">
        <v>826</v>
      </c>
      <c r="D2210" t="s">
        <v>824</v>
      </c>
      <c r="E2210" t="s">
        <v>48</v>
      </c>
      <c r="F2210" t="s">
        <v>532</v>
      </c>
      <c r="G2210">
        <v>78.066044000000005</v>
      </c>
      <c r="H2210">
        <v>12.608806</v>
      </c>
      <c r="J2210" t="s">
        <v>14</v>
      </c>
      <c r="K2210" t="s">
        <v>143</v>
      </c>
      <c r="L2210" t="s">
        <v>143</v>
      </c>
      <c r="M2210" t="s">
        <v>638</v>
      </c>
      <c r="N2210" t="s">
        <v>86</v>
      </c>
      <c r="O2210" s="6" t="s">
        <v>272</v>
      </c>
      <c r="P2210" t="s">
        <v>349</v>
      </c>
      <c r="Q2210">
        <v>18</v>
      </c>
      <c r="R2210" t="s">
        <v>213</v>
      </c>
      <c r="S2210" s="2" t="s">
        <v>13</v>
      </c>
      <c r="T2210">
        <v>5</v>
      </c>
      <c r="U2210" t="s">
        <v>28</v>
      </c>
      <c r="V2210" t="s">
        <v>28</v>
      </c>
      <c r="W2210">
        <v>9.6999999999999993</v>
      </c>
      <c r="X2210">
        <v>20.170000000000002</v>
      </c>
      <c r="Y2210">
        <f>21.43-X2210</f>
        <v>1.259999999999998</v>
      </c>
      <c r="AA2210" s="6"/>
      <c r="AB2210" s="6"/>
    </row>
    <row r="2211" spans="1:28" x14ac:dyDescent="0.2">
      <c r="A2211" t="s">
        <v>632</v>
      </c>
      <c r="B2211">
        <v>2014</v>
      </c>
      <c r="C2211" t="s">
        <v>826</v>
      </c>
      <c r="D2211" t="s">
        <v>824</v>
      </c>
      <c r="E2211" t="s">
        <v>48</v>
      </c>
      <c r="F2211" t="s">
        <v>532</v>
      </c>
      <c r="G2211">
        <v>78.066044000000005</v>
      </c>
      <c r="H2211">
        <v>12.608806</v>
      </c>
      <c r="J2211" t="s">
        <v>16</v>
      </c>
      <c r="K2211" t="s">
        <v>143</v>
      </c>
      <c r="L2211" t="s">
        <v>143</v>
      </c>
      <c r="M2211" t="s">
        <v>638</v>
      </c>
      <c r="N2211" t="s">
        <v>86</v>
      </c>
      <c r="O2211" s="6" t="s">
        <v>272</v>
      </c>
      <c r="P2211" t="s">
        <v>349</v>
      </c>
      <c r="Q2211">
        <v>18</v>
      </c>
      <c r="R2211" t="s">
        <v>213</v>
      </c>
      <c r="S2211" s="2" t="s">
        <v>15</v>
      </c>
      <c r="T2211">
        <v>5</v>
      </c>
      <c r="U2211">
        <v>7.89</v>
      </c>
      <c r="V2211">
        <v>683</v>
      </c>
      <c r="W2211">
        <v>9.9</v>
      </c>
      <c r="X2211">
        <v>19.89</v>
      </c>
      <c r="Y2211">
        <f>21.59-X2211</f>
        <v>1.6999999999999993</v>
      </c>
      <c r="AA2211" s="6"/>
      <c r="AB2211" s="6"/>
    </row>
    <row r="2212" spans="1:28" x14ac:dyDescent="0.2">
      <c r="A2212" t="s">
        <v>632</v>
      </c>
      <c r="B2212">
        <v>2014</v>
      </c>
      <c r="C2212" t="s">
        <v>826</v>
      </c>
      <c r="D2212" t="s">
        <v>824</v>
      </c>
      <c r="E2212" t="s">
        <v>48</v>
      </c>
      <c r="F2212" t="s">
        <v>532</v>
      </c>
      <c r="G2212">
        <v>78.066044000000005</v>
      </c>
      <c r="H2212">
        <v>12.608806</v>
      </c>
      <c r="J2212" t="s">
        <v>16</v>
      </c>
      <c r="K2212" t="s">
        <v>143</v>
      </c>
      <c r="L2212" t="s">
        <v>143</v>
      </c>
      <c r="M2212" t="s">
        <v>638</v>
      </c>
      <c r="N2212" t="s">
        <v>86</v>
      </c>
      <c r="O2212" s="6" t="s">
        <v>272</v>
      </c>
      <c r="P2212" t="s">
        <v>349</v>
      </c>
      <c r="Q2212">
        <v>18</v>
      </c>
      <c r="R2212" t="s">
        <v>213</v>
      </c>
      <c r="S2212" s="2" t="s">
        <v>37</v>
      </c>
      <c r="T2212">
        <v>5</v>
      </c>
      <c r="U2212">
        <v>7.58</v>
      </c>
      <c r="V2212">
        <v>1456</v>
      </c>
      <c r="W2212">
        <v>9.9</v>
      </c>
      <c r="X2212">
        <v>21.02</v>
      </c>
      <c r="Y2212">
        <f>22.4-X2212</f>
        <v>1.379999999999999</v>
      </c>
      <c r="AA2212" s="6"/>
      <c r="AB2212" s="6"/>
    </row>
    <row r="2213" spans="1:28" x14ac:dyDescent="0.2">
      <c r="A2213" t="s">
        <v>632</v>
      </c>
      <c r="B2213">
        <v>2014</v>
      </c>
      <c r="C2213" t="s">
        <v>826</v>
      </c>
      <c r="D2213" t="s">
        <v>824</v>
      </c>
      <c r="E2213" t="s">
        <v>48</v>
      </c>
      <c r="F2213" t="s">
        <v>307</v>
      </c>
      <c r="G2213">
        <v>54.183827999999998</v>
      </c>
      <c r="H2213">
        <v>7.8726450000000003</v>
      </c>
      <c r="J2213" s="2" t="s">
        <v>7</v>
      </c>
      <c r="K2213" t="s">
        <v>143</v>
      </c>
      <c r="L2213" t="s">
        <v>143</v>
      </c>
      <c r="M2213" t="s">
        <v>638</v>
      </c>
      <c r="N2213" t="s">
        <v>86</v>
      </c>
      <c r="O2213" s="6" t="s">
        <v>272</v>
      </c>
      <c r="P2213" t="s">
        <v>349</v>
      </c>
      <c r="Q2213">
        <v>18</v>
      </c>
      <c r="R2213" t="s">
        <v>213</v>
      </c>
      <c r="S2213" s="2" t="s">
        <v>7</v>
      </c>
      <c r="T2213">
        <v>5</v>
      </c>
      <c r="U2213">
        <v>8.06</v>
      </c>
      <c r="V2213">
        <v>423</v>
      </c>
      <c r="W2213">
        <v>9.6999999999999993</v>
      </c>
      <c r="X2213">
        <v>11.2</v>
      </c>
      <c r="Y2213">
        <f>11.44-X2213</f>
        <v>0.24000000000000021</v>
      </c>
      <c r="AA2213" s="6"/>
      <c r="AB2213" s="6"/>
    </row>
    <row r="2214" spans="1:28" x14ac:dyDescent="0.2">
      <c r="A2214" t="s">
        <v>632</v>
      </c>
      <c r="B2214">
        <v>2014</v>
      </c>
      <c r="C2214" t="s">
        <v>826</v>
      </c>
      <c r="D2214" t="s">
        <v>824</v>
      </c>
      <c r="E2214" t="s">
        <v>48</v>
      </c>
      <c r="F2214" t="s">
        <v>307</v>
      </c>
      <c r="G2214">
        <v>54.183827999999998</v>
      </c>
      <c r="H2214">
        <v>7.8726450000000003</v>
      </c>
      <c r="J2214" s="2" t="s">
        <v>5</v>
      </c>
      <c r="K2214" t="s">
        <v>143</v>
      </c>
      <c r="L2214" t="s">
        <v>143</v>
      </c>
      <c r="M2214" t="s">
        <v>638</v>
      </c>
      <c r="N2214" t="s">
        <v>86</v>
      </c>
      <c r="O2214" s="6" t="s">
        <v>272</v>
      </c>
      <c r="P2214" t="s">
        <v>349</v>
      </c>
      <c r="Q2214">
        <v>18</v>
      </c>
      <c r="R2214" t="s">
        <v>213</v>
      </c>
      <c r="S2214" s="2" t="s">
        <v>9</v>
      </c>
      <c r="T2214">
        <v>5</v>
      </c>
      <c r="U2214">
        <v>7.82</v>
      </c>
      <c r="V2214">
        <v>769</v>
      </c>
      <c r="W2214" t="s">
        <v>28</v>
      </c>
      <c r="X2214">
        <v>12.3</v>
      </c>
      <c r="Y2214">
        <f>13.23-X2214</f>
        <v>0.92999999999999972</v>
      </c>
      <c r="AA2214" s="6"/>
      <c r="AB2214" s="6"/>
    </row>
    <row r="2215" spans="1:28" x14ac:dyDescent="0.2">
      <c r="A2215" t="s">
        <v>632</v>
      </c>
      <c r="B2215">
        <v>2014</v>
      </c>
      <c r="C2215" t="s">
        <v>826</v>
      </c>
      <c r="D2215" t="s">
        <v>824</v>
      </c>
      <c r="E2215" t="s">
        <v>48</v>
      </c>
      <c r="F2215" t="s">
        <v>307</v>
      </c>
      <c r="G2215">
        <v>54.183827999999998</v>
      </c>
      <c r="H2215">
        <v>7.8726450000000003</v>
      </c>
      <c r="J2215" s="2" t="s">
        <v>5</v>
      </c>
      <c r="K2215" t="s">
        <v>143</v>
      </c>
      <c r="L2215" t="s">
        <v>143</v>
      </c>
      <c r="M2215" t="s">
        <v>638</v>
      </c>
      <c r="N2215" t="s">
        <v>86</v>
      </c>
      <c r="O2215" s="6" t="s">
        <v>272</v>
      </c>
      <c r="P2215" t="s">
        <v>349</v>
      </c>
      <c r="Q2215">
        <v>18</v>
      </c>
      <c r="R2215" t="s">
        <v>213</v>
      </c>
      <c r="S2215" s="2" t="s">
        <v>27</v>
      </c>
      <c r="T2215">
        <v>5</v>
      </c>
      <c r="U2215">
        <v>7.56</v>
      </c>
      <c r="V2215">
        <v>1437</v>
      </c>
      <c r="W2215" t="s">
        <v>28</v>
      </c>
      <c r="X2215">
        <v>12.01</v>
      </c>
      <c r="Y2215">
        <f>12.22-X2215</f>
        <v>0.21000000000000085</v>
      </c>
      <c r="AA2215" s="6"/>
      <c r="AB2215" s="6"/>
    </row>
    <row r="2216" spans="1:28" x14ac:dyDescent="0.2">
      <c r="A2216" t="s">
        <v>632</v>
      </c>
      <c r="B2216">
        <v>2014</v>
      </c>
      <c r="C2216" t="s">
        <v>826</v>
      </c>
      <c r="D2216" t="s">
        <v>824</v>
      </c>
      <c r="E2216" t="s">
        <v>48</v>
      </c>
      <c r="F2216" t="s">
        <v>307</v>
      </c>
      <c r="G2216">
        <v>54.183827999999998</v>
      </c>
      <c r="H2216">
        <v>7.8726450000000003</v>
      </c>
      <c r="J2216" s="2" t="s">
        <v>14</v>
      </c>
      <c r="K2216" t="s">
        <v>143</v>
      </c>
      <c r="L2216" t="s">
        <v>143</v>
      </c>
      <c r="M2216" t="s">
        <v>638</v>
      </c>
      <c r="N2216" t="s">
        <v>86</v>
      </c>
      <c r="O2216" s="6" t="s">
        <v>272</v>
      </c>
      <c r="P2216" t="s">
        <v>349</v>
      </c>
      <c r="Q2216">
        <v>18</v>
      </c>
      <c r="R2216" t="s">
        <v>213</v>
      </c>
      <c r="S2216" s="2" t="s">
        <v>13</v>
      </c>
      <c r="T2216">
        <v>5</v>
      </c>
      <c r="U2216" t="s">
        <v>28</v>
      </c>
      <c r="V2216" t="s">
        <v>28</v>
      </c>
      <c r="W2216">
        <v>17</v>
      </c>
      <c r="X2216">
        <v>14.29</v>
      </c>
      <c r="Y2216">
        <f>15.63-X2216</f>
        <v>1.3400000000000016</v>
      </c>
      <c r="AA2216" s="6"/>
      <c r="AB2216" s="6"/>
    </row>
    <row r="2217" spans="1:28" x14ac:dyDescent="0.2">
      <c r="A2217" t="s">
        <v>632</v>
      </c>
      <c r="B2217">
        <v>2014</v>
      </c>
      <c r="C2217" t="s">
        <v>826</v>
      </c>
      <c r="D2217" t="s">
        <v>824</v>
      </c>
      <c r="E2217" t="s">
        <v>48</v>
      </c>
      <c r="F2217" t="s">
        <v>307</v>
      </c>
      <c r="G2217">
        <v>54.183827999999998</v>
      </c>
      <c r="H2217">
        <v>7.8726450000000003</v>
      </c>
      <c r="J2217" s="2" t="s">
        <v>16</v>
      </c>
      <c r="K2217" t="s">
        <v>143</v>
      </c>
      <c r="L2217" t="s">
        <v>143</v>
      </c>
      <c r="M2217" t="s">
        <v>638</v>
      </c>
      <c r="N2217" t="s">
        <v>86</v>
      </c>
      <c r="O2217" s="6" t="s">
        <v>272</v>
      </c>
      <c r="P2217" t="s">
        <v>349</v>
      </c>
      <c r="Q2217">
        <v>18</v>
      </c>
      <c r="R2217" t="s">
        <v>213</v>
      </c>
      <c r="S2217" s="2" t="s">
        <v>15</v>
      </c>
      <c r="T2217">
        <v>5</v>
      </c>
      <c r="U2217">
        <v>7.82</v>
      </c>
      <c r="V2217">
        <v>783</v>
      </c>
      <c r="W2217">
        <v>16.8</v>
      </c>
      <c r="X2217">
        <v>14.61</v>
      </c>
      <c r="Y2217">
        <f>15.06-X2217</f>
        <v>0.45000000000000107</v>
      </c>
      <c r="AA2217" s="6"/>
      <c r="AB2217" s="6"/>
    </row>
    <row r="2218" spans="1:28" x14ac:dyDescent="0.2">
      <c r="A2218" t="s">
        <v>632</v>
      </c>
      <c r="B2218">
        <v>2014</v>
      </c>
      <c r="C2218" t="s">
        <v>826</v>
      </c>
      <c r="D2218" t="s">
        <v>824</v>
      </c>
      <c r="E2218" t="s">
        <v>48</v>
      </c>
      <c r="F2218" t="s">
        <v>307</v>
      </c>
      <c r="G2218">
        <v>54.183827999999998</v>
      </c>
      <c r="H2218">
        <v>7.8726450000000003</v>
      </c>
      <c r="J2218" s="2" t="s">
        <v>16</v>
      </c>
      <c r="K2218" t="s">
        <v>143</v>
      </c>
      <c r="L2218" t="s">
        <v>143</v>
      </c>
      <c r="M2218" t="s">
        <v>638</v>
      </c>
      <c r="N2218" t="s">
        <v>86</v>
      </c>
      <c r="O2218" s="6" t="s">
        <v>272</v>
      </c>
      <c r="P2218" t="s">
        <v>349</v>
      </c>
      <c r="Q2218">
        <v>18</v>
      </c>
      <c r="R2218" t="s">
        <v>213</v>
      </c>
      <c r="S2218" s="2" t="s">
        <v>37</v>
      </c>
      <c r="T2218">
        <v>5</v>
      </c>
      <c r="U2218">
        <v>7.56</v>
      </c>
      <c r="V2218">
        <v>1505</v>
      </c>
      <c r="W2218">
        <v>17.100000000000001</v>
      </c>
      <c r="X2218">
        <v>15.1</v>
      </c>
      <c r="Y2218">
        <f>15.5-X2218</f>
        <v>0.40000000000000036</v>
      </c>
      <c r="AA2218" s="6"/>
      <c r="AB2218" s="6"/>
    </row>
    <row r="2219" spans="1:28" x14ac:dyDescent="0.2">
      <c r="A2219" t="s">
        <v>632</v>
      </c>
      <c r="B2219">
        <v>2014</v>
      </c>
      <c r="C2219" t="s">
        <v>826</v>
      </c>
      <c r="D2219" t="s">
        <v>824</v>
      </c>
      <c r="E2219" t="s">
        <v>48</v>
      </c>
      <c r="F2219" t="s">
        <v>532</v>
      </c>
      <c r="G2219">
        <v>78.066044000000005</v>
      </c>
      <c r="H2219">
        <v>12.608806</v>
      </c>
      <c r="J2219" t="s">
        <v>7</v>
      </c>
      <c r="K2219" t="s">
        <v>143</v>
      </c>
      <c r="L2219" t="s">
        <v>143</v>
      </c>
      <c r="M2219" t="s">
        <v>638</v>
      </c>
      <c r="N2219" t="s">
        <v>85</v>
      </c>
      <c r="O2219" s="6" t="s">
        <v>350</v>
      </c>
      <c r="P2219" t="s">
        <v>147</v>
      </c>
      <c r="Q2219">
        <v>18</v>
      </c>
      <c r="R2219" t="s">
        <v>213</v>
      </c>
      <c r="S2219" s="2" t="s">
        <v>7</v>
      </c>
      <c r="T2219">
        <v>5</v>
      </c>
      <c r="U2219">
        <v>8.07</v>
      </c>
      <c r="V2219">
        <v>402</v>
      </c>
      <c r="W2219">
        <v>3.8</v>
      </c>
      <c r="X2219">
        <v>46.8</v>
      </c>
      <c r="Y2219">
        <f>51.94-X2219</f>
        <v>5.1400000000000006</v>
      </c>
      <c r="AA2219" s="6"/>
      <c r="AB2219" s="6"/>
    </row>
    <row r="2220" spans="1:28" x14ac:dyDescent="0.2">
      <c r="A2220" t="s">
        <v>632</v>
      </c>
      <c r="B2220">
        <v>2014</v>
      </c>
      <c r="C2220" t="s">
        <v>826</v>
      </c>
      <c r="D2220" t="s">
        <v>824</v>
      </c>
      <c r="E2220" t="s">
        <v>48</v>
      </c>
      <c r="F2220" t="s">
        <v>532</v>
      </c>
      <c r="G2220">
        <v>78.066044000000005</v>
      </c>
      <c r="H2220">
        <v>12.608806</v>
      </c>
      <c r="J2220" t="s">
        <v>5</v>
      </c>
      <c r="K2220" t="s">
        <v>143</v>
      </c>
      <c r="L2220" t="s">
        <v>143</v>
      </c>
      <c r="M2220" t="s">
        <v>638</v>
      </c>
      <c r="N2220" t="s">
        <v>85</v>
      </c>
      <c r="O2220" s="6" t="s">
        <v>350</v>
      </c>
      <c r="P2220" t="s">
        <v>147</v>
      </c>
      <c r="Q2220">
        <v>18</v>
      </c>
      <c r="R2220" t="s">
        <v>213</v>
      </c>
      <c r="S2220" s="2" t="s">
        <v>9</v>
      </c>
      <c r="T2220">
        <v>5</v>
      </c>
      <c r="U2220">
        <v>7.88</v>
      </c>
      <c r="V2220">
        <v>644</v>
      </c>
      <c r="W2220" t="s">
        <v>28</v>
      </c>
      <c r="X2220">
        <v>48.45</v>
      </c>
      <c r="Y2220">
        <f>53.3-X2220</f>
        <v>4.8499999999999943</v>
      </c>
      <c r="AA2220" s="6"/>
      <c r="AB2220" s="6"/>
    </row>
    <row r="2221" spans="1:28" x14ac:dyDescent="0.2">
      <c r="A2221" t="s">
        <v>632</v>
      </c>
      <c r="B2221">
        <v>2014</v>
      </c>
      <c r="C2221" t="s">
        <v>826</v>
      </c>
      <c r="D2221" t="s">
        <v>824</v>
      </c>
      <c r="E2221" t="s">
        <v>48</v>
      </c>
      <c r="F2221" t="s">
        <v>532</v>
      </c>
      <c r="G2221">
        <v>78.066044000000005</v>
      </c>
      <c r="H2221">
        <v>12.608806</v>
      </c>
      <c r="J2221" t="s">
        <v>5</v>
      </c>
      <c r="K2221" t="s">
        <v>143</v>
      </c>
      <c r="L2221" t="s">
        <v>143</v>
      </c>
      <c r="M2221" t="s">
        <v>638</v>
      </c>
      <c r="N2221" t="s">
        <v>85</v>
      </c>
      <c r="O2221" s="6" t="s">
        <v>350</v>
      </c>
      <c r="P2221" t="s">
        <v>147</v>
      </c>
      <c r="Q2221">
        <v>18</v>
      </c>
      <c r="R2221" t="s">
        <v>213</v>
      </c>
      <c r="S2221" s="2" t="s">
        <v>27</v>
      </c>
      <c r="T2221">
        <v>5</v>
      </c>
      <c r="U2221">
        <v>7.57</v>
      </c>
      <c r="V2221">
        <v>1354</v>
      </c>
      <c r="W2221" t="s">
        <v>28</v>
      </c>
      <c r="X2221">
        <v>46.5</v>
      </c>
      <c r="Y2221">
        <f>50.39-X2221</f>
        <v>3.8900000000000006</v>
      </c>
      <c r="AA2221" s="6"/>
      <c r="AB2221" s="6"/>
    </row>
    <row r="2222" spans="1:28" x14ac:dyDescent="0.2">
      <c r="A2222" t="s">
        <v>632</v>
      </c>
      <c r="B2222">
        <v>2014</v>
      </c>
      <c r="C2222" t="s">
        <v>826</v>
      </c>
      <c r="D2222" t="s">
        <v>824</v>
      </c>
      <c r="E2222" t="s">
        <v>48</v>
      </c>
      <c r="F2222" t="s">
        <v>532</v>
      </c>
      <c r="G2222">
        <v>78.066044000000005</v>
      </c>
      <c r="H2222">
        <v>12.608806</v>
      </c>
      <c r="J2222" t="s">
        <v>14</v>
      </c>
      <c r="K2222" t="s">
        <v>143</v>
      </c>
      <c r="L2222" t="s">
        <v>143</v>
      </c>
      <c r="M2222" t="s">
        <v>638</v>
      </c>
      <c r="N2222" t="s">
        <v>85</v>
      </c>
      <c r="O2222" s="6" t="s">
        <v>350</v>
      </c>
      <c r="P2222" t="s">
        <v>147</v>
      </c>
      <c r="Q2222">
        <v>18</v>
      </c>
      <c r="R2222" t="s">
        <v>213</v>
      </c>
      <c r="S2222" s="2" t="s">
        <v>13</v>
      </c>
      <c r="T2222">
        <v>5</v>
      </c>
      <c r="U2222" t="s">
        <v>28</v>
      </c>
      <c r="V2222" t="s">
        <v>28</v>
      </c>
      <c r="W2222">
        <v>9.6999999999999993</v>
      </c>
      <c r="X2222">
        <v>34.17</v>
      </c>
      <c r="Y2222">
        <f>36.7-X2222</f>
        <v>2.5300000000000011</v>
      </c>
      <c r="AA2222" s="6"/>
      <c r="AB2222" s="6"/>
    </row>
    <row r="2223" spans="1:28" x14ac:dyDescent="0.2">
      <c r="A2223" t="s">
        <v>632</v>
      </c>
      <c r="B2223">
        <v>2014</v>
      </c>
      <c r="C2223" t="s">
        <v>826</v>
      </c>
      <c r="D2223" t="s">
        <v>824</v>
      </c>
      <c r="E2223" t="s">
        <v>48</v>
      </c>
      <c r="F2223" t="s">
        <v>532</v>
      </c>
      <c r="G2223">
        <v>78.066044000000005</v>
      </c>
      <c r="H2223">
        <v>12.608806</v>
      </c>
      <c r="J2223" t="s">
        <v>16</v>
      </c>
      <c r="K2223" t="s">
        <v>143</v>
      </c>
      <c r="L2223" t="s">
        <v>143</v>
      </c>
      <c r="M2223" t="s">
        <v>638</v>
      </c>
      <c r="N2223" t="s">
        <v>85</v>
      </c>
      <c r="O2223" s="6" t="s">
        <v>350</v>
      </c>
      <c r="P2223" t="s">
        <v>147</v>
      </c>
      <c r="Q2223">
        <v>18</v>
      </c>
      <c r="R2223" t="s">
        <v>213</v>
      </c>
      <c r="S2223" s="2" t="s">
        <v>15</v>
      </c>
      <c r="T2223">
        <v>5</v>
      </c>
      <c r="U2223">
        <v>7.89</v>
      </c>
      <c r="V2223">
        <v>683</v>
      </c>
      <c r="W2223">
        <v>9.9</v>
      </c>
      <c r="X2223">
        <v>33.299999999999997</v>
      </c>
      <c r="Y2223">
        <f>37.28-X2223</f>
        <v>3.980000000000004</v>
      </c>
      <c r="AA2223" s="6"/>
      <c r="AB2223" s="6"/>
    </row>
    <row r="2224" spans="1:28" x14ac:dyDescent="0.2">
      <c r="A2224" t="s">
        <v>632</v>
      </c>
      <c r="B2224">
        <v>2014</v>
      </c>
      <c r="C2224" t="s">
        <v>826</v>
      </c>
      <c r="D2224" t="s">
        <v>824</v>
      </c>
      <c r="E2224" t="s">
        <v>48</v>
      </c>
      <c r="F2224" t="s">
        <v>532</v>
      </c>
      <c r="G2224">
        <v>78.066044000000005</v>
      </c>
      <c r="H2224">
        <v>12.608806</v>
      </c>
      <c r="J2224" t="s">
        <v>16</v>
      </c>
      <c r="K2224" t="s">
        <v>143</v>
      </c>
      <c r="L2224" t="s">
        <v>143</v>
      </c>
      <c r="M2224" t="s">
        <v>638</v>
      </c>
      <c r="N2224" t="s">
        <v>85</v>
      </c>
      <c r="O2224" s="6" t="s">
        <v>350</v>
      </c>
      <c r="P2224" t="s">
        <v>147</v>
      </c>
      <c r="Q2224">
        <v>18</v>
      </c>
      <c r="R2224" t="s">
        <v>213</v>
      </c>
      <c r="S2224" s="2" t="s">
        <v>37</v>
      </c>
      <c r="T2224">
        <v>5</v>
      </c>
      <c r="U2224">
        <v>7.58</v>
      </c>
      <c r="V2224">
        <v>1456</v>
      </c>
      <c r="W2224">
        <v>9.9</v>
      </c>
      <c r="X2224">
        <v>31.94</v>
      </c>
      <c r="Y2224">
        <f>34.17-X2224</f>
        <v>2.2300000000000004</v>
      </c>
      <c r="AA2224" s="6"/>
      <c r="AB2224" s="6"/>
    </row>
    <row r="2225" spans="1:28" x14ac:dyDescent="0.2">
      <c r="A2225" t="s">
        <v>632</v>
      </c>
      <c r="B2225">
        <v>2014</v>
      </c>
      <c r="C2225" t="s">
        <v>826</v>
      </c>
      <c r="D2225" t="s">
        <v>824</v>
      </c>
      <c r="E2225" t="s">
        <v>48</v>
      </c>
      <c r="F2225" t="s">
        <v>307</v>
      </c>
      <c r="G2225">
        <v>54.183827999999998</v>
      </c>
      <c r="H2225">
        <v>7.8726450000000003</v>
      </c>
      <c r="J2225" s="2" t="s">
        <v>7</v>
      </c>
      <c r="K2225" t="s">
        <v>143</v>
      </c>
      <c r="L2225" t="s">
        <v>143</v>
      </c>
      <c r="M2225" t="s">
        <v>638</v>
      </c>
      <c r="N2225" t="s">
        <v>85</v>
      </c>
      <c r="O2225" s="6" t="s">
        <v>350</v>
      </c>
      <c r="P2225" t="s">
        <v>147</v>
      </c>
      <c r="Q2225">
        <v>18</v>
      </c>
      <c r="R2225" t="s">
        <v>213</v>
      </c>
      <c r="S2225" s="2" t="s">
        <v>7</v>
      </c>
      <c r="T2225">
        <v>5</v>
      </c>
      <c r="U2225">
        <v>8.06</v>
      </c>
      <c r="V2225">
        <v>423</v>
      </c>
      <c r="W2225">
        <v>9.6999999999999993</v>
      </c>
      <c r="X2225">
        <v>29.03</v>
      </c>
      <c r="Y2225">
        <f>31.94-X2225</f>
        <v>2.91</v>
      </c>
      <c r="AA2225" s="6"/>
      <c r="AB2225" s="6"/>
    </row>
    <row r="2226" spans="1:28" x14ac:dyDescent="0.2">
      <c r="A2226" t="s">
        <v>632</v>
      </c>
      <c r="B2226">
        <v>2014</v>
      </c>
      <c r="C2226" t="s">
        <v>826</v>
      </c>
      <c r="D2226" t="s">
        <v>824</v>
      </c>
      <c r="E2226" t="s">
        <v>48</v>
      </c>
      <c r="F2226" t="s">
        <v>307</v>
      </c>
      <c r="G2226">
        <v>54.183827999999998</v>
      </c>
      <c r="H2226">
        <v>7.8726450000000003</v>
      </c>
      <c r="J2226" s="2" t="s">
        <v>5</v>
      </c>
      <c r="K2226" t="s">
        <v>143</v>
      </c>
      <c r="L2226" t="s">
        <v>143</v>
      </c>
      <c r="M2226" t="s">
        <v>638</v>
      </c>
      <c r="N2226" t="s">
        <v>85</v>
      </c>
      <c r="O2226" s="6" t="s">
        <v>350</v>
      </c>
      <c r="P2226" t="s">
        <v>147</v>
      </c>
      <c r="Q2226">
        <v>18</v>
      </c>
      <c r="R2226" t="s">
        <v>213</v>
      </c>
      <c r="S2226" s="2" t="s">
        <v>9</v>
      </c>
      <c r="T2226">
        <v>5</v>
      </c>
      <c r="U2226">
        <v>7.82</v>
      </c>
      <c r="V2226">
        <v>769</v>
      </c>
      <c r="W2226" t="s">
        <v>28</v>
      </c>
      <c r="X2226">
        <v>25.53</v>
      </c>
      <c r="Y2226">
        <f>28.06-X2226</f>
        <v>2.5299999999999976</v>
      </c>
      <c r="AA2226" s="6"/>
      <c r="AB2226" s="6"/>
    </row>
    <row r="2227" spans="1:28" x14ac:dyDescent="0.2">
      <c r="A2227" t="s">
        <v>632</v>
      </c>
      <c r="B2227">
        <v>2014</v>
      </c>
      <c r="C2227" t="s">
        <v>826</v>
      </c>
      <c r="D2227" t="s">
        <v>824</v>
      </c>
      <c r="E2227" t="s">
        <v>48</v>
      </c>
      <c r="F2227" t="s">
        <v>307</v>
      </c>
      <c r="G2227">
        <v>54.183827999999998</v>
      </c>
      <c r="H2227">
        <v>7.8726450000000003</v>
      </c>
      <c r="J2227" s="2" t="s">
        <v>5</v>
      </c>
      <c r="K2227" t="s">
        <v>143</v>
      </c>
      <c r="L2227" t="s">
        <v>143</v>
      </c>
      <c r="M2227" t="s">
        <v>638</v>
      </c>
      <c r="N2227" t="s">
        <v>85</v>
      </c>
      <c r="O2227" s="6" t="s">
        <v>350</v>
      </c>
      <c r="P2227" t="s">
        <v>147</v>
      </c>
      <c r="Q2227">
        <v>18</v>
      </c>
      <c r="R2227" t="s">
        <v>213</v>
      </c>
      <c r="S2227" s="2" t="s">
        <v>27</v>
      </c>
      <c r="T2227">
        <v>5</v>
      </c>
      <c r="U2227">
        <v>7.56</v>
      </c>
      <c r="V2227">
        <v>1437</v>
      </c>
      <c r="W2227" t="s">
        <v>28</v>
      </c>
      <c r="X2227">
        <v>26.5</v>
      </c>
      <c r="Y2227">
        <f>29.42-X2227</f>
        <v>2.9200000000000017</v>
      </c>
      <c r="AA2227" s="6"/>
      <c r="AB2227" s="6"/>
    </row>
    <row r="2228" spans="1:28" x14ac:dyDescent="0.2">
      <c r="A2228" t="s">
        <v>632</v>
      </c>
      <c r="B2228">
        <v>2014</v>
      </c>
      <c r="C2228" t="s">
        <v>826</v>
      </c>
      <c r="D2228" t="s">
        <v>824</v>
      </c>
      <c r="E2228" t="s">
        <v>48</v>
      </c>
      <c r="F2228" t="s">
        <v>307</v>
      </c>
      <c r="G2228">
        <v>54.183827999999998</v>
      </c>
      <c r="H2228">
        <v>7.8726450000000003</v>
      </c>
      <c r="J2228" s="2" t="s">
        <v>14</v>
      </c>
      <c r="K2228" t="s">
        <v>143</v>
      </c>
      <c r="L2228" t="s">
        <v>143</v>
      </c>
      <c r="M2228" t="s">
        <v>638</v>
      </c>
      <c r="N2228" t="s">
        <v>85</v>
      </c>
      <c r="O2228" s="6" t="s">
        <v>350</v>
      </c>
      <c r="P2228" t="s">
        <v>147</v>
      </c>
      <c r="Q2228">
        <v>18</v>
      </c>
      <c r="R2228" t="s">
        <v>213</v>
      </c>
      <c r="S2228" s="2" t="s">
        <v>13</v>
      </c>
      <c r="T2228">
        <v>5</v>
      </c>
      <c r="U2228" t="s">
        <v>28</v>
      </c>
      <c r="V2228" t="s">
        <v>28</v>
      </c>
      <c r="W2228">
        <v>17</v>
      </c>
      <c r="X2228">
        <v>22.04</v>
      </c>
      <c r="Y2228">
        <f>24.56-X2228</f>
        <v>2.5199999999999996</v>
      </c>
      <c r="AA2228" s="6"/>
      <c r="AB2228" s="6"/>
    </row>
    <row r="2229" spans="1:28" x14ac:dyDescent="0.2">
      <c r="A2229" t="s">
        <v>632</v>
      </c>
      <c r="B2229">
        <v>2014</v>
      </c>
      <c r="C2229" t="s">
        <v>826</v>
      </c>
      <c r="D2229" t="s">
        <v>824</v>
      </c>
      <c r="E2229" t="s">
        <v>48</v>
      </c>
      <c r="F2229" t="s">
        <v>307</v>
      </c>
      <c r="G2229">
        <v>54.183827999999998</v>
      </c>
      <c r="H2229">
        <v>7.8726450000000003</v>
      </c>
      <c r="J2229" s="2" t="s">
        <v>16</v>
      </c>
      <c r="K2229" t="s">
        <v>143</v>
      </c>
      <c r="L2229" t="s">
        <v>143</v>
      </c>
      <c r="M2229" t="s">
        <v>638</v>
      </c>
      <c r="N2229" t="s">
        <v>85</v>
      </c>
      <c r="O2229" s="6" t="s">
        <v>350</v>
      </c>
      <c r="P2229" t="s">
        <v>147</v>
      </c>
      <c r="Q2229">
        <v>18</v>
      </c>
      <c r="R2229" t="s">
        <v>213</v>
      </c>
      <c r="S2229" s="2" t="s">
        <v>15</v>
      </c>
      <c r="T2229">
        <v>5</v>
      </c>
      <c r="U2229">
        <v>7.82</v>
      </c>
      <c r="V2229">
        <v>783</v>
      </c>
      <c r="W2229">
        <v>16.8</v>
      </c>
      <c r="X2229">
        <v>23.69</v>
      </c>
      <c r="Y2229">
        <f>25.15-X2229</f>
        <v>1.4599999999999973</v>
      </c>
      <c r="AA2229" s="6"/>
      <c r="AB2229" s="6"/>
    </row>
    <row r="2230" spans="1:28" x14ac:dyDescent="0.2">
      <c r="A2230" t="s">
        <v>632</v>
      </c>
      <c r="B2230">
        <v>2014</v>
      </c>
      <c r="C2230" t="s">
        <v>826</v>
      </c>
      <c r="D2230" t="s">
        <v>824</v>
      </c>
      <c r="E2230" t="s">
        <v>48</v>
      </c>
      <c r="F2230" t="s">
        <v>307</v>
      </c>
      <c r="G2230">
        <v>54.183827999999998</v>
      </c>
      <c r="H2230">
        <v>7.8726450000000003</v>
      </c>
      <c r="J2230" s="2" t="s">
        <v>16</v>
      </c>
      <c r="K2230" t="s">
        <v>143</v>
      </c>
      <c r="L2230" t="s">
        <v>143</v>
      </c>
      <c r="M2230" t="s">
        <v>638</v>
      </c>
      <c r="N2230" t="s">
        <v>85</v>
      </c>
      <c r="O2230" s="6" t="s">
        <v>350</v>
      </c>
      <c r="P2230" t="s">
        <v>147</v>
      </c>
      <c r="Q2230">
        <v>18</v>
      </c>
      <c r="R2230" t="s">
        <v>213</v>
      </c>
      <c r="S2230" s="2" t="s">
        <v>37</v>
      </c>
      <c r="T2230">
        <v>5</v>
      </c>
      <c r="U2230">
        <v>7.56</v>
      </c>
      <c r="V2230">
        <v>1505</v>
      </c>
      <c r="W2230">
        <v>17.100000000000001</v>
      </c>
      <c r="X2230">
        <v>23.98</v>
      </c>
      <c r="Y2230">
        <f>25.24-X2230</f>
        <v>1.259999999999998</v>
      </c>
      <c r="AA2230" s="6"/>
      <c r="AB2230" s="6"/>
    </row>
    <row r="2231" spans="1:28" x14ac:dyDescent="0.2">
      <c r="A2231" t="s">
        <v>382</v>
      </c>
      <c r="B2231">
        <v>2013</v>
      </c>
      <c r="C2231" t="s">
        <v>807</v>
      </c>
      <c r="D2231" t="s">
        <v>825</v>
      </c>
      <c r="E2231" t="s">
        <v>35</v>
      </c>
      <c r="F2231" t="s">
        <v>352</v>
      </c>
      <c r="G2231">
        <v>38.533332999999999</v>
      </c>
      <c r="H2231">
        <v>141.51666700000001</v>
      </c>
      <c r="I2231" t="s">
        <v>761</v>
      </c>
      <c r="J2231" s="2" t="s">
        <v>7</v>
      </c>
      <c r="K2231" t="s">
        <v>351</v>
      </c>
      <c r="L2231" t="s">
        <v>143</v>
      </c>
      <c r="M2231" t="s">
        <v>12</v>
      </c>
      <c r="N2231" t="s">
        <v>85</v>
      </c>
      <c r="O2231" s="6" t="s">
        <v>12</v>
      </c>
      <c r="P2231" t="s">
        <v>70</v>
      </c>
      <c r="Q2231">
        <v>1</v>
      </c>
      <c r="R2231" t="s">
        <v>214</v>
      </c>
      <c r="S2231" s="2" t="s">
        <v>7</v>
      </c>
      <c r="T2231">
        <v>3</v>
      </c>
      <c r="U2231" t="s">
        <v>28</v>
      </c>
      <c r="V2231" t="s">
        <v>28</v>
      </c>
      <c r="W2231">
        <v>15</v>
      </c>
      <c r="X2231">
        <v>100</v>
      </c>
      <c r="Y2231">
        <v>0</v>
      </c>
      <c r="AA2231" s="6"/>
      <c r="AB2231" s="6"/>
    </row>
    <row r="2232" spans="1:28" x14ac:dyDescent="0.2">
      <c r="A2232" t="s">
        <v>382</v>
      </c>
      <c r="B2232">
        <v>2013</v>
      </c>
      <c r="C2232" t="s">
        <v>807</v>
      </c>
      <c r="D2232" t="s">
        <v>825</v>
      </c>
      <c r="E2232" t="s">
        <v>35</v>
      </c>
      <c r="F2232" t="s">
        <v>352</v>
      </c>
      <c r="G2232">
        <v>38.533332999999999</v>
      </c>
      <c r="H2232">
        <v>141.51666700000001</v>
      </c>
      <c r="I2232" t="s">
        <v>761</v>
      </c>
      <c r="J2232" s="2" t="s">
        <v>7</v>
      </c>
      <c r="K2232" t="s">
        <v>351</v>
      </c>
      <c r="L2232" t="s">
        <v>143</v>
      </c>
      <c r="M2232" t="s">
        <v>12</v>
      </c>
      <c r="N2232" t="s">
        <v>85</v>
      </c>
      <c r="O2232" s="6" t="s">
        <v>12</v>
      </c>
      <c r="P2232" t="s">
        <v>70</v>
      </c>
      <c r="Q2232">
        <v>2</v>
      </c>
      <c r="R2232" t="s">
        <v>214</v>
      </c>
      <c r="S2232" s="2" t="s">
        <v>7</v>
      </c>
      <c r="T2232">
        <v>3</v>
      </c>
      <c r="U2232" t="s">
        <v>28</v>
      </c>
      <c r="V2232" t="s">
        <v>28</v>
      </c>
      <c r="W2232">
        <v>15</v>
      </c>
      <c r="X2232">
        <v>100</v>
      </c>
      <c r="Y2232">
        <v>0</v>
      </c>
      <c r="AA2232" s="6"/>
      <c r="AB2232" s="6"/>
    </row>
    <row r="2233" spans="1:28" x14ac:dyDescent="0.2">
      <c r="A2233" t="s">
        <v>382</v>
      </c>
      <c r="B2233">
        <v>2013</v>
      </c>
      <c r="C2233" t="s">
        <v>807</v>
      </c>
      <c r="D2233" t="s">
        <v>825</v>
      </c>
      <c r="E2233" t="s">
        <v>35</v>
      </c>
      <c r="F2233" t="s">
        <v>352</v>
      </c>
      <c r="G2233">
        <v>38.533332999999999</v>
      </c>
      <c r="H2233">
        <v>141.51666700000001</v>
      </c>
      <c r="I2233" t="s">
        <v>761</v>
      </c>
      <c r="J2233" s="2" t="s">
        <v>7</v>
      </c>
      <c r="K2233" t="s">
        <v>351</v>
      </c>
      <c r="L2233" t="s">
        <v>143</v>
      </c>
      <c r="M2233" t="s">
        <v>12</v>
      </c>
      <c r="N2233" t="s">
        <v>85</v>
      </c>
      <c r="O2233" s="6" t="s">
        <v>12</v>
      </c>
      <c r="P2233" t="s">
        <v>70</v>
      </c>
      <c r="Q2233">
        <v>3</v>
      </c>
      <c r="R2233" t="s">
        <v>214</v>
      </c>
      <c r="S2233" s="2" t="s">
        <v>7</v>
      </c>
      <c r="T2233">
        <v>3</v>
      </c>
      <c r="U2233" t="s">
        <v>28</v>
      </c>
      <c r="V2233" t="s">
        <v>28</v>
      </c>
      <c r="W2233">
        <v>15</v>
      </c>
      <c r="X2233">
        <v>100</v>
      </c>
      <c r="Y2233">
        <v>0</v>
      </c>
      <c r="AA2233" s="6"/>
      <c r="AB2233" s="6"/>
    </row>
    <row r="2234" spans="1:28" x14ac:dyDescent="0.2">
      <c r="A2234" t="s">
        <v>382</v>
      </c>
      <c r="B2234">
        <v>2013</v>
      </c>
      <c r="C2234" t="s">
        <v>807</v>
      </c>
      <c r="D2234" t="s">
        <v>825</v>
      </c>
      <c r="E2234" t="s">
        <v>35</v>
      </c>
      <c r="F2234" t="s">
        <v>352</v>
      </c>
      <c r="G2234">
        <v>38.533332999999999</v>
      </c>
      <c r="H2234">
        <v>141.51666700000001</v>
      </c>
      <c r="I2234" t="s">
        <v>761</v>
      </c>
      <c r="J2234" s="2" t="s">
        <v>7</v>
      </c>
      <c r="K2234" t="s">
        <v>351</v>
      </c>
      <c r="L2234" t="s">
        <v>143</v>
      </c>
      <c r="M2234" t="s">
        <v>12</v>
      </c>
      <c r="N2234" t="s">
        <v>85</v>
      </c>
      <c r="O2234" s="6" t="s">
        <v>12</v>
      </c>
      <c r="P2234" t="s">
        <v>70</v>
      </c>
      <c r="Q2234">
        <v>4</v>
      </c>
      <c r="R2234" t="s">
        <v>214</v>
      </c>
      <c r="S2234" s="2" t="s">
        <v>7</v>
      </c>
      <c r="T2234">
        <v>3</v>
      </c>
      <c r="U2234" t="s">
        <v>28</v>
      </c>
      <c r="V2234" t="s">
        <v>28</v>
      </c>
      <c r="W2234">
        <v>15</v>
      </c>
      <c r="X2234">
        <v>100</v>
      </c>
      <c r="Y2234">
        <v>0</v>
      </c>
      <c r="AA2234" s="6"/>
      <c r="AB2234" s="6"/>
    </row>
    <row r="2235" spans="1:28" x14ac:dyDescent="0.2">
      <c r="A2235" t="s">
        <v>382</v>
      </c>
      <c r="B2235">
        <v>2013</v>
      </c>
      <c r="C2235" t="s">
        <v>807</v>
      </c>
      <c r="D2235" t="s">
        <v>825</v>
      </c>
      <c r="E2235" t="s">
        <v>35</v>
      </c>
      <c r="F2235" t="s">
        <v>352</v>
      </c>
      <c r="G2235">
        <v>38.533332999999999</v>
      </c>
      <c r="H2235">
        <v>141.51666700000001</v>
      </c>
      <c r="I2235" t="s">
        <v>761</v>
      </c>
      <c r="J2235" s="2" t="s">
        <v>7</v>
      </c>
      <c r="K2235" t="s">
        <v>351</v>
      </c>
      <c r="L2235" t="s">
        <v>143</v>
      </c>
      <c r="M2235" t="s">
        <v>12</v>
      </c>
      <c r="N2235" t="s">
        <v>85</v>
      </c>
      <c r="O2235" s="6" t="s">
        <v>12</v>
      </c>
      <c r="P2235" t="s">
        <v>70</v>
      </c>
      <c r="Q2235">
        <v>5</v>
      </c>
      <c r="R2235" t="s">
        <v>214</v>
      </c>
      <c r="S2235" s="2" t="s">
        <v>7</v>
      </c>
      <c r="T2235">
        <v>3</v>
      </c>
      <c r="U2235" t="s">
        <v>28</v>
      </c>
      <c r="V2235" t="s">
        <v>28</v>
      </c>
      <c r="W2235">
        <v>15</v>
      </c>
      <c r="X2235">
        <v>100</v>
      </c>
      <c r="Y2235">
        <v>0</v>
      </c>
      <c r="AA2235" s="6"/>
      <c r="AB2235" s="6"/>
    </row>
    <row r="2236" spans="1:28" x14ac:dyDescent="0.2">
      <c r="A2236" t="s">
        <v>382</v>
      </c>
      <c r="B2236">
        <v>2013</v>
      </c>
      <c r="C2236" t="s">
        <v>807</v>
      </c>
      <c r="D2236" t="s">
        <v>825</v>
      </c>
      <c r="E2236" t="s">
        <v>35</v>
      </c>
      <c r="F2236" t="s">
        <v>352</v>
      </c>
      <c r="G2236">
        <v>38.533332999999999</v>
      </c>
      <c r="H2236">
        <v>141.51666700000001</v>
      </c>
      <c r="I2236" t="s">
        <v>761</v>
      </c>
      <c r="J2236" s="2" t="s">
        <v>7</v>
      </c>
      <c r="K2236" t="s">
        <v>351</v>
      </c>
      <c r="L2236" t="s">
        <v>143</v>
      </c>
      <c r="M2236" t="s">
        <v>12</v>
      </c>
      <c r="N2236" t="s">
        <v>85</v>
      </c>
      <c r="O2236" s="6" t="s">
        <v>12</v>
      </c>
      <c r="P2236" t="s">
        <v>70</v>
      </c>
      <c r="Q2236">
        <v>6</v>
      </c>
      <c r="R2236" t="s">
        <v>214</v>
      </c>
      <c r="S2236" s="2" t="s">
        <v>7</v>
      </c>
      <c r="T2236">
        <v>3</v>
      </c>
      <c r="U2236" t="s">
        <v>28</v>
      </c>
      <c r="V2236" t="s">
        <v>28</v>
      </c>
      <c r="W2236">
        <v>15</v>
      </c>
      <c r="X2236">
        <v>100</v>
      </c>
      <c r="Y2236">
        <v>0</v>
      </c>
      <c r="AA2236" s="6"/>
      <c r="AB2236" s="6"/>
    </row>
    <row r="2237" spans="1:28" x14ac:dyDescent="0.2">
      <c r="A2237" t="s">
        <v>382</v>
      </c>
      <c r="B2237">
        <v>2013</v>
      </c>
      <c r="C2237" t="s">
        <v>807</v>
      </c>
      <c r="D2237" t="s">
        <v>825</v>
      </c>
      <c r="E2237" t="s">
        <v>35</v>
      </c>
      <c r="F2237" t="s">
        <v>352</v>
      </c>
      <c r="G2237">
        <v>38.533332999999999</v>
      </c>
      <c r="H2237">
        <v>141.51666700000001</v>
      </c>
      <c r="I2237" t="s">
        <v>761</v>
      </c>
      <c r="J2237" s="2" t="s">
        <v>7</v>
      </c>
      <c r="K2237" t="s">
        <v>351</v>
      </c>
      <c r="L2237" t="s">
        <v>143</v>
      </c>
      <c r="M2237" t="s">
        <v>12</v>
      </c>
      <c r="N2237" t="s">
        <v>85</v>
      </c>
      <c r="O2237" s="6" t="s">
        <v>12</v>
      </c>
      <c r="P2237" t="s">
        <v>70</v>
      </c>
      <c r="Q2237">
        <v>7</v>
      </c>
      <c r="R2237" t="s">
        <v>214</v>
      </c>
      <c r="S2237" s="2" t="s">
        <v>7</v>
      </c>
      <c r="T2237">
        <v>3</v>
      </c>
      <c r="U2237" t="s">
        <v>28</v>
      </c>
      <c r="V2237" t="s">
        <v>28</v>
      </c>
      <c r="W2237">
        <v>15</v>
      </c>
      <c r="X2237">
        <v>100</v>
      </c>
      <c r="Y2237">
        <v>0</v>
      </c>
      <c r="AA2237" s="6"/>
      <c r="AB2237" s="6"/>
    </row>
    <row r="2238" spans="1:28" x14ac:dyDescent="0.2">
      <c r="A2238" t="s">
        <v>382</v>
      </c>
      <c r="B2238">
        <v>2013</v>
      </c>
      <c r="C2238" t="s">
        <v>807</v>
      </c>
      <c r="D2238" t="s">
        <v>825</v>
      </c>
      <c r="E2238" t="s">
        <v>35</v>
      </c>
      <c r="F2238" t="s">
        <v>352</v>
      </c>
      <c r="G2238">
        <v>38.533332999999999</v>
      </c>
      <c r="H2238">
        <v>141.51666700000001</v>
      </c>
      <c r="I2238" t="s">
        <v>761</v>
      </c>
      <c r="J2238" s="2" t="s">
        <v>7</v>
      </c>
      <c r="K2238" t="s">
        <v>351</v>
      </c>
      <c r="L2238" t="s">
        <v>143</v>
      </c>
      <c r="M2238" t="s">
        <v>12</v>
      </c>
      <c r="N2238" t="s">
        <v>85</v>
      </c>
      <c r="O2238" s="6" t="s">
        <v>12</v>
      </c>
      <c r="P2238" t="s">
        <v>70</v>
      </c>
      <c r="Q2238">
        <v>8</v>
      </c>
      <c r="R2238" t="s">
        <v>214</v>
      </c>
      <c r="S2238" s="2" t="s">
        <v>7</v>
      </c>
      <c r="T2238">
        <v>3</v>
      </c>
      <c r="U2238" t="s">
        <v>28</v>
      </c>
      <c r="V2238" t="s">
        <v>28</v>
      </c>
      <c r="W2238">
        <v>15</v>
      </c>
      <c r="X2238">
        <v>100</v>
      </c>
      <c r="Y2238">
        <v>0</v>
      </c>
      <c r="AA2238" s="6"/>
      <c r="AB2238" s="6"/>
    </row>
    <row r="2239" spans="1:28" x14ac:dyDescent="0.2">
      <c r="A2239" t="s">
        <v>382</v>
      </c>
      <c r="B2239">
        <v>2013</v>
      </c>
      <c r="C2239" t="s">
        <v>807</v>
      </c>
      <c r="D2239" t="s">
        <v>825</v>
      </c>
      <c r="E2239" t="s">
        <v>35</v>
      </c>
      <c r="F2239" t="s">
        <v>352</v>
      </c>
      <c r="G2239">
        <v>38.533332999999999</v>
      </c>
      <c r="H2239">
        <v>141.51666700000001</v>
      </c>
      <c r="I2239" t="s">
        <v>761</v>
      </c>
      <c r="J2239" s="2" t="s">
        <v>7</v>
      </c>
      <c r="K2239" t="s">
        <v>351</v>
      </c>
      <c r="L2239" t="s">
        <v>143</v>
      </c>
      <c r="M2239" t="s">
        <v>12</v>
      </c>
      <c r="N2239" t="s">
        <v>85</v>
      </c>
      <c r="O2239" s="6" t="s">
        <v>12</v>
      </c>
      <c r="P2239" t="s">
        <v>70</v>
      </c>
      <c r="Q2239">
        <v>9</v>
      </c>
      <c r="R2239" t="s">
        <v>213</v>
      </c>
      <c r="S2239" s="2" t="s">
        <v>7</v>
      </c>
      <c r="T2239">
        <v>3</v>
      </c>
      <c r="U2239" t="s">
        <v>28</v>
      </c>
      <c r="V2239" t="s">
        <v>28</v>
      </c>
      <c r="W2239">
        <v>15</v>
      </c>
      <c r="X2239">
        <v>100</v>
      </c>
      <c r="Y2239">
        <v>0</v>
      </c>
      <c r="AA2239" s="6"/>
      <c r="AB2239" s="6"/>
    </row>
    <row r="2240" spans="1:28" x14ac:dyDescent="0.2">
      <c r="A2240" t="s">
        <v>382</v>
      </c>
      <c r="B2240">
        <v>2013</v>
      </c>
      <c r="C2240" t="s">
        <v>807</v>
      </c>
      <c r="D2240" t="s">
        <v>825</v>
      </c>
      <c r="E2240" t="s">
        <v>35</v>
      </c>
      <c r="F2240" t="s">
        <v>352</v>
      </c>
      <c r="G2240">
        <v>38.533332999999999</v>
      </c>
      <c r="H2240">
        <v>141.51666700000001</v>
      </c>
      <c r="I2240" t="s">
        <v>761</v>
      </c>
      <c r="J2240" s="2" t="s">
        <v>7</v>
      </c>
      <c r="K2240" t="s">
        <v>351</v>
      </c>
      <c r="L2240" t="s">
        <v>143</v>
      </c>
      <c r="M2240" t="s">
        <v>12</v>
      </c>
      <c r="N2240" t="s">
        <v>85</v>
      </c>
      <c r="O2240" s="6" t="s">
        <v>12</v>
      </c>
      <c r="P2240" t="s">
        <v>70</v>
      </c>
      <c r="Q2240">
        <v>10</v>
      </c>
      <c r="R2240" t="s">
        <v>214</v>
      </c>
      <c r="S2240" s="2" t="s">
        <v>7</v>
      </c>
      <c r="T2240">
        <v>3</v>
      </c>
      <c r="U2240" t="s">
        <v>28</v>
      </c>
      <c r="V2240" t="s">
        <v>28</v>
      </c>
      <c r="W2240">
        <v>15</v>
      </c>
      <c r="X2240">
        <v>100</v>
      </c>
      <c r="Y2240">
        <v>0</v>
      </c>
      <c r="AA2240" s="6"/>
      <c r="AB2240" s="6"/>
    </row>
    <row r="2241" spans="1:28" x14ac:dyDescent="0.2">
      <c r="A2241" t="s">
        <v>382</v>
      </c>
      <c r="B2241">
        <v>2013</v>
      </c>
      <c r="C2241" t="s">
        <v>807</v>
      </c>
      <c r="D2241" t="s">
        <v>825</v>
      </c>
      <c r="E2241" t="s">
        <v>35</v>
      </c>
      <c r="F2241" t="s">
        <v>352</v>
      </c>
      <c r="G2241">
        <v>38.533332999999999</v>
      </c>
      <c r="H2241">
        <v>141.51666700000001</v>
      </c>
      <c r="I2241" t="s">
        <v>761</v>
      </c>
      <c r="J2241" s="2" t="s">
        <v>7</v>
      </c>
      <c r="K2241" t="s">
        <v>351</v>
      </c>
      <c r="L2241" t="s">
        <v>143</v>
      </c>
      <c r="M2241" t="s">
        <v>12</v>
      </c>
      <c r="N2241" t="s">
        <v>85</v>
      </c>
      <c r="O2241" s="6" t="s">
        <v>12</v>
      </c>
      <c r="P2241" t="s">
        <v>70</v>
      </c>
      <c r="Q2241">
        <v>11</v>
      </c>
      <c r="R2241" t="s">
        <v>214</v>
      </c>
      <c r="S2241" s="2" t="s">
        <v>7</v>
      </c>
      <c r="T2241">
        <v>3</v>
      </c>
      <c r="U2241" t="s">
        <v>28</v>
      </c>
      <c r="V2241" t="s">
        <v>28</v>
      </c>
      <c r="W2241">
        <v>15</v>
      </c>
      <c r="X2241">
        <v>100</v>
      </c>
      <c r="Y2241">
        <v>0</v>
      </c>
      <c r="AA2241" s="6"/>
      <c r="AB2241" s="6"/>
    </row>
    <row r="2242" spans="1:28" x14ac:dyDescent="0.2">
      <c r="A2242" t="s">
        <v>382</v>
      </c>
      <c r="B2242">
        <v>2013</v>
      </c>
      <c r="C2242" t="s">
        <v>807</v>
      </c>
      <c r="D2242" t="s">
        <v>825</v>
      </c>
      <c r="E2242" t="s">
        <v>35</v>
      </c>
      <c r="F2242" t="s">
        <v>352</v>
      </c>
      <c r="G2242">
        <v>38.533332999999999</v>
      </c>
      <c r="H2242">
        <v>141.51666700000001</v>
      </c>
      <c r="I2242" t="s">
        <v>761</v>
      </c>
      <c r="J2242" s="2" t="s">
        <v>7</v>
      </c>
      <c r="K2242" t="s">
        <v>351</v>
      </c>
      <c r="L2242" t="s">
        <v>143</v>
      </c>
      <c r="M2242" t="s">
        <v>12</v>
      </c>
      <c r="N2242" t="s">
        <v>85</v>
      </c>
      <c r="O2242" s="6" t="s">
        <v>12</v>
      </c>
      <c r="P2242" t="s">
        <v>70</v>
      </c>
      <c r="Q2242">
        <v>12</v>
      </c>
      <c r="R2242" t="s">
        <v>213</v>
      </c>
      <c r="S2242" s="2" t="s">
        <v>7</v>
      </c>
      <c r="T2242">
        <v>3</v>
      </c>
      <c r="U2242" t="s">
        <v>28</v>
      </c>
      <c r="V2242" t="s">
        <v>28</v>
      </c>
      <c r="W2242">
        <v>15</v>
      </c>
      <c r="X2242">
        <v>100</v>
      </c>
      <c r="Y2242">
        <v>0</v>
      </c>
      <c r="AA2242" s="6"/>
      <c r="AB2242" s="6"/>
    </row>
    <row r="2243" spans="1:28" x14ac:dyDescent="0.2">
      <c r="A2243" t="s">
        <v>382</v>
      </c>
      <c r="B2243">
        <v>2013</v>
      </c>
      <c r="C2243" t="s">
        <v>807</v>
      </c>
      <c r="D2243" t="s">
        <v>825</v>
      </c>
      <c r="E2243" t="s">
        <v>35</v>
      </c>
      <c r="F2243" t="s">
        <v>353</v>
      </c>
      <c r="G2243">
        <v>34.216667000000001</v>
      </c>
      <c r="H2243">
        <v>135.61666700000001</v>
      </c>
      <c r="I2243" t="s">
        <v>761</v>
      </c>
      <c r="J2243" s="2" t="s">
        <v>7</v>
      </c>
      <c r="K2243" t="s">
        <v>351</v>
      </c>
      <c r="L2243" t="s">
        <v>143</v>
      </c>
      <c r="M2243" t="s">
        <v>12</v>
      </c>
      <c r="N2243" t="s">
        <v>85</v>
      </c>
      <c r="O2243" s="6" t="s">
        <v>12</v>
      </c>
      <c r="P2243" t="s">
        <v>70</v>
      </c>
      <c r="Q2243">
        <v>1</v>
      </c>
      <c r="R2243" t="s">
        <v>214</v>
      </c>
      <c r="S2243" s="2" t="s">
        <v>7</v>
      </c>
      <c r="T2243">
        <v>3</v>
      </c>
      <c r="U2243" t="s">
        <v>28</v>
      </c>
      <c r="V2243" t="s">
        <v>28</v>
      </c>
      <c r="W2243">
        <v>15</v>
      </c>
      <c r="X2243">
        <v>100</v>
      </c>
      <c r="Y2243">
        <v>0</v>
      </c>
      <c r="AA2243" s="6"/>
      <c r="AB2243" s="6"/>
    </row>
    <row r="2244" spans="1:28" x14ac:dyDescent="0.2">
      <c r="A2244" t="s">
        <v>382</v>
      </c>
      <c r="B2244">
        <v>2013</v>
      </c>
      <c r="C2244" t="s">
        <v>807</v>
      </c>
      <c r="D2244" t="s">
        <v>825</v>
      </c>
      <c r="E2244" t="s">
        <v>35</v>
      </c>
      <c r="F2244" t="s">
        <v>353</v>
      </c>
      <c r="G2244">
        <v>34.216667000000001</v>
      </c>
      <c r="H2244">
        <v>135.61666700000001</v>
      </c>
      <c r="I2244" t="s">
        <v>761</v>
      </c>
      <c r="J2244" s="2" t="s">
        <v>7</v>
      </c>
      <c r="K2244" t="s">
        <v>351</v>
      </c>
      <c r="L2244" t="s">
        <v>143</v>
      </c>
      <c r="M2244" t="s">
        <v>12</v>
      </c>
      <c r="N2244" t="s">
        <v>85</v>
      </c>
      <c r="O2244" s="6" t="s">
        <v>12</v>
      </c>
      <c r="P2244" t="s">
        <v>70</v>
      </c>
      <c r="Q2244">
        <v>2</v>
      </c>
      <c r="R2244" t="s">
        <v>214</v>
      </c>
      <c r="S2244" s="2" t="s">
        <v>7</v>
      </c>
      <c r="T2244">
        <v>3</v>
      </c>
      <c r="U2244" t="s">
        <v>28</v>
      </c>
      <c r="V2244" t="s">
        <v>28</v>
      </c>
      <c r="W2244">
        <v>15</v>
      </c>
      <c r="X2244">
        <v>100</v>
      </c>
      <c r="Y2244">
        <v>0</v>
      </c>
      <c r="AA2244" s="6"/>
      <c r="AB2244" s="6"/>
    </row>
    <row r="2245" spans="1:28" x14ac:dyDescent="0.2">
      <c r="A2245" t="s">
        <v>382</v>
      </c>
      <c r="B2245">
        <v>2013</v>
      </c>
      <c r="C2245" t="s">
        <v>807</v>
      </c>
      <c r="D2245" t="s">
        <v>825</v>
      </c>
      <c r="E2245" t="s">
        <v>35</v>
      </c>
      <c r="F2245" t="s">
        <v>353</v>
      </c>
      <c r="G2245">
        <v>34.216667000000001</v>
      </c>
      <c r="H2245">
        <v>135.61666700000001</v>
      </c>
      <c r="I2245" t="s">
        <v>761</v>
      </c>
      <c r="J2245" s="2" t="s">
        <v>7</v>
      </c>
      <c r="K2245" t="s">
        <v>351</v>
      </c>
      <c r="L2245" t="s">
        <v>143</v>
      </c>
      <c r="M2245" t="s">
        <v>12</v>
      </c>
      <c r="N2245" t="s">
        <v>85</v>
      </c>
      <c r="O2245" s="6" t="s">
        <v>12</v>
      </c>
      <c r="P2245" t="s">
        <v>70</v>
      </c>
      <c r="Q2245">
        <v>3</v>
      </c>
      <c r="R2245" t="s">
        <v>214</v>
      </c>
      <c r="S2245" s="2" t="s">
        <v>7</v>
      </c>
      <c r="T2245">
        <v>3</v>
      </c>
      <c r="U2245" t="s">
        <v>28</v>
      </c>
      <c r="V2245" t="s">
        <v>28</v>
      </c>
      <c r="W2245">
        <v>15</v>
      </c>
      <c r="X2245">
        <v>100</v>
      </c>
      <c r="Y2245">
        <v>0</v>
      </c>
      <c r="AA2245" s="6"/>
      <c r="AB2245" s="6"/>
    </row>
    <row r="2246" spans="1:28" x14ac:dyDescent="0.2">
      <c r="A2246" t="s">
        <v>382</v>
      </c>
      <c r="B2246">
        <v>2013</v>
      </c>
      <c r="C2246" t="s">
        <v>807</v>
      </c>
      <c r="D2246" t="s">
        <v>825</v>
      </c>
      <c r="E2246" t="s">
        <v>35</v>
      </c>
      <c r="F2246" t="s">
        <v>353</v>
      </c>
      <c r="G2246">
        <v>34.216667000000001</v>
      </c>
      <c r="H2246">
        <v>135.61666700000001</v>
      </c>
      <c r="I2246" t="s">
        <v>761</v>
      </c>
      <c r="J2246" s="2" t="s">
        <v>7</v>
      </c>
      <c r="K2246" t="s">
        <v>351</v>
      </c>
      <c r="L2246" t="s">
        <v>143</v>
      </c>
      <c r="M2246" t="s">
        <v>12</v>
      </c>
      <c r="N2246" t="s">
        <v>85</v>
      </c>
      <c r="O2246" s="6" t="s">
        <v>12</v>
      </c>
      <c r="P2246" t="s">
        <v>70</v>
      </c>
      <c r="Q2246">
        <v>4</v>
      </c>
      <c r="R2246" t="s">
        <v>214</v>
      </c>
      <c r="S2246" s="2" t="s">
        <v>7</v>
      </c>
      <c r="T2246">
        <v>3</v>
      </c>
      <c r="U2246" t="s">
        <v>28</v>
      </c>
      <c r="V2246" t="s">
        <v>28</v>
      </c>
      <c r="W2246">
        <v>15</v>
      </c>
      <c r="X2246">
        <v>100</v>
      </c>
      <c r="Y2246">
        <v>0</v>
      </c>
      <c r="AA2246" s="6"/>
      <c r="AB2246" s="6"/>
    </row>
    <row r="2247" spans="1:28" x14ac:dyDescent="0.2">
      <c r="A2247" t="s">
        <v>382</v>
      </c>
      <c r="B2247">
        <v>2013</v>
      </c>
      <c r="C2247" t="s">
        <v>807</v>
      </c>
      <c r="D2247" t="s">
        <v>825</v>
      </c>
      <c r="E2247" t="s">
        <v>35</v>
      </c>
      <c r="F2247" t="s">
        <v>353</v>
      </c>
      <c r="G2247">
        <v>34.216667000000001</v>
      </c>
      <c r="H2247">
        <v>135.61666700000001</v>
      </c>
      <c r="I2247" t="s">
        <v>761</v>
      </c>
      <c r="J2247" s="2" t="s">
        <v>7</v>
      </c>
      <c r="K2247" t="s">
        <v>351</v>
      </c>
      <c r="L2247" t="s">
        <v>143</v>
      </c>
      <c r="M2247" t="s">
        <v>12</v>
      </c>
      <c r="N2247" t="s">
        <v>85</v>
      </c>
      <c r="O2247" s="6" t="s">
        <v>12</v>
      </c>
      <c r="P2247" t="s">
        <v>70</v>
      </c>
      <c r="Q2247">
        <v>5</v>
      </c>
      <c r="R2247" t="s">
        <v>214</v>
      </c>
      <c r="S2247" s="2" t="s">
        <v>7</v>
      </c>
      <c r="T2247">
        <v>3</v>
      </c>
      <c r="U2247" t="s">
        <v>28</v>
      </c>
      <c r="V2247" t="s">
        <v>28</v>
      </c>
      <c r="W2247">
        <v>15</v>
      </c>
      <c r="X2247">
        <v>100</v>
      </c>
      <c r="Y2247">
        <v>0</v>
      </c>
      <c r="AA2247" s="6"/>
      <c r="AB2247" s="6"/>
    </row>
    <row r="2248" spans="1:28" x14ac:dyDescent="0.2">
      <c r="A2248" t="s">
        <v>382</v>
      </c>
      <c r="B2248">
        <v>2013</v>
      </c>
      <c r="C2248" t="s">
        <v>807</v>
      </c>
      <c r="D2248" t="s">
        <v>825</v>
      </c>
      <c r="E2248" t="s">
        <v>35</v>
      </c>
      <c r="F2248" t="s">
        <v>353</v>
      </c>
      <c r="G2248">
        <v>34.216667000000001</v>
      </c>
      <c r="H2248">
        <v>135.61666700000001</v>
      </c>
      <c r="I2248" t="s">
        <v>761</v>
      </c>
      <c r="J2248" s="2" t="s">
        <v>7</v>
      </c>
      <c r="K2248" t="s">
        <v>351</v>
      </c>
      <c r="L2248" t="s">
        <v>143</v>
      </c>
      <c r="M2248" t="s">
        <v>12</v>
      </c>
      <c r="N2248" t="s">
        <v>85</v>
      </c>
      <c r="O2248" s="6" t="s">
        <v>12</v>
      </c>
      <c r="P2248" t="s">
        <v>70</v>
      </c>
      <c r="Q2248">
        <v>6</v>
      </c>
      <c r="R2248" t="s">
        <v>214</v>
      </c>
      <c r="S2248" s="2" t="s">
        <v>7</v>
      </c>
      <c r="T2248">
        <v>3</v>
      </c>
      <c r="U2248" t="s">
        <v>28</v>
      </c>
      <c r="V2248" t="s">
        <v>28</v>
      </c>
      <c r="W2248">
        <v>15</v>
      </c>
      <c r="X2248">
        <v>100</v>
      </c>
      <c r="Y2248">
        <v>0</v>
      </c>
      <c r="AA2248" s="6"/>
      <c r="AB2248" s="6"/>
    </row>
    <row r="2249" spans="1:28" x14ac:dyDescent="0.2">
      <c r="A2249" t="s">
        <v>382</v>
      </c>
      <c r="B2249">
        <v>2013</v>
      </c>
      <c r="C2249" t="s">
        <v>807</v>
      </c>
      <c r="D2249" t="s">
        <v>825</v>
      </c>
      <c r="E2249" t="s">
        <v>35</v>
      </c>
      <c r="F2249" t="s">
        <v>353</v>
      </c>
      <c r="G2249">
        <v>34.216667000000001</v>
      </c>
      <c r="H2249">
        <v>135.61666700000001</v>
      </c>
      <c r="I2249" t="s">
        <v>761</v>
      </c>
      <c r="J2249" s="2" t="s">
        <v>7</v>
      </c>
      <c r="K2249" t="s">
        <v>351</v>
      </c>
      <c r="L2249" t="s">
        <v>143</v>
      </c>
      <c r="M2249" t="s">
        <v>12</v>
      </c>
      <c r="N2249" t="s">
        <v>85</v>
      </c>
      <c r="O2249" s="6" t="s">
        <v>12</v>
      </c>
      <c r="P2249" t="s">
        <v>70</v>
      </c>
      <c r="Q2249">
        <v>7</v>
      </c>
      <c r="R2249" t="s">
        <v>214</v>
      </c>
      <c r="S2249" s="2" t="s">
        <v>7</v>
      </c>
      <c r="T2249">
        <v>3</v>
      </c>
      <c r="U2249" t="s">
        <v>28</v>
      </c>
      <c r="V2249" t="s">
        <v>28</v>
      </c>
      <c r="W2249">
        <v>15</v>
      </c>
      <c r="X2249">
        <v>100</v>
      </c>
      <c r="Y2249">
        <v>0</v>
      </c>
      <c r="AA2249" s="6"/>
      <c r="AB2249" s="6"/>
    </row>
    <row r="2250" spans="1:28" x14ac:dyDescent="0.2">
      <c r="A2250" t="s">
        <v>382</v>
      </c>
      <c r="B2250">
        <v>2013</v>
      </c>
      <c r="C2250" t="s">
        <v>807</v>
      </c>
      <c r="D2250" t="s">
        <v>825</v>
      </c>
      <c r="E2250" t="s">
        <v>35</v>
      </c>
      <c r="F2250" t="s">
        <v>353</v>
      </c>
      <c r="G2250">
        <v>34.216667000000001</v>
      </c>
      <c r="H2250">
        <v>135.61666700000001</v>
      </c>
      <c r="I2250" t="s">
        <v>761</v>
      </c>
      <c r="J2250" s="2" t="s">
        <v>7</v>
      </c>
      <c r="K2250" t="s">
        <v>351</v>
      </c>
      <c r="L2250" t="s">
        <v>143</v>
      </c>
      <c r="M2250" t="s">
        <v>12</v>
      </c>
      <c r="N2250" t="s">
        <v>85</v>
      </c>
      <c r="O2250" s="6" t="s">
        <v>12</v>
      </c>
      <c r="P2250" t="s">
        <v>70</v>
      </c>
      <c r="Q2250">
        <v>8</v>
      </c>
      <c r="R2250" t="s">
        <v>214</v>
      </c>
      <c r="S2250" s="2" t="s">
        <v>7</v>
      </c>
      <c r="T2250">
        <v>3</v>
      </c>
      <c r="U2250" t="s">
        <v>28</v>
      </c>
      <c r="V2250" t="s">
        <v>28</v>
      </c>
      <c r="W2250">
        <v>15</v>
      </c>
      <c r="X2250">
        <v>100</v>
      </c>
      <c r="Y2250">
        <v>0</v>
      </c>
      <c r="AA2250" s="6"/>
      <c r="AB2250" s="6"/>
    </row>
    <row r="2251" spans="1:28" x14ac:dyDescent="0.2">
      <c r="A2251" t="s">
        <v>382</v>
      </c>
      <c r="B2251">
        <v>2013</v>
      </c>
      <c r="C2251" t="s">
        <v>807</v>
      </c>
      <c r="D2251" t="s">
        <v>825</v>
      </c>
      <c r="E2251" t="s">
        <v>35</v>
      </c>
      <c r="F2251" t="s">
        <v>353</v>
      </c>
      <c r="G2251">
        <v>34.216667000000001</v>
      </c>
      <c r="H2251">
        <v>135.61666700000001</v>
      </c>
      <c r="I2251" t="s">
        <v>761</v>
      </c>
      <c r="J2251" s="2" t="s">
        <v>7</v>
      </c>
      <c r="K2251" t="s">
        <v>351</v>
      </c>
      <c r="L2251" t="s">
        <v>143</v>
      </c>
      <c r="M2251" t="s">
        <v>12</v>
      </c>
      <c r="N2251" t="s">
        <v>85</v>
      </c>
      <c r="O2251" s="6" t="s">
        <v>12</v>
      </c>
      <c r="P2251" t="s">
        <v>70</v>
      </c>
      <c r="Q2251">
        <v>9</v>
      </c>
      <c r="R2251" t="s">
        <v>214</v>
      </c>
      <c r="S2251" s="2" t="s">
        <v>7</v>
      </c>
      <c r="T2251">
        <v>3</v>
      </c>
      <c r="U2251" t="s">
        <v>28</v>
      </c>
      <c r="V2251" t="s">
        <v>28</v>
      </c>
      <c r="W2251">
        <v>15</v>
      </c>
      <c r="X2251">
        <v>100</v>
      </c>
      <c r="Y2251">
        <v>0</v>
      </c>
      <c r="AA2251" s="6"/>
      <c r="AB2251" s="6"/>
    </row>
    <row r="2252" spans="1:28" x14ac:dyDescent="0.2">
      <c r="A2252" t="s">
        <v>382</v>
      </c>
      <c r="B2252">
        <v>2013</v>
      </c>
      <c r="C2252" t="s">
        <v>807</v>
      </c>
      <c r="D2252" t="s">
        <v>825</v>
      </c>
      <c r="E2252" t="s">
        <v>35</v>
      </c>
      <c r="F2252" t="s">
        <v>353</v>
      </c>
      <c r="G2252">
        <v>34.216667000000001</v>
      </c>
      <c r="H2252">
        <v>135.61666700000001</v>
      </c>
      <c r="I2252" t="s">
        <v>761</v>
      </c>
      <c r="J2252" s="2" t="s">
        <v>7</v>
      </c>
      <c r="K2252" t="s">
        <v>351</v>
      </c>
      <c r="L2252" t="s">
        <v>143</v>
      </c>
      <c r="M2252" t="s">
        <v>12</v>
      </c>
      <c r="N2252" t="s">
        <v>85</v>
      </c>
      <c r="O2252" s="6" t="s">
        <v>12</v>
      </c>
      <c r="P2252" t="s">
        <v>70</v>
      </c>
      <c r="Q2252">
        <v>10</v>
      </c>
      <c r="R2252" t="s">
        <v>214</v>
      </c>
      <c r="S2252" s="2" t="s">
        <v>7</v>
      </c>
      <c r="T2252">
        <v>3</v>
      </c>
      <c r="U2252" t="s">
        <v>28</v>
      </c>
      <c r="V2252" t="s">
        <v>28</v>
      </c>
      <c r="W2252">
        <v>15</v>
      </c>
      <c r="X2252">
        <v>100</v>
      </c>
      <c r="Y2252">
        <v>0</v>
      </c>
      <c r="AA2252" s="6"/>
      <c r="AB2252" s="6"/>
    </row>
    <row r="2253" spans="1:28" x14ac:dyDescent="0.2">
      <c r="A2253" t="s">
        <v>382</v>
      </c>
      <c r="B2253">
        <v>2013</v>
      </c>
      <c r="C2253" t="s">
        <v>807</v>
      </c>
      <c r="D2253" t="s">
        <v>825</v>
      </c>
      <c r="E2253" t="s">
        <v>35</v>
      </c>
      <c r="F2253" t="s">
        <v>353</v>
      </c>
      <c r="G2253">
        <v>34.216667000000001</v>
      </c>
      <c r="H2253">
        <v>135.61666700000001</v>
      </c>
      <c r="I2253" t="s">
        <v>761</v>
      </c>
      <c r="J2253" s="2" t="s">
        <v>7</v>
      </c>
      <c r="K2253" t="s">
        <v>351</v>
      </c>
      <c r="L2253" t="s">
        <v>143</v>
      </c>
      <c r="M2253" t="s">
        <v>12</v>
      </c>
      <c r="N2253" t="s">
        <v>85</v>
      </c>
      <c r="O2253" s="6" t="s">
        <v>12</v>
      </c>
      <c r="P2253" t="s">
        <v>70</v>
      </c>
      <c r="Q2253">
        <v>11</v>
      </c>
      <c r="R2253" t="s">
        <v>214</v>
      </c>
      <c r="S2253" s="2" t="s">
        <v>7</v>
      </c>
      <c r="T2253">
        <v>3</v>
      </c>
      <c r="U2253" t="s">
        <v>28</v>
      </c>
      <c r="V2253" t="s">
        <v>28</v>
      </c>
      <c r="W2253">
        <v>15</v>
      </c>
      <c r="X2253">
        <v>100</v>
      </c>
      <c r="Y2253">
        <v>0</v>
      </c>
      <c r="AA2253" s="6"/>
      <c r="AB2253" s="6"/>
    </row>
    <row r="2254" spans="1:28" x14ac:dyDescent="0.2">
      <c r="A2254" t="s">
        <v>382</v>
      </c>
      <c r="B2254">
        <v>2013</v>
      </c>
      <c r="C2254" t="s">
        <v>807</v>
      </c>
      <c r="D2254" t="s">
        <v>825</v>
      </c>
      <c r="E2254" t="s">
        <v>35</v>
      </c>
      <c r="F2254" t="s">
        <v>353</v>
      </c>
      <c r="G2254">
        <v>34.216667000000001</v>
      </c>
      <c r="H2254">
        <v>135.61666700000001</v>
      </c>
      <c r="I2254" t="s">
        <v>761</v>
      </c>
      <c r="J2254" s="2" t="s">
        <v>7</v>
      </c>
      <c r="K2254" t="s">
        <v>351</v>
      </c>
      <c r="L2254" t="s">
        <v>143</v>
      </c>
      <c r="M2254" t="s">
        <v>12</v>
      </c>
      <c r="N2254" t="s">
        <v>85</v>
      </c>
      <c r="O2254" s="6" t="s">
        <v>12</v>
      </c>
      <c r="P2254" t="s">
        <v>70</v>
      </c>
      <c r="Q2254">
        <v>12</v>
      </c>
      <c r="R2254" t="s">
        <v>213</v>
      </c>
      <c r="S2254" s="2" t="s">
        <v>7</v>
      </c>
      <c r="T2254">
        <v>3</v>
      </c>
      <c r="U2254" t="s">
        <v>28</v>
      </c>
      <c r="V2254" t="s">
        <v>28</v>
      </c>
      <c r="W2254">
        <v>15</v>
      </c>
      <c r="X2254">
        <v>100</v>
      </c>
      <c r="Y2254">
        <v>0</v>
      </c>
      <c r="AA2254" s="6"/>
      <c r="AB2254" s="6"/>
    </row>
    <row r="2255" spans="1:28" x14ac:dyDescent="0.2">
      <c r="A2255" t="s">
        <v>382</v>
      </c>
      <c r="B2255">
        <v>2013</v>
      </c>
      <c r="C2255" t="s">
        <v>807</v>
      </c>
      <c r="D2255" t="s">
        <v>825</v>
      </c>
      <c r="E2255" t="s">
        <v>35</v>
      </c>
      <c r="F2255" t="s">
        <v>352</v>
      </c>
      <c r="G2255">
        <v>38.533332999999999</v>
      </c>
      <c r="H2255">
        <v>141.51666700000001</v>
      </c>
      <c r="I2255" t="s">
        <v>761</v>
      </c>
      <c r="J2255" s="2" t="s">
        <v>14</v>
      </c>
      <c r="K2255" t="s">
        <v>351</v>
      </c>
      <c r="L2255" t="s">
        <v>143</v>
      </c>
      <c r="M2255" t="s">
        <v>12</v>
      </c>
      <c r="N2255" t="s">
        <v>85</v>
      </c>
      <c r="O2255" s="6" t="s">
        <v>12</v>
      </c>
      <c r="P2255" t="s">
        <v>70</v>
      </c>
      <c r="Q2255">
        <v>1</v>
      </c>
      <c r="R2255" t="s">
        <v>214</v>
      </c>
      <c r="S2255" s="2" t="s">
        <v>9</v>
      </c>
      <c r="T2255">
        <v>3</v>
      </c>
      <c r="U2255" t="s">
        <v>28</v>
      </c>
      <c r="V2255" t="s">
        <v>28</v>
      </c>
      <c r="W2255">
        <v>20</v>
      </c>
      <c r="X2255">
        <v>100</v>
      </c>
      <c r="Y2255">
        <v>0</v>
      </c>
      <c r="AA2255" s="6"/>
      <c r="AB2255" s="6"/>
    </row>
    <row r="2256" spans="1:28" x14ac:dyDescent="0.2">
      <c r="A2256" t="s">
        <v>382</v>
      </c>
      <c r="B2256">
        <v>2013</v>
      </c>
      <c r="C2256" t="s">
        <v>807</v>
      </c>
      <c r="D2256" t="s">
        <v>825</v>
      </c>
      <c r="E2256" t="s">
        <v>35</v>
      </c>
      <c r="F2256" t="s">
        <v>352</v>
      </c>
      <c r="G2256">
        <v>38.533332999999999</v>
      </c>
      <c r="H2256">
        <v>141.51666700000001</v>
      </c>
      <c r="I2256" t="s">
        <v>761</v>
      </c>
      <c r="J2256" s="2" t="s">
        <v>14</v>
      </c>
      <c r="K2256" t="s">
        <v>351</v>
      </c>
      <c r="L2256" t="s">
        <v>143</v>
      </c>
      <c r="M2256" t="s">
        <v>12</v>
      </c>
      <c r="N2256" t="s">
        <v>85</v>
      </c>
      <c r="O2256" s="6" t="s">
        <v>12</v>
      </c>
      <c r="P2256" t="s">
        <v>70</v>
      </c>
      <c r="Q2256">
        <v>2</v>
      </c>
      <c r="R2256" t="s">
        <v>214</v>
      </c>
      <c r="S2256" s="2" t="s">
        <v>9</v>
      </c>
      <c r="T2256">
        <v>3</v>
      </c>
      <c r="U2256" t="s">
        <v>28</v>
      </c>
      <c r="V2256" t="s">
        <v>28</v>
      </c>
      <c r="W2256">
        <v>20</v>
      </c>
      <c r="X2256">
        <v>100</v>
      </c>
      <c r="Y2256">
        <v>0</v>
      </c>
      <c r="AA2256" s="6"/>
      <c r="AB2256" s="6"/>
    </row>
    <row r="2257" spans="1:28" x14ac:dyDescent="0.2">
      <c r="A2257" t="s">
        <v>382</v>
      </c>
      <c r="B2257">
        <v>2013</v>
      </c>
      <c r="C2257" t="s">
        <v>807</v>
      </c>
      <c r="D2257" t="s">
        <v>825</v>
      </c>
      <c r="E2257" t="s">
        <v>35</v>
      </c>
      <c r="F2257" t="s">
        <v>352</v>
      </c>
      <c r="G2257">
        <v>38.533332999999999</v>
      </c>
      <c r="H2257">
        <v>141.51666700000001</v>
      </c>
      <c r="I2257" t="s">
        <v>761</v>
      </c>
      <c r="J2257" s="2" t="s">
        <v>14</v>
      </c>
      <c r="K2257" t="s">
        <v>351</v>
      </c>
      <c r="L2257" t="s">
        <v>143</v>
      </c>
      <c r="M2257" t="s">
        <v>12</v>
      </c>
      <c r="N2257" t="s">
        <v>85</v>
      </c>
      <c r="O2257" s="6" t="s">
        <v>12</v>
      </c>
      <c r="P2257" t="s">
        <v>70</v>
      </c>
      <c r="Q2257">
        <v>3</v>
      </c>
      <c r="R2257" t="s">
        <v>214</v>
      </c>
      <c r="S2257" s="2" t="s">
        <v>9</v>
      </c>
      <c r="T2257">
        <v>3</v>
      </c>
      <c r="U2257" t="s">
        <v>28</v>
      </c>
      <c r="V2257" t="s">
        <v>28</v>
      </c>
      <c r="W2257">
        <v>20</v>
      </c>
      <c r="X2257">
        <v>100</v>
      </c>
      <c r="Y2257">
        <v>0</v>
      </c>
      <c r="AA2257" s="6"/>
      <c r="AB2257" s="6"/>
    </row>
    <row r="2258" spans="1:28" x14ac:dyDescent="0.2">
      <c r="A2258" t="s">
        <v>382</v>
      </c>
      <c r="B2258">
        <v>2013</v>
      </c>
      <c r="C2258" t="s">
        <v>807</v>
      </c>
      <c r="D2258" t="s">
        <v>825</v>
      </c>
      <c r="E2258" t="s">
        <v>35</v>
      </c>
      <c r="F2258" t="s">
        <v>352</v>
      </c>
      <c r="G2258">
        <v>38.533332999999999</v>
      </c>
      <c r="H2258">
        <v>141.51666700000001</v>
      </c>
      <c r="I2258" t="s">
        <v>761</v>
      </c>
      <c r="J2258" s="2" t="s">
        <v>14</v>
      </c>
      <c r="K2258" t="s">
        <v>351</v>
      </c>
      <c r="L2258" t="s">
        <v>143</v>
      </c>
      <c r="M2258" t="s">
        <v>12</v>
      </c>
      <c r="N2258" t="s">
        <v>85</v>
      </c>
      <c r="O2258" s="6" t="s">
        <v>12</v>
      </c>
      <c r="P2258" t="s">
        <v>70</v>
      </c>
      <c r="Q2258">
        <v>4</v>
      </c>
      <c r="R2258" t="s">
        <v>214</v>
      </c>
      <c r="S2258" s="2" t="s">
        <v>9</v>
      </c>
      <c r="T2258">
        <v>3</v>
      </c>
      <c r="U2258" t="s">
        <v>28</v>
      </c>
      <c r="V2258" t="s">
        <v>28</v>
      </c>
      <c r="W2258">
        <v>20</v>
      </c>
      <c r="X2258">
        <v>100</v>
      </c>
      <c r="Y2258">
        <v>0</v>
      </c>
      <c r="AA2258" s="6"/>
      <c r="AB2258" s="6"/>
    </row>
    <row r="2259" spans="1:28" x14ac:dyDescent="0.2">
      <c r="A2259" t="s">
        <v>382</v>
      </c>
      <c r="B2259">
        <v>2013</v>
      </c>
      <c r="C2259" t="s">
        <v>807</v>
      </c>
      <c r="D2259" t="s">
        <v>825</v>
      </c>
      <c r="E2259" t="s">
        <v>35</v>
      </c>
      <c r="F2259" t="s">
        <v>352</v>
      </c>
      <c r="G2259">
        <v>38.533332999999999</v>
      </c>
      <c r="H2259">
        <v>141.51666700000001</v>
      </c>
      <c r="I2259" t="s">
        <v>761</v>
      </c>
      <c r="J2259" s="2" t="s">
        <v>14</v>
      </c>
      <c r="K2259" t="s">
        <v>351</v>
      </c>
      <c r="L2259" t="s">
        <v>143</v>
      </c>
      <c r="M2259" t="s">
        <v>12</v>
      </c>
      <c r="N2259" t="s">
        <v>85</v>
      </c>
      <c r="O2259" s="6" t="s">
        <v>12</v>
      </c>
      <c r="P2259" t="s">
        <v>70</v>
      </c>
      <c r="Q2259">
        <v>5</v>
      </c>
      <c r="R2259" t="s">
        <v>214</v>
      </c>
      <c r="S2259" s="2" t="s">
        <v>9</v>
      </c>
      <c r="T2259">
        <v>3</v>
      </c>
      <c r="U2259" t="s">
        <v>28</v>
      </c>
      <c r="V2259" t="s">
        <v>28</v>
      </c>
      <c r="W2259">
        <v>20</v>
      </c>
      <c r="X2259">
        <v>100</v>
      </c>
      <c r="Y2259">
        <v>0</v>
      </c>
      <c r="AA2259" s="6"/>
      <c r="AB2259" s="6"/>
    </row>
    <row r="2260" spans="1:28" x14ac:dyDescent="0.2">
      <c r="A2260" t="s">
        <v>382</v>
      </c>
      <c r="B2260">
        <v>2013</v>
      </c>
      <c r="C2260" t="s">
        <v>807</v>
      </c>
      <c r="D2260" t="s">
        <v>825</v>
      </c>
      <c r="E2260" t="s">
        <v>35</v>
      </c>
      <c r="F2260" t="s">
        <v>352</v>
      </c>
      <c r="G2260">
        <v>38.533332999999999</v>
      </c>
      <c r="H2260">
        <v>141.51666700000001</v>
      </c>
      <c r="I2260" t="s">
        <v>761</v>
      </c>
      <c r="J2260" s="2" t="s">
        <v>14</v>
      </c>
      <c r="K2260" t="s">
        <v>351</v>
      </c>
      <c r="L2260" t="s">
        <v>143</v>
      </c>
      <c r="M2260" t="s">
        <v>12</v>
      </c>
      <c r="N2260" t="s">
        <v>85</v>
      </c>
      <c r="O2260" s="6" t="s">
        <v>12</v>
      </c>
      <c r="P2260" t="s">
        <v>70</v>
      </c>
      <c r="Q2260">
        <v>6</v>
      </c>
      <c r="R2260" t="s">
        <v>214</v>
      </c>
      <c r="S2260" s="2" t="s">
        <v>9</v>
      </c>
      <c r="T2260">
        <v>3</v>
      </c>
      <c r="U2260" t="s">
        <v>28</v>
      </c>
      <c r="V2260" t="s">
        <v>28</v>
      </c>
      <c r="W2260">
        <v>20</v>
      </c>
      <c r="X2260">
        <v>100</v>
      </c>
      <c r="Y2260">
        <v>0</v>
      </c>
      <c r="AA2260" s="6"/>
      <c r="AB2260" s="6"/>
    </row>
    <row r="2261" spans="1:28" x14ac:dyDescent="0.2">
      <c r="A2261" t="s">
        <v>382</v>
      </c>
      <c r="B2261">
        <v>2013</v>
      </c>
      <c r="C2261" t="s">
        <v>807</v>
      </c>
      <c r="D2261" t="s">
        <v>825</v>
      </c>
      <c r="E2261" t="s">
        <v>35</v>
      </c>
      <c r="F2261" t="s">
        <v>352</v>
      </c>
      <c r="G2261">
        <v>38.533332999999999</v>
      </c>
      <c r="H2261">
        <v>141.51666700000001</v>
      </c>
      <c r="I2261" t="s">
        <v>761</v>
      </c>
      <c r="J2261" s="2" t="s">
        <v>14</v>
      </c>
      <c r="K2261" t="s">
        <v>351</v>
      </c>
      <c r="L2261" t="s">
        <v>143</v>
      </c>
      <c r="M2261" t="s">
        <v>12</v>
      </c>
      <c r="N2261" t="s">
        <v>85</v>
      </c>
      <c r="O2261" s="6" t="s">
        <v>12</v>
      </c>
      <c r="P2261" t="s">
        <v>70</v>
      </c>
      <c r="Q2261">
        <v>7</v>
      </c>
      <c r="R2261" t="s">
        <v>214</v>
      </c>
      <c r="S2261" s="2" t="s">
        <v>9</v>
      </c>
      <c r="T2261">
        <v>3</v>
      </c>
      <c r="U2261" t="s">
        <v>28</v>
      </c>
      <c r="V2261" t="s">
        <v>28</v>
      </c>
      <c r="W2261">
        <v>20</v>
      </c>
      <c r="X2261">
        <v>100</v>
      </c>
      <c r="Y2261">
        <v>0</v>
      </c>
      <c r="AA2261" s="6"/>
      <c r="AB2261" s="6"/>
    </row>
    <row r="2262" spans="1:28" x14ac:dyDescent="0.2">
      <c r="A2262" t="s">
        <v>382</v>
      </c>
      <c r="B2262">
        <v>2013</v>
      </c>
      <c r="C2262" t="s">
        <v>807</v>
      </c>
      <c r="D2262" t="s">
        <v>825</v>
      </c>
      <c r="E2262" t="s">
        <v>35</v>
      </c>
      <c r="F2262" t="s">
        <v>352</v>
      </c>
      <c r="G2262">
        <v>38.533332999999999</v>
      </c>
      <c r="H2262">
        <v>141.51666700000001</v>
      </c>
      <c r="I2262" t="s">
        <v>761</v>
      </c>
      <c r="J2262" s="2" t="s">
        <v>14</v>
      </c>
      <c r="K2262" t="s">
        <v>351</v>
      </c>
      <c r="L2262" t="s">
        <v>143</v>
      </c>
      <c r="M2262" t="s">
        <v>12</v>
      </c>
      <c r="N2262" t="s">
        <v>85</v>
      </c>
      <c r="O2262" s="6" t="s">
        <v>12</v>
      </c>
      <c r="P2262" t="s">
        <v>70</v>
      </c>
      <c r="Q2262">
        <v>8</v>
      </c>
      <c r="R2262" t="s">
        <v>214</v>
      </c>
      <c r="S2262" s="2" t="s">
        <v>9</v>
      </c>
      <c r="T2262">
        <v>3</v>
      </c>
      <c r="U2262" t="s">
        <v>28</v>
      </c>
      <c r="V2262" t="s">
        <v>28</v>
      </c>
      <c r="W2262">
        <v>20</v>
      </c>
      <c r="X2262">
        <v>100</v>
      </c>
      <c r="Y2262">
        <v>0</v>
      </c>
      <c r="AA2262" s="6"/>
      <c r="AB2262" s="6"/>
    </row>
    <row r="2263" spans="1:28" x14ac:dyDescent="0.2">
      <c r="A2263" t="s">
        <v>382</v>
      </c>
      <c r="B2263">
        <v>2013</v>
      </c>
      <c r="C2263" t="s">
        <v>807</v>
      </c>
      <c r="D2263" t="s">
        <v>825</v>
      </c>
      <c r="E2263" t="s">
        <v>35</v>
      </c>
      <c r="F2263" t="s">
        <v>352</v>
      </c>
      <c r="G2263">
        <v>38.533332999999999</v>
      </c>
      <c r="H2263">
        <v>141.51666700000001</v>
      </c>
      <c r="I2263" t="s">
        <v>761</v>
      </c>
      <c r="J2263" s="2" t="s">
        <v>14</v>
      </c>
      <c r="K2263" t="s">
        <v>351</v>
      </c>
      <c r="L2263" t="s">
        <v>143</v>
      </c>
      <c r="M2263" t="s">
        <v>12</v>
      </c>
      <c r="N2263" t="s">
        <v>85</v>
      </c>
      <c r="O2263" s="6" t="s">
        <v>12</v>
      </c>
      <c r="P2263" t="s">
        <v>70</v>
      </c>
      <c r="Q2263">
        <v>9</v>
      </c>
      <c r="R2263" t="s">
        <v>214</v>
      </c>
      <c r="S2263" s="2" t="s">
        <v>9</v>
      </c>
      <c r="T2263">
        <v>3</v>
      </c>
      <c r="U2263" t="s">
        <v>28</v>
      </c>
      <c r="V2263" t="s">
        <v>28</v>
      </c>
      <c r="W2263">
        <v>20</v>
      </c>
      <c r="X2263">
        <v>100</v>
      </c>
      <c r="Y2263">
        <v>0</v>
      </c>
      <c r="AA2263" s="6"/>
      <c r="AB2263" s="6"/>
    </row>
    <row r="2264" spans="1:28" x14ac:dyDescent="0.2">
      <c r="A2264" t="s">
        <v>382</v>
      </c>
      <c r="B2264">
        <v>2013</v>
      </c>
      <c r="C2264" t="s">
        <v>807</v>
      </c>
      <c r="D2264" t="s">
        <v>825</v>
      </c>
      <c r="E2264" t="s">
        <v>35</v>
      </c>
      <c r="F2264" t="s">
        <v>352</v>
      </c>
      <c r="G2264">
        <v>38.533332999999999</v>
      </c>
      <c r="H2264">
        <v>141.51666700000001</v>
      </c>
      <c r="I2264" t="s">
        <v>761</v>
      </c>
      <c r="J2264" s="2" t="s">
        <v>14</v>
      </c>
      <c r="K2264" t="s">
        <v>351</v>
      </c>
      <c r="L2264" t="s">
        <v>143</v>
      </c>
      <c r="M2264" t="s">
        <v>12</v>
      </c>
      <c r="N2264" t="s">
        <v>85</v>
      </c>
      <c r="O2264" s="6" t="s">
        <v>12</v>
      </c>
      <c r="P2264" t="s">
        <v>70</v>
      </c>
      <c r="Q2264">
        <v>10</v>
      </c>
      <c r="R2264" t="s">
        <v>214</v>
      </c>
      <c r="S2264" s="2" t="s">
        <v>9</v>
      </c>
      <c r="T2264">
        <v>3</v>
      </c>
      <c r="U2264" t="s">
        <v>28</v>
      </c>
      <c r="V2264" t="s">
        <v>28</v>
      </c>
      <c r="W2264">
        <v>20</v>
      </c>
      <c r="X2264">
        <v>100</v>
      </c>
      <c r="Y2264">
        <v>0</v>
      </c>
      <c r="AA2264" s="6"/>
      <c r="AB2264" s="6"/>
    </row>
    <row r="2265" spans="1:28" x14ac:dyDescent="0.2">
      <c r="A2265" t="s">
        <v>382</v>
      </c>
      <c r="B2265">
        <v>2013</v>
      </c>
      <c r="C2265" t="s">
        <v>807</v>
      </c>
      <c r="D2265" t="s">
        <v>825</v>
      </c>
      <c r="E2265" t="s">
        <v>35</v>
      </c>
      <c r="F2265" t="s">
        <v>352</v>
      </c>
      <c r="G2265">
        <v>38.533332999999999</v>
      </c>
      <c r="H2265">
        <v>141.51666700000001</v>
      </c>
      <c r="I2265" t="s">
        <v>761</v>
      </c>
      <c r="J2265" s="2" t="s">
        <v>14</v>
      </c>
      <c r="K2265" t="s">
        <v>351</v>
      </c>
      <c r="L2265" t="s">
        <v>143</v>
      </c>
      <c r="M2265" t="s">
        <v>12</v>
      </c>
      <c r="N2265" t="s">
        <v>85</v>
      </c>
      <c r="O2265" s="6" t="s">
        <v>12</v>
      </c>
      <c r="P2265" t="s">
        <v>70</v>
      </c>
      <c r="Q2265">
        <v>11</v>
      </c>
      <c r="R2265" t="s">
        <v>214</v>
      </c>
      <c r="S2265" s="2" t="s">
        <v>9</v>
      </c>
      <c r="T2265">
        <v>3</v>
      </c>
      <c r="U2265" t="s">
        <v>28</v>
      </c>
      <c r="V2265" t="s">
        <v>28</v>
      </c>
      <c r="W2265">
        <v>20</v>
      </c>
      <c r="X2265">
        <v>100</v>
      </c>
      <c r="Y2265">
        <v>0</v>
      </c>
      <c r="AA2265" s="6"/>
      <c r="AB2265" s="6"/>
    </row>
    <row r="2266" spans="1:28" x14ac:dyDescent="0.2">
      <c r="A2266" t="s">
        <v>382</v>
      </c>
      <c r="B2266">
        <v>2013</v>
      </c>
      <c r="C2266" t="s">
        <v>807</v>
      </c>
      <c r="D2266" t="s">
        <v>825</v>
      </c>
      <c r="E2266" t="s">
        <v>35</v>
      </c>
      <c r="F2266" t="s">
        <v>352</v>
      </c>
      <c r="G2266">
        <v>38.533332999999999</v>
      </c>
      <c r="H2266">
        <v>141.51666700000001</v>
      </c>
      <c r="I2266" t="s">
        <v>761</v>
      </c>
      <c r="J2266" s="2" t="s">
        <v>14</v>
      </c>
      <c r="K2266" t="s">
        <v>351</v>
      </c>
      <c r="L2266" t="s">
        <v>143</v>
      </c>
      <c r="M2266" t="s">
        <v>12</v>
      </c>
      <c r="N2266" t="s">
        <v>85</v>
      </c>
      <c r="O2266" s="6" t="s">
        <v>12</v>
      </c>
      <c r="P2266" t="s">
        <v>70</v>
      </c>
      <c r="Q2266">
        <v>12</v>
      </c>
      <c r="R2266" t="s">
        <v>213</v>
      </c>
      <c r="S2266" s="2" t="s">
        <v>9</v>
      </c>
      <c r="T2266">
        <v>3</v>
      </c>
      <c r="U2266" t="s">
        <v>28</v>
      </c>
      <c r="V2266" t="s">
        <v>28</v>
      </c>
      <c r="W2266">
        <v>20</v>
      </c>
      <c r="X2266">
        <v>100</v>
      </c>
      <c r="Y2266">
        <v>0</v>
      </c>
      <c r="AA2266" s="6"/>
      <c r="AB2266" s="6"/>
    </row>
    <row r="2267" spans="1:28" x14ac:dyDescent="0.2">
      <c r="A2267" t="s">
        <v>382</v>
      </c>
      <c r="B2267">
        <v>2013</v>
      </c>
      <c r="C2267" t="s">
        <v>807</v>
      </c>
      <c r="D2267" t="s">
        <v>825</v>
      </c>
      <c r="E2267" t="s">
        <v>35</v>
      </c>
      <c r="F2267" t="s">
        <v>353</v>
      </c>
      <c r="G2267">
        <v>34.216667000000001</v>
      </c>
      <c r="H2267">
        <v>135.61666700000001</v>
      </c>
      <c r="I2267" t="s">
        <v>761</v>
      </c>
      <c r="J2267" s="2" t="s">
        <v>14</v>
      </c>
      <c r="K2267" t="s">
        <v>351</v>
      </c>
      <c r="L2267" t="s">
        <v>143</v>
      </c>
      <c r="M2267" t="s">
        <v>12</v>
      </c>
      <c r="N2267" t="s">
        <v>85</v>
      </c>
      <c r="O2267" s="6" t="s">
        <v>12</v>
      </c>
      <c r="P2267" t="s">
        <v>70</v>
      </c>
      <c r="Q2267">
        <v>1</v>
      </c>
      <c r="R2267" t="s">
        <v>214</v>
      </c>
      <c r="S2267" s="2" t="s">
        <v>9</v>
      </c>
      <c r="T2267">
        <v>3</v>
      </c>
      <c r="U2267" t="s">
        <v>28</v>
      </c>
      <c r="V2267" t="s">
        <v>28</v>
      </c>
      <c r="W2267">
        <v>20</v>
      </c>
      <c r="X2267">
        <v>100</v>
      </c>
      <c r="Y2267">
        <v>0</v>
      </c>
      <c r="AA2267" s="6"/>
      <c r="AB2267" s="6"/>
    </row>
    <row r="2268" spans="1:28" x14ac:dyDescent="0.2">
      <c r="A2268" t="s">
        <v>382</v>
      </c>
      <c r="B2268">
        <v>2013</v>
      </c>
      <c r="C2268" t="s">
        <v>807</v>
      </c>
      <c r="D2268" t="s">
        <v>825</v>
      </c>
      <c r="E2268" t="s">
        <v>35</v>
      </c>
      <c r="F2268" t="s">
        <v>353</v>
      </c>
      <c r="G2268">
        <v>34.216667000000001</v>
      </c>
      <c r="H2268">
        <v>135.61666700000001</v>
      </c>
      <c r="I2268" t="s">
        <v>761</v>
      </c>
      <c r="J2268" s="2" t="s">
        <v>14</v>
      </c>
      <c r="K2268" t="s">
        <v>351</v>
      </c>
      <c r="L2268" t="s">
        <v>143</v>
      </c>
      <c r="M2268" t="s">
        <v>12</v>
      </c>
      <c r="N2268" t="s">
        <v>85</v>
      </c>
      <c r="O2268" s="6" t="s">
        <v>12</v>
      </c>
      <c r="P2268" t="s">
        <v>70</v>
      </c>
      <c r="Q2268">
        <v>2</v>
      </c>
      <c r="R2268" t="s">
        <v>214</v>
      </c>
      <c r="S2268" s="2" t="s">
        <v>9</v>
      </c>
      <c r="T2268">
        <v>3</v>
      </c>
      <c r="U2268" t="s">
        <v>28</v>
      </c>
      <c r="V2268" t="s">
        <v>28</v>
      </c>
      <c r="W2268">
        <v>20</v>
      </c>
      <c r="X2268">
        <v>100</v>
      </c>
      <c r="Y2268">
        <v>0</v>
      </c>
      <c r="AA2268" s="6"/>
      <c r="AB2268" s="6"/>
    </row>
    <row r="2269" spans="1:28" x14ac:dyDescent="0.2">
      <c r="A2269" t="s">
        <v>382</v>
      </c>
      <c r="B2269">
        <v>2013</v>
      </c>
      <c r="C2269" t="s">
        <v>807</v>
      </c>
      <c r="D2269" t="s">
        <v>825</v>
      </c>
      <c r="E2269" t="s">
        <v>35</v>
      </c>
      <c r="F2269" t="s">
        <v>353</v>
      </c>
      <c r="G2269">
        <v>34.216667000000001</v>
      </c>
      <c r="H2269">
        <v>135.61666700000001</v>
      </c>
      <c r="I2269" t="s">
        <v>761</v>
      </c>
      <c r="J2269" s="2" t="s">
        <v>14</v>
      </c>
      <c r="K2269" t="s">
        <v>351</v>
      </c>
      <c r="L2269" t="s">
        <v>143</v>
      </c>
      <c r="M2269" t="s">
        <v>12</v>
      </c>
      <c r="N2269" t="s">
        <v>85</v>
      </c>
      <c r="O2269" s="6" t="s">
        <v>12</v>
      </c>
      <c r="P2269" t="s">
        <v>70</v>
      </c>
      <c r="Q2269">
        <v>3</v>
      </c>
      <c r="R2269" t="s">
        <v>214</v>
      </c>
      <c r="S2269" s="2" t="s">
        <v>9</v>
      </c>
      <c r="T2269">
        <v>3</v>
      </c>
      <c r="U2269" t="s">
        <v>28</v>
      </c>
      <c r="V2269" t="s">
        <v>28</v>
      </c>
      <c r="W2269">
        <v>20</v>
      </c>
      <c r="X2269">
        <v>100</v>
      </c>
      <c r="Y2269">
        <v>0</v>
      </c>
      <c r="AA2269" s="6"/>
      <c r="AB2269" s="6"/>
    </row>
    <row r="2270" spans="1:28" x14ac:dyDescent="0.2">
      <c r="A2270" t="s">
        <v>382</v>
      </c>
      <c r="B2270">
        <v>2013</v>
      </c>
      <c r="C2270" t="s">
        <v>807</v>
      </c>
      <c r="D2270" t="s">
        <v>825</v>
      </c>
      <c r="E2270" t="s">
        <v>35</v>
      </c>
      <c r="F2270" t="s">
        <v>353</v>
      </c>
      <c r="G2270">
        <v>34.216667000000001</v>
      </c>
      <c r="H2270">
        <v>135.61666700000001</v>
      </c>
      <c r="I2270" t="s">
        <v>761</v>
      </c>
      <c r="J2270" s="2" t="s">
        <v>14</v>
      </c>
      <c r="K2270" t="s">
        <v>351</v>
      </c>
      <c r="L2270" t="s">
        <v>143</v>
      </c>
      <c r="M2270" t="s">
        <v>12</v>
      </c>
      <c r="N2270" t="s">
        <v>85</v>
      </c>
      <c r="O2270" s="6" t="s">
        <v>12</v>
      </c>
      <c r="P2270" t="s">
        <v>70</v>
      </c>
      <c r="Q2270">
        <v>4</v>
      </c>
      <c r="R2270" t="s">
        <v>214</v>
      </c>
      <c r="S2270" s="2" t="s">
        <v>9</v>
      </c>
      <c r="T2270">
        <v>3</v>
      </c>
      <c r="U2270" t="s">
        <v>28</v>
      </c>
      <c r="V2270" t="s">
        <v>28</v>
      </c>
      <c r="W2270">
        <v>20</v>
      </c>
      <c r="X2270">
        <v>100</v>
      </c>
      <c r="Y2270">
        <v>0</v>
      </c>
      <c r="AA2270" s="6"/>
      <c r="AB2270" s="6"/>
    </row>
    <row r="2271" spans="1:28" x14ac:dyDescent="0.2">
      <c r="A2271" t="s">
        <v>382</v>
      </c>
      <c r="B2271">
        <v>2013</v>
      </c>
      <c r="C2271" t="s">
        <v>807</v>
      </c>
      <c r="D2271" t="s">
        <v>825</v>
      </c>
      <c r="E2271" t="s">
        <v>35</v>
      </c>
      <c r="F2271" t="s">
        <v>353</v>
      </c>
      <c r="G2271">
        <v>34.216667000000001</v>
      </c>
      <c r="H2271">
        <v>135.61666700000001</v>
      </c>
      <c r="I2271" t="s">
        <v>761</v>
      </c>
      <c r="J2271" s="2" t="s">
        <v>14</v>
      </c>
      <c r="K2271" t="s">
        <v>351</v>
      </c>
      <c r="L2271" t="s">
        <v>143</v>
      </c>
      <c r="M2271" t="s">
        <v>12</v>
      </c>
      <c r="N2271" t="s">
        <v>85</v>
      </c>
      <c r="O2271" s="6" t="s">
        <v>12</v>
      </c>
      <c r="P2271" t="s">
        <v>70</v>
      </c>
      <c r="Q2271">
        <v>5</v>
      </c>
      <c r="R2271" t="s">
        <v>214</v>
      </c>
      <c r="S2271" s="2" t="s">
        <v>9</v>
      </c>
      <c r="T2271">
        <v>3</v>
      </c>
      <c r="U2271" t="s">
        <v>28</v>
      </c>
      <c r="V2271" t="s">
        <v>28</v>
      </c>
      <c r="W2271">
        <v>20</v>
      </c>
      <c r="X2271">
        <v>100</v>
      </c>
      <c r="Y2271">
        <v>0</v>
      </c>
      <c r="AA2271" s="6"/>
      <c r="AB2271" s="6"/>
    </row>
    <row r="2272" spans="1:28" x14ac:dyDescent="0.2">
      <c r="A2272" t="s">
        <v>382</v>
      </c>
      <c r="B2272">
        <v>2013</v>
      </c>
      <c r="C2272" t="s">
        <v>807</v>
      </c>
      <c r="D2272" t="s">
        <v>825</v>
      </c>
      <c r="E2272" t="s">
        <v>35</v>
      </c>
      <c r="F2272" t="s">
        <v>353</v>
      </c>
      <c r="G2272">
        <v>34.216667000000001</v>
      </c>
      <c r="H2272">
        <v>135.61666700000001</v>
      </c>
      <c r="I2272" t="s">
        <v>761</v>
      </c>
      <c r="J2272" s="2" t="s">
        <v>14</v>
      </c>
      <c r="K2272" t="s">
        <v>351</v>
      </c>
      <c r="L2272" t="s">
        <v>143</v>
      </c>
      <c r="M2272" t="s">
        <v>12</v>
      </c>
      <c r="N2272" t="s">
        <v>85</v>
      </c>
      <c r="O2272" s="6" t="s">
        <v>12</v>
      </c>
      <c r="P2272" t="s">
        <v>70</v>
      </c>
      <c r="Q2272">
        <v>6</v>
      </c>
      <c r="R2272" t="s">
        <v>214</v>
      </c>
      <c r="S2272" s="2" t="s">
        <v>9</v>
      </c>
      <c r="T2272">
        <v>3</v>
      </c>
      <c r="U2272" t="s">
        <v>28</v>
      </c>
      <c r="V2272" t="s">
        <v>28</v>
      </c>
      <c r="W2272">
        <v>20</v>
      </c>
      <c r="X2272">
        <v>100</v>
      </c>
      <c r="Y2272">
        <v>0</v>
      </c>
      <c r="AA2272" s="6"/>
      <c r="AB2272" s="6"/>
    </row>
    <row r="2273" spans="1:28" x14ac:dyDescent="0.2">
      <c r="A2273" t="s">
        <v>382</v>
      </c>
      <c r="B2273">
        <v>2013</v>
      </c>
      <c r="C2273" t="s">
        <v>807</v>
      </c>
      <c r="D2273" t="s">
        <v>825</v>
      </c>
      <c r="E2273" t="s">
        <v>35</v>
      </c>
      <c r="F2273" t="s">
        <v>353</v>
      </c>
      <c r="G2273">
        <v>34.216667000000001</v>
      </c>
      <c r="H2273">
        <v>135.61666700000001</v>
      </c>
      <c r="I2273" t="s">
        <v>761</v>
      </c>
      <c r="J2273" s="2" t="s">
        <v>14</v>
      </c>
      <c r="K2273" t="s">
        <v>351</v>
      </c>
      <c r="L2273" t="s">
        <v>143</v>
      </c>
      <c r="M2273" t="s">
        <v>12</v>
      </c>
      <c r="N2273" t="s">
        <v>85</v>
      </c>
      <c r="O2273" s="6" t="s">
        <v>12</v>
      </c>
      <c r="P2273" t="s">
        <v>70</v>
      </c>
      <c r="Q2273">
        <v>7</v>
      </c>
      <c r="R2273" t="s">
        <v>214</v>
      </c>
      <c r="S2273" s="2" t="s">
        <v>9</v>
      </c>
      <c r="T2273">
        <v>3</v>
      </c>
      <c r="U2273" t="s">
        <v>28</v>
      </c>
      <c r="V2273" t="s">
        <v>28</v>
      </c>
      <c r="W2273">
        <v>20</v>
      </c>
      <c r="X2273">
        <v>100</v>
      </c>
      <c r="Y2273">
        <v>0</v>
      </c>
      <c r="AA2273" s="6"/>
      <c r="AB2273" s="6"/>
    </row>
    <row r="2274" spans="1:28" x14ac:dyDescent="0.2">
      <c r="A2274" t="s">
        <v>382</v>
      </c>
      <c r="B2274">
        <v>2013</v>
      </c>
      <c r="C2274" t="s">
        <v>807</v>
      </c>
      <c r="D2274" t="s">
        <v>825</v>
      </c>
      <c r="E2274" t="s">
        <v>35</v>
      </c>
      <c r="F2274" t="s">
        <v>353</v>
      </c>
      <c r="G2274">
        <v>34.216667000000001</v>
      </c>
      <c r="H2274">
        <v>135.61666700000001</v>
      </c>
      <c r="I2274" t="s">
        <v>761</v>
      </c>
      <c r="J2274" s="2" t="s">
        <v>14</v>
      </c>
      <c r="K2274" t="s">
        <v>351</v>
      </c>
      <c r="L2274" t="s">
        <v>143</v>
      </c>
      <c r="M2274" t="s">
        <v>12</v>
      </c>
      <c r="N2274" t="s">
        <v>85</v>
      </c>
      <c r="O2274" s="6" t="s">
        <v>12</v>
      </c>
      <c r="P2274" t="s">
        <v>70</v>
      </c>
      <c r="Q2274">
        <v>8</v>
      </c>
      <c r="R2274" t="s">
        <v>214</v>
      </c>
      <c r="S2274" s="2" t="s">
        <v>9</v>
      </c>
      <c r="T2274">
        <v>3</v>
      </c>
      <c r="U2274" t="s">
        <v>28</v>
      </c>
      <c r="V2274" t="s">
        <v>28</v>
      </c>
      <c r="W2274">
        <v>20</v>
      </c>
      <c r="X2274">
        <v>100</v>
      </c>
      <c r="Y2274">
        <v>0</v>
      </c>
      <c r="AA2274" s="6"/>
      <c r="AB2274" s="6"/>
    </row>
    <row r="2275" spans="1:28" x14ac:dyDescent="0.2">
      <c r="A2275" t="s">
        <v>382</v>
      </c>
      <c r="B2275">
        <v>2013</v>
      </c>
      <c r="C2275" t="s">
        <v>807</v>
      </c>
      <c r="D2275" t="s">
        <v>825</v>
      </c>
      <c r="E2275" t="s">
        <v>35</v>
      </c>
      <c r="F2275" t="s">
        <v>353</v>
      </c>
      <c r="G2275">
        <v>34.216667000000001</v>
      </c>
      <c r="H2275">
        <v>135.61666700000001</v>
      </c>
      <c r="I2275" t="s">
        <v>761</v>
      </c>
      <c r="J2275" s="2" t="s">
        <v>14</v>
      </c>
      <c r="K2275" t="s">
        <v>351</v>
      </c>
      <c r="L2275" t="s">
        <v>143</v>
      </c>
      <c r="M2275" t="s">
        <v>12</v>
      </c>
      <c r="N2275" t="s">
        <v>85</v>
      </c>
      <c r="O2275" s="6" t="s">
        <v>12</v>
      </c>
      <c r="P2275" t="s">
        <v>70</v>
      </c>
      <c r="Q2275">
        <v>9</v>
      </c>
      <c r="R2275" t="s">
        <v>214</v>
      </c>
      <c r="S2275" s="2" t="s">
        <v>9</v>
      </c>
      <c r="T2275">
        <v>3</v>
      </c>
      <c r="U2275" t="s">
        <v>28</v>
      </c>
      <c r="V2275" t="s">
        <v>28</v>
      </c>
      <c r="W2275">
        <v>20</v>
      </c>
      <c r="X2275">
        <v>100</v>
      </c>
      <c r="Y2275">
        <v>0</v>
      </c>
      <c r="AA2275" s="6"/>
      <c r="AB2275" s="6"/>
    </row>
    <row r="2276" spans="1:28" x14ac:dyDescent="0.2">
      <c r="A2276" t="s">
        <v>382</v>
      </c>
      <c r="B2276">
        <v>2013</v>
      </c>
      <c r="C2276" t="s">
        <v>807</v>
      </c>
      <c r="D2276" t="s">
        <v>825</v>
      </c>
      <c r="E2276" t="s">
        <v>35</v>
      </c>
      <c r="F2276" t="s">
        <v>353</v>
      </c>
      <c r="G2276">
        <v>34.216667000000001</v>
      </c>
      <c r="H2276">
        <v>135.61666700000001</v>
      </c>
      <c r="I2276" t="s">
        <v>761</v>
      </c>
      <c r="J2276" s="2" t="s">
        <v>14</v>
      </c>
      <c r="K2276" t="s">
        <v>351</v>
      </c>
      <c r="L2276" t="s">
        <v>143</v>
      </c>
      <c r="M2276" t="s">
        <v>12</v>
      </c>
      <c r="N2276" t="s">
        <v>85</v>
      </c>
      <c r="O2276" s="6" t="s">
        <v>12</v>
      </c>
      <c r="P2276" t="s">
        <v>70</v>
      </c>
      <c r="Q2276">
        <v>10</v>
      </c>
      <c r="R2276" t="s">
        <v>214</v>
      </c>
      <c r="S2276" s="2" t="s">
        <v>9</v>
      </c>
      <c r="T2276">
        <v>3</v>
      </c>
      <c r="U2276" t="s">
        <v>28</v>
      </c>
      <c r="V2276" t="s">
        <v>28</v>
      </c>
      <c r="W2276">
        <v>20</v>
      </c>
      <c r="X2276">
        <v>100</v>
      </c>
      <c r="Y2276">
        <v>0</v>
      </c>
      <c r="AA2276" s="6"/>
      <c r="AB2276" s="6"/>
    </row>
    <row r="2277" spans="1:28" x14ac:dyDescent="0.2">
      <c r="A2277" t="s">
        <v>382</v>
      </c>
      <c r="B2277">
        <v>2013</v>
      </c>
      <c r="C2277" t="s">
        <v>807</v>
      </c>
      <c r="D2277" t="s">
        <v>825</v>
      </c>
      <c r="E2277" t="s">
        <v>35</v>
      </c>
      <c r="F2277" t="s">
        <v>353</v>
      </c>
      <c r="G2277">
        <v>34.216667000000001</v>
      </c>
      <c r="H2277">
        <v>135.61666700000001</v>
      </c>
      <c r="I2277" t="s">
        <v>761</v>
      </c>
      <c r="J2277" s="2" t="s">
        <v>14</v>
      </c>
      <c r="K2277" t="s">
        <v>351</v>
      </c>
      <c r="L2277" t="s">
        <v>143</v>
      </c>
      <c r="M2277" t="s">
        <v>12</v>
      </c>
      <c r="N2277" t="s">
        <v>85</v>
      </c>
      <c r="O2277" s="6" t="s">
        <v>12</v>
      </c>
      <c r="P2277" t="s">
        <v>70</v>
      </c>
      <c r="Q2277">
        <v>11</v>
      </c>
      <c r="R2277" t="s">
        <v>214</v>
      </c>
      <c r="S2277" s="2" t="s">
        <v>9</v>
      </c>
      <c r="T2277">
        <v>3</v>
      </c>
      <c r="U2277" t="s">
        <v>28</v>
      </c>
      <c r="V2277" t="s">
        <v>28</v>
      </c>
      <c r="W2277">
        <v>20</v>
      </c>
      <c r="X2277">
        <v>100</v>
      </c>
      <c r="Y2277">
        <v>0</v>
      </c>
      <c r="AA2277" s="6"/>
      <c r="AB2277" s="6"/>
    </row>
    <row r="2278" spans="1:28" x14ac:dyDescent="0.2">
      <c r="A2278" t="s">
        <v>382</v>
      </c>
      <c r="B2278">
        <v>2013</v>
      </c>
      <c r="C2278" t="s">
        <v>807</v>
      </c>
      <c r="D2278" t="s">
        <v>825</v>
      </c>
      <c r="E2278" t="s">
        <v>35</v>
      </c>
      <c r="F2278" t="s">
        <v>353</v>
      </c>
      <c r="G2278">
        <v>34.216667000000001</v>
      </c>
      <c r="H2278">
        <v>135.61666700000001</v>
      </c>
      <c r="I2278" t="s">
        <v>761</v>
      </c>
      <c r="J2278" s="2" t="s">
        <v>14</v>
      </c>
      <c r="K2278" t="s">
        <v>351</v>
      </c>
      <c r="L2278" t="s">
        <v>143</v>
      </c>
      <c r="M2278" t="s">
        <v>12</v>
      </c>
      <c r="N2278" t="s">
        <v>85</v>
      </c>
      <c r="O2278" s="6" t="s">
        <v>12</v>
      </c>
      <c r="P2278" t="s">
        <v>70</v>
      </c>
      <c r="Q2278">
        <v>12</v>
      </c>
      <c r="R2278" t="s">
        <v>213</v>
      </c>
      <c r="S2278" s="2" t="s">
        <v>9</v>
      </c>
      <c r="T2278">
        <v>3</v>
      </c>
      <c r="U2278" t="s">
        <v>28</v>
      </c>
      <c r="V2278" t="s">
        <v>28</v>
      </c>
      <c r="W2278">
        <v>20</v>
      </c>
      <c r="X2278">
        <v>100</v>
      </c>
      <c r="Y2278">
        <v>0</v>
      </c>
      <c r="AA2278" s="6"/>
      <c r="AB2278" s="6"/>
    </row>
    <row r="2279" spans="1:28" x14ac:dyDescent="0.2">
      <c r="A2279" t="s">
        <v>382</v>
      </c>
      <c r="B2279">
        <v>2013</v>
      </c>
      <c r="C2279" t="s">
        <v>807</v>
      </c>
      <c r="D2279" t="s">
        <v>825</v>
      </c>
      <c r="E2279" t="s">
        <v>35</v>
      </c>
      <c r="F2279" t="s">
        <v>352</v>
      </c>
      <c r="G2279">
        <v>38.533332999999999</v>
      </c>
      <c r="H2279">
        <v>141.51666700000001</v>
      </c>
      <c r="I2279" t="s">
        <v>761</v>
      </c>
      <c r="J2279" s="2" t="s">
        <v>14</v>
      </c>
      <c r="K2279" t="s">
        <v>351</v>
      </c>
      <c r="L2279" t="s">
        <v>143</v>
      </c>
      <c r="M2279" t="s">
        <v>12</v>
      </c>
      <c r="N2279" t="s">
        <v>85</v>
      </c>
      <c r="O2279" s="6" t="s">
        <v>12</v>
      </c>
      <c r="P2279" t="s">
        <v>70</v>
      </c>
      <c r="Q2279">
        <v>1</v>
      </c>
      <c r="R2279" t="s">
        <v>214</v>
      </c>
      <c r="S2279" s="2" t="s">
        <v>27</v>
      </c>
      <c r="T2279">
        <v>3</v>
      </c>
      <c r="U2279" t="s">
        <v>28</v>
      </c>
      <c r="V2279" t="s">
        <v>28</v>
      </c>
      <c r="W2279">
        <v>24</v>
      </c>
      <c r="X2279">
        <v>100</v>
      </c>
      <c r="Y2279">
        <v>0</v>
      </c>
      <c r="AA2279" s="6"/>
      <c r="AB2279" s="6"/>
    </row>
    <row r="2280" spans="1:28" x14ac:dyDescent="0.2">
      <c r="A2280" t="s">
        <v>382</v>
      </c>
      <c r="B2280">
        <v>2013</v>
      </c>
      <c r="C2280" t="s">
        <v>807</v>
      </c>
      <c r="D2280" t="s">
        <v>825</v>
      </c>
      <c r="E2280" t="s">
        <v>35</v>
      </c>
      <c r="F2280" t="s">
        <v>352</v>
      </c>
      <c r="G2280">
        <v>38.533332999999999</v>
      </c>
      <c r="H2280">
        <v>141.51666700000001</v>
      </c>
      <c r="I2280" t="s">
        <v>761</v>
      </c>
      <c r="J2280" s="2" t="s">
        <v>14</v>
      </c>
      <c r="K2280" t="s">
        <v>351</v>
      </c>
      <c r="L2280" t="s">
        <v>143</v>
      </c>
      <c r="M2280" t="s">
        <v>12</v>
      </c>
      <c r="N2280" t="s">
        <v>85</v>
      </c>
      <c r="O2280" s="6" t="s">
        <v>12</v>
      </c>
      <c r="P2280" t="s">
        <v>70</v>
      </c>
      <c r="Q2280">
        <v>2</v>
      </c>
      <c r="R2280" t="s">
        <v>214</v>
      </c>
      <c r="S2280" s="2" t="s">
        <v>27</v>
      </c>
      <c r="T2280">
        <v>3</v>
      </c>
      <c r="U2280" t="s">
        <v>28</v>
      </c>
      <c r="V2280" t="s">
        <v>28</v>
      </c>
      <c r="W2280">
        <v>24</v>
      </c>
      <c r="X2280">
        <v>100</v>
      </c>
      <c r="Y2280">
        <v>0</v>
      </c>
      <c r="AA2280" s="6"/>
      <c r="AB2280" s="6"/>
    </row>
    <row r="2281" spans="1:28" x14ac:dyDescent="0.2">
      <c r="A2281" t="s">
        <v>382</v>
      </c>
      <c r="B2281">
        <v>2013</v>
      </c>
      <c r="C2281" t="s">
        <v>807</v>
      </c>
      <c r="D2281" t="s">
        <v>825</v>
      </c>
      <c r="E2281" t="s">
        <v>35</v>
      </c>
      <c r="F2281" t="s">
        <v>352</v>
      </c>
      <c r="G2281">
        <v>38.533332999999999</v>
      </c>
      <c r="H2281">
        <v>141.51666700000001</v>
      </c>
      <c r="I2281" t="s">
        <v>761</v>
      </c>
      <c r="J2281" s="2" t="s">
        <v>14</v>
      </c>
      <c r="K2281" t="s">
        <v>351</v>
      </c>
      <c r="L2281" t="s">
        <v>143</v>
      </c>
      <c r="M2281" t="s">
        <v>12</v>
      </c>
      <c r="N2281" t="s">
        <v>85</v>
      </c>
      <c r="O2281" s="6" t="s">
        <v>12</v>
      </c>
      <c r="P2281" t="s">
        <v>70</v>
      </c>
      <c r="Q2281">
        <v>3</v>
      </c>
      <c r="R2281" t="s">
        <v>214</v>
      </c>
      <c r="S2281" s="2" t="s">
        <v>27</v>
      </c>
      <c r="T2281">
        <v>3</v>
      </c>
      <c r="U2281" t="s">
        <v>28</v>
      </c>
      <c r="V2281" t="s">
        <v>28</v>
      </c>
      <c r="W2281">
        <v>24</v>
      </c>
      <c r="X2281">
        <v>100</v>
      </c>
      <c r="Y2281">
        <v>0</v>
      </c>
      <c r="AA2281" s="6"/>
      <c r="AB2281" s="6"/>
    </row>
    <row r="2282" spans="1:28" x14ac:dyDescent="0.2">
      <c r="A2282" t="s">
        <v>382</v>
      </c>
      <c r="B2282">
        <v>2013</v>
      </c>
      <c r="C2282" t="s">
        <v>807</v>
      </c>
      <c r="D2282" t="s">
        <v>825</v>
      </c>
      <c r="E2282" t="s">
        <v>35</v>
      </c>
      <c r="F2282" t="s">
        <v>352</v>
      </c>
      <c r="G2282">
        <v>38.533332999999999</v>
      </c>
      <c r="H2282">
        <v>141.51666700000001</v>
      </c>
      <c r="I2282" t="s">
        <v>761</v>
      </c>
      <c r="J2282" s="2" t="s">
        <v>14</v>
      </c>
      <c r="K2282" t="s">
        <v>351</v>
      </c>
      <c r="L2282" t="s">
        <v>143</v>
      </c>
      <c r="M2282" t="s">
        <v>12</v>
      </c>
      <c r="N2282" t="s">
        <v>85</v>
      </c>
      <c r="O2282" s="6" t="s">
        <v>12</v>
      </c>
      <c r="P2282" t="s">
        <v>70</v>
      </c>
      <c r="Q2282">
        <v>4</v>
      </c>
      <c r="R2282" t="s">
        <v>214</v>
      </c>
      <c r="S2282" s="2" t="s">
        <v>27</v>
      </c>
      <c r="T2282">
        <v>3</v>
      </c>
      <c r="U2282" t="s">
        <v>28</v>
      </c>
      <c r="V2282" t="s">
        <v>28</v>
      </c>
      <c r="W2282">
        <v>24</v>
      </c>
      <c r="X2282">
        <v>100</v>
      </c>
      <c r="Y2282">
        <v>0</v>
      </c>
      <c r="AA2282" s="6"/>
      <c r="AB2282" s="6"/>
    </row>
    <row r="2283" spans="1:28" x14ac:dyDescent="0.2">
      <c r="A2283" t="s">
        <v>382</v>
      </c>
      <c r="B2283">
        <v>2013</v>
      </c>
      <c r="C2283" t="s">
        <v>807</v>
      </c>
      <c r="D2283" t="s">
        <v>825</v>
      </c>
      <c r="E2283" t="s">
        <v>35</v>
      </c>
      <c r="F2283" t="s">
        <v>352</v>
      </c>
      <c r="G2283">
        <v>38.533332999999999</v>
      </c>
      <c r="H2283">
        <v>141.51666700000001</v>
      </c>
      <c r="I2283" t="s">
        <v>761</v>
      </c>
      <c r="J2283" s="2" t="s">
        <v>14</v>
      </c>
      <c r="K2283" t="s">
        <v>351</v>
      </c>
      <c r="L2283" t="s">
        <v>143</v>
      </c>
      <c r="M2283" t="s">
        <v>12</v>
      </c>
      <c r="N2283" t="s">
        <v>85</v>
      </c>
      <c r="O2283" s="6" t="s">
        <v>12</v>
      </c>
      <c r="P2283" t="s">
        <v>70</v>
      </c>
      <c r="Q2283">
        <v>5</v>
      </c>
      <c r="R2283" t="s">
        <v>214</v>
      </c>
      <c r="S2283" s="2" t="s">
        <v>27</v>
      </c>
      <c r="T2283">
        <v>3</v>
      </c>
      <c r="U2283" t="s">
        <v>28</v>
      </c>
      <c r="V2283" t="s">
        <v>28</v>
      </c>
      <c r="W2283">
        <v>24</v>
      </c>
      <c r="X2283">
        <v>100</v>
      </c>
      <c r="Y2283">
        <v>0</v>
      </c>
      <c r="AA2283" s="6"/>
      <c r="AB2283" s="6"/>
    </row>
    <row r="2284" spans="1:28" x14ac:dyDescent="0.2">
      <c r="A2284" t="s">
        <v>382</v>
      </c>
      <c r="B2284">
        <v>2013</v>
      </c>
      <c r="C2284" t="s">
        <v>807</v>
      </c>
      <c r="D2284" t="s">
        <v>825</v>
      </c>
      <c r="E2284" t="s">
        <v>35</v>
      </c>
      <c r="F2284" t="s">
        <v>352</v>
      </c>
      <c r="G2284">
        <v>38.533332999999999</v>
      </c>
      <c r="H2284">
        <v>141.51666700000001</v>
      </c>
      <c r="I2284" t="s">
        <v>761</v>
      </c>
      <c r="J2284" s="2" t="s">
        <v>14</v>
      </c>
      <c r="K2284" t="s">
        <v>351</v>
      </c>
      <c r="L2284" t="s">
        <v>143</v>
      </c>
      <c r="M2284" t="s">
        <v>12</v>
      </c>
      <c r="N2284" t="s">
        <v>85</v>
      </c>
      <c r="O2284" s="6" t="s">
        <v>12</v>
      </c>
      <c r="P2284" t="s">
        <v>70</v>
      </c>
      <c r="Q2284">
        <v>6</v>
      </c>
      <c r="R2284" t="s">
        <v>214</v>
      </c>
      <c r="S2284" s="2" t="s">
        <v>27</v>
      </c>
      <c r="T2284">
        <v>3</v>
      </c>
      <c r="U2284" t="s">
        <v>28</v>
      </c>
      <c r="V2284" t="s">
        <v>28</v>
      </c>
      <c r="W2284">
        <v>24</v>
      </c>
      <c r="X2284">
        <v>100</v>
      </c>
      <c r="Y2284">
        <v>0</v>
      </c>
      <c r="AA2284" s="6"/>
      <c r="AB2284" s="6"/>
    </row>
    <row r="2285" spans="1:28" x14ac:dyDescent="0.2">
      <c r="A2285" t="s">
        <v>382</v>
      </c>
      <c r="B2285">
        <v>2013</v>
      </c>
      <c r="C2285" t="s">
        <v>807</v>
      </c>
      <c r="D2285" t="s">
        <v>825</v>
      </c>
      <c r="E2285" t="s">
        <v>35</v>
      </c>
      <c r="F2285" t="s">
        <v>352</v>
      </c>
      <c r="G2285">
        <v>38.533332999999999</v>
      </c>
      <c r="H2285">
        <v>141.51666700000001</v>
      </c>
      <c r="I2285" t="s">
        <v>761</v>
      </c>
      <c r="J2285" s="2" t="s">
        <v>14</v>
      </c>
      <c r="K2285" t="s">
        <v>351</v>
      </c>
      <c r="L2285" t="s">
        <v>143</v>
      </c>
      <c r="M2285" t="s">
        <v>12</v>
      </c>
      <c r="N2285" t="s">
        <v>85</v>
      </c>
      <c r="O2285" s="6" t="s">
        <v>12</v>
      </c>
      <c r="P2285" t="s">
        <v>70</v>
      </c>
      <c r="Q2285">
        <v>7</v>
      </c>
      <c r="R2285" t="s">
        <v>214</v>
      </c>
      <c r="S2285" s="2" t="s">
        <v>27</v>
      </c>
      <c r="T2285">
        <v>3</v>
      </c>
      <c r="U2285" t="s">
        <v>28</v>
      </c>
      <c r="V2285" t="s">
        <v>28</v>
      </c>
      <c r="W2285">
        <v>24</v>
      </c>
      <c r="X2285">
        <v>100</v>
      </c>
      <c r="Y2285">
        <v>0</v>
      </c>
      <c r="AA2285" s="6"/>
      <c r="AB2285" s="6"/>
    </row>
    <row r="2286" spans="1:28" x14ac:dyDescent="0.2">
      <c r="A2286" t="s">
        <v>382</v>
      </c>
      <c r="B2286">
        <v>2013</v>
      </c>
      <c r="C2286" t="s">
        <v>807</v>
      </c>
      <c r="D2286" t="s">
        <v>825</v>
      </c>
      <c r="E2286" t="s">
        <v>35</v>
      </c>
      <c r="F2286" t="s">
        <v>352</v>
      </c>
      <c r="G2286">
        <v>38.533332999999999</v>
      </c>
      <c r="H2286">
        <v>141.51666700000001</v>
      </c>
      <c r="I2286" t="s">
        <v>761</v>
      </c>
      <c r="J2286" s="2" t="s">
        <v>14</v>
      </c>
      <c r="K2286" t="s">
        <v>351</v>
      </c>
      <c r="L2286" t="s">
        <v>143</v>
      </c>
      <c r="M2286" t="s">
        <v>12</v>
      </c>
      <c r="N2286" t="s">
        <v>85</v>
      </c>
      <c r="O2286" s="6" t="s">
        <v>12</v>
      </c>
      <c r="P2286" t="s">
        <v>70</v>
      </c>
      <c r="Q2286">
        <v>8</v>
      </c>
      <c r="R2286" t="s">
        <v>214</v>
      </c>
      <c r="S2286" s="2" t="s">
        <v>27</v>
      </c>
      <c r="T2286">
        <v>3</v>
      </c>
      <c r="U2286" t="s">
        <v>28</v>
      </c>
      <c r="V2286" t="s">
        <v>28</v>
      </c>
      <c r="W2286">
        <v>24</v>
      </c>
      <c r="X2286">
        <v>100</v>
      </c>
      <c r="Y2286">
        <v>0</v>
      </c>
      <c r="AA2286" s="6"/>
      <c r="AB2286" s="6"/>
    </row>
    <row r="2287" spans="1:28" x14ac:dyDescent="0.2">
      <c r="A2287" t="s">
        <v>382</v>
      </c>
      <c r="B2287">
        <v>2013</v>
      </c>
      <c r="C2287" t="s">
        <v>807</v>
      </c>
      <c r="D2287" t="s">
        <v>825</v>
      </c>
      <c r="E2287" t="s">
        <v>35</v>
      </c>
      <c r="F2287" t="s">
        <v>352</v>
      </c>
      <c r="G2287">
        <v>38.533332999999999</v>
      </c>
      <c r="H2287">
        <v>141.51666700000001</v>
      </c>
      <c r="I2287" t="s">
        <v>761</v>
      </c>
      <c r="J2287" s="2" t="s">
        <v>14</v>
      </c>
      <c r="K2287" t="s">
        <v>351</v>
      </c>
      <c r="L2287" t="s">
        <v>143</v>
      </c>
      <c r="M2287" t="s">
        <v>12</v>
      </c>
      <c r="N2287" t="s">
        <v>85</v>
      </c>
      <c r="O2287" s="6" t="s">
        <v>12</v>
      </c>
      <c r="P2287" t="s">
        <v>70</v>
      </c>
      <c r="Q2287">
        <v>9</v>
      </c>
      <c r="R2287" t="s">
        <v>214</v>
      </c>
      <c r="S2287" s="2" t="s">
        <v>27</v>
      </c>
      <c r="T2287">
        <v>3</v>
      </c>
      <c r="U2287" t="s">
        <v>28</v>
      </c>
      <c r="V2287" t="s">
        <v>28</v>
      </c>
      <c r="W2287">
        <v>24</v>
      </c>
      <c r="X2287">
        <v>100</v>
      </c>
      <c r="Y2287">
        <v>0</v>
      </c>
      <c r="AA2287" s="6"/>
      <c r="AB2287" s="6"/>
    </row>
    <row r="2288" spans="1:28" x14ac:dyDescent="0.2">
      <c r="A2288" t="s">
        <v>382</v>
      </c>
      <c r="B2288">
        <v>2013</v>
      </c>
      <c r="C2288" t="s">
        <v>807</v>
      </c>
      <c r="D2288" t="s">
        <v>825</v>
      </c>
      <c r="E2288" t="s">
        <v>35</v>
      </c>
      <c r="F2288" t="s">
        <v>352</v>
      </c>
      <c r="G2288">
        <v>38.533332999999999</v>
      </c>
      <c r="H2288">
        <v>141.51666700000001</v>
      </c>
      <c r="I2288" t="s">
        <v>761</v>
      </c>
      <c r="J2288" s="2" t="s">
        <v>14</v>
      </c>
      <c r="K2288" t="s">
        <v>351</v>
      </c>
      <c r="L2288" t="s">
        <v>143</v>
      </c>
      <c r="M2288" t="s">
        <v>12</v>
      </c>
      <c r="N2288" t="s">
        <v>85</v>
      </c>
      <c r="O2288" s="6" t="s">
        <v>12</v>
      </c>
      <c r="P2288" t="s">
        <v>70</v>
      </c>
      <c r="Q2288">
        <v>10</v>
      </c>
      <c r="R2288" t="s">
        <v>214</v>
      </c>
      <c r="S2288" s="2" t="s">
        <v>27</v>
      </c>
      <c r="T2288">
        <v>3</v>
      </c>
      <c r="U2288" t="s">
        <v>28</v>
      </c>
      <c r="V2288" t="s">
        <v>28</v>
      </c>
      <c r="W2288">
        <v>24</v>
      </c>
      <c r="X2288">
        <v>100</v>
      </c>
      <c r="Y2288">
        <v>0</v>
      </c>
      <c r="AA2288" s="6"/>
      <c r="AB2288" s="6"/>
    </row>
    <row r="2289" spans="1:28" x14ac:dyDescent="0.2">
      <c r="A2289" t="s">
        <v>382</v>
      </c>
      <c r="B2289">
        <v>2013</v>
      </c>
      <c r="C2289" t="s">
        <v>807</v>
      </c>
      <c r="D2289" t="s">
        <v>825</v>
      </c>
      <c r="E2289" t="s">
        <v>35</v>
      </c>
      <c r="F2289" t="s">
        <v>352</v>
      </c>
      <c r="G2289">
        <v>38.533332999999999</v>
      </c>
      <c r="H2289">
        <v>141.51666700000001</v>
      </c>
      <c r="I2289" t="s">
        <v>761</v>
      </c>
      <c r="J2289" s="2" t="s">
        <v>14</v>
      </c>
      <c r="K2289" t="s">
        <v>351</v>
      </c>
      <c r="L2289" t="s">
        <v>143</v>
      </c>
      <c r="M2289" t="s">
        <v>12</v>
      </c>
      <c r="N2289" t="s">
        <v>85</v>
      </c>
      <c r="O2289" s="6" t="s">
        <v>12</v>
      </c>
      <c r="P2289" t="s">
        <v>70</v>
      </c>
      <c r="Q2289">
        <v>11</v>
      </c>
      <c r="R2289" t="s">
        <v>214</v>
      </c>
      <c r="S2289" s="2" t="s">
        <v>27</v>
      </c>
      <c r="T2289">
        <v>3</v>
      </c>
      <c r="U2289" t="s">
        <v>28</v>
      </c>
      <c r="V2289" t="s">
        <v>28</v>
      </c>
      <c r="W2289">
        <v>24</v>
      </c>
      <c r="X2289">
        <v>100</v>
      </c>
      <c r="Y2289">
        <v>0</v>
      </c>
      <c r="AA2289" s="6"/>
      <c r="AB2289" s="6"/>
    </row>
    <row r="2290" spans="1:28" x14ac:dyDescent="0.2">
      <c r="A2290" t="s">
        <v>382</v>
      </c>
      <c r="B2290">
        <v>2013</v>
      </c>
      <c r="C2290" t="s">
        <v>807</v>
      </c>
      <c r="D2290" t="s">
        <v>825</v>
      </c>
      <c r="E2290" t="s">
        <v>35</v>
      </c>
      <c r="F2290" t="s">
        <v>352</v>
      </c>
      <c r="G2290">
        <v>38.533332999999999</v>
      </c>
      <c r="H2290">
        <v>141.51666700000001</v>
      </c>
      <c r="I2290" t="s">
        <v>761</v>
      </c>
      <c r="J2290" s="2" t="s">
        <v>14</v>
      </c>
      <c r="K2290" t="s">
        <v>351</v>
      </c>
      <c r="L2290" t="s">
        <v>143</v>
      </c>
      <c r="M2290" t="s">
        <v>12</v>
      </c>
      <c r="N2290" t="s">
        <v>85</v>
      </c>
      <c r="O2290" s="6" t="s">
        <v>12</v>
      </c>
      <c r="P2290" t="s">
        <v>70</v>
      </c>
      <c r="Q2290">
        <v>12</v>
      </c>
      <c r="R2290" t="s">
        <v>213</v>
      </c>
      <c r="S2290" s="2" t="s">
        <v>27</v>
      </c>
      <c r="T2290">
        <v>3</v>
      </c>
      <c r="U2290" t="s">
        <v>28</v>
      </c>
      <c r="V2290" t="s">
        <v>28</v>
      </c>
      <c r="W2290">
        <v>24</v>
      </c>
      <c r="X2290">
        <v>100</v>
      </c>
      <c r="Y2290">
        <v>0</v>
      </c>
      <c r="AA2290" s="6"/>
      <c r="AB2290" s="6"/>
    </row>
    <row r="2291" spans="1:28" x14ac:dyDescent="0.2">
      <c r="A2291" t="s">
        <v>382</v>
      </c>
      <c r="B2291">
        <v>2013</v>
      </c>
      <c r="C2291" t="s">
        <v>807</v>
      </c>
      <c r="D2291" t="s">
        <v>825</v>
      </c>
      <c r="E2291" t="s">
        <v>35</v>
      </c>
      <c r="F2291" t="s">
        <v>353</v>
      </c>
      <c r="G2291">
        <v>34.216667000000001</v>
      </c>
      <c r="H2291">
        <v>135.61666700000001</v>
      </c>
      <c r="I2291" t="s">
        <v>761</v>
      </c>
      <c r="J2291" s="2" t="s">
        <v>14</v>
      </c>
      <c r="K2291" t="s">
        <v>351</v>
      </c>
      <c r="L2291" t="s">
        <v>143</v>
      </c>
      <c r="M2291" t="s">
        <v>12</v>
      </c>
      <c r="N2291" t="s">
        <v>85</v>
      </c>
      <c r="O2291" s="6" t="s">
        <v>12</v>
      </c>
      <c r="P2291" t="s">
        <v>70</v>
      </c>
      <c r="Q2291">
        <v>1</v>
      </c>
      <c r="R2291" t="s">
        <v>214</v>
      </c>
      <c r="S2291" s="2" t="s">
        <v>27</v>
      </c>
      <c r="T2291">
        <v>3</v>
      </c>
      <c r="U2291" t="s">
        <v>28</v>
      </c>
      <c r="V2291" t="s">
        <v>28</v>
      </c>
      <c r="W2291">
        <v>24</v>
      </c>
      <c r="X2291">
        <v>100</v>
      </c>
      <c r="Y2291">
        <v>0</v>
      </c>
      <c r="AA2291" s="6"/>
      <c r="AB2291" s="6"/>
    </row>
    <row r="2292" spans="1:28" x14ac:dyDescent="0.2">
      <c r="A2292" t="s">
        <v>382</v>
      </c>
      <c r="B2292">
        <v>2013</v>
      </c>
      <c r="C2292" t="s">
        <v>807</v>
      </c>
      <c r="D2292" t="s">
        <v>825</v>
      </c>
      <c r="E2292" t="s">
        <v>35</v>
      </c>
      <c r="F2292" t="s">
        <v>353</v>
      </c>
      <c r="G2292">
        <v>34.216667000000001</v>
      </c>
      <c r="H2292">
        <v>135.61666700000001</v>
      </c>
      <c r="I2292" t="s">
        <v>761</v>
      </c>
      <c r="J2292" s="2" t="s">
        <v>14</v>
      </c>
      <c r="K2292" t="s">
        <v>351</v>
      </c>
      <c r="L2292" t="s">
        <v>143</v>
      </c>
      <c r="M2292" t="s">
        <v>12</v>
      </c>
      <c r="N2292" t="s">
        <v>85</v>
      </c>
      <c r="O2292" s="6" t="s">
        <v>12</v>
      </c>
      <c r="P2292" t="s">
        <v>70</v>
      </c>
      <c r="Q2292">
        <v>2</v>
      </c>
      <c r="R2292" t="s">
        <v>214</v>
      </c>
      <c r="S2292" s="2" t="s">
        <v>27</v>
      </c>
      <c r="T2292">
        <v>3</v>
      </c>
      <c r="U2292" t="s">
        <v>28</v>
      </c>
      <c r="V2292" t="s">
        <v>28</v>
      </c>
      <c r="W2292">
        <v>24</v>
      </c>
      <c r="X2292">
        <v>100</v>
      </c>
      <c r="Y2292">
        <v>0</v>
      </c>
      <c r="AA2292" s="6"/>
      <c r="AB2292" s="6"/>
    </row>
    <row r="2293" spans="1:28" x14ac:dyDescent="0.2">
      <c r="A2293" t="s">
        <v>382</v>
      </c>
      <c r="B2293">
        <v>2013</v>
      </c>
      <c r="C2293" t="s">
        <v>807</v>
      </c>
      <c r="D2293" t="s">
        <v>825</v>
      </c>
      <c r="E2293" t="s">
        <v>35</v>
      </c>
      <c r="F2293" t="s">
        <v>353</v>
      </c>
      <c r="G2293">
        <v>34.216667000000001</v>
      </c>
      <c r="H2293">
        <v>135.61666700000001</v>
      </c>
      <c r="I2293" t="s">
        <v>761</v>
      </c>
      <c r="J2293" s="2" t="s">
        <v>14</v>
      </c>
      <c r="K2293" t="s">
        <v>351</v>
      </c>
      <c r="L2293" t="s">
        <v>143</v>
      </c>
      <c r="M2293" t="s">
        <v>12</v>
      </c>
      <c r="N2293" t="s">
        <v>85</v>
      </c>
      <c r="O2293" s="6" t="s">
        <v>12</v>
      </c>
      <c r="P2293" t="s">
        <v>70</v>
      </c>
      <c r="Q2293">
        <v>3</v>
      </c>
      <c r="R2293" t="s">
        <v>214</v>
      </c>
      <c r="S2293" s="2" t="s">
        <v>27</v>
      </c>
      <c r="T2293">
        <v>3</v>
      </c>
      <c r="U2293" t="s">
        <v>28</v>
      </c>
      <c r="V2293" t="s">
        <v>28</v>
      </c>
      <c r="W2293">
        <v>24</v>
      </c>
      <c r="X2293">
        <v>100</v>
      </c>
      <c r="Y2293">
        <v>0</v>
      </c>
      <c r="AA2293" s="6"/>
      <c r="AB2293" s="6"/>
    </row>
    <row r="2294" spans="1:28" x14ac:dyDescent="0.2">
      <c r="A2294" t="s">
        <v>382</v>
      </c>
      <c r="B2294">
        <v>2013</v>
      </c>
      <c r="C2294" t="s">
        <v>807</v>
      </c>
      <c r="D2294" t="s">
        <v>825</v>
      </c>
      <c r="E2294" t="s">
        <v>35</v>
      </c>
      <c r="F2294" t="s">
        <v>353</v>
      </c>
      <c r="G2294">
        <v>34.216667000000001</v>
      </c>
      <c r="H2294">
        <v>135.61666700000001</v>
      </c>
      <c r="I2294" t="s">
        <v>761</v>
      </c>
      <c r="J2294" s="2" t="s">
        <v>14</v>
      </c>
      <c r="K2294" t="s">
        <v>351</v>
      </c>
      <c r="L2294" t="s">
        <v>143</v>
      </c>
      <c r="M2294" t="s">
        <v>12</v>
      </c>
      <c r="N2294" t="s">
        <v>85</v>
      </c>
      <c r="O2294" s="6" t="s">
        <v>12</v>
      </c>
      <c r="P2294" t="s">
        <v>70</v>
      </c>
      <c r="Q2294">
        <v>4</v>
      </c>
      <c r="R2294" t="s">
        <v>214</v>
      </c>
      <c r="S2294" s="2" t="s">
        <v>27</v>
      </c>
      <c r="T2294">
        <v>3</v>
      </c>
      <c r="U2294" t="s">
        <v>28</v>
      </c>
      <c r="V2294" t="s">
        <v>28</v>
      </c>
      <c r="W2294">
        <v>24</v>
      </c>
      <c r="X2294">
        <v>100</v>
      </c>
      <c r="Y2294">
        <v>0</v>
      </c>
      <c r="AA2294" s="6"/>
      <c r="AB2294" s="6"/>
    </row>
    <row r="2295" spans="1:28" x14ac:dyDescent="0.2">
      <c r="A2295" t="s">
        <v>382</v>
      </c>
      <c r="B2295">
        <v>2013</v>
      </c>
      <c r="C2295" t="s">
        <v>807</v>
      </c>
      <c r="D2295" t="s">
        <v>825</v>
      </c>
      <c r="E2295" t="s">
        <v>35</v>
      </c>
      <c r="F2295" t="s">
        <v>353</v>
      </c>
      <c r="G2295">
        <v>34.216667000000001</v>
      </c>
      <c r="H2295">
        <v>135.61666700000001</v>
      </c>
      <c r="I2295" t="s">
        <v>761</v>
      </c>
      <c r="J2295" s="2" t="s">
        <v>14</v>
      </c>
      <c r="K2295" t="s">
        <v>351</v>
      </c>
      <c r="L2295" t="s">
        <v>143</v>
      </c>
      <c r="M2295" t="s">
        <v>12</v>
      </c>
      <c r="N2295" t="s">
        <v>85</v>
      </c>
      <c r="O2295" s="6" t="s">
        <v>12</v>
      </c>
      <c r="P2295" t="s">
        <v>70</v>
      </c>
      <c r="Q2295">
        <v>5</v>
      </c>
      <c r="R2295" t="s">
        <v>214</v>
      </c>
      <c r="S2295" s="2" t="s">
        <v>27</v>
      </c>
      <c r="T2295">
        <v>3</v>
      </c>
      <c r="U2295" t="s">
        <v>28</v>
      </c>
      <c r="V2295" t="s">
        <v>28</v>
      </c>
      <c r="W2295">
        <v>24</v>
      </c>
      <c r="X2295">
        <v>100</v>
      </c>
      <c r="Y2295">
        <v>0</v>
      </c>
      <c r="AA2295" s="6"/>
      <c r="AB2295" s="6"/>
    </row>
    <row r="2296" spans="1:28" x14ac:dyDescent="0.2">
      <c r="A2296" t="s">
        <v>382</v>
      </c>
      <c r="B2296">
        <v>2013</v>
      </c>
      <c r="C2296" t="s">
        <v>807</v>
      </c>
      <c r="D2296" t="s">
        <v>825</v>
      </c>
      <c r="E2296" t="s">
        <v>35</v>
      </c>
      <c r="F2296" t="s">
        <v>353</v>
      </c>
      <c r="G2296">
        <v>34.216667000000001</v>
      </c>
      <c r="H2296">
        <v>135.61666700000001</v>
      </c>
      <c r="I2296" t="s">
        <v>761</v>
      </c>
      <c r="J2296" s="2" t="s">
        <v>14</v>
      </c>
      <c r="K2296" t="s">
        <v>351</v>
      </c>
      <c r="L2296" t="s">
        <v>143</v>
      </c>
      <c r="M2296" t="s">
        <v>12</v>
      </c>
      <c r="N2296" t="s">
        <v>85</v>
      </c>
      <c r="O2296" s="6" t="s">
        <v>12</v>
      </c>
      <c r="P2296" t="s">
        <v>70</v>
      </c>
      <c r="Q2296">
        <v>6</v>
      </c>
      <c r="R2296" t="s">
        <v>214</v>
      </c>
      <c r="S2296" s="2" t="s">
        <v>27</v>
      </c>
      <c r="T2296">
        <v>3</v>
      </c>
      <c r="U2296" t="s">
        <v>28</v>
      </c>
      <c r="V2296" t="s">
        <v>28</v>
      </c>
      <c r="W2296">
        <v>24</v>
      </c>
      <c r="X2296">
        <v>100</v>
      </c>
      <c r="Y2296">
        <v>0</v>
      </c>
      <c r="AA2296" s="6"/>
      <c r="AB2296" s="6"/>
    </row>
    <row r="2297" spans="1:28" x14ac:dyDescent="0.2">
      <c r="A2297" t="s">
        <v>382</v>
      </c>
      <c r="B2297">
        <v>2013</v>
      </c>
      <c r="C2297" t="s">
        <v>807</v>
      </c>
      <c r="D2297" t="s">
        <v>825</v>
      </c>
      <c r="E2297" t="s">
        <v>35</v>
      </c>
      <c r="F2297" t="s">
        <v>353</v>
      </c>
      <c r="G2297">
        <v>34.216667000000001</v>
      </c>
      <c r="H2297">
        <v>135.61666700000001</v>
      </c>
      <c r="I2297" t="s">
        <v>761</v>
      </c>
      <c r="J2297" s="2" t="s">
        <v>14</v>
      </c>
      <c r="K2297" t="s">
        <v>351</v>
      </c>
      <c r="L2297" t="s">
        <v>143</v>
      </c>
      <c r="M2297" t="s">
        <v>12</v>
      </c>
      <c r="N2297" t="s">
        <v>85</v>
      </c>
      <c r="O2297" s="6" t="s">
        <v>12</v>
      </c>
      <c r="P2297" t="s">
        <v>70</v>
      </c>
      <c r="Q2297">
        <v>7</v>
      </c>
      <c r="R2297" t="s">
        <v>214</v>
      </c>
      <c r="S2297" s="2" t="s">
        <v>27</v>
      </c>
      <c r="T2297">
        <v>3</v>
      </c>
      <c r="U2297" t="s">
        <v>28</v>
      </c>
      <c r="V2297" t="s">
        <v>28</v>
      </c>
      <c r="W2297">
        <v>24</v>
      </c>
      <c r="X2297">
        <v>100</v>
      </c>
      <c r="Y2297">
        <v>0</v>
      </c>
      <c r="AA2297" s="6"/>
      <c r="AB2297" s="6"/>
    </row>
    <row r="2298" spans="1:28" x14ac:dyDescent="0.2">
      <c r="A2298" t="s">
        <v>382</v>
      </c>
      <c r="B2298">
        <v>2013</v>
      </c>
      <c r="C2298" t="s">
        <v>807</v>
      </c>
      <c r="D2298" t="s">
        <v>825</v>
      </c>
      <c r="E2298" t="s">
        <v>35</v>
      </c>
      <c r="F2298" t="s">
        <v>353</v>
      </c>
      <c r="G2298">
        <v>34.216667000000001</v>
      </c>
      <c r="H2298">
        <v>135.61666700000001</v>
      </c>
      <c r="I2298" t="s">
        <v>761</v>
      </c>
      <c r="J2298" s="2" t="s">
        <v>14</v>
      </c>
      <c r="K2298" t="s">
        <v>351</v>
      </c>
      <c r="L2298" t="s">
        <v>143</v>
      </c>
      <c r="M2298" t="s">
        <v>12</v>
      </c>
      <c r="N2298" t="s">
        <v>85</v>
      </c>
      <c r="O2298" s="6" t="s">
        <v>12</v>
      </c>
      <c r="P2298" t="s">
        <v>70</v>
      </c>
      <c r="Q2298">
        <v>8</v>
      </c>
      <c r="R2298" t="s">
        <v>214</v>
      </c>
      <c r="S2298" s="2" t="s">
        <v>27</v>
      </c>
      <c r="T2298">
        <v>3</v>
      </c>
      <c r="U2298" t="s">
        <v>28</v>
      </c>
      <c r="V2298" t="s">
        <v>28</v>
      </c>
      <c r="W2298">
        <v>24</v>
      </c>
      <c r="X2298">
        <v>100</v>
      </c>
      <c r="Y2298">
        <v>0</v>
      </c>
      <c r="AA2298" s="6"/>
      <c r="AB2298" s="6"/>
    </row>
    <row r="2299" spans="1:28" x14ac:dyDescent="0.2">
      <c r="A2299" t="s">
        <v>382</v>
      </c>
      <c r="B2299">
        <v>2013</v>
      </c>
      <c r="C2299" t="s">
        <v>807</v>
      </c>
      <c r="D2299" t="s">
        <v>825</v>
      </c>
      <c r="E2299" t="s">
        <v>35</v>
      </c>
      <c r="F2299" t="s">
        <v>353</v>
      </c>
      <c r="G2299">
        <v>34.216667000000001</v>
      </c>
      <c r="H2299">
        <v>135.61666700000001</v>
      </c>
      <c r="I2299" t="s">
        <v>761</v>
      </c>
      <c r="J2299" s="2" t="s">
        <v>14</v>
      </c>
      <c r="K2299" t="s">
        <v>351</v>
      </c>
      <c r="L2299" t="s">
        <v>143</v>
      </c>
      <c r="M2299" t="s">
        <v>12</v>
      </c>
      <c r="N2299" t="s">
        <v>85</v>
      </c>
      <c r="O2299" s="6" t="s">
        <v>12</v>
      </c>
      <c r="P2299" t="s">
        <v>70</v>
      </c>
      <c r="Q2299">
        <v>9</v>
      </c>
      <c r="R2299" t="s">
        <v>214</v>
      </c>
      <c r="S2299" s="2" t="s">
        <v>27</v>
      </c>
      <c r="T2299">
        <v>3</v>
      </c>
      <c r="U2299" t="s">
        <v>28</v>
      </c>
      <c r="V2299" t="s">
        <v>28</v>
      </c>
      <c r="W2299">
        <v>24</v>
      </c>
      <c r="X2299">
        <v>100</v>
      </c>
      <c r="Y2299">
        <v>0</v>
      </c>
      <c r="AA2299" s="6"/>
      <c r="AB2299" s="6"/>
    </row>
    <row r="2300" spans="1:28" x14ac:dyDescent="0.2">
      <c r="A2300" t="s">
        <v>382</v>
      </c>
      <c r="B2300">
        <v>2013</v>
      </c>
      <c r="C2300" t="s">
        <v>807</v>
      </c>
      <c r="D2300" t="s">
        <v>825</v>
      </c>
      <c r="E2300" t="s">
        <v>35</v>
      </c>
      <c r="F2300" t="s">
        <v>353</v>
      </c>
      <c r="G2300">
        <v>34.216667000000001</v>
      </c>
      <c r="H2300">
        <v>135.61666700000001</v>
      </c>
      <c r="I2300" t="s">
        <v>761</v>
      </c>
      <c r="J2300" s="2" t="s">
        <v>14</v>
      </c>
      <c r="K2300" t="s">
        <v>351</v>
      </c>
      <c r="L2300" t="s">
        <v>143</v>
      </c>
      <c r="M2300" t="s">
        <v>12</v>
      </c>
      <c r="N2300" t="s">
        <v>85</v>
      </c>
      <c r="O2300" s="6" t="s">
        <v>12</v>
      </c>
      <c r="P2300" t="s">
        <v>70</v>
      </c>
      <c r="Q2300">
        <v>10</v>
      </c>
      <c r="R2300" t="s">
        <v>214</v>
      </c>
      <c r="S2300" s="2" t="s">
        <v>27</v>
      </c>
      <c r="T2300">
        <v>3</v>
      </c>
      <c r="U2300" t="s">
        <v>28</v>
      </c>
      <c r="V2300" t="s">
        <v>28</v>
      </c>
      <c r="W2300">
        <v>24</v>
      </c>
      <c r="X2300">
        <v>100</v>
      </c>
      <c r="Y2300">
        <v>0</v>
      </c>
      <c r="AA2300" s="6"/>
      <c r="AB2300" s="6"/>
    </row>
    <row r="2301" spans="1:28" x14ac:dyDescent="0.2">
      <c r="A2301" t="s">
        <v>382</v>
      </c>
      <c r="B2301">
        <v>2013</v>
      </c>
      <c r="C2301" t="s">
        <v>807</v>
      </c>
      <c r="D2301" t="s">
        <v>825</v>
      </c>
      <c r="E2301" t="s">
        <v>35</v>
      </c>
      <c r="F2301" t="s">
        <v>353</v>
      </c>
      <c r="G2301">
        <v>34.216667000000001</v>
      </c>
      <c r="H2301">
        <v>135.61666700000001</v>
      </c>
      <c r="I2301" t="s">
        <v>761</v>
      </c>
      <c r="J2301" s="2" t="s">
        <v>14</v>
      </c>
      <c r="K2301" t="s">
        <v>351</v>
      </c>
      <c r="L2301" t="s">
        <v>143</v>
      </c>
      <c r="M2301" t="s">
        <v>12</v>
      </c>
      <c r="N2301" t="s">
        <v>85</v>
      </c>
      <c r="O2301" s="6" t="s">
        <v>12</v>
      </c>
      <c r="P2301" t="s">
        <v>70</v>
      </c>
      <c r="Q2301">
        <v>11</v>
      </c>
      <c r="R2301" t="s">
        <v>214</v>
      </c>
      <c r="S2301" s="2" t="s">
        <v>27</v>
      </c>
      <c r="T2301">
        <v>3</v>
      </c>
      <c r="U2301" t="s">
        <v>28</v>
      </c>
      <c r="V2301" t="s">
        <v>28</v>
      </c>
      <c r="W2301">
        <v>24</v>
      </c>
      <c r="X2301">
        <v>100</v>
      </c>
      <c r="Y2301">
        <v>0</v>
      </c>
      <c r="AA2301" s="6"/>
      <c r="AB2301" s="6"/>
    </row>
    <row r="2302" spans="1:28" x14ac:dyDescent="0.2">
      <c r="A2302" t="s">
        <v>382</v>
      </c>
      <c r="B2302">
        <v>2013</v>
      </c>
      <c r="C2302" t="s">
        <v>807</v>
      </c>
      <c r="D2302" t="s">
        <v>825</v>
      </c>
      <c r="E2302" t="s">
        <v>35</v>
      </c>
      <c r="F2302" t="s">
        <v>353</v>
      </c>
      <c r="G2302">
        <v>34.216667000000001</v>
      </c>
      <c r="H2302">
        <v>135.61666700000001</v>
      </c>
      <c r="I2302" t="s">
        <v>761</v>
      </c>
      <c r="J2302" s="2" t="s">
        <v>14</v>
      </c>
      <c r="K2302" t="s">
        <v>351</v>
      </c>
      <c r="L2302" t="s">
        <v>143</v>
      </c>
      <c r="M2302" t="s">
        <v>12</v>
      </c>
      <c r="N2302" t="s">
        <v>85</v>
      </c>
      <c r="O2302" s="6" t="s">
        <v>12</v>
      </c>
      <c r="P2302" t="s">
        <v>70</v>
      </c>
      <c r="Q2302">
        <v>12</v>
      </c>
      <c r="R2302" t="s">
        <v>213</v>
      </c>
      <c r="S2302" s="2" t="s">
        <v>27</v>
      </c>
      <c r="T2302">
        <v>3</v>
      </c>
      <c r="U2302" t="s">
        <v>28</v>
      </c>
      <c r="V2302" t="s">
        <v>28</v>
      </c>
      <c r="W2302">
        <v>24</v>
      </c>
      <c r="X2302">
        <v>100</v>
      </c>
      <c r="Y2302">
        <v>0</v>
      </c>
      <c r="AA2302" s="6"/>
      <c r="AB2302" s="6"/>
    </row>
    <row r="2303" spans="1:28" x14ac:dyDescent="0.2">
      <c r="A2303" t="s">
        <v>382</v>
      </c>
      <c r="B2303">
        <v>2013</v>
      </c>
      <c r="C2303" t="s">
        <v>807</v>
      </c>
      <c r="D2303" t="s">
        <v>825</v>
      </c>
      <c r="E2303" t="s">
        <v>35</v>
      </c>
      <c r="F2303" t="s">
        <v>352</v>
      </c>
      <c r="G2303">
        <v>38.533332999999999</v>
      </c>
      <c r="H2303">
        <v>141.51666700000001</v>
      </c>
      <c r="I2303" t="s">
        <v>761</v>
      </c>
      <c r="J2303" s="2" t="s">
        <v>14</v>
      </c>
      <c r="K2303" t="s">
        <v>351</v>
      </c>
      <c r="L2303" t="s">
        <v>143</v>
      </c>
      <c r="M2303" t="s">
        <v>12</v>
      </c>
      <c r="N2303" t="s">
        <v>85</v>
      </c>
      <c r="O2303" s="6" t="s">
        <v>12</v>
      </c>
      <c r="P2303" t="s">
        <v>70</v>
      </c>
      <c r="Q2303">
        <v>1</v>
      </c>
      <c r="R2303" t="s">
        <v>214</v>
      </c>
      <c r="S2303" s="2" t="s">
        <v>13</v>
      </c>
      <c r="T2303">
        <v>3</v>
      </c>
      <c r="U2303" t="s">
        <v>28</v>
      </c>
      <c r="V2303" t="s">
        <v>28</v>
      </c>
      <c r="W2303">
        <v>27</v>
      </c>
      <c r="X2303">
        <v>90.1</v>
      </c>
      <c r="Y2303">
        <f>X2303-86.98</f>
        <v>3.1199999999999903</v>
      </c>
      <c r="AA2303" s="6"/>
      <c r="AB2303" s="6"/>
    </row>
    <row r="2304" spans="1:28" x14ac:dyDescent="0.2">
      <c r="A2304" t="s">
        <v>382</v>
      </c>
      <c r="B2304">
        <v>2013</v>
      </c>
      <c r="C2304" t="s">
        <v>807</v>
      </c>
      <c r="D2304" t="s">
        <v>825</v>
      </c>
      <c r="E2304" t="s">
        <v>35</v>
      </c>
      <c r="F2304" t="s">
        <v>352</v>
      </c>
      <c r="G2304">
        <v>38.533332999999999</v>
      </c>
      <c r="H2304">
        <v>141.51666700000001</v>
      </c>
      <c r="I2304" t="s">
        <v>761</v>
      </c>
      <c r="J2304" s="2" t="s">
        <v>14</v>
      </c>
      <c r="K2304" t="s">
        <v>351</v>
      </c>
      <c r="L2304" t="s">
        <v>143</v>
      </c>
      <c r="M2304" t="s">
        <v>12</v>
      </c>
      <c r="N2304" t="s">
        <v>85</v>
      </c>
      <c r="O2304" s="6" t="s">
        <v>12</v>
      </c>
      <c r="P2304" t="s">
        <v>70</v>
      </c>
      <c r="Q2304">
        <v>2</v>
      </c>
      <c r="R2304" t="s">
        <v>214</v>
      </c>
      <c r="S2304" s="2" t="s">
        <v>13</v>
      </c>
      <c r="T2304">
        <v>3</v>
      </c>
      <c r="U2304" t="s">
        <v>28</v>
      </c>
      <c r="V2304" t="s">
        <v>28</v>
      </c>
      <c r="W2304">
        <v>27</v>
      </c>
      <c r="X2304">
        <v>79.92</v>
      </c>
      <c r="Y2304">
        <f>X2304-75.59</f>
        <v>4.3299999999999983</v>
      </c>
      <c r="AA2304" s="6"/>
      <c r="AB2304" s="6"/>
    </row>
    <row r="2305" spans="1:28" x14ac:dyDescent="0.2">
      <c r="A2305" t="s">
        <v>382</v>
      </c>
      <c r="B2305">
        <v>2013</v>
      </c>
      <c r="C2305" t="s">
        <v>807</v>
      </c>
      <c r="D2305" t="s">
        <v>825</v>
      </c>
      <c r="E2305" t="s">
        <v>35</v>
      </c>
      <c r="F2305" t="s">
        <v>352</v>
      </c>
      <c r="G2305">
        <v>38.533332999999999</v>
      </c>
      <c r="H2305">
        <v>141.51666700000001</v>
      </c>
      <c r="I2305" t="s">
        <v>761</v>
      </c>
      <c r="J2305" s="2" t="s">
        <v>14</v>
      </c>
      <c r="K2305" t="s">
        <v>351</v>
      </c>
      <c r="L2305" t="s">
        <v>143</v>
      </c>
      <c r="M2305" t="s">
        <v>12</v>
      </c>
      <c r="N2305" t="s">
        <v>85</v>
      </c>
      <c r="O2305" s="6" t="s">
        <v>12</v>
      </c>
      <c r="P2305" t="s">
        <v>70</v>
      </c>
      <c r="Q2305">
        <v>3</v>
      </c>
      <c r="R2305" t="s">
        <v>214</v>
      </c>
      <c r="S2305" s="2" t="s">
        <v>13</v>
      </c>
      <c r="T2305">
        <v>3</v>
      </c>
      <c r="U2305" t="s">
        <v>28</v>
      </c>
      <c r="V2305" t="s">
        <v>28</v>
      </c>
      <c r="W2305">
        <v>27</v>
      </c>
      <c r="X2305">
        <v>66.22</v>
      </c>
      <c r="Y2305">
        <f>X2305-61.75</f>
        <v>4.4699999999999989</v>
      </c>
      <c r="AA2305" s="6"/>
      <c r="AB2305" s="6"/>
    </row>
    <row r="2306" spans="1:28" x14ac:dyDescent="0.2">
      <c r="A2306" t="s">
        <v>382</v>
      </c>
      <c r="B2306">
        <v>2013</v>
      </c>
      <c r="C2306" t="s">
        <v>807</v>
      </c>
      <c r="D2306" t="s">
        <v>825</v>
      </c>
      <c r="E2306" t="s">
        <v>35</v>
      </c>
      <c r="F2306" t="s">
        <v>352</v>
      </c>
      <c r="G2306">
        <v>38.533332999999999</v>
      </c>
      <c r="H2306">
        <v>141.51666700000001</v>
      </c>
      <c r="I2306" t="s">
        <v>761</v>
      </c>
      <c r="J2306" s="2" t="s">
        <v>14</v>
      </c>
      <c r="K2306" t="s">
        <v>351</v>
      </c>
      <c r="L2306" t="s">
        <v>143</v>
      </c>
      <c r="M2306" t="s">
        <v>12</v>
      </c>
      <c r="N2306" t="s">
        <v>85</v>
      </c>
      <c r="O2306" s="6" t="s">
        <v>12</v>
      </c>
      <c r="P2306" t="s">
        <v>70</v>
      </c>
      <c r="Q2306">
        <v>4</v>
      </c>
      <c r="R2306" t="s">
        <v>214</v>
      </c>
      <c r="S2306" s="2" t="s">
        <v>13</v>
      </c>
      <c r="T2306">
        <v>3</v>
      </c>
      <c r="U2306" t="s">
        <v>28</v>
      </c>
      <c r="V2306" t="s">
        <v>28</v>
      </c>
      <c r="W2306">
        <v>27</v>
      </c>
      <c r="X2306">
        <v>49.95</v>
      </c>
      <c r="Y2306">
        <f>X2306-43.04</f>
        <v>6.9100000000000037</v>
      </c>
      <c r="AA2306" s="6"/>
      <c r="AB2306" s="6"/>
    </row>
    <row r="2307" spans="1:28" x14ac:dyDescent="0.2">
      <c r="A2307" t="s">
        <v>382</v>
      </c>
      <c r="B2307">
        <v>2013</v>
      </c>
      <c r="C2307" t="s">
        <v>807</v>
      </c>
      <c r="D2307" t="s">
        <v>825</v>
      </c>
      <c r="E2307" t="s">
        <v>35</v>
      </c>
      <c r="F2307" t="s">
        <v>352</v>
      </c>
      <c r="G2307">
        <v>38.533332999999999</v>
      </c>
      <c r="H2307">
        <v>141.51666700000001</v>
      </c>
      <c r="I2307" t="s">
        <v>761</v>
      </c>
      <c r="J2307" s="2" t="s">
        <v>14</v>
      </c>
      <c r="K2307" t="s">
        <v>351</v>
      </c>
      <c r="L2307" t="s">
        <v>143</v>
      </c>
      <c r="M2307" t="s">
        <v>12</v>
      </c>
      <c r="N2307" t="s">
        <v>85</v>
      </c>
      <c r="O2307" s="6" t="s">
        <v>12</v>
      </c>
      <c r="P2307" t="s">
        <v>70</v>
      </c>
      <c r="Q2307">
        <v>5</v>
      </c>
      <c r="R2307" t="s">
        <v>214</v>
      </c>
      <c r="S2307" s="2" t="s">
        <v>13</v>
      </c>
      <c r="T2307">
        <v>3</v>
      </c>
      <c r="U2307" t="s">
        <v>28</v>
      </c>
      <c r="V2307" t="s">
        <v>28</v>
      </c>
      <c r="W2307">
        <v>27</v>
      </c>
      <c r="X2307">
        <v>39.78</v>
      </c>
      <c r="Y2307">
        <f>X2307-37.07</f>
        <v>2.7100000000000009</v>
      </c>
      <c r="AA2307" s="6"/>
      <c r="AB2307" s="6"/>
    </row>
    <row r="2308" spans="1:28" x14ac:dyDescent="0.2">
      <c r="A2308" t="s">
        <v>382</v>
      </c>
      <c r="B2308">
        <v>2013</v>
      </c>
      <c r="C2308" t="s">
        <v>807</v>
      </c>
      <c r="D2308" t="s">
        <v>825</v>
      </c>
      <c r="E2308" t="s">
        <v>35</v>
      </c>
      <c r="F2308" t="s">
        <v>352</v>
      </c>
      <c r="G2308">
        <v>38.533332999999999</v>
      </c>
      <c r="H2308">
        <v>141.51666700000001</v>
      </c>
      <c r="I2308" t="s">
        <v>761</v>
      </c>
      <c r="J2308" s="2" t="s">
        <v>14</v>
      </c>
      <c r="K2308" t="s">
        <v>351</v>
      </c>
      <c r="L2308" t="s">
        <v>143</v>
      </c>
      <c r="M2308" t="s">
        <v>12</v>
      </c>
      <c r="N2308" t="s">
        <v>85</v>
      </c>
      <c r="O2308" s="6" t="s">
        <v>12</v>
      </c>
      <c r="P2308" t="s">
        <v>70</v>
      </c>
      <c r="Q2308">
        <v>6</v>
      </c>
      <c r="R2308" t="s">
        <v>214</v>
      </c>
      <c r="S2308" s="2" t="s">
        <v>13</v>
      </c>
      <c r="T2308">
        <v>3</v>
      </c>
      <c r="U2308" t="s">
        <v>28</v>
      </c>
      <c r="V2308" t="s">
        <v>28</v>
      </c>
      <c r="W2308">
        <v>27</v>
      </c>
      <c r="X2308">
        <v>23.23</v>
      </c>
      <c r="Y2308">
        <f>X2308-17.27</f>
        <v>5.9600000000000009</v>
      </c>
      <c r="AA2308" s="6"/>
      <c r="AB2308" s="6"/>
    </row>
    <row r="2309" spans="1:28" x14ac:dyDescent="0.2">
      <c r="A2309" t="s">
        <v>382</v>
      </c>
      <c r="B2309">
        <v>2013</v>
      </c>
      <c r="C2309" t="s">
        <v>807</v>
      </c>
      <c r="D2309" t="s">
        <v>825</v>
      </c>
      <c r="E2309" t="s">
        <v>35</v>
      </c>
      <c r="F2309" t="s">
        <v>352</v>
      </c>
      <c r="G2309">
        <v>38.533332999999999</v>
      </c>
      <c r="H2309">
        <v>141.51666700000001</v>
      </c>
      <c r="I2309" t="s">
        <v>761</v>
      </c>
      <c r="J2309" s="2" t="s">
        <v>14</v>
      </c>
      <c r="K2309" t="s">
        <v>351</v>
      </c>
      <c r="L2309" t="s">
        <v>143</v>
      </c>
      <c r="M2309" t="s">
        <v>12</v>
      </c>
      <c r="N2309" t="s">
        <v>85</v>
      </c>
      <c r="O2309" s="6" t="s">
        <v>12</v>
      </c>
      <c r="P2309" t="s">
        <v>70</v>
      </c>
      <c r="Q2309">
        <v>7</v>
      </c>
      <c r="R2309" t="s">
        <v>214</v>
      </c>
      <c r="S2309" s="2" t="s">
        <v>13</v>
      </c>
      <c r="T2309">
        <v>3</v>
      </c>
      <c r="U2309" t="s">
        <v>28</v>
      </c>
      <c r="V2309" t="s">
        <v>28</v>
      </c>
      <c r="W2309">
        <v>27</v>
      </c>
      <c r="X2309">
        <v>16.45</v>
      </c>
      <c r="Y2309">
        <f>X2309-10.75</f>
        <v>5.6999999999999993</v>
      </c>
      <c r="AA2309" s="6"/>
      <c r="AB2309" s="6"/>
    </row>
    <row r="2310" spans="1:28" x14ac:dyDescent="0.2">
      <c r="A2310" t="s">
        <v>382</v>
      </c>
      <c r="B2310">
        <v>2013</v>
      </c>
      <c r="C2310" t="s">
        <v>807</v>
      </c>
      <c r="D2310" t="s">
        <v>825</v>
      </c>
      <c r="E2310" t="s">
        <v>35</v>
      </c>
      <c r="F2310" t="s">
        <v>352</v>
      </c>
      <c r="G2310">
        <v>38.533332999999999</v>
      </c>
      <c r="H2310">
        <v>141.51666700000001</v>
      </c>
      <c r="I2310" t="s">
        <v>761</v>
      </c>
      <c r="J2310" s="2" t="s">
        <v>14</v>
      </c>
      <c r="K2310" t="s">
        <v>351</v>
      </c>
      <c r="L2310" t="s">
        <v>143</v>
      </c>
      <c r="M2310" t="s">
        <v>12</v>
      </c>
      <c r="N2310" t="s">
        <v>85</v>
      </c>
      <c r="O2310" s="6" t="s">
        <v>12</v>
      </c>
      <c r="P2310" t="s">
        <v>70</v>
      </c>
      <c r="Q2310">
        <v>8</v>
      </c>
      <c r="R2310" t="s">
        <v>214</v>
      </c>
      <c r="S2310" s="2" t="s">
        <v>13</v>
      </c>
      <c r="T2310">
        <v>3</v>
      </c>
      <c r="U2310" t="s">
        <v>28</v>
      </c>
      <c r="V2310" t="s">
        <v>28</v>
      </c>
      <c r="W2310">
        <v>27</v>
      </c>
      <c r="X2310">
        <v>9.7899999999999991</v>
      </c>
      <c r="Y2310">
        <f>X2310-5.86</f>
        <v>3.9299999999999988</v>
      </c>
      <c r="AA2310" s="6"/>
      <c r="AB2310" s="6"/>
    </row>
    <row r="2311" spans="1:28" x14ac:dyDescent="0.2">
      <c r="A2311" t="s">
        <v>382</v>
      </c>
      <c r="B2311">
        <v>2013</v>
      </c>
      <c r="C2311" t="s">
        <v>807</v>
      </c>
      <c r="D2311" t="s">
        <v>825</v>
      </c>
      <c r="E2311" t="s">
        <v>35</v>
      </c>
      <c r="F2311" t="s">
        <v>352</v>
      </c>
      <c r="G2311">
        <v>38.533332999999999</v>
      </c>
      <c r="H2311">
        <v>141.51666700000001</v>
      </c>
      <c r="I2311" t="s">
        <v>761</v>
      </c>
      <c r="J2311" s="2" t="s">
        <v>14</v>
      </c>
      <c r="K2311" t="s">
        <v>351</v>
      </c>
      <c r="L2311" t="s">
        <v>143</v>
      </c>
      <c r="M2311" t="s">
        <v>12</v>
      </c>
      <c r="N2311" t="s">
        <v>85</v>
      </c>
      <c r="O2311" s="6" t="s">
        <v>12</v>
      </c>
      <c r="P2311" t="s">
        <v>70</v>
      </c>
      <c r="Q2311">
        <v>9</v>
      </c>
      <c r="R2311" t="s">
        <v>213</v>
      </c>
      <c r="S2311" s="2" t="s">
        <v>13</v>
      </c>
      <c r="T2311">
        <v>3</v>
      </c>
      <c r="U2311" t="s">
        <v>28</v>
      </c>
      <c r="V2311" t="s">
        <v>28</v>
      </c>
      <c r="W2311">
        <v>27</v>
      </c>
      <c r="X2311">
        <v>0</v>
      </c>
      <c r="Y2311">
        <v>0</v>
      </c>
      <c r="AA2311" s="6"/>
      <c r="AB2311" s="6"/>
    </row>
    <row r="2312" spans="1:28" x14ac:dyDescent="0.2">
      <c r="A2312" t="s">
        <v>382</v>
      </c>
      <c r="B2312">
        <v>2013</v>
      </c>
      <c r="C2312" t="s">
        <v>807</v>
      </c>
      <c r="D2312" t="s">
        <v>825</v>
      </c>
      <c r="E2312" t="s">
        <v>35</v>
      </c>
      <c r="F2312" t="s">
        <v>353</v>
      </c>
      <c r="G2312">
        <v>34.216667000000001</v>
      </c>
      <c r="H2312">
        <v>135.61666700000001</v>
      </c>
      <c r="I2312" t="s">
        <v>761</v>
      </c>
      <c r="J2312" s="2" t="s">
        <v>14</v>
      </c>
      <c r="K2312" t="s">
        <v>351</v>
      </c>
      <c r="L2312" t="s">
        <v>143</v>
      </c>
      <c r="M2312" t="s">
        <v>12</v>
      </c>
      <c r="N2312" t="s">
        <v>85</v>
      </c>
      <c r="O2312" s="6" t="s">
        <v>12</v>
      </c>
      <c r="P2312" t="s">
        <v>70</v>
      </c>
      <c r="Q2312">
        <v>1</v>
      </c>
      <c r="R2312" t="s">
        <v>214</v>
      </c>
      <c r="S2312" s="2" t="s">
        <v>13</v>
      </c>
      <c r="T2312">
        <v>3</v>
      </c>
      <c r="U2312" t="s">
        <v>28</v>
      </c>
      <c r="V2312" t="s">
        <v>28</v>
      </c>
      <c r="W2312">
        <v>27</v>
      </c>
      <c r="X2312">
        <v>100</v>
      </c>
      <c r="Y2312">
        <v>0</v>
      </c>
      <c r="AA2312" s="6"/>
      <c r="AB2312" s="6"/>
    </row>
    <row r="2313" spans="1:28" x14ac:dyDescent="0.2">
      <c r="A2313" t="s">
        <v>382</v>
      </c>
      <c r="B2313">
        <v>2013</v>
      </c>
      <c r="C2313" t="s">
        <v>807</v>
      </c>
      <c r="D2313" t="s">
        <v>825</v>
      </c>
      <c r="E2313" t="s">
        <v>35</v>
      </c>
      <c r="F2313" t="s">
        <v>353</v>
      </c>
      <c r="G2313">
        <v>34.216667000000001</v>
      </c>
      <c r="H2313">
        <v>135.61666700000001</v>
      </c>
      <c r="I2313" t="s">
        <v>761</v>
      </c>
      <c r="J2313" s="2" t="s">
        <v>14</v>
      </c>
      <c r="K2313" t="s">
        <v>351</v>
      </c>
      <c r="L2313" t="s">
        <v>143</v>
      </c>
      <c r="M2313" t="s">
        <v>12</v>
      </c>
      <c r="N2313" t="s">
        <v>85</v>
      </c>
      <c r="O2313" s="6" t="s">
        <v>12</v>
      </c>
      <c r="P2313" t="s">
        <v>70</v>
      </c>
      <c r="Q2313">
        <v>2</v>
      </c>
      <c r="R2313" t="s">
        <v>214</v>
      </c>
      <c r="S2313" s="2" t="s">
        <v>13</v>
      </c>
      <c r="T2313">
        <v>3</v>
      </c>
      <c r="U2313" t="s">
        <v>28</v>
      </c>
      <c r="V2313" t="s">
        <v>28</v>
      </c>
      <c r="W2313">
        <v>27</v>
      </c>
      <c r="X2313">
        <v>100</v>
      </c>
      <c r="Y2313">
        <v>0</v>
      </c>
      <c r="AA2313" s="6"/>
      <c r="AB2313" s="6"/>
    </row>
    <row r="2314" spans="1:28" x14ac:dyDescent="0.2">
      <c r="A2314" t="s">
        <v>382</v>
      </c>
      <c r="B2314">
        <v>2013</v>
      </c>
      <c r="C2314" t="s">
        <v>807</v>
      </c>
      <c r="D2314" t="s">
        <v>825</v>
      </c>
      <c r="E2314" t="s">
        <v>35</v>
      </c>
      <c r="F2314" t="s">
        <v>353</v>
      </c>
      <c r="G2314">
        <v>34.216667000000001</v>
      </c>
      <c r="H2314">
        <v>135.61666700000001</v>
      </c>
      <c r="I2314" t="s">
        <v>761</v>
      </c>
      <c r="J2314" s="2" t="s">
        <v>14</v>
      </c>
      <c r="K2314" t="s">
        <v>351</v>
      </c>
      <c r="L2314" t="s">
        <v>143</v>
      </c>
      <c r="M2314" t="s">
        <v>12</v>
      </c>
      <c r="N2314" t="s">
        <v>85</v>
      </c>
      <c r="O2314" s="6" t="s">
        <v>12</v>
      </c>
      <c r="P2314" t="s">
        <v>70</v>
      </c>
      <c r="Q2314">
        <v>3</v>
      </c>
      <c r="R2314" t="s">
        <v>214</v>
      </c>
      <c r="S2314" s="2" t="s">
        <v>13</v>
      </c>
      <c r="T2314">
        <v>3</v>
      </c>
      <c r="U2314" t="s">
        <v>28</v>
      </c>
      <c r="V2314" t="s">
        <v>28</v>
      </c>
      <c r="W2314">
        <v>27</v>
      </c>
      <c r="X2314">
        <v>89.94</v>
      </c>
      <c r="Y2314">
        <f>X2314-84.11</f>
        <v>5.8299999999999983</v>
      </c>
      <c r="AA2314" s="6"/>
      <c r="AB2314" s="6"/>
    </row>
    <row r="2315" spans="1:28" x14ac:dyDescent="0.2">
      <c r="A2315" t="s">
        <v>382</v>
      </c>
      <c r="B2315">
        <v>2013</v>
      </c>
      <c r="C2315" t="s">
        <v>807</v>
      </c>
      <c r="D2315" t="s">
        <v>825</v>
      </c>
      <c r="E2315" t="s">
        <v>35</v>
      </c>
      <c r="F2315" t="s">
        <v>353</v>
      </c>
      <c r="G2315">
        <v>34.216667000000001</v>
      </c>
      <c r="H2315">
        <v>135.61666700000001</v>
      </c>
      <c r="I2315" t="s">
        <v>761</v>
      </c>
      <c r="J2315" s="2" t="s">
        <v>14</v>
      </c>
      <c r="K2315" t="s">
        <v>351</v>
      </c>
      <c r="L2315" t="s">
        <v>143</v>
      </c>
      <c r="M2315" t="s">
        <v>12</v>
      </c>
      <c r="N2315" t="s">
        <v>85</v>
      </c>
      <c r="O2315" s="6" t="s">
        <v>12</v>
      </c>
      <c r="P2315" t="s">
        <v>70</v>
      </c>
      <c r="Q2315">
        <v>4</v>
      </c>
      <c r="R2315" t="s">
        <v>214</v>
      </c>
      <c r="S2315" s="2" t="s">
        <v>13</v>
      </c>
      <c r="T2315">
        <v>3</v>
      </c>
      <c r="U2315" t="s">
        <v>28</v>
      </c>
      <c r="V2315" t="s">
        <v>28</v>
      </c>
      <c r="W2315">
        <v>27</v>
      </c>
      <c r="X2315">
        <v>76.510000000000005</v>
      </c>
      <c r="Y2315">
        <f>X2315-72.04</f>
        <v>4.4699999999999989</v>
      </c>
      <c r="AA2315" s="6"/>
      <c r="AB2315" s="6"/>
    </row>
    <row r="2316" spans="1:28" x14ac:dyDescent="0.2">
      <c r="A2316" t="s">
        <v>382</v>
      </c>
      <c r="B2316">
        <v>2013</v>
      </c>
      <c r="C2316" t="s">
        <v>807</v>
      </c>
      <c r="D2316" t="s">
        <v>825</v>
      </c>
      <c r="E2316" t="s">
        <v>35</v>
      </c>
      <c r="F2316" t="s">
        <v>353</v>
      </c>
      <c r="G2316">
        <v>34.216667000000001</v>
      </c>
      <c r="H2316">
        <v>135.61666700000001</v>
      </c>
      <c r="I2316" t="s">
        <v>761</v>
      </c>
      <c r="J2316" s="2" t="s">
        <v>14</v>
      </c>
      <c r="K2316" t="s">
        <v>351</v>
      </c>
      <c r="L2316" t="s">
        <v>143</v>
      </c>
      <c r="M2316" t="s">
        <v>12</v>
      </c>
      <c r="N2316" t="s">
        <v>85</v>
      </c>
      <c r="O2316" s="6" t="s">
        <v>12</v>
      </c>
      <c r="P2316" t="s">
        <v>70</v>
      </c>
      <c r="Q2316">
        <v>5</v>
      </c>
      <c r="R2316" t="s">
        <v>214</v>
      </c>
      <c r="S2316" s="2" t="s">
        <v>13</v>
      </c>
      <c r="T2316">
        <v>3</v>
      </c>
      <c r="U2316" t="s">
        <v>28</v>
      </c>
      <c r="V2316" t="s">
        <v>28</v>
      </c>
      <c r="W2316">
        <v>27</v>
      </c>
      <c r="X2316">
        <v>67.42</v>
      </c>
      <c r="Y2316">
        <f>X2316-60.91</f>
        <v>6.5100000000000051</v>
      </c>
      <c r="AA2316" s="6"/>
      <c r="AB2316" s="6"/>
    </row>
    <row r="2317" spans="1:28" x14ac:dyDescent="0.2">
      <c r="A2317" t="s">
        <v>382</v>
      </c>
      <c r="B2317">
        <v>2013</v>
      </c>
      <c r="C2317" t="s">
        <v>807</v>
      </c>
      <c r="D2317" t="s">
        <v>825</v>
      </c>
      <c r="E2317" t="s">
        <v>35</v>
      </c>
      <c r="F2317" t="s">
        <v>353</v>
      </c>
      <c r="G2317">
        <v>34.216667000000001</v>
      </c>
      <c r="H2317">
        <v>135.61666700000001</v>
      </c>
      <c r="I2317" t="s">
        <v>761</v>
      </c>
      <c r="J2317" s="2" t="s">
        <v>14</v>
      </c>
      <c r="K2317" t="s">
        <v>351</v>
      </c>
      <c r="L2317" t="s">
        <v>143</v>
      </c>
      <c r="M2317" t="s">
        <v>12</v>
      </c>
      <c r="N2317" t="s">
        <v>85</v>
      </c>
      <c r="O2317" s="6" t="s">
        <v>12</v>
      </c>
      <c r="P2317" t="s">
        <v>70</v>
      </c>
      <c r="Q2317">
        <v>6</v>
      </c>
      <c r="R2317" t="s">
        <v>214</v>
      </c>
      <c r="S2317" s="2" t="s">
        <v>13</v>
      </c>
      <c r="T2317">
        <v>3</v>
      </c>
      <c r="U2317" t="s">
        <v>28</v>
      </c>
      <c r="V2317" t="s">
        <v>28</v>
      </c>
      <c r="W2317">
        <v>27</v>
      </c>
      <c r="X2317">
        <v>59.82</v>
      </c>
      <c r="Y2317">
        <f>X2317-54.13</f>
        <v>5.6899999999999977</v>
      </c>
      <c r="AA2317" s="6"/>
      <c r="AB2317" s="6"/>
    </row>
    <row r="2318" spans="1:28" x14ac:dyDescent="0.2">
      <c r="A2318" t="s">
        <v>382</v>
      </c>
      <c r="B2318">
        <v>2013</v>
      </c>
      <c r="C2318" t="s">
        <v>807</v>
      </c>
      <c r="D2318" t="s">
        <v>825</v>
      </c>
      <c r="E2318" t="s">
        <v>35</v>
      </c>
      <c r="F2318" t="s">
        <v>353</v>
      </c>
      <c r="G2318">
        <v>34.216667000000001</v>
      </c>
      <c r="H2318">
        <v>135.61666700000001</v>
      </c>
      <c r="I2318" t="s">
        <v>761</v>
      </c>
      <c r="J2318" s="2" t="s">
        <v>14</v>
      </c>
      <c r="K2318" t="s">
        <v>351</v>
      </c>
      <c r="L2318" t="s">
        <v>143</v>
      </c>
      <c r="M2318" t="s">
        <v>12</v>
      </c>
      <c r="N2318" t="s">
        <v>85</v>
      </c>
      <c r="O2318" s="6" t="s">
        <v>12</v>
      </c>
      <c r="P2318" t="s">
        <v>70</v>
      </c>
      <c r="Q2318">
        <v>7</v>
      </c>
      <c r="R2318" t="s">
        <v>214</v>
      </c>
      <c r="S2318" s="2" t="s">
        <v>13</v>
      </c>
      <c r="T2318">
        <v>3</v>
      </c>
      <c r="U2318" t="s">
        <v>28</v>
      </c>
      <c r="V2318" t="s">
        <v>28</v>
      </c>
      <c r="W2318">
        <v>27</v>
      </c>
      <c r="X2318">
        <v>59.81</v>
      </c>
      <c r="Y2318">
        <f>X2318-54.11</f>
        <v>5.7000000000000028</v>
      </c>
      <c r="AA2318" s="6"/>
      <c r="AB2318" s="6"/>
    </row>
    <row r="2319" spans="1:28" x14ac:dyDescent="0.2">
      <c r="A2319" t="s">
        <v>382</v>
      </c>
      <c r="B2319">
        <v>2013</v>
      </c>
      <c r="C2319" t="s">
        <v>807</v>
      </c>
      <c r="D2319" t="s">
        <v>825</v>
      </c>
      <c r="E2319" t="s">
        <v>35</v>
      </c>
      <c r="F2319" t="s">
        <v>353</v>
      </c>
      <c r="G2319">
        <v>34.216667000000001</v>
      </c>
      <c r="H2319">
        <v>135.61666700000001</v>
      </c>
      <c r="I2319" t="s">
        <v>761</v>
      </c>
      <c r="J2319" s="2" t="s">
        <v>14</v>
      </c>
      <c r="K2319" t="s">
        <v>351</v>
      </c>
      <c r="L2319" t="s">
        <v>143</v>
      </c>
      <c r="M2319" t="s">
        <v>12</v>
      </c>
      <c r="N2319" t="s">
        <v>85</v>
      </c>
      <c r="O2319" s="6" t="s">
        <v>12</v>
      </c>
      <c r="P2319" t="s">
        <v>70</v>
      </c>
      <c r="Q2319">
        <v>8</v>
      </c>
      <c r="R2319" t="s">
        <v>214</v>
      </c>
      <c r="S2319" s="2" t="s">
        <v>13</v>
      </c>
      <c r="T2319">
        <v>3</v>
      </c>
      <c r="U2319" t="s">
        <v>28</v>
      </c>
      <c r="V2319" t="s">
        <v>28</v>
      </c>
      <c r="W2319">
        <v>27</v>
      </c>
      <c r="X2319">
        <v>56.54</v>
      </c>
      <c r="Y2319">
        <f>X2319-52.75</f>
        <v>3.7899999999999991</v>
      </c>
      <c r="AA2319" s="6"/>
      <c r="AB2319" s="6"/>
    </row>
    <row r="2320" spans="1:28" x14ac:dyDescent="0.2">
      <c r="A2320" t="s">
        <v>382</v>
      </c>
      <c r="B2320">
        <v>2013</v>
      </c>
      <c r="C2320" t="s">
        <v>807</v>
      </c>
      <c r="D2320" t="s">
        <v>825</v>
      </c>
      <c r="E2320" t="s">
        <v>35</v>
      </c>
      <c r="F2320" t="s">
        <v>353</v>
      </c>
      <c r="G2320">
        <v>34.216667000000001</v>
      </c>
      <c r="H2320">
        <v>135.61666700000001</v>
      </c>
      <c r="I2320" t="s">
        <v>761</v>
      </c>
      <c r="J2320" s="2" t="s">
        <v>14</v>
      </c>
      <c r="K2320" t="s">
        <v>351</v>
      </c>
      <c r="L2320" t="s">
        <v>143</v>
      </c>
      <c r="M2320" t="s">
        <v>12</v>
      </c>
      <c r="N2320" t="s">
        <v>85</v>
      </c>
      <c r="O2320" s="6" t="s">
        <v>12</v>
      </c>
      <c r="P2320" t="s">
        <v>70</v>
      </c>
      <c r="Q2320">
        <v>9</v>
      </c>
      <c r="R2320" t="s">
        <v>214</v>
      </c>
      <c r="S2320" s="2" t="s">
        <v>13</v>
      </c>
      <c r="T2320">
        <v>3</v>
      </c>
      <c r="U2320" t="s">
        <v>28</v>
      </c>
      <c r="V2320" t="s">
        <v>28</v>
      </c>
      <c r="W2320">
        <v>27</v>
      </c>
      <c r="X2320">
        <v>56.53</v>
      </c>
      <c r="Y2320">
        <f>X2320-50.43</f>
        <v>6.1000000000000014</v>
      </c>
      <c r="AA2320" s="6"/>
      <c r="AB2320" s="6"/>
    </row>
    <row r="2321" spans="1:28" x14ac:dyDescent="0.2">
      <c r="A2321" t="s">
        <v>382</v>
      </c>
      <c r="B2321">
        <v>2013</v>
      </c>
      <c r="C2321" t="s">
        <v>807</v>
      </c>
      <c r="D2321" t="s">
        <v>825</v>
      </c>
      <c r="E2321" t="s">
        <v>35</v>
      </c>
      <c r="F2321" t="s">
        <v>353</v>
      </c>
      <c r="G2321">
        <v>34.216667000000001</v>
      </c>
      <c r="H2321">
        <v>135.61666700000001</v>
      </c>
      <c r="I2321" t="s">
        <v>761</v>
      </c>
      <c r="J2321" s="2" t="s">
        <v>14</v>
      </c>
      <c r="K2321" t="s">
        <v>351</v>
      </c>
      <c r="L2321" t="s">
        <v>143</v>
      </c>
      <c r="M2321" t="s">
        <v>12</v>
      </c>
      <c r="N2321" t="s">
        <v>85</v>
      </c>
      <c r="O2321" s="6" t="s">
        <v>12</v>
      </c>
      <c r="P2321" t="s">
        <v>70</v>
      </c>
      <c r="Q2321">
        <v>10</v>
      </c>
      <c r="R2321" t="s">
        <v>214</v>
      </c>
      <c r="S2321" s="2" t="s">
        <v>13</v>
      </c>
      <c r="T2321">
        <v>3</v>
      </c>
      <c r="U2321" t="s">
        <v>28</v>
      </c>
      <c r="V2321" t="s">
        <v>28</v>
      </c>
      <c r="W2321">
        <v>27</v>
      </c>
      <c r="X2321">
        <v>53.26</v>
      </c>
      <c r="Y2321">
        <f>X2321-48.66</f>
        <v>4.6000000000000014</v>
      </c>
      <c r="AA2321" s="6"/>
      <c r="AB2321" s="6"/>
    </row>
    <row r="2322" spans="1:28" x14ac:dyDescent="0.2">
      <c r="A2322" t="s">
        <v>382</v>
      </c>
      <c r="B2322">
        <v>2013</v>
      </c>
      <c r="C2322" t="s">
        <v>807</v>
      </c>
      <c r="D2322" t="s">
        <v>825</v>
      </c>
      <c r="E2322" t="s">
        <v>35</v>
      </c>
      <c r="F2322" t="s">
        <v>353</v>
      </c>
      <c r="G2322">
        <v>34.216667000000001</v>
      </c>
      <c r="H2322">
        <v>135.61666700000001</v>
      </c>
      <c r="I2322" t="s">
        <v>761</v>
      </c>
      <c r="J2322" s="2" t="s">
        <v>14</v>
      </c>
      <c r="K2322" t="s">
        <v>351</v>
      </c>
      <c r="L2322" t="s">
        <v>143</v>
      </c>
      <c r="M2322" t="s">
        <v>12</v>
      </c>
      <c r="N2322" t="s">
        <v>85</v>
      </c>
      <c r="O2322" s="6" t="s">
        <v>12</v>
      </c>
      <c r="P2322" t="s">
        <v>70</v>
      </c>
      <c r="Q2322">
        <v>11</v>
      </c>
      <c r="R2322" t="s">
        <v>214</v>
      </c>
      <c r="S2322" s="2" t="s">
        <v>13</v>
      </c>
      <c r="T2322">
        <v>3</v>
      </c>
      <c r="U2322" t="s">
        <v>28</v>
      </c>
      <c r="V2322" t="s">
        <v>28</v>
      </c>
      <c r="W2322">
        <v>27</v>
      </c>
      <c r="X2322">
        <v>49.86</v>
      </c>
      <c r="Y2322">
        <f>X2322-45.12</f>
        <v>4.740000000000002</v>
      </c>
      <c r="AA2322" s="6"/>
      <c r="AB2322" s="6"/>
    </row>
    <row r="2323" spans="1:28" x14ac:dyDescent="0.2">
      <c r="A2323" t="s">
        <v>382</v>
      </c>
      <c r="B2323">
        <v>2013</v>
      </c>
      <c r="C2323" t="s">
        <v>807</v>
      </c>
      <c r="D2323" t="s">
        <v>825</v>
      </c>
      <c r="E2323" t="s">
        <v>35</v>
      </c>
      <c r="F2323" t="s">
        <v>353</v>
      </c>
      <c r="G2323">
        <v>34.216667000000001</v>
      </c>
      <c r="H2323">
        <v>135.61666700000001</v>
      </c>
      <c r="I2323" t="s">
        <v>761</v>
      </c>
      <c r="J2323" s="2" t="s">
        <v>14</v>
      </c>
      <c r="K2323" t="s">
        <v>351</v>
      </c>
      <c r="L2323" t="s">
        <v>143</v>
      </c>
      <c r="M2323" t="s">
        <v>12</v>
      </c>
      <c r="N2323" t="s">
        <v>85</v>
      </c>
      <c r="O2323" s="6" t="s">
        <v>12</v>
      </c>
      <c r="P2323" t="s">
        <v>70</v>
      </c>
      <c r="Q2323">
        <v>12</v>
      </c>
      <c r="R2323" t="s">
        <v>213</v>
      </c>
      <c r="S2323" s="2" t="s">
        <v>13</v>
      </c>
      <c r="T2323">
        <v>3</v>
      </c>
      <c r="U2323" t="s">
        <v>28</v>
      </c>
      <c r="V2323" t="s">
        <v>28</v>
      </c>
      <c r="W2323">
        <v>27</v>
      </c>
      <c r="X2323">
        <v>49.72</v>
      </c>
      <c r="Y2323">
        <f>X2323-45.65</f>
        <v>4.07</v>
      </c>
      <c r="AA2323" s="6"/>
      <c r="AB2323" s="6"/>
    </row>
    <row r="2324" spans="1:28" x14ac:dyDescent="0.2">
      <c r="A2324" t="s">
        <v>382</v>
      </c>
      <c r="B2324">
        <v>2013</v>
      </c>
      <c r="C2324" t="s">
        <v>807</v>
      </c>
      <c r="D2324" t="s">
        <v>825</v>
      </c>
      <c r="E2324" t="s">
        <v>35</v>
      </c>
      <c r="F2324" t="s">
        <v>352</v>
      </c>
      <c r="G2324">
        <v>38.533332999999999</v>
      </c>
      <c r="H2324">
        <v>141.51666700000001</v>
      </c>
      <c r="I2324" t="s">
        <v>761</v>
      </c>
      <c r="J2324" s="2" t="s">
        <v>7</v>
      </c>
      <c r="K2324" t="s">
        <v>351</v>
      </c>
      <c r="L2324" t="s">
        <v>143</v>
      </c>
      <c r="M2324" t="s">
        <v>26</v>
      </c>
      <c r="N2324" t="s">
        <v>85</v>
      </c>
      <c r="O2324" t="s">
        <v>839</v>
      </c>
      <c r="P2324" t="s">
        <v>72</v>
      </c>
      <c r="Q2324">
        <v>12</v>
      </c>
      <c r="R2324" t="s">
        <v>213</v>
      </c>
      <c r="S2324" s="2" t="s">
        <v>7</v>
      </c>
      <c r="T2324">
        <v>8</v>
      </c>
      <c r="U2324" t="s">
        <v>28</v>
      </c>
      <c r="V2324" t="s">
        <v>28</v>
      </c>
      <c r="W2324">
        <v>15</v>
      </c>
      <c r="X2324">
        <v>17.21</v>
      </c>
      <c r="Y2324">
        <f>19.71-X2324</f>
        <v>2.5</v>
      </c>
      <c r="AA2324" s="6"/>
      <c r="AB2324" s="6"/>
    </row>
    <row r="2325" spans="1:28" x14ac:dyDescent="0.2">
      <c r="A2325" t="s">
        <v>382</v>
      </c>
      <c r="B2325">
        <v>2013</v>
      </c>
      <c r="C2325" t="s">
        <v>807</v>
      </c>
      <c r="D2325" t="s">
        <v>825</v>
      </c>
      <c r="E2325" t="s">
        <v>35</v>
      </c>
      <c r="F2325" t="s">
        <v>352</v>
      </c>
      <c r="G2325">
        <v>38.533332999999999</v>
      </c>
      <c r="H2325">
        <v>141.51666700000001</v>
      </c>
      <c r="I2325" t="s">
        <v>761</v>
      </c>
      <c r="J2325" s="2" t="s">
        <v>14</v>
      </c>
      <c r="K2325" t="s">
        <v>351</v>
      </c>
      <c r="L2325" t="s">
        <v>143</v>
      </c>
      <c r="M2325" t="s">
        <v>26</v>
      </c>
      <c r="N2325" t="s">
        <v>85</v>
      </c>
      <c r="O2325" t="s">
        <v>839</v>
      </c>
      <c r="P2325" t="s">
        <v>72</v>
      </c>
      <c r="Q2325">
        <v>12</v>
      </c>
      <c r="R2325" t="s">
        <v>213</v>
      </c>
      <c r="S2325" s="2" t="s">
        <v>9</v>
      </c>
      <c r="T2325">
        <v>8</v>
      </c>
      <c r="U2325" t="s">
        <v>28</v>
      </c>
      <c r="V2325" t="s">
        <v>28</v>
      </c>
      <c r="W2325">
        <v>20</v>
      </c>
      <c r="X2325">
        <v>19.98</v>
      </c>
      <c r="Y2325">
        <f>22.27-X2325</f>
        <v>2.2899999999999991</v>
      </c>
      <c r="AA2325" s="6"/>
      <c r="AB2325" s="6"/>
    </row>
    <row r="2326" spans="1:28" x14ac:dyDescent="0.2">
      <c r="A2326" t="s">
        <v>382</v>
      </c>
      <c r="B2326">
        <v>2013</v>
      </c>
      <c r="C2326" t="s">
        <v>807</v>
      </c>
      <c r="D2326" t="s">
        <v>825</v>
      </c>
      <c r="E2326" t="s">
        <v>35</v>
      </c>
      <c r="F2326" t="s">
        <v>352</v>
      </c>
      <c r="G2326">
        <v>38.533332999999999</v>
      </c>
      <c r="H2326">
        <v>141.51666700000001</v>
      </c>
      <c r="I2326" t="s">
        <v>761</v>
      </c>
      <c r="J2326" s="2" t="s">
        <v>14</v>
      </c>
      <c r="K2326" t="s">
        <v>351</v>
      </c>
      <c r="L2326" t="s">
        <v>143</v>
      </c>
      <c r="M2326" t="s">
        <v>26</v>
      </c>
      <c r="N2326" t="s">
        <v>85</v>
      </c>
      <c r="O2326" t="s">
        <v>839</v>
      </c>
      <c r="P2326" t="s">
        <v>72</v>
      </c>
      <c r="Q2326">
        <v>12</v>
      </c>
      <c r="R2326" t="s">
        <v>213</v>
      </c>
      <c r="S2326" s="2" t="s">
        <v>27</v>
      </c>
      <c r="T2326">
        <v>8</v>
      </c>
      <c r="U2326" t="s">
        <v>28</v>
      </c>
      <c r="V2326" t="s">
        <v>28</v>
      </c>
      <c r="W2326">
        <v>24</v>
      </c>
      <c r="X2326">
        <v>7.08</v>
      </c>
      <c r="Y2326">
        <f>9.47-X2326</f>
        <v>2.3900000000000006</v>
      </c>
      <c r="AA2326" s="6"/>
      <c r="AB2326" s="6"/>
    </row>
    <row r="2327" spans="1:28" x14ac:dyDescent="0.2">
      <c r="A2327" t="s">
        <v>382</v>
      </c>
      <c r="B2327">
        <v>2013</v>
      </c>
      <c r="C2327" t="s">
        <v>807</v>
      </c>
      <c r="D2327" t="s">
        <v>825</v>
      </c>
      <c r="E2327" t="s">
        <v>35</v>
      </c>
      <c r="F2327" t="s">
        <v>353</v>
      </c>
      <c r="G2327">
        <v>34.216667000000001</v>
      </c>
      <c r="H2327">
        <v>135.61666700000001</v>
      </c>
      <c r="I2327" t="s">
        <v>761</v>
      </c>
      <c r="J2327" s="2" t="s">
        <v>7</v>
      </c>
      <c r="K2327" t="s">
        <v>351</v>
      </c>
      <c r="L2327" t="s">
        <v>143</v>
      </c>
      <c r="M2327" t="s">
        <v>26</v>
      </c>
      <c r="N2327" t="s">
        <v>85</v>
      </c>
      <c r="O2327" t="s">
        <v>839</v>
      </c>
      <c r="P2327" t="s">
        <v>72</v>
      </c>
      <c r="Q2327">
        <v>12</v>
      </c>
      <c r="R2327" t="s">
        <v>213</v>
      </c>
      <c r="S2327" s="2" t="s">
        <v>7</v>
      </c>
      <c r="T2327">
        <v>8</v>
      </c>
      <c r="U2327" t="s">
        <v>28</v>
      </c>
      <c r="V2327" t="s">
        <v>28</v>
      </c>
      <c r="W2327">
        <v>15</v>
      </c>
      <c r="X2327">
        <v>19.07</v>
      </c>
      <c r="Y2327">
        <f>22.2-X2327</f>
        <v>3.129999999999999</v>
      </c>
      <c r="AA2327" s="6"/>
      <c r="AB2327" s="6"/>
    </row>
    <row r="2328" spans="1:28" x14ac:dyDescent="0.2">
      <c r="A2328" t="s">
        <v>382</v>
      </c>
      <c r="B2328">
        <v>2013</v>
      </c>
      <c r="C2328" t="s">
        <v>807</v>
      </c>
      <c r="D2328" t="s">
        <v>825</v>
      </c>
      <c r="E2328" t="s">
        <v>35</v>
      </c>
      <c r="F2328" t="s">
        <v>353</v>
      </c>
      <c r="G2328">
        <v>34.216667000000001</v>
      </c>
      <c r="H2328">
        <v>135.61666700000001</v>
      </c>
      <c r="I2328" t="s">
        <v>761</v>
      </c>
      <c r="J2328" s="2" t="s">
        <v>14</v>
      </c>
      <c r="K2328" t="s">
        <v>351</v>
      </c>
      <c r="L2328" t="s">
        <v>143</v>
      </c>
      <c r="M2328" t="s">
        <v>26</v>
      </c>
      <c r="N2328" t="s">
        <v>85</v>
      </c>
      <c r="O2328" t="s">
        <v>839</v>
      </c>
      <c r="P2328" t="s">
        <v>72</v>
      </c>
      <c r="Q2328">
        <v>12</v>
      </c>
      <c r="R2328" t="s">
        <v>213</v>
      </c>
      <c r="S2328" s="2" t="s">
        <v>9</v>
      </c>
      <c r="T2328">
        <v>8</v>
      </c>
      <c r="U2328" t="s">
        <v>28</v>
      </c>
      <c r="V2328" t="s">
        <v>28</v>
      </c>
      <c r="W2328">
        <v>20</v>
      </c>
      <c r="X2328">
        <v>21.37</v>
      </c>
      <c r="Y2328">
        <f>23.85-X2328</f>
        <v>2.4800000000000004</v>
      </c>
      <c r="AA2328" s="6"/>
      <c r="AB2328" s="6"/>
    </row>
    <row r="2329" spans="1:28" x14ac:dyDescent="0.2">
      <c r="A2329" t="s">
        <v>382</v>
      </c>
      <c r="B2329">
        <v>2013</v>
      </c>
      <c r="C2329" t="s">
        <v>807</v>
      </c>
      <c r="D2329" t="s">
        <v>825</v>
      </c>
      <c r="E2329" t="s">
        <v>35</v>
      </c>
      <c r="F2329" t="s">
        <v>353</v>
      </c>
      <c r="G2329">
        <v>34.216667000000001</v>
      </c>
      <c r="H2329">
        <v>135.61666700000001</v>
      </c>
      <c r="I2329" t="s">
        <v>761</v>
      </c>
      <c r="J2329" s="2" t="s">
        <v>14</v>
      </c>
      <c r="K2329" t="s">
        <v>351</v>
      </c>
      <c r="L2329" t="s">
        <v>143</v>
      </c>
      <c r="M2329" t="s">
        <v>26</v>
      </c>
      <c r="N2329" t="s">
        <v>85</v>
      </c>
      <c r="O2329" t="s">
        <v>839</v>
      </c>
      <c r="P2329" t="s">
        <v>72</v>
      </c>
      <c r="Q2329">
        <v>12</v>
      </c>
      <c r="R2329" t="s">
        <v>213</v>
      </c>
      <c r="S2329" s="2" t="s">
        <v>27</v>
      </c>
      <c r="T2329">
        <v>8</v>
      </c>
      <c r="U2329" t="s">
        <v>28</v>
      </c>
      <c r="V2329" t="s">
        <v>28</v>
      </c>
      <c r="W2329">
        <v>24</v>
      </c>
      <c r="X2329">
        <v>13.24</v>
      </c>
      <c r="Y2329">
        <f>15.88-X2329</f>
        <v>2.6400000000000006</v>
      </c>
      <c r="AA2329" s="6"/>
      <c r="AB2329" s="6"/>
    </row>
    <row r="2330" spans="1:28" x14ac:dyDescent="0.2">
      <c r="A2330" t="s">
        <v>382</v>
      </c>
      <c r="B2330">
        <v>2013</v>
      </c>
      <c r="C2330" t="s">
        <v>807</v>
      </c>
      <c r="D2330" t="s">
        <v>825</v>
      </c>
      <c r="E2330" t="s">
        <v>35</v>
      </c>
      <c r="F2330" t="s">
        <v>353</v>
      </c>
      <c r="G2330">
        <v>34.216667000000001</v>
      </c>
      <c r="H2330">
        <v>135.61666700000001</v>
      </c>
      <c r="I2330" t="s">
        <v>761</v>
      </c>
      <c r="J2330" s="2" t="s">
        <v>14</v>
      </c>
      <c r="K2330" t="s">
        <v>351</v>
      </c>
      <c r="L2330" t="s">
        <v>143</v>
      </c>
      <c r="M2330" t="s">
        <v>26</v>
      </c>
      <c r="N2330" t="s">
        <v>85</v>
      </c>
      <c r="O2330" t="s">
        <v>839</v>
      </c>
      <c r="P2330" t="s">
        <v>72</v>
      </c>
      <c r="Q2330">
        <v>12</v>
      </c>
      <c r="R2330" t="s">
        <v>213</v>
      </c>
      <c r="S2330" s="2" t="s">
        <v>13</v>
      </c>
      <c r="T2330">
        <v>8</v>
      </c>
      <c r="U2330" t="s">
        <v>28</v>
      </c>
      <c r="V2330" t="s">
        <v>28</v>
      </c>
      <c r="W2330">
        <v>27</v>
      </c>
      <c r="X2330">
        <v>3.08</v>
      </c>
      <c r="Y2330">
        <f>4.84-X2330</f>
        <v>1.7599999999999998</v>
      </c>
      <c r="AA2330" s="6"/>
      <c r="AB2330" s="6"/>
    </row>
    <row r="2331" spans="1:28" x14ac:dyDescent="0.2">
      <c r="A2331" t="s">
        <v>382</v>
      </c>
      <c r="B2331">
        <v>2013</v>
      </c>
      <c r="C2331" t="s">
        <v>807</v>
      </c>
      <c r="D2331" t="s">
        <v>825</v>
      </c>
      <c r="E2331" t="s">
        <v>35</v>
      </c>
      <c r="F2331" t="s">
        <v>352</v>
      </c>
      <c r="G2331">
        <v>38.533332999999999</v>
      </c>
      <c r="H2331">
        <v>141.51666700000001</v>
      </c>
      <c r="I2331" t="s">
        <v>761</v>
      </c>
      <c r="J2331" s="2" t="s">
        <v>7</v>
      </c>
      <c r="K2331" t="s">
        <v>351</v>
      </c>
      <c r="L2331" t="s">
        <v>143</v>
      </c>
      <c r="M2331" t="s">
        <v>638</v>
      </c>
      <c r="N2331" t="s">
        <v>85</v>
      </c>
      <c r="O2331" s="6" t="s">
        <v>221</v>
      </c>
      <c r="P2331" t="s">
        <v>108</v>
      </c>
      <c r="Q2331">
        <v>12</v>
      </c>
      <c r="R2331" t="s">
        <v>213</v>
      </c>
      <c r="S2331" s="2" t="s">
        <v>7</v>
      </c>
      <c r="T2331">
        <v>8</v>
      </c>
      <c r="U2331" t="s">
        <v>28</v>
      </c>
      <c r="V2331" t="s">
        <v>28</v>
      </c>
      <c r="W2331">
        <v>15</v>
      </c>
      <c r="X2331">
        <v>0.31900000000000001</v>
      </c>
      <c r="Y2331">
        <f>0.3381-X2331</f>
        <v>1.9100000000000006E-2</v>
      </c>
      <c r="AA2331" s="6"/>
      <c r="AB2331" s="6"/>
    </row>
    <row r="2332" spans="1:28" x14ac:dyDescent="0.2">
      <c r="A2332" t="s">
        <v>382</v>
      </c>
      <c r="B2332">
        <v>2013</v>
      </c>
      <c r="C2332" t="s">
        <v>807</v>
      </c>
      <c r="D2332" t="s">
        <v>825</v>
      </c>
      <c r="E2332" t="s">
        <v>35</v>
      </c>
      <c r="F2332" t="s">
        <v>352</v>
      </c>
      <c r="G2332">
        <v>38.533332999999999</v>
      </c>
      <c r="H2332">
        <v>141.51666700000001</v>
      </c>
      <c r="I2332" t="s">
        <v>761</v>
      </c>
      <c r="J2332" s="2" t="s">
        <v>14</v>
      </c>
      <c r="K2332" t="s">
        <v>351</v>
      </c>
      <c r="L2332" t="s">
        <v>143</v>
      </c>
      <c r="M2332" t="s">
        <v>638</v>
      </c>
      <c r="N2332" t="s">
        <v>85</v>
      </c>
      <c r="O2332" s="6" t="s">
        <v>221</v>
      </c>
      <c r="P2332" t="s">
        <v>108</v>
      </c>
      <c r="Q2332">
        <v>12</v>
      </c>
      <c r="R2332" t="s">
        <v>213</v>
      </c>
      <c r="S2332" s="2" t="s">
        <v>9</v>
      </c>
      <c r="T2332">
        <v>8</v>
      </c>
      <c r="U2332" t="s">
        <v>28</v>
      </c>
      <c r="V2332" t="s">
        <v>28</v>
      </c>
      <c r="W2332">
        <v>20</v>
      </c>
      <c r="X2332">
        <v>0.3286</v>
      </c>
      <c r="Y2332">
        <f>0.3722-X2332</f>
        <v>4.3599999999999972E-2</v>
      </c>
      <c r="AA2332" s="6"/>
      <c r="AB2332" s="6"/>
    </row>
    <row r="2333" spans="1:28" x14ac:dyDescent="0.2">
      <c r="A2333" t="s">
        <v>382</v>
      </c>
      <c r="B2333">
        <v>2013</v>
      </c>
      <c r="C2333" t="s">
        <v>807</v>
      </c>
      <c r="D2333" t="s">
        <v>825</v>
      </c>
      <c r="E2333" t="s">
        <v>35</v>
      </c>
      <c r="F2333" t="s">
        <v>352</v>
      </c>
      <c r="G2333">
        <v>38.533332999999999</v>
      </c>
      <c r="H2333">
        <v>141.51666700000001</v>
      </c>
      <c r="I2333" t="s">
        <v>761</v>
      </c>
      <c r="J2333" s="2" t="s">
        <v>14</v>
      </c>
      <c r="K2333" t="s">
        <v>351</v>
      </c>
      <c r="L2333" t="s">
        <v>143</v>
      </c>
      <c r="M2333" t="s">
        <v>638</v>
      </c>
      <c r="N2333" t="s">
        <v>85</v>
      </c>
      <c r="O2333" s="6" t="s">
        <v>221</v>
      </c>
      <c r="P2333" t="s">
        <v>108</v>
      </c>
      <c r="Q2333">
        <v>12</v>
      </c>
      <c r="R2333" t="s">
        <v>213</v>
      </c>
      <c r="S2333" s="2" t="s">
        <v>27</v>
      </c>
      <c r="T2333">
        <v>8</v>
      </c>
      <c r="U2333" t="s">
        <v>28</v>
      </c>
      <c r="V2333" t="s">
        <v>28</v>
      </c>
      <c r="W2333">
        <v>24</v>
      </c>
      <c r="X2333">
        <v>0.33329999999999999</v>
      </c>
      <c r="Y2333">
        <f>0.3794-X2333</f>
        <v>4.610000000000003E-2</v>
      </c>
      <c r="AA2333" s="6"/>
      <c r="AB2333" s="6"/>
    </row>
    <row r="2334" spans="1:28" x14ac:dyDescent="0.2">
      <c r="A2334" t="s">
        <v>382</v>
      </c>
      <c r="B2334">
        <v>2013</v>
      </c>
      <c r="C2334" t="s">
        <v>807</v>
      </c>
      <c r="D2334" t="s">
        <v>825</v>
      </c>
      <c r="E2334" t="s">
        <v>35</v>
      </c>
      <c r="F2334" t="s">
        <v>353</v>
      </c>
      <c r="G2334">
        <v>34.216667000000001</v>
      </c>
      <c r="H2334">
        <v>135.61666700000001</v>
      </c>
      <c r="I2334" t="s">
        <v>761</v>
      </c>
      <c r="J2334" s="2" t="s">
        <v>7</v>
      </c>
      <c r="K2334" t="s">
        <v>351</v>
      </c>
      <c r="L2334" t="s">
        <v>143</v>
      </c>
      <c r="M2334" t="s">
        <v>638</v>
      </c>
      <c r="N2334" t="s">
        <v>85</v>
      </c>
      <c r="O2334" s="6" t="s">
        <v>221</v>
      </c>
      <c r="P2334" t="s">
        <v>108</v>
      </c>
      <c r="Q2334">
        <v>12</v>
      </c>
      <c r="R2334" t="s">
        <v>213</v>
      </c>
      <c r="S2334" s="2" t="s">
        <v>7</v>
      </c>
      <c r="T2334">
        <v>8</v>
      </c>
      <c r="U2334" t="s">
        <v>28</v>
      </c>
      <c r="V2334" t="s">
        <v>28</v>
      </c>
      <c r="W2334">
        <v>15</v>
      </c>
      <c r="X2334">
        <v>0.34260000000000002</v>
      </c>
      <c r="Y2334">
        <f>0.3679-X2334</f>
        <v>2.5299999999999989E-2</v>
      </c>
      <c r="AA2334" s="6"/>
      <c r="AB2334" s="6"/>
    </row>
    <row r="2335" spans="1:28" x14ac:dyDescent="0.2">
      <c r="A2335" t="s">
        <v>382</v>
      </c>
      <c r="B2335">
        <v>2013</v>
      </c>
      <c r="C2335" t="s">
        <v>807</v>
      </c>
      <c r="D2335" t="s">
        <v>825</v>
      </c>
      <c r="E2335" t="s">
        <v>35</v>
      </c>
      <c r="F2335" t="s">
        <v>353</v>
      </c>
      <c r="G2335">
        <v>34.216667000000001</v>
      </c>
      <c r="H2335">
        <v>135.61666700000001</v>
      </c>
      <c r="I2335" t="s">
        <v>761</v>
      </c>
      <c r="J2335" s="2" t="s">
        <v>14</v>
      </c>
      <c r="K2335" t="s">
        <v>351</v>
      </c>
      <c r="L2335" t="s">
        <v>143</v>
      </c>
      <c r="M2335" t="s">
        <v>638</v>
      </c>
      <c r="N2335" t="s">
        <v>85</v>
      </c>
      <c r="O2335" s="6" t="s">
        <v>221</v>
      </c>
      <c r="P2335" t="s">
        <v>108</v>
      </c>
      <c r="Q2335">
        <v>12</v>
      </c>
      <c r="R2335" t="s">
        <v>213</v>
      </c>
      <c r="S2335" s="2" t="s">
        <v>9</v>
      </c>
      <c r="T2335">
        <v>8</v>
      </c>
      <c r="U2335" t="s">
        <v>28</v>
      </c>
      <c r="V2335" t="s">
        <v>28</v>
      </c>
      <c r="W2335">
        <v>20</v>
      </c>
      <c r="X2335">
        <v>0.35920000000000002</v>
      </c>
      <c r="Y2335">
        <f>0.3853-X2335</f>
        <v>2.6099999999999957E-2</v>
      </c>
      <c r="AA2335" s="6"/>
      <c r="AB2335" s="6"/>
    </row>
    <row r="2336" spans="1:28" x14ac:dyDescent="0.2">
      <c r="A2336" t="s">
        <v>382</v>
      </c>
      <c r="B2336">
        <v>2013</v>
      </c>
      <c r="C2336" t="s">
        <v>807</v>
      </c>
      <c r="D2336" t="s">
        <v>825</v>
      </c>
      <c r="E2336" t="s">
        <v>35</v>
      </c>
      <c r="F2336" t="s">
        <v>353</v>
      </c>
      <c r="G2336">
        <v>34.216667000000001</v>
      </c>
      <c r="H2336">
        <v>135.61666700000001</v>
      </c>
      <c r="I2336" t="s">
        <v>761</v>
      </c>
      <c r="J2336" s="2" t="s">
        <v>14</v>
      </c>
      <c r="K2336" t="s">
        <v>351</v>
      </c>
      <c r="L2336" t="s">
        <v>143</v>
      </c>
      <c r="M2336" t="s">
        <v>638</v>
      </c>
      <c r="N2336" t="s">
        <v>85</v>
      </c>
      <c r="O2336" s="6" t="s">
        <v>221</v>
      </c>
      <c r="P2336" t="s">
        <v>108</v>
      </c>
      <c r="Q2336">
        <v>12</v>
      </c>
      <c r="R2336" t="s">
        <v>213</v>
      </c>
      <c r="S2336" s="2" t="s">
        <v>27</v>
      </c>
      <c r="T2336">
        <v>8</v>
      </c>
      <c r="U2336" t="s">
        <v>28</v>
      </c>
      <c r="V2336" t="s">
        <v>28</v>
      </c>
      <c r="W2336">
        <v>24</v>
      </c>
      <c r="X2336">
        <v>0.36159999999999998</v>
      </c>
      <c r="Y2336">
        <f>0.3869-X2336</f>
        <v>2.5300000000000045E-2</v>
      </c>
      <c r="AA2336" s="6"/>
      <c r="AB2336" s="6"/>
    </row>
    <row r="2337" spans="1:28" x14ac:dyDescent="0.2">
      <c r="A2337" t="s">
        <v>382</v>
      </c>
      <c r="B2337">
        <v>2013</v>
      </c>
      <c r="C2337" t="s">
        <v>807</v>
      </c>
      <c r="D2337" t="s">
        <v>825</v>
      </c>
      <c r="E2337" t="s">
        <v>35</v>
      </c>
      <c r="F2337" t="s">
        <v>353</v>
      </c>
      <c r="G2337">
        <v>34.216667000000001</v>
      </c>
      <c r="H2337">
        <v>135.61666700000001</v>
      </c>
      <c r="I2337" t="s">
        <v>761</v>
      </c>
      <c r="J2337" s="2" t="s">
        <v>14</v>
      </c>
      <c r="K2337" t="s">
        <v>351</v>
      </c>
      <c r="L2337" t="s">
        <v>143</v>
      </c>
      <c r="M2337" t="s">
        <v>638</v>
      </c>
      <c r="N2337" t="s">
        <v>85</v>
      </c>
      <c r="O2337" s="6" t="s">
        <v>221</v>
      </c>
      <c r="P2337" t="s">
        <v>108</v>
      </c>
      <c r="Q2337">
        <v>12</v>
      </c>
      <c r="R2337" t="s">
        <v>213</v>
      </c>
      <c r="S2337" s="2" t="s">
        <v>13</v>
      </c>
      <c r="T2337">
        <v>8</v>
      </c>
      <c r="U2337" t="s">
        <v>28</v>
      </c>
      <c r="V2337" t="s">
        <v>28</v>
      </c>
      <c r="W2337">
        <v>27</v>
      </c>
      <c r="X2337">
        <v>0.34649999999999997</v>
      </c>
      <c r="Y2337">
        <f>0.3782-X2337</f>
        <v>3.1700000000000006E-2</v>
      </c>
      <c r="AA2337" s="6"/>
      <c r="AB2337" s="6"/>
    </row>
    <row r="2338" spans="1:28" x14ac:dyDescent="0.2">
      <c r="A2338" t="s">
        <v>382</v>
      </c>
      <c r="B2338">
        <v>2013</v>
      </c>
      <c r="C2338" t="s">
        <v>807</v>
      </c>
      <c r="D2338" t="s">
        <v>825</v>
      </c>
      <c r="E2338" t="s">
        <v>35</v>
      </c>
      <c r="F2338" t="s">
        <v>352</v>
      </c>
      <c r="G2338">
        <v>38.533332999999999</v>
      </c>
      <c r="H2338">
        <v>141.51666700000001</v>
      </c>
      <c r="I2338" t="s">
        <v>761</v>
      </c>
      <c r="J2338" s="2" t="s">
        <v>7</v>
      </c>
      <c r="K2338" t="s">
        <v>351</v>
      </c>
      <c r="L2338" t="s">
        <v>143</v>
      </c>
      <c r="M2338" t="s">
        <v>638</v>
      </c>
      <c r="N2338" t="s">
        <v>85</v>
      </c>
      <c r="O2338" s="6" t="s">
        <v>107</v>
      </c>
      <c r="P2338" t="s">
        <v>108</v>
      </c>
      <c r="Q2338">
        <v>12</v>
      </c>
      <c r="R2338" t="s">
        <v>213</v>
      </c>
      <c r="S2338" s="2" t="s">
        <v>7</v>
      </c>
      <c r="T2338">
        <v>8</v>
      </c>
      <c r="U2338" t="s">
        <v>28</v>
      </c>
      <c r="V2338" t="s">
        <v>28</v>
      </c>
      <c r="W2338">
        <v>15</v>
      </c>
      <c r="X2338">
        <v>0.35620000000000002</v>
      </c>
      <c r="Y2338">
        <f>0.3738-X2338</f>
        <v>1.7600000000000005E-2</v>
      </c>
      <c r="AA2338" s="6"/>
      <c r="AB2338" s="6"/>
    </row>
    <row r="2339" spans="1:28" x14ac:dyDescent="0.2">
      <c r="A2339" t="s">
        <v>382</v>
      </c>
      <c r="B2339">
        <v>2013</v>
      </c>
      <c r="C2339" t="s">
        <v>807</v>
      </c>
      <c r="D2339" t="s">
        <v>825</v>
      </c>
      <c r="E2339" t="s">
        <v>35</v>
      </c>
      <c r="F2339" t="s">
        <v>352</v>
      </c>
      <c r="G2339">
        <v>38.533332999999999</v>
      </c>
      <c r="H2339">
        <v>141.51666700000001</v>
      </c>
      <c r="I2339" t="s">
        <v>761</v>
      </c>
      <c r="J2339" s="2" t="s">
        <v>14</v>
      </c>
      <c r="K2339" t="s">
        <v>351</v>
      </c>
      <c r="L2339" t="s">
        <v>143</v>
      </c>
      <c r="M2339" t="s">
        <v>638</v>
      </c>
      <c r="N2339" t="s">
        <v>85</v>
      </c>
      <c r="O2339" s="6" t="s">
        <v>107</v>
      </c>
      <c r="P2339" t="s">
        <v>108</v>
      </c>
      <c r="Q2339">
        <v>12</v>
      </c>
      <c r="R2339" t="s">
        <v>213</v>
      </c>
      <c r="S2339" s="2" t="s">
        <v>9</v>
      </c>
      <c r="T2339">
        <v>8</v>
      </c>
      <c r="U2339" t="s">
        <v>28</v>
      </c>
      <c r="V2339" t="s">
        <v>28</v>
      </c>
      <c r="W2339">
        <v>20</v>
      </c>
      <c r="X2339">
        <v>0.36099999999999999</v>
      </c>
      <c r="Y2339">
        <f>0.397-X2339</f>
        <v>3.6000000000000032E-2</v>
      </c>
      <c r="AA2339" s="6"/>
      <c r="AB2339" s="6"/>
    </row>
    <row r="2340" spans="1:28" x14ac:dyDescent="0.2">
      <c r="A2340" t="s">
        <v>382</v>
      </c>
      <c r="B2340">
        <v>2013</v>
      </c>
      <c r="C2340" t="s">
        <v>807</v>
      </c>
      <c r="D2340" t="s">
        <v>825</v>
      </c>
      <c r="E2340" t="s">
        <v>35</v>
      </c>
      <c r="F2340" t="s">
        <v>352</v>
      </c>
      <c r="G2340">
        <v>38.533332999999999</v>
      </c>
      <c r="H2340">
        <v>141.51666700000001</v>
      </c>
      <c r="I2340" t="s">
        <v>761</v>
      </c>
      <c r="J2340" s="2" t="s">
        <v>14</v>
      </c>
      <c r="K2340" t="s">
        <v>351</v>
      </c>
      <c r="L2340" t="s">
        <v>143</v>
      </c>
      <c r="M2340" t="s">
        <v>638</v>
      </c>
      <c r="N2340" t="s">
        <v>85</v>
      </c>
      <c r="O2340" s="6" t="s">
        <v>107</v>
      </c>
      <c r="P2340" t="s">
        <v>108</v>
      </c>
      <c r="Q2340">
        <v>12</v>
      </c>
      <c r="R2340" t="s">
        <v>213</v>
      </c>
      <c r="S2340" s="2" t="s">
        <v>27</v>
      </c>
      <c r="T2340">
        <v>8</v>
      </c>
      <c r="U2340" t="s">
        <v>28</v>
      </c>
      <c r="V2340" t="s">
        <v>28</v>
      </c>
      <c r="W2340">
        <v>24</v>
      </c>
      <c r="X2340">
        <v>0.35460000000000003</v>
      </c>
      <c r="Y2340">
        <f>0.3922-X2340</f>
        <v>3.7599999999999967E-2</v>
      </c>
      <c r="AA2340" s="6"/>
      <c r="AB2340" s="6"/>
    </row>
    <row r="2341" spans="1:28" x14ac:dyDescent="0.2">
      <c r="A2341" t="s">
        <v>382</v>
      </c>
      <c r="B2341">
        <v>2013</v>
      </c>
      <c r="C2341" t="s">
        <v>807</v>
      </c>
      <c r="D2341" t="s">
        <v>825</v>
      </c>
      <c r="E2341" t="s">
        <v>35</v>
      </c>
      <c r="F2341" t="s">
        <v>353</v>
      </c>
      <c r="G2341">
        <v>34.216667000000001</v>
      </c>
      <c r="H2341">
        <v>135.61666700000001</v>
      </c>
      <c r="I2341" t="s">
        <v>761</v>
      </c>
      <c r="J2341" s="2" t="s">
        <v>7</v>
      </c>
      <c r="K2341" t="s">
        <v>351</v>
      </c>
      <c r="L2341" t="s">
        <v>143</v>
      </c>
      <c r="M2341" t="s">
        <v>638</v>
      </c>
      <c r="N2341" t="s">
        <v>85</v>
      </c>
      <c r="O2341" s="6" t="s">
        <v>107</v>
      </c>
      <c r="P2341" t="s">
        <v>108</v>
      </c>
      <c r="Q2341">
        <v>12</v>
      </c>
      <c r="R2341" t="s">
        <v>213</v>
      </c>
      <c r="S2341" s="2" t="s">
        <v>7</v>
      </c>
      <c r="T2341">
        <v>8</v>
      </c>
      <c r="U2341" t="s">
        <v>28</v>
      </c>
      <c r="V2341" t="s">
        <v>28</v>
      </c>
      <c r="W2341">
        <v>15</v>
      </c>
      <c r="X2341">
        <v>0.39789999999999998</v>
      </c>
      <c r="Y2341">
        <f>0.4185-X2341</f>
        <v>2.0600000000000007E-2</v>
      </c>
      <c r="AA2341" s="6"/>
      <c r="AB2341" s="6"/>
    </row>
    <row r="2342" spans="1:28" x14ac:dyDescent="0.2">
      <c r="A2342" t="s">
        <v>382</v>
      </c>
      <c r="B2342">
        <v>2013</v>
      </c>
      <c r="C2342" t="s">
        <v>807</v>
      </c>
      <c r="D2342" t="s">
        <v>825</v>
      </c>
      <c r="E2342" t="s">
        <v>35</v>
      </c>
      <c r="F2342" t="s">
        <v>353</v>
      </c>
      <c r="G2342">
        <v>34.216667000000001</v>
      </c>
      <c r="H2342">
        <v>135.61666700000001</v>
      </c>
      <c r="I2342" t="s">
        <v>761</v>
      </c>
      <c r="J2342" s="2" t="s">
        <v>14</v>
      </c>
      <c r="K2342" t="s">
        <v>351</v>
      </c>
      <c r="L2342" t="s">
        <v>143</v>
      </c>
      <c r="M2342" t="s">
        <v>638</v>
      </c>
      <c r="N2342" t="s">
        <v>85</v>
      </c>
      <c r="O2342" s="6" t="s">
        <v>107</v>
      </c>
      <c r="P2342" t="s">
        <v>108</v>
      </c>
      <c r="Q2342">
        <v>12</v>
      </c>
      <c r="R2342" t="s">
        <v>213</v>
      </c>
      <c r="S2342" s="2" t="s">
        <v>9</v>
      </c>
      <c r="T2342">
        <v>8</v>
      </c>
      <c r="U2342" t="s">
        <v>28</v>
      </c>
      <c r="V2342" t="s">
        <v>28</v>
      </c>
      <c r="W2342">
        <v>20</v>
      </c>
      <c r="X2342">
        <v>0.40660000000000002</v>
      </c>
      <c r="Y2342">
        <f>0.4233-X2342</f>
        <v>1.6699999999999993E-2</v>
      </c>
      <c r="AA2342" s="6"/>
      <c r="AB2342" s="6"/>
    </row>
    <row r="2343" spans="1:28" x14ac:dyDescent="0.2">
      <c r="A2343" t="s">
        <v>382</v>
      </c>
      <c r="B2343">
        <v>2013</v>
      </c>
      <c r="C2343" t="s">
        <v>807</v>
      </c>
      <c r="D2343" t="s">
        <v>825</v>
      </c>
      <c r="E2343" t="s">
        <v>35</v>
      </c>
      <c r="F2343" t="s">
        <v>353</v>
      </c>
      <c r="G2343">
        <v>34.216667000000001</v>
      </c>
      <c r="H2343">
        <v>135.61666700000001</v>
      </c>
      <c r="I2343" t="s">
        <v>761</v>
      </c>
      <c r="J2343" s="2" t="s">
        <v>14</v>
      </c>
      <c r="K2343" t="s">
        <v>351</v>
      </c>
      <c r="L2343" t="s">
        <v>143</v>
      </c>
      <c r="M2343" t="s">
        <v>638</v>
      </c>
      <c r="N2343" t="s">
        <v>85</v>
      </c>
      <c r="O2343" s="6" t="s">
        <v>107</v>
      </c>
      <c r="P2343" t="s">
        <v>108</v>
      </c>
      <c r="Q2343">
        <v>12</v>
      </c>
      <c r="R2343" t="s">
        <v>213</v>
      </c>
      <c r="S2343" s="2" t="s">
        <v>27</v>
      </c>
      <c r="T2343">
        <v>8</v>
      </c>
      <c r="U2343" t="s">
        <v>28</v>
      </c>
      <c r="V2343" t="s">
        <v>28</v>
      </c>
      <c r="W2343">
        <v>24</v>
      </c>
      <c r="X2343">
        <v>0.40899999999999997</v>
      </c>
      <c r="Y2343">
        <f>0.4296-X2343</f>
        <v>2.0600000000000007E-2</v>
      </c>
      <c r="AA2343" s="6"/>
      <c r="AB2343" s="6"/>
    </row>
    <row r="2344" spans="1:28" x14ac:dyDescent="0.2">
      <c r="A2344" t="s">
        <v>382</v>
      </c>
      <c r="B2344">
        <v>2013</v>
      </c>
      <c r="C2344" t="s">
        <v>807</v>
      </c>
      <c r="D2344" t="s">
        <v>825</v>
      </c>
      <c r="E2344" t="s">
        <v>35</v>
      </c>
      <c r="F2344" t="s">
        <v>353</v>
      </c>
      <c r="G2344">
        <v>34.216667000000001</v>
      </c>
      <c r="H2344">
        <v>135.61666700000001</v>
      </c>
      <c r="I2344" t="s">
        <v>761</v>
      </c>
      <c r="J2344" s="2" t="s">
        <v>14</v>
      </c>
      <c r="K2344" t="s">
        <v>351</v>
      </c>
      <c r="L2344" t="s">
        <v>143</v>
      </c>
      <c r="M2344" t="s">
        <v>638</v>
      </c>
      <c r="N2344" t="s">
        <v>85</v>
      </c>
      <c r="O2344" s="6" t="s">
        <v>107</v>
      </c>
      <c r="P2344" t="s">
        <v>108</v>
      </c>
      <c r="Q2344">
        <v>12</v>
      </c>
      <c r="R2344" t="s">
        <v>213</v>
      </c>
      <c r="S2344" s="2" t="s">
        <v>13</v>
      </c>
      <c r="T2344">
        <v>8</v>
      </c>
      <c r="U2344" t="s">
        <v>28</v>
      </c>
      <c r="V2344" t="s">
        <v>28</v>
      </c>
      <c r="W2344">
        <v>27</v>
      </c>
      <c r="X2344">
        <v>0.40589999999999998</v>
      </c>
      <c r="Y2344">
        <f>0.4359-X2344</f>
        <v>3.0000000000000027E-2</v>
      </c>
      <c r="AA2344" s="6"/>
      <c r="AB2344" s="6"/>
    </row>
    <row r="2345" spans="1:28" x14ac:dyDescent="0.2">
      <c r="A2345" t="s">
        <v>354</v>
      </c>
      <c r="B2345">
        <v>2020</v>
      </c>
      <c r="C2345" t="s">
        <v>807</v>
      </c>
      <c r="D2345" t="s">
        <v>825</v>
      </c>
      <c r="E2345" t="s">
        <v>35</v>
      </c>
      <c r="F2345" t="s">
        <v>355</v>
      </c>
      <c r="G2345">
        <v>38.655278000000003</v>
      </c>
      <c r="H2345">
        <v>141.460556</v>
      </c>
      <c r="I2345" t="s">
        <v>770</v>
      </c>
      <c r="J2345" s="2" t="s">
        <v>7</v>
      </c>
      <c r="K2345" t="s">
        <v>143</v>
      </c>
      <c r="L2345" t="s">
        <v>143</v>
      </c>
      <c r="M2345" t="s">
        <v>26</v>
      </c>
      <c r="N2345" t="s">
        <v>85</v>
      </c>
      <c r="O2345" t="s">
        <v>839</v>
      </c>
      <c r="P2345" t="s">
        <v>72</v>
      </c>
      <c r="Q2345">
        <v>6</v>
      </c>
      <c r="R2345" t="s">
        <v>213</v>
      </c>
      <c r="S2345" s="2" t="s">
        <v>7</v>
      </c>
      <c r="T2345">
        <v>8</v>
      </c>
      <c r="U2345" t="s">
        <v>28</v>
      </c>
      <c r="V2345" t="s">
        <v>28</v>
      </c>
      <c r="W2345">
        <v>15</v>
      </c>
      <c r="X2345">
        <v>0.83</v>
      </c>
      <c r="Y2345">
        <f>2.26-X2345</f>
        <v>1.4299999999999997</v>
      </c>
      <c r="AA2345" s="6"/>
      <c r="AB2345" s="6"/>
    </row>
    <row r="2346" spans="1:28" x14ac:dyDescent="0.2">
      <c r="A2346" t="s">
        <v>354</v>
      </c>
      <c r="B2346">
        <v>2020</v>
      </c>
      <c r="C2346" t="s">
        <v>807</v>
      </c>
      <c r="D2346" t="s">
        <v>825</v>
      </c>
      <c r="E2346" t="s">
        <v>35</v>
      </c>
      <c r="F2346" t="s">
        <v>355</v>
      </c>
      <c r="G2346">
        <v>38.655278000000003</v>
      </c>
      <c r="H2346">
        <v>141.460556</v>
      </c>
      <c r="I2346" t="s">
        <v>770</v>
      </c>
      <c r="J2346" s="2" t="s">
        <v>14</v>
      </c>
      <c r="K2346" t="s">
        <v>143</v>
      </c>
      <c r="L2346" t="s">
        <v>143</v>
      </c>
      <c r="M2346" t="s">
        <v>26</v>
      </c>
      <c r="N2346" t="s">
        <v>85</v>
      </c>
      <c r="O2346" t="s">
        <v>839</v>
      </c>
      <c r="P2346" t="s">
        <v>72</v>
      </c>
      <c r="Q2346">
        <v>6</v>
      </c>
      <c r="R2346" t="s">
        <v>213</v>
      </c>
      <c r="S2346" s="2" t="s">
        <v>9</v>
      </c>
      <c r="T2346">
        <v>8</v>
      </c>
      <c r="U2346" t="s">
        <v>28</v>
      </c>
      <c r="V2346" t="s">
        <v>28</v>
      </c>
      <c r="W2346">
        <v>18</v>
      </c>
      <c r="X2346">
        <v>-3.69</v>
      </c>
      <c r="Y2346">
        <f>ABS(-4.88-X2346)</f>
        <v>1.19</v>
      </c>
      <c r="AA2346" s="6"/>
      <c r="AB2346" s="6"/>
    </row>
    <row r="2347" spans="1:28" x14ac:dyDescent="0.2">
      <c r="A2347" t="s">
        <v>440</v>
      </c>
      <c r="B2347">
        <v>2017</v>
      </c>
      <c r="C2347" t="s">
        <v>811</v>
      </c>
      <c r="D2347" t="s">
        <v>814</v>
      </c>
      <c r="E2347" t="s">
        <v>357</v>
      </c>
      <c r="F2347" t="s">
        <v>358</v>
      </c>
      <c r="G2347">
        <v>39.855556</v>
      </c>
      <c r="H2347">
        <v>139.81555599999999</v>
      </c>
      <c r="I2347" t="s">
        <v>771</v>
      </c>
      <c r="J2347" s="2" t="s">
        <v>7</v>
      </c>
      <c r="K2347" t="s">
        <v>95</v>
      </c>
      <c r="L2347" t="s">
        <v>143</v>
      </c>
      <c r="M2347" t="s">
        <v>26</v>
      </c>
      <c r="N2347" t="s">
        <v>85</v>
      </c>
      <c r="O2347" t="s">
        <v>839</v>
      </c>
      <c r="P2347" t="s">
        <v>72</v>
      </c>
      <c r="Q2347">
        <v>9</v>
      </c>
      <c r="R2347" t="s">
        <v>213</v>
      </c>
      <c r="S2347" s="2" t="s">
        <v>7</v>
      </c>
      <c r="T2347">
        <v>6</v>
      </c>
      <c r="U2347" t="s">
        <v>28</v>
      </c>
      <c r="V2347" t="s">
        <v>28</v>
      </c>
      <c r="W2347">
        <v>23</v>
      </c>
      <c r="X2347">
        <v>5.383</v>
      </c>
      <c r="Y2347">
        <f>7.327-X2347</f>
        <v>1.944</v>
      </c>
      <c r="AA2347" s="6"/>
      <c r="AB2347" s="6"/>
    </row>
    <row r="2348" spans="1:28" x14ac:dyDescent="0.2">
      <c r="A2348" t="s">
        <v>440</v>
      </c>
      <c r="B2348">
        <v>2017</v>
      </c>
      <c r="C2348" t="s">
        <v>811</v>
      </c>
      <c r="D2348" t="s">
        <v>814</v>
      </c>
      <c r="E2348" t="s">
        <v>357</v>
      </c>
      <c r="F2348" t="s">
        <v>358</v>
      </c>
      <c r="G2348">
        <v>39.855556</v>
      </c>
      <c r="H2348">
        <v>139.81555599999999</v>
      </c>
      <c r="I2348" t="s">
        <v>771</v>
      </c>
      <c r="J2348" s="2" t="s">
        <v>14</v>
      </c>
      <c r="K2348" t="s">
        <v>95</v>
      </c>
      <c r="L2348" t="s">
        <v>143</v>
      </c>
      <c r="M2348" t="s">
        <v>26</v>
      </c>
      <c r="N2348" t="s">
        <v>85</v>
      </c>
      <c r="O2348" t="s">
        <v>839</v>
      </c>
      <c r="P2348" t="s">
        <v>72</v>
      </c>
      <c r="Q2348">
        <v>9</v>
      </c>
      <c r="R2348" t="s">
        <v>213</v>
      </c>
      <c r="S2348" s="2" t="s">
        <v>9</v>
      </c>
      <c r="T2348">
        <v>6</v>
      </c>
      <c r="U2348" t="s">
        <v>28</v>
      </c>
      <c r="V2348" t="s">
        <v>28</v>
      </c>
      <c r="W2348">
        <v>26</v>
      </c>
      <c r="X2348">
        <v>1.944</v>
      </c>
      <c r="Y2348">
        <f>5.047-X2348</f>
        <v>3.1029999999999998</v>
      </c>
      <c r="AA2348" s="6"/>
      <c r="AB2348" s="6"/>
    </row>
    <row r="2349" spans="1:28" x14ac:dyDescent="0.2">
      <c r="A2349" t="s">
        <v>440</v>
      </c>
      <c r="B2349">
        <v>2017</v>
      </c>
      <c r="C2349" t="s">
        <v>811</v>
      </c>
      <c r="D2349" t="s">
        <v>814</v>
      </c>
      <c r="E2349" t="s">
        <v>357</v>
      </c>
      <c r="F2349" t="s">
        <v>358</v>
      </c>
      <c r="G2349">
        <v>39.855556</v>
      </c>
      <c r="H2349">
        <v>139.81555599999999</v>
      </c>
      <c r="I2349" t="s">
        <v>771</v>
      </c>
      <c r="J2349" s="2" t="s">
        <v>7</v>
      </c>
      <c r="K2349" t="s">
        <v>95</v>
      </c>
      <c r="L2349" t="s">
        <v>143</v>
      </c>
      <c r="M2349" t="s">
        <v>26</v>
      </c>
      <c r="N2349" t="s">
        <v>85</v>
      </c>
      <c r="O2349" s="6" t="s">
        <v>462</v>
      </c>
      <c r="P2349" t="s">
        <v>72</v>
      </c>
      <c r="Q2349">
        <v>9</v>
      </c>
      <c r="R2349" t="s">
        <v>213</v>
      </c>
      <c r="S2349" s="2" t="s">
        <v>7</v>
      </c>
      <c r="T2349">
        <v>6</v>
      </c>
      <c r="U2349" t="s">
        <v>28</v>
      </c>
      <c r="V2349" t="s">
        <v>28</v>
      </c>
      <c r="W2349">
        <v>23</v>
      </c>
      <c r="X2349">
        <v>-0.16700000000000001</v>
      </c>
      <c r="Y2349">
        <f>ABS(-2.366-X2349)</f>
        <v>2.1990000000000003</v>
      </c>
      <c r="AA2349" s="6"/>
      <c r="AB2349" s="6"/>
    </row>
    <row r="2350" spans="1:28" x14ac:dyDescent="0.2">
      <c r="A2350" t="s">
        <v>440</v>
      </c>
      <c r="B2350">
        <v>2017</v>
      </c>
      <c r="C2350" t="s">
        <v>811</v>
      </c>
      <c r="D2350" t="s">
        <v>814</v>
      </c>
      <c r="E2350" t="s">
        <v>357</v>
      </c>
      <c r="F2350" t="s">
        <v>358</v>
      </c>
      <c r="G2350">
        <v>39.855556</v>
      </c>
      <c r="H2350">
        <v>139.81555599999999</v>
      </c>
      <c r="I2350" t="s">
        <v>771</v>
      </c>
      <c r="J2350" s="2" t="s">
        <v>14</v>
      </c>
      <c r="K2350" t="s">
        <v>95</v>
      </c>
      <c r="L2350" t="s">
        <v>143</v>
      </c>
      <c r="M2350" t="s">
        <v>26</v>
      </c>
      <c r="N2350" t="s">
        <v>85</v>
      </c>
      <c r="O2350" s="6" t="s">
        <v>462</v>
      </c>
      <c r="P2350" t="s">
        <v>72</v>
      </c>
      <c r="Q2350">
        <v>9</v>
      </c>
      <c r="R2350" t="s">
        <v>213</v>
      </c>
      <c r="S2350" s="2" t="s">
        <v>9</v>
      </c>
      <c r="T2350">
        <v>6</v>
      </c>
      <c r="U2350" t="s">
        <v>28</v>
      </c>
      <c r="V2350" t="s">
        <v>28</v>
      </c>
      <c r="W2350">
        <v>26</v>
      </c>
      <c r="X2350">
        <v>-0.49099999999999999</v>
      </c>
      <c r="Y2350">
        <f>ABS(-4.148-X2350)</f>
        <v>3.6569999999999996</v>
      </c>
      <c r="AA2350" s="6"/>
      <c r="AB2350" s="6"/>
    </row>
    <row r="2351" spans="1:28" x14ac:dyDescent="0.2">
      <c r="A2351" t="s">
        <v>440</v>
      </c>
      <c r="B2351">
        <v>2017</v>
      </c>
      <c r="C2351" t="s">
        <v>811</v>
      </c>
      <c r="D2351" t="s">
        <v>814</v>
      </c>
      <c r="E2351" t="s">
        <v>357</v>
      </c>
      <c r="F2351" t="s">
        <v>358</v>
      </c>
      <c r="G2351">
        <v>39.855556</v>
      </c>
      <c r="H2351">
        <v>139.81555599999999</v>
      </c>
      <c r="I2351" t="s">
        <v>771</v>
      </c>
      <c r="J2351" s="2" t="s">
        <v>7</v>
      </c>
      <c r="K2351" t="s">
        <v>95</v>
      </c>
      <c r="L2351" t="s">
        <v>143</v>
      </c>
      <c r="M2351" t="s">
        <v>26</v>
      </c>
      <c r="N2351" t="s">
        <v>85</v>
      </c>
      <c r="O2351" s="6" t="s">
        <v>840</v>
      </c>
      <c r="P2351" t="s">
        <v>72</v>
      </c>
      <c r="Q2351">
        <v>9</v>
      </c>
      <c r="R2351" t="s">
        <v>213</v>
      </c>
      <c r="S2351" s="2" t="s">
        <v>7</v>
      </c>
      <c r="T2351">
        <v>6</v>
      </c>
      <c r="U2351" t="s">
        <v>28</v>
      </c>
      <c r="V2351" t="s">
        <v>28</v>
      </c>
      <c r="W2351">
        <v>23</v>
      </c>
      <c r="X2351">
        <v>2.9220000000000002</v>
      </c>
      <c r="Y2351">
        <f>5.689-X2351</f>
        <v>2.7669999999999999</v>
      </c>
      <c r="AA2351" s="6"/>
      <c r="AB2351" s="6"/>
    </row>
    <row r="2352" spans="1:28" x14ac:dyDescent="0.2">
      <c r="A2352" t="s">
        <v>440</v>
      </c>
      <c r="B2352">
        <v>2017</v>
      </c>
      <c r="C2352" t="s">
        <v>811</v>
      </c>
      <c r="D2352" t="s">
        <v>814</v>
      </c>
      <c r="E2352" t="s">
        <v>357</v>
      </c>
      <c r="F2352" t="s">
        <v>358</v>
      </c>
      <c r="G2352">
        <v>39.855556</v>
      </c>
      <c r="H2352">
        <v>139.81555599999999</v>
      </c>
      <c r="I2352" t="s">
        <v>771</v>
      </c>
      <c r="J2352" s="2" t="s">
        <v>14</v>
      </c>
      <c r="K2352" t="s">
        <v>95</v>
      </c>
      <c r="L2352" t="s">
        <v>143</v>
      </c>
      <c r="M2352" t="s">
        <v>26</v>
      </c>
      <c r="N2352" t="s">
        <v>85</v>
      </c>
      <c r="O2352" s="6" t="s">
        <v>840</v>
      </c>
      <c r="P2352" t="s">
        <v>72</v>
      </c>
      <c r="Q2352">
        <v>9</v>
      </c>
      <c r="R2352" t="s">
        <v>213</v>
      </c>
      <c r="S2352" s="2" t="s">
        <v>9</v>
      </c>
      <c r="T2352">
        <v>6</v>
      </c>
      <c r="U2352" t="s">
        <v>28</v>
      </c>
      <c r="V2352" t="s">
        <v>28</v>
      </c>
      <c r="W2352">
        <v>26</v>
      </c>
      <c r="X2352">
        <v>0.254</v>
      </c>
      <c r="Y2352">
        <f>5.068-X2352</f>
        <v>4.8140000000000001</v>
      </c>
      <c r="AA2352" s="6"/>
      <c r="AB2352" s="6"/>
    </row>
    <row r="2353" spans="1:28" x14ac:dyDescent="0.2">
      <c r="A2353" t="s">
        <v>440</v>
      </c>
      <c r="B2353">
        <v>2017</v>
      </c>
      <c r="C2353" t="s">
        <v>811</v>
      </c>
      <c r="D2353" t="s">
        <v>814</v>
      </c>
      <c r="E2353" t="s">
        <v>357</v>
      </c>
      <c r="F2353" t="s">
        <v>358</v>
      </c>
      <c r="G2353">
        <v>39.855556</v>
      </c>
      <c r="H2353">
        <v>139.81555599999999</v>
      </c>
      <c r="I2353" t="s">
        <v>771</v>
      </c>
      <c r="J2353" s="2" t="s">
        <v>7</v>
      </c>
      <c r="K2353" t="s">
        <v>95</v>
      </c>
      <c r="L2353" t="s">
        <v>143</v>
      </c>
      <c r="M2353" t="s">
        <v>638</v>
      </c>
      <c r="N2353" t="s">
        <v>85</v>
      </c>
      <c r="O2353" s="6" t="s">
        <v>221</v>
      </c>
      <c r="P2353" t="s">
        <v>126</v>
      </c>
      <c r="Q2353">
        <v>9</v>
      </c>
      <c r="R2353" t="s">
        <v>213</v>
      </c>
      <c r="S2353" s="2" t="s">
        <v>7</v>
      </c>
      <c r="T2353">
        <v>6</v>
      </c>
      <c r="U2353" t="s">
        <v>28</v>
      </c>
      <c r="V2353" t="s">
        <v>28</v>
      </c>
      <c r="W2353">
        <v>23</v>
      </c>
      <c r="X2353">
        <v>30.12</v>
      </c>
      <c r="Y2353">
        <f>31.49-X2353</f>
        <v>1.3699999999999974</v>
      </c>
      <c r="AA2353" s="6"/>
      <c r="AB2353" s="6"/>
    </row>
    <row r="2354" spans="1:28" x14ac:dyDescent="0.2">
      <c r="A2354" t="s">
        <v>440</v>
      </c>
      <c r="B2354">
        <v>2017</v>
      </c>
      <c r="C2354" t="s">
        <v>811</v>
      </c>
      <c r="D2354" t="s">
        <v>814</v>
      </c>
      <c r="E2354" t="s">
        <v>357</v>
      </c>
      <c r="F2354" t="s">
        <v>358</v>
      </c>
      <c r="G2354">
        <v>39.855556</v>
      </c>
      <c r="H2354">
        <v>139.81555599999999</v>
      </c>
      <c r="I2354" t="s">
        <v>771</v>
      </c>
      <c r="J2354" s="2" t="s">
        <v>14</v>
      </c>
      <c r="K2354" t="s">
        <v>95</v>
      </c>
      <c r="L2354" t="s">
        <v>143</v>
      </c>
      <c r="M2354" t="s">
        <v>638</v>
      </c>
      <c r="N2354" t="s">
        <v>85</v>
      </c>
      <c r="O2354" s="6" t="s">
        <v>221</v>
      </c>
      <c r="P2354" t="s">
        <v>126</v>
      </c>
      <c r="Q2354">
        <v>9</v>
      </c>
      <c r="R2354" t="s">
        <v>213</v>
      </c>
      <c r="S2354" s="2" t="s">
        <v>9</v>
      </c>
      <c r="T2354">
        <v>6</v>
      </c>
      <c r="U2354" t="s">
        <v>28</v>
      </c>
      <c r="V2354" t="s">
        <v>28</v>
      </c>
      <c r="W2354">
        <v>26</v>
      </c>
      <c r="X2354">
        <v>28.95</v>
      </c>
      <c r="Y2354">
        <f>29.88-X2354</f>
        <v>0.92999999999999972</v>
      </c>
      <c r="AA2354" s="6"/>
      <c r="AB2354" s="6"/>
    </row>
    <row r="2355" spans="1:28" x14ac:dyDescent="0.2">
      <c r="A2355" t="s">
        <v>440</v>
      </c>
      <c r="B2355">
        <v>2017</v>
      </c>
      <c r="C2355" t="s">
        <v>811</v>
      </c>
      <c r="D2355" t="s">
        <v>814</v>
      </c>
      <c r="E2355" t="s">
        <v>357</v>
      </c>
      <c r="F2355" t="s">
        <v>358</v>
      </c>
      <c r="G2355">
        <v>39.855556</v>
      </c>
      <c r="H2355">
        <v>139.81555599999999</v>
      </c>
      <c r="I2355" t="s">
        <v>771</v>
      </c>
      <c r="J2355" s="2" t="s">
        <v>7</v>
      </c>
      <c r="K2355" t="s">
        <v>95</v>
      </c>
      <c r="L2355" t="s">
        <v>143</v>
      </c>
      <c r="M2355" t="s">
        <v>638</v>
      </c>
      <c r="N2355" t="s">
        <v>85</v>
      </c>
      <c r="O2355" s="6" t="s">
        <v>107</v>
      </c>
      <c r="P2355" t="s">
        <v>126</v>
      </c>
      <c r="Q2355">
        <v>9</v>
      </c>
      <c r="R2355" t="s">
        <v>213</v>
      </c>
      <c r="S2355" s="2" t="s">
        <v>7</v>
      </c>
      <c r="T2355">
        <v>6</v>
      </c>
      <c r="U2355" t="s">
        <v>28</v>
      </c>
      <c r="V2355" t="s">
        <v>28</v>
      </c>
      <c r="W2355">
        <v>23</v>
      </c>
      <c r="X2355">
        <v>2.0110000000000001</v>
      </c>
      <c r="Y2355">
        <f>2.173-X2355</f>
        <v>0.16199999999999992</v>
      </c>
      <c r="AA2355" s="6"/>
      <c r="AB2355" s="6"/>
    </row>
    <row r="2356" spans="1:28" x14ac:dyDescent="0.2">
      <c r="A2356" t="s">
        <v>440</v>
      </c>
      <c r="B2356">
        <v>2017</v>
      </c>
      <c r="C2356" t="s">
        <v>811</v>
      </c>
      <c r="D2356" t="s">
        <v>814</v>
      </c>
      <c r="E2356" t="s">
        <v>357</v>
      </c>
      <c r="F2356" t="s">
        <v>358</v>
      </c>
      <c r="G2356">
        <v>39.855556</v>
      </c>
      <c r="H2356">
        <v>139.81555599999999</v>
      </c>
      <c r="I2356" t="s">
        <v>771</v>
      </c>
      <c r="J2356" s="2" t="s">
        <v>14</v>
      </c>
      <c r="K2356" t="s">
        <v>95</v>
      </c>
      <c r="L2356" t="s">
        <v>143</v>
      </c>
      <c r="M2356" t="s">
        <v>638</v>
      </c>
      <c r="N2356" t="s">
        <v>85</v>
      </c>
      <c r="O2356" s="6" t="s">
        <v>107</v>
      </c>
      <c r="P2356" t="s">
        <v>126</v>
      </c>
      <c r="Q2356">
        <v>9</v>
      </c>
      <c r="R2356" t="s">
        <v>213</v>
      </c>
      <c r="S2356" s="2" t="s">
        <v>9</v>
      </c>
      <c r="T2356">
        <v>6</v>
      </c>
      <c r="U2356" t="s">
        <v>28</v>
      </c>
      <c r="V2356" t="s">
        <v>28</v>
      </c>
      <c r="W2356">
        <v>26</v>
      </c>
      <c r="X2356">
        <v>2.246</v>
      </c>
      <c r="Y2356">
        <f>2.441-X2356</f>
        <v>0.19499999999999984</v>
      </c>
      <c r="AA2356" s="6"/>
      <c r="AB2356" s="6"/>
    </row>
    <row r="2357" spans="1:28" x14ac:dyDescent="0.2">
      <c r="A2357" t="s">
        <v>440</v>
      </c>
      <c r="B2357">
        <v>2017</v>
      </c>
      <c r="C2357" t="s">
        <v>811</v>
      </c>
      <c r="D2357" t="s">
        <v>814</v>
      </c>
      <c r="E2357" t="s">
        <v>357</v>
      </c>
      <c r="F2357" t="s">
        <v>358</v>
      </c>
      <c r="G2357">
        <v>39.855556</v>
      </c>
      <c r="H2357">
        <v>139.81555599999999</v>
      </c>
      <c r="I2357" t="s">
        <v>771</v>
      </c>
      <c r="J2357" s="2" t="s">
        <v>7</v>
      </c>
      <c r="K2357" t="s">
        <v>95</v>
      </c>
      <c r="L2357" t="s">
        <v>143</v>
      </c>
      <c r="M2357" t="s">
        <v>637</v>
      </c>
      <c r="N2357" t="s">
        <v>85</v>
      </c>
      <c r="O2357" t="s">
        <v>148</v>
      </c>
      <c r="P2357" t="s">
        <v>149</v>
      </c>
      <c r="Q2357">
        <v>9</v>
      </c>
      <c r="R2357" t="s">
        <v>213</v>
      </c>
      <c r="S2357" s="2" t="s">
        <v>7</v>
      </c>
      <c r="T2357">
        <v>6</v>
      </c>
      <c r="U2357" t="s">
        <v>28</v>
      </c>
      <c r="V2357" t="s">
        <v>28</v>
      </c>
      <c r="W2357">
        <v>23</v>
      </c>
      <c r="X2357">
        <v>15.57</v>
      </c>
      <c r="Y2357">
        <f>20.11-X2357</f>
        <v>4.5399999999999991</v>
      </c>
      <c r="AA2357" s="6"/>
      <c r="AB2357" s="6"/>
    </row>
    <row r="2358" spans="1:28" x14ac:dyDescent="0.2">
      <c r="A2358" t="s">
        <v>440</v>
      </c>
      <c r="B2358">
        <v>2017</v>
      </c>
      <c r="C2358" t="s">
        <v>811</v>
      </c>
      <c r="D2358" t="s">
        <v>814</v>
      </c>
      <c r="E2358" t="s">
        <v>357</v>
      </c>
      <c r="F2358" t="s">
        <v>358</v>
      </c>
      <c r="G2358">
        <v>39.855556</v>
      </c>
      <c r="H2358">
        <v>139.81555599999999</v>
      </c>
      <c r="I2358" t="s">
        <v>771</v>
      </c>
      <c r="J2358" s="2" t="s">
        <v>14</v>
      </c>
      <c r="K2358" t="s">
        <v>95</v>
      </c>
      <c r="L2358" t="s">
        <v>143</v>
      </c>
      <c r="M2358" t="s">
        <v>637</v>
      </c>
      <c r="N2358" t="s">
        <v>85</v>
      </c>
      <c r="O2358" t="s">
        <v>148</v>
      </c>
      <c r="P2358" t="s">
        <v>149</v>
      </c>
      <c r="Q2358">
        <v>9</v>
      </c>
      <c r="R2358" t="s">
        <v>213</v>
      </c>
      <c r="S2358" s="2" t="s">
        <v>9</v>
      </c>
      <c r="T2358">
        <v>6</v>
      </c>
      <c r="U2358" t="s">
        <v>28</v>
      </c>
      <c r="V2358" t="s">
        <v>28</v>
      </c>
      <c r="W2358">
        <v>26</v>
      </c>
      <c r="X2358">
        <v>15.57</v>
      </c>
      <c r="Y2358">
        <f>20.76-X2358</f>
        <v>5.1900000000000013</v>
      </c>
      <c r="AA2358" s="6"/>
      <c r="AB2358" s="6"/>
    </row>
    <row r="2359" spans="1:28" x14ac:dyDescent="0.2">
      <c r="A2359" t="s">
        <v>633</v>
      </c>
      <c r="B2359">
        <v>2017</v>
      </c>
      <c r="C2359" t="s">
        <v>826</v>
      </c>
      <c r="D2359" t="s">
        <v>824</v>
      </c>
      <c r="E2359" t="s">
        <v>48</v>
      </c>
      <c r="F2359" t="s">
        <v>532</v>
      </c>
      <c r="G2359">
        <v>78.066044000000005</v>
      </c>
      <c r="H2359">
        <v>12.608806</v>
      </c>
      <c r="J2359" s="2" t="s">
        <v>7</v>
      </c>
      <c r="K2359" t="s">
        <v>143</v>
      </c>
      <c r="L2359" t="s">
        <v>143</v>
      </c>
      <c r="M2359" t="s">
        <v>553</v>
      </c>
      <c r="N2359" t="s">
        <v>85</v>
      </c>
      <c r="O2359" s="6" t="s">
        <v>241</v>
      </c>
      <c r="P2359" t="s">
        <v>147</v>
      </c>
      <c r="Q2359">
        <v>18</v>
      </c>
      <c r="R2359" t="s">
        <v>213</v>
      </c>
      <c r="S2359" s="2" t="s">
        <v>7</v>
      </c>
      <c r="T2359">
        <v>4</v>
      </c>
      <c r="U2359">
        <v>8.07</v>
      </c>
      <c r="V2359">
        <v>402</v>
      </c>
      <c r="W2359">
        <v>4</v>
      </c>
      <c r="X2359">
        <v>0.46650000000000003</v>
      </c>
      <c r="Y2359">
        <f>0.5563-X2359</f>
        <v>8.9799999999999991E-2</v>
      </c>
      <c r="AA2359" s="6"/>
      <c r="AB2359" s="6"/>
    </row>
    <row r="2360" spans="1:28" x14ac:dyDescent="0.2">
      <c r="A2360" t="s">
        <v>633</v>
      </c>
      <c r="B2360">
        <v>2017</v>
      </c>
      <c r="C2360" t="s">
        <v>826</v>
      </c>
      <c r="D2360" t="s">
        <v>824</v>
      </c>
      <c r="E2360" t="s">
        <v>48</v>
      </c>
      <c r="F2360" t="s">
        <v>532</v>
      </c>
      <c r="G2360">
        <v>78.066044000000005</v>
      </c>
      <c r="H2360">
        <v>12.608806</v>
      </c>
      <c r="J2360" s="2" t="s">
        <v>5</v>
      </c>
      <c r="K2360" t="s">
        <v>143</v>
      </c>
      <c r="L2360" t="s">
        <v>143</v>
      </c>
      <c r="M2360" t="s">
        <v>553</v>
      </c>
      <c r="N2360" t="s">
        <v>85</v>
      </c>
      <c r="O2360" s="6" t="s">
        <v>241</v>
      </c>
      <c r="P2360" t="s">
        <v>147</v>
      </c>
      <c r="Q2360">
        <v>18</v>
      </c>
      <c r="R2360" t="s">
        <v>213</v>
      </c>
      <c r="S2360" s="2" t="s">
        <v>9</v>
      </c>
      <c r="T2360">
        <v>4</v>
      </c>
      <c r="U2360">
        <v>7.88</v>
      </c>
      <c r="V2360">
        <v>644</v>
      </c>
      <c r="W2360" t="s">
        <v>28</v>
      </c>
      <c r="X2360">
        <v>0.52210000000000001</v>
      </c>
      <c r="Y2360">
        <f>0.5963-X2360</f>
        <v>7.4200000000000044E-2</v>
      </c>
      <c r="AA2360" s="6"/>
      <c r="AB2360" s="6"/>
    </row>
    <row r="2361" spans="1:28" x14ac:dyDescent="0.2">
      <c r="A2361" t="s">
        <v>633</v>
      </c>
      <c r="B2361">
        <v>2017</v>
      </c>
      <c r="C2361" t="s">
        <v>826</v>
      </c>
      <c r="D2361" t="s">
        <v>824</v>
      </c>
      <c r="E2361" t="s">
        <v>48</v>
      </c>
      <c r="F2361" t="s">
        <v>532</v>
      </c>
      <c r="G2361">
        <v>78.066044000000005</v>
      </c>
      <c r="H2361">
        <v>12.608806</v>
      </c>
      <c r="J2361" s="2" t="s">
        <v>5</v>
      </c>
      <c r="K2361" t="s">
        <v>143</v>
      </c>
      <c r="L2361" t="s">
        <v>143</v>
      </c>
      <c r="M2361" t="s">
        <v>553</v>
      </c>
      <c r="N2361" t="s">
        <v>85</v>
      </c>
      <c r="O2361" s="6" t="s">
        <v>241</v>
      </c>
      <c r="P2361" t="s">
        <v>147</v>
      </c>
      <c r="Q2361">
        <v>18</v>
      </c>
      <c r="R2361" t="s">
        <v>213</v>
      </c>
      <c r="S2361" s="2" t="s">
        <v>27</v>
      </c>
      <c r="T2361">
        <v>4</v>
      </c>
      <c r="U2361">
        <v>7.57</v>
      </c>
      <c r="V2361">
        <v>1354</v>
      </c>
      <c r="W2361" t="s">
        <v>28</v>
      </c>
      <c r="X2361">
        <v>0.42080000000000001</v>
      </c>
      <c r="Y2361">
        <f>0.4765-X2361</f>
        <v>5.5699999999999972E-2</v>
      </c>
      <c r="AA2361" s="6"/>
      <c r="AB2361" s="6"/>
    </row>
    <row r="2362" spans="1:28" x14ac:dyDescent="0.2">
      <c r="A2362" t="s">
        <v>633</v>
      </c>
      <c r="B2362">
        <v>2017</v>
      </c>
      <c r="C2362" t="s">
        <v>826</v>
      </c>
      <c r="D2362" t="s">
        <v>824</v>
      </c>
      <c r="E2362" t="s">
        <v>48</v>
      </c>
      <c r="F2362" t="s">
        <v>532</v>
      </c>
      <c r="G2362">
        <v>78.066044000000005</v>
      </c>
      <c r="H2362">
        <v>12.608806</v>
      </c>
      <c r="J2362" s="2" t="s">
        <v>14</v>
      </c>
      <c r="K2362" t="s">
        <v>143</v>
      </c>
      <c r="L2362" t="s">
        <v>143</v>
      </c>
      <c r="M2362" t="s">
        <v>553</v>
      </c>
      <c r="N2362" t="s">
        <v>85</v>
      </c>
      <c r="O2362" s="6" t="s">
        <v>241</v>
      </c>
      <c r="P2362" t="s">
        <v>147</v>
      </c>
      <c r="Q2362">
        <v>18</v>
      </c>
      <c r="R2362" t="s">
        <v>213</v>
      </c>
      <c r="S2362" s="2" t="s">
        <v>13</v>
      </c>
      <c r="T2362">
        <v>4</v>
      </c>
      <c r="U2362" t="s">
        <v>28</v>
      </c>
      <c r="V2362" t="s">
        <v>28</v>
      </c>
      <c r="W2362">
        <v>10</v>
      </c>
      <c r="X2362">
        <v>0.59489999999999998</v>
      </c>
      <c r="Y2362">
        <f>0.719-X2362</f>
        <v>0.12409999999999999</v>
      </c>
      <c r="AA2362" s="6"/>
      <c r="AB2362" s="6"/>
    </row>
    <row r="2363" spans="1:28" x14ac:dyDescent="0.2">
      <c r="A2363" t="s">
        <v>633</v>
      </c>
      <c r="B2363">
        <v>2017</v>
      </c>
      <c r="C2363" t="s">
        <v>826</v>
      </c>
      <c r="D2363" t="s">
        <v>824</v>
      </c>
      <c r="E2363" t="s">
        <v>48</v>
      </c>
      <c r="F2363" t="s">
        <v>532</v>
      </c>
      <c r="G2363">
        <v>78.066044000000005</v>
      </c>
      <c r="H2363">
        <v>12.608806</v>
      </c>
      <c r="J2363" s="2" t="s">
        <v>16</v>
      </c>
      <c r="K2363" t="s">
        <v>143</v>
      </c>
      <c r="L2363" t="s">
        <v>143</v>
      </c>
      <c r="M2363" t="s">
        <v>553</v>
      </c>
      <c r="N2363" t="s">
        <v>85</v>
      </c>
      <c r="O2363" s="6" t="s">
        <v>241</v>
      </c>
      <c r="P2363" t="s">
        <v>147</v>
      </c>
      <c r="Q2363">
        <v>18</v>
      </c>
      <c r="R2363" t="s">
        <v>213</v>
      </c>
      <c r="S2363" t="s">
        <v>15</v>
      </c>
      <c r="T2363">
        <v>4</v>
      </c>
      <c r="U2363">
        <v>7.89</v>
      </c>
      <c r="V2363">
        <v>683</v>
      </c>
      <c r="W2363">
        <v>10</v>
      </c>
      <c r="X2363">
        <v>0.4879</v>
      </c>
      <c r="Y2363">
        <f>0.5749-X2363</f>
        <v>8.6999999999999966E-2</v>
      </c>
      <c r="AA2363" s="6"/>
      <c r="AB2363" s="6"/>
    </row>
    <row r="2364" spans="1:28" x14ac:dyDescent="0.2">
      <c r="A2364" t="s">
        <v>633</v>
      </c>
      <c r="B2364">
        <v>2017</v>
      </c>
      <c r="C2364" t="s">
        <v>826</v>
      </c>
      <c r="D2364" t="s">
        <v>824</v>
      </c>
      <c r="E2364" t="s">
        <v>48</v>
      </c>
      <c r="F2364" t="s">
        <v>532</v>
      </c>
      <c r="G2364">
        <v>78.066044000000005</v>
      </c>
      <c r="H2364">
        <v>12.608806</v>
      </c>
      <c r="J2364" s="2" t="s">
        <v>16</v>
      </c>
      <c r="K2364" t="s">
        <v>143</v>
      </c>
      <c r="L2364" t="s">
        <v>143</v>
      </c>
      <c r="M2364" t="s">
        <v>553</v>
      </c>
      <c r="N2364" t="s">
        <v>85</v>
      </c>
      <c r="O2364" s="6" t="s">
        <v>241</v>
      </c>
      <c r="P2364" t="s">
        <v>147</v>
      </c>
      <c r="Q2364">
        <v>18</v>
      </c>
      <c r="R2364" t="s">
        <v>213</v>
      </c>
      <c r="S2364" s="2" t="s">
        <v>37</v>
      </c>
      <c r="T2364">
        <v>4</v>
      </c>
      <c r="U2364">
        <v>7.58</v>
      </c>
      <c r="V2364">
        <v>1456</v>
      </c>
      <c r="W2364">
        <v>10</v>
      </c>
      <c r="X2364">
        <v>0.48070000000000002</v>
      </c>
      <c r="Y2364">
        <f>0.5364-X2364</f>
        <v>5.5699999999999972E-2</v>
      </c>
      <c r="AA2364" s="6"/>
      <c r="AB2364" s="6"/>
    </row>
    <row r="2365" spans="1:28" x14ac:dyDescent="0.2">
      <c r="A2365" t="s">
        <v>633</v>
      </c>
      <c r="B2365">
        <v>2017</v>
      </c>
      <c r="C2365" t="s">
        <v>826</v>
      </c>
      <c r="D2365" t="s">
        <v>824</v>
      </c>
      <c r="E2365" t="s">
        <v>48</v>
      </c>
      <c r="F2365" t="s">
        <v>307</v>
      </c>
      <c r="G2365">
        <v>54.183827999999998</v>
      </c>
      <c r="H2365">
        <v>7.8726450000000003</v>
      </c>
      <c r="J2365" s="2" t="s">
        <v>7</v>
      </c>
      <c r="K2365" t="s">
        <v>143</v>
      </c>
      <c r="L2365" t="s">
        <v>143</v>
      </c>
      <c r="M2365" t="s">
        <v>553</v>
      </c>
      <c r="N2365" t="s">
        <v>85</v>
      </c>
      <c r="O2365" s="6" t="s">
        <v>241</v>
      </c>
      <c r="P2365" t="s">
        <v>147</v>
      </c>
      <c r="Q2365">
        <v>18</v>
      </c>
      <c r="R2365" t="s">
        <v>213</v>
      </c>
      <c r="S2365" s="2" t="s">
        <v>7</v>
      </c>
      <c r="T2365">
        <v>4</v>
      </c>
      <c r="U2365">
        <v>8.06</v>
      </c>
      <c r="V2365">
        <v>423</v>
      </c>
      <c r="W2365">
        <v>10</v>
      </c>
      <c r="X2365">
        <v>0.5292</v>
      </c>
      <c r="Y2365">
        <f>0.5606-X2365</f>
        <v>3.1399999999999983E-2</v>
      </c>
      <c r="AA2365" s="6"/>
      <c r="AB2365" s="6"/>
    </row>
    <row r="2366" spans="1:28" x14ac:dyDescent="0.2">
      <c r="A2366" t="s">
        <v>633</v>
      </c>
      <c r="B2366">
        <v>2017</v>
      </c>
      <c r="C2366" t="s">
        <v>826</v>
      </c>
      <c r="D2366" t="s">
        <v>824</v>
      </c>
      <c r="E2366" t="s">
        <v>48</v>
      </c>
      <c r="F2366" t="s">
        <v>307</v>
      </c>
      <c r="G2366">
        <v>54.183827999999998</v>
      </c>
      <c r="H2366">
        <v>7.8726450000000003</v>
      </c>
      <c r="J2366" s="2" t="s">
        <v>5</v>
      </c>
      <c r="K2366" t="s">
        <v>143</v>
      </c>
      <c r="L2366" t="s">
        <v>143</v>
      </c>
      <c r="M2366" t="s">
        <v>553</v>
      </c>
      <c r="N2366" t="s">
        <v>85</v>
      </c>
      <c r="O2366" s="6" t="s">
        <v>241</v>
      </c>
      <c r="P2366" t="s">
        <v>147</v>
      </c>
      <c r="Q2366">
        <v>18</v>
      </c>
      <c r="R2366" t="s">
        <v>213</v>
      </c>
      <c r="S2366" s="2" t="s">
        <v>9</v>
      </c>
      <c r="T2366">
        <v>4</v>
      </c>
      <c r="U2366">
        <v>7.82</v>
      </c>
      <c r="V2366">
        <v>769</v>
      </c>
      <c r="W2366" t="s">
        <v>28</v>
      </c>
      <c r="X2366">
        <v>0.46789999999999998</v>
      </c>
      <c r="Y2366">
        <f>0.5178-X2366</f>
        <v>4.9900000000000055E-2</v>
      </c>
      <c r="AA2366" s="6"/>
      <c r="AB2366" s="6"/>
    </row>
    <row r="2367" spans="1:28" x14ac:dyDescent="0.2">
      <c r="A2367" t="s">
        <v>633</v>
      </c>
      <c r="B2367">
        <v>2017</v>
      </c>
      <c r="C2367" t="s">
        <v>826</v>
      </c>
      <c r="D2367" t="s">
        <v>824</v>
      </c>
      <c r="E2367" t="s">
        <v>48</v>
      </c>
      <c r="F2367" t="s">
        <v>307</v>
      </c>
      <c r="G2367">
        <v>54.183827999999998</v>
      </c>
      <c r="H2367">
        <v>7.8726450000000003</v>
      </c>
      <c r="J2367" s="2" t="s">
        <v>5</v>
      </c>
      <c r="K2367" t="s">
        <v>143</v>
      </c>
      <c r="L2367" t="s">
        <v>143</v>
      </c>
      <c r="M2367" t="s">
        <v>553</v>
      </c>
      <c r="N2367" t="s">
        <v>85</v>
      </c>
      <c r="O2367" s="6" t="s">
        <v>241</v>
      </c>
      <c r="P2367" t="s">
        <v>147</v>
      </c>
      <c r="Q2367">
        <v>18</v>
      </c>
      <c r="R2367" t="s">
        <v>213</v>
      </c>
      <c r="S2367" s="2" t="s">
        <v>27</v>
      </c>
      <c r="T2367">
        <v>4</v>
      </c>
      <c r="U2367">
        <v>7.56</v>
      </c>
      <c r="V2367">
        <v>1437</v>
      </c>
      <c r="W2367" t="s">
        <v>28</v>
      </c>
      <c r="X2367">
        <v>0.42230000000000001</v>
      </c>
      <c r="Y2367">
        <f>0.4822-X2367</f>
        <v>5.9900000000000009E-2</v>
      </c>
      <c r="AA2367" s="6"/>
      <c r="AB2367" s="6"/>
    </row>
    <row r="2368" spans="1:28" x14ac:dyDescent="0.2">
      <c r="A2368" t="s">
        <v>633</v>
      </c>
      <c r="B2368">
        <v>2017</v>
      </c>
      <c r="C2368" t="s">
        <v>826</v>
      </c>
      <c r="D2368" t="s">
        <v>824</v>
      </c>
      <c r="E2368" t="s">
        <v>48</v>
      </c>
      <c r="F2368" t="s">
        <v>307</v>
      </c>
      <c r="G2368">
        <v>54.183827999999998</v>
      </c>
      <c r="H2368">
        <v>7.8726450000000003</v>
      </c>
      <c r="J2368" s="2" t="s">
        <v>14</v>
      </c>
      <c r="K2368" t="s">
        <v>143</v>
      </c>
      <c r="L2368" t="s">
        <v>143</v>
      </c>
      <c r="M2368" t="s">
        <v>553</v>
      </c>
      <c r="N2368" t="s">
        <v>85</v>
      </c>
      <c r="O2368" s="6" t="s">
        <v>241</v>
      </c>
      <c r="P2368" t="s">
        <v>147</v>
      </c>
      <c r="Q2368">
        <v>18</v>
      </c>
      <c r="R2368" t="s">
        <v>213</v>
      </c>
      <c r="S2368" s="2" t="s">
        <v>13</v>
      </c>
      <c r="T2368">
        <v>4</v>
      </c>
      <c r="U2368" t="s">
        <v>28</v>
      </c>
      <c r="V2368" t="s">
        <v>28</v>
      </c>
      <c r="W2368">
        <v>17</v>
      </c>
      <c r="X2368">
        <v>0.76890000000000003</v>
      </c>
      <c r="Y2368">
        <f>0.8174-X2368</f>
        <v>4.8499999999999988E-2</v>
      </c>
      <c r="AA2368" s="6"/>
      <c r="AB2368" s="6"/>
    </row>
    <row r="2369" spans="1:28" x14ac:dyDescent="0.2">
      <c r="A2369" t="s">
        <v>633</v>
      </c>
      <c r="B2369">
        <v>2017</v>
      </c>
      <c r="C2369" t="s">
        <v>826</v>
      </c>
      <c r="D2369" t="s">
        <v>824</v>
      </c>
      <c r="E2369" t="s">
        <v>48</v>
      </c>
      <c r="F2369" t="s">
        <v>307</v>
      </c>
      <c r="G2369">
        <v>54.183827999999998</v>
      </c>
      <c r="H2369">
        <v>7.8726450000000003</v>
      </c>
      <c r="J2369" s="2" t="s">
        <v>16</v>
      </c>
      <c r="K2369" t="s">
        <v>143</v>
      </c>
      <c r="L2369" t="s">
        <v>143</v>
      </c>
      <c r="M2369" t="s">
        <v>553</v>
      </c>
      <c r="N2369" t="s">
        <v>85</v>
      </c>
      <c r="O2369" s="6" t="s">
        <v>241</v>
      </c>
      <c r="P2369" t="s">
        <v>147</v>
      </c>
      <c r="Q2369">
        <v>18</v>
      </c>
      <c r="R2369" t="s">
        <v>213</v>
      </c>
      <c r="S2369" t="s">
        <v>15</v>
      </c>
      <c r="T2369">
        <v>4</v>
      </c>
      <c r="U2369">
        <v>7.82</v>
      </c>
      <c r="V2369">
        <v>783</v>
      </c>
      <c r="W2369">
        <v>17</v>
      </c>
      <c r="X2369">
        <v>0.77890000000000004</v>
      </c>
      <c r="Y2369">
        <f>0.8559-X2369</f>
        <v>7.6999999999999957E-2</v>
      </c>
      <c r="AA2369" s="6"/>
      <c r="AB2369" s="6"/>
    </row>
    <row r="2370" spans="1:28" x14ac:dyDescent="0.2">
      <c r="A2370" t="s">
        <v>633</v>
      </c>
      <c r="B2370">
        <v>2017</v>
      </c>
      <c r="C2370" t="s">
        <v>826</v>
      </c>
      <c r="D2370" t="s">
        <v>824</v>
      </c>
      <c r="E2370" t="s">
        <v>48</v>
      </c>
      <c r="F2370" t="s">
        <v>307</v>
      </c>
      <c r="G2370">
        <v>54.183827999999998</v>
      </c>
      <c r="H2370">
        <v>7.8726450000000003</v>
      </c>
      <c r="J2370" s="2" t="s">
        <v>16</v>
      </c>
      <c r="K2370" t="s">
        <v>143</v>
      </c>
      <c r="L2370" t="s">
        <v>143</v>
      </c>
      <c r="M2370" t="s">
        <v>553</v>
      </c>
      <c r="N2370" t="s">
        <v>85</v>
      </c>
      <c r="O2370" s="6" t="s">
        <v>241</v>
      </c>
      <c r="P2370" t="s">
        <v>147</v>
      </c>
      <c r="Q2370">
        <v>18</v>
      </c>
      <c r="R2370" t="s">
        <v>213</v>
      </c>
      <c r="S2370" s="2" t="s">
        <v>37</v>
      </c>
      <c r="T2370">
        <v>4</v>
      </c>
      <c r="U2370">
        <v>7.56</v>
      </c>
      <c r="V2370">
        <v>1505</v>
      </c>
      <c r="W2370">
        <v>17</v>
      </c>
      <c r="X2370">
        <v>0.71609999999999996</v>
      </c>
      <c r="Y2370">
        <f>0.8046-X2370</f>
        <v>8.8500000000000023E-2</v>
      </c>
      <c r="AA2370" s="6"/>
      <c r="AB2370" s="6"/>
    </row>
    <row r="2371" spans="1:28" x14ac:dyDescent="0.2">
      <c r="A2371" t="s">
        <v>633</v>
      </c>
      <c r="B2371">
        <v>2017</v>
      </c>
      <c r="C2371" t="s">
        <v>826</v>
      </c>
      <c r="D2371" t="s">
        <v>824</v>
      </c>
      <c r="E2371" t="s">
        <v>48</v>
      </c>
      <c r="F2371" t="s">
        <v>532</v>
      </c>
      <c r="G2371">
        <v>78.066044000000005</v>
      </c>
      <c r="H2371">
        <v>12.608806</v>
      </c>
      <c r="J2371" s="2" t="s">
        <v>7</v>
      </c>
      <c r="K2371" t="s">
        <v>143</v>
      </c>
      <c r="L2371" t="s">
        <v>143</v>
      </c>
      <c r="M2371" t="s">
        <v>553</v>
      </c>
      <c r="N2371" t="s">
        <v>85</v>
      </c>
      <c r="O2371" s="6" t="s">
        <v>242</v>
      </c>
      <c r="P2371" t="s">
        <v>147</v>
      </c>
      <c r="Q2371">
        <v>18</v>
      </c>
      <c r="R2371" t="s">
        <v>213</v>
      </c>
      <c r="S2371" s="2" t="s">
        <v>7</v>
      </c>
      <c r="T2371">
        <v>4</v>
      </c>
      <c r="U2371">
        <v>8.07</v>
      </c>
      <c r="V2371">
        <v>402</v>
      </c>
      <c r="W2371">
        <v>4</v>
      </c>
      <c r="X2371">
        <v>1.385</v>
      </c>
      <c r="Y2371">
        <f>1.637-X2371</f>
        <v>0.252</v>
      </c>
      <c r="AA2371" s="6"/>
      <c r="AB2371" s="6"/>
    </row>
    <row r="2372" spans="1:28" x14ac:dyDescent="0.2">
      <c r="A2372" t="s">
        <v>633</v>
      </c>
      <c r="B2372">
        <v>2017</v>
      </c>
      <c r="C2372" t="s">
        <v>826</v>
      </c>
      <c r="D2372" t="s">
        <v>824</v>
      </c>
      <c r="E2372" t="s">
        <v>48</v>
      </c>
      <c r="F2372" t="s">
        <v>532</v>
      </c>
      <c r="G2372">
        <v>78.066044000000005</v>
      </c>
      <c r="H2372">
        <v>12.608806</v>
      </c>
      <c r="J2372" s="2" t="s">
        <v>5</v>
      </c>
      <c r="K2372" t="s">
        <v>143</v>
      </c>
      <c r="L2372" t="s">
        <v>143</v>
      </c>
      <c r="M2372" t="s">
        <v>553</v>
      </c>
      <c r="N2372" t="s">
        <v>85</v>
      </c>
      <c r="O2372" s="6" t="s">
        <v>242</v>
      </c>
      <c r="P2372" t="s">
        <v>147</v>
      </c>
      <c r="Q2372">
        <v>18</v>
      </c>
      <c r="R2372" t="s">
        <v>213</v>
      </c>
      <c r="S2372" s="2" t="s">
        <v>9</v>
      </c>
      <c r="T2372">
        <v>4</v>
      </c>
      <c r="U2372">
        <v>7.88</v>
      </c>
      <c r="V2372">
        <v>644</v>
      </c>
      <c r="W2372" t="s">
        <v>28</v>
      </c>
      <c r="X2372">
        <v>1.5509999999999999</v>
      </c>
      <c r="Y2372">
        <f>1.74-X2372</f>
        <v>0.18900000000000006</v>
      </c>
      <c r="AA2372" s="6"/>
      <c r="AB2372" s="6"/>
    </row>
    <row r="2373" spans="1:28" x14ac:dyDescent="0.2">
      <c r="A2373" t="s">
        <v>633</v>
      </c>
      <c r="B2373">
        <v>2017</v>
      </c>
      <c r="C2373" t="s">
        <v>826</v>
      </c>
      <c r="D2373" t="s">
        <v>824</v>
      </c>
      <c r="E2373" t="s">
        <v>48</v>
      </c>
      <c r="F2373" t="s">
        <v>532</v>
      </c>
      <c r="G2373">
        <v>78.066044000000005</v>
      </c>
      <c r="H2373">
        <v>12.608806</v>
      </c>
      <c r="J2373" s="2" t="s">
        <v>5</v>
      </c>
      <c r="K2373" t="s">
        <v>143</v>
      </c>
      <c r="L2373" t="s">
        <v>143</v>
      </c>
      <c r="M2373" t="s">
        <v>553</v>
      </c>
      <c r="N2373" t="s">
        <v>85</v>
      </c>
      <c r="O2373" s="6" t="s">
        <v>242</v>
      </c>
      <c r="P2373" t="s">
        <v>147</v>
      </c>
      <c r="Q2373">
        <v>18</v>
      </c>
      <c r="R2373" t="s">
        <v>213</v>
      </c>
      <c r="S2373" s="2" t="s">
        <v>27</v>
      </c>
      <c r="T2373">
        <v>4</v>
      </c>
      <c r="U2373">
        <v>7.57</v>
      </c>
      <c r="V2373">
        <v>1354</v>
      </c>
      <c r="W2373" t="s">
        <v>28</v>
      </c>
      <c r="X2373">
        <v>1.276</v>
      </c>
      <c r="Y2373">
        <f>1.448-X2373</f>
        <v>0.17199999999999993</v>
      </c>
      <c r="AA2373" s="6"/>
      <c r="AB2373" s="6"/>
    </row>
    <row r="2374" spans="1:28" x14ac:dyDescent="0.2">
      <c r="A2374" t="s">
        <v>633</v>
      </c>
      <c r="B2374">
        <v>2017</v>
      </c>
      <c r="C2374" t="s">
        <v>826</v>
      </c>
      <c r="D2374" t="s">
        <v>824</v>
      </c>
      <c r="E2374" t="s">
        <v>48</v>
      </c>
      <c r="F2374" t="s">
        <v>532</v>
      </c>
      <c r="G2374">
        <v>78.066044000000005</v>
      </c>
      <c r="H2374">
        <v>12.608806</v>
      </c>
      <c r="J2374" s="2" t="s">
        <v>14</v>
      </c>
      <c r="K2374" t="s">
        <v>143</v>
      </c>
      <c r="L2374" t="s">
        <v>143</v>
      </c>
      <c r="M2374" t="s">
        <v>553</v>
      </c>
      <c r="N2374" t="s">
        <v>85</v>
      </c>
      <c r="O2374" s="6" t="s">
        <v>242</v>
      </c>
      <c r="P2374" t="s">
        <v>147</v>
      </c>
      <c r="Q2374">
        <v>18</v>
      </c>
      <c r="R2374" t="s">
        <v>213</v>
      </c>
      <c r="S2374" s="2" t="s">
        <v>13</v>
      </c>
      <c r="T2374">
        <v>4</v>
      </c>
      <c r="U2374" t="s">
        <v>28</v>
      </c>
      <c r="V2374" t="s">
        <v>28</v>
      </c>
      <c r="W2374">
        <v>10</v>
      </c>
      <c r="X2374">
        <v>1.7</v>
      </c>
      <c r="Y2374">
        <f>2.031-X2374</f>
        <v>0.33100000000000018</v>
      </c>
      <c r="AA2374" s="6"/>
      <c r="AB2374" s="6"/>
    </row>
    <row r="2375" spans="1:28" x14ac:dyDescent="0.2">
      <c r="A2375" t="s">
        <v>633</v>
      </c>
      <c r="B2375">
        <v>2017</v>
      </c>
      <c r="C2375" t="s">
        <v>826</v>
      </c>
      <c r="D2375" t="s">
        <v>824</v>
      </c>
      <c r="E2375" t="s">
        <v>48</v>
      </c>
      <c r="F2375" t="s">
        <v>532</v>
      </c>
      <c r="G2375">
        <v>78.066044000000005</v>
      </c>
      <c r="H2375">
        <v>12.608806</v>
      </c>
      <c r="J2375" s="2" t="s">
        <v>16</v>
      </c>
      <c r="K2375" t="s">
        <v>143</v>
      </c>
      <c r="L2375" t="s">
        <v>143</v>
      </c>
      <c r="M2375" t="s">
        <v>553</v>
      </c>
      <c r="N2375" t="s">
        <v>85</v>
      </c>
      <c r="O2375" s="6" t="s">
        <v>242</v>
      </c>
      <c r="P2375" t="s">
        <v>147</v>
      </c>
      <c r="Q2375">
        <v>18</v>
      </c>
      <c r="R2375" t="s">
        <v>213</v>
      </c>
      <c r="S2375" t="s">
        <v>15</v>
      </c>
      <c r="T2375">
        <v>4</v>
      </c>
      <c r="U2375">
        <v>7.89</v>
      </c>
      <c r="V2375">
        <v>683</v>
      </c>
      <c r="W2375">
        <v>10</v>
      </c>
      <c r="X2375">
        <v>1.413</v>
      </c>
      <c r="Y2375">
        <f>1.648-X2375</f>
        <v>0.23499999999999988</v>
      </c>
      <c r="AA2375" s="6"/>
      <c r="AB2375" s="6"/>
    </row>
    <row r="2376" spans="1:28" x14ac:dyDescent="0.2">
      <c r="A2376" t="s">
        <v>633</v>
      </c>
      <c r="B2376">
        <v>2017</v>
      </c>
      <c r="C2376" t="s">
        <v>826</v>
      </c>
      <c r="D2376" t="s">
        <v>824</v>
      </c>
      <c r="E2376" t="s">
        <v>48</v>
      </c>
      <c r="F2376" t="s">
        <v>532</v>
      </c>
      <c r="G2376">
        <v>78.066044000000005</v>
      </c>
      <c r="H2376">
        <v>12.608806</v>
      </c>
      <c r="J2376" s="2" t="s">
        <v>16</v>
      </c>
      <c r="K2376" t="s">
        <v>143</v>
      </c>
      <c r="L2376" t="s">
        <v>143</v>
      </c>
      <c r="M2376" t="s">
        <v>553</v>
      </c>
      <c r="N2376" t="s">
        <v>85</v>
      </c>
      <c r="O2376" s="6" t="s">
        <v>242</v>
      </c>
      <c r="P2376" t="s">
        <v>147</v>
      </c>
      <c r="Q2376">
        <v>18</v>
      </c>
      <c r="R2376" t="s">
        <v>213</v>
      </c>
      <c r="S2376" s="2" t="s">
        <v>37</v>
      </c>
      <c r="T2376">
        <v>4</v>
      </c>
      <c r="U2376">
        <v>7.58</v>
      </c>
      <c r="V2376">
        <v>1456</v>
      </c>
      <c r="W2376">
        <v>10</v>
      </c>
      <c r="X2376">
        <v>1.413</v>
      </c>
      <c r="Y2376">
        <f>1.522-X2376</f>
        <v>0.10899999999999999</v>
      </c>
      <c r="AA2376" s="6"/>
      <c r="AB2376" s="6"/>
    </row>
    <row r="2377" spans="1:28" x14ac:dyDescent="0.2">
      <c r="A2377" t="s">
        <v>633</v>
      </c>
      <c r="B2377">
        <v>2017</v>
      </c>
      <c r="C2377" t="s">
        <v>826</v>
      </c>
      <c r="D2377" t="s">
        <v>824</v>
      </c>
      <c r="E2377" t="s">
        <v>48</v>
      </c>
      <c r="F2377" t="s">
        <v>307</v>
      </c>
      <c r="G2377">
        <v>54.183827999999998</v>
      </c>
      <c r="H2377">
        <v>7.8726450000000003</v>
      </c>
      <c r="J2377" s="2" t="s">
        <v>7</v>
      </c>
      <c r="K2377" t="s">
        <v>143</v>
      </c>
      <c r="L2377" t="s">
        <v>143</v>
      </c>
      <c r="M2377" t="s">
        <v>553</v>
      </c>
      <c r="N2377" t="s">
        <v>85</v>
      </c>
      <c r="O2377" s="6" t="s">
        <v>242</v>
      </c>
      <c r="P2377" t="s">
        <v>147</v>
      </c>
      <c r="Q2377">
        <v>18</v>
      </c>
      <c r="R2377" t="s">
        <v>213</v>
      </c>
      <c r="S2377" s="2" t="s">
        <v>7</v>
      </c>
      <c r="T2377">
        <v>4</v>
      </c>
      <c r="U2377">
        <v>8.06</v>
      </c>
      <c r="V2377">
        <v>423</v>
      </c>
      <c r="W2377">
        <v>10</v>
      </c>
      <c r="X2377">
        <v>1.591</v>
      </c>
      <c r="Y2377">
        <f>1.722-X2377</f>
        <v>0.13100000000000001</v>
      </c>
      <c r="AA2377" s="6"/>
      <c r="AB2377" s="6"/>
    </row>
    <row r="2378" spans="1:28" x14ac:dyDescent="0.2">
      <c r="A2378" t="s">
        <v>633</v>
      </c>
      <c r="B2378">
        <v>2017</v>
      </c>
      <c r="C2378" t="s">
        <v>826</v>
      </c>
      <c r="D2378" t="s">
        <v>824</v>
      </c>
      <c r="E2378" t="s">
        <v>48</v>
      </c>
      <c r="F2378" t="s">
        <v>307</v>
      </c>
      <c r="G2378">
        <v>54.183827999999998</v>
      </c>
      <c r="H2378">
        <v>7.8726450000000003</v>
      </c>
      <c r="J2378" s="2" t="s">
        <v>5</v>
      </c>
      <c r="K2378" t="s">
        <v>143</v>
      </c>
      <c r="L2378" t="s">
        <v>143</v>
      </c>
      <c r="M2378" t="s">
        <v>553</v>
      </c>
      <c r="N2378" t="s">
        <v>85</v>
      </c>
      <c r="O2378" s="6" t="s">
        <v>242</v>
      </c>
      <c r="P2378" t="s">
        <v>147</v>
      </c>
      <c r="Q2378">
        <v>18</v>
      </c>
      <c r="R2378" t="s">
        <v>213</v>
      </c>
      <c r="S2378" s="2" t="s">
        <v>9</v>
      </c>
      <c r="T2378">
        <v>4</v>
      </c>
      <c r="U2378">
        <v>7.82</v>
      </c>
      <c r="V2378">
        <v>769</v>
      </c>
      <c r="W2378" t="s">
        <v>28</v>
      </c>
      <c r="X2378">
        <v>1.391</v>
      </c>
      <c r="Y2378">
        <f>1.534-X2378</f>
        <v>0.14300000000000002</v>
      </c>
      <c r="AA2378" s="6"/>
      <c r="AB2378" s="6"/>
    </row>
    <row r="2379" spans="1:28" x14ac:dyDescent="0.2">
      <c r="A2379" t="s">
        <v>633</v>
      </c>
      <c r="B2379">
        <v>2017</v>
      </c>
      <c r="C2379" t="s">
        <v>826</v>
      </c>
      <c r="D2379" t="s">
        <v>824</v>
      </c>
      <c r="E2379" t="s">
        <v>48</v>
      </c>
      <c r="F2379" t="s">
        <v>307</v>
      </c>
      <c r="G2379">
        <v>54.183827999999998</v>
      </c>
      <c r="H2379">
        <v>7.8726450000000003</v>
      </c>
      <c r="J2379" s="2" t="s">
        <v>5</v>
      </c>
      <c r="K2379" t="s">
        <v>143</v>
      </c>
      <c r="L2379" t="s">
        <v>143</v>
      </c>
      <c r="M2379" t="s">
        <v>553</v>
      </c>
      <c r="N2379" t="s">
        <v>85</v>
      </c>
      <c r="O2379" s="6" t="s">
        <v>242</v>
      </c>
      <c r="P2379" t="s">
        <v>147</v>
      </c>
      <c r="Q2379">
        <v>18</v>
      </c>
      <c r="R2379" t="s">
        <v>213</v>
      </c>
      <c r="S2379" s="2" t="s">
        <v>27</v>
      </c>
      <c r="T2379">
        <v>4</v>
      </c>
      <c r="U2379">
        <v>7.56</v>
      </c>
      <c r="V2379">
        <v>1437</v>
      </c>
      <c r="W2379" t="s">
        <v>28</v>
      </c>
      <c r="X2379">
        <v>1.23</v>
      </c>
      <c r="Y2379">
        <f>1.385-X2379</f>
        <v>0.15500000000000003</v>
      </c>
      <c r="AA2379" s="6"/>
      <c r="AB2379" s="6"/>
    </row>
    <row r="2380" spans="1:28" x14ac:dyDescent="0.2">
      <c r="A2380" t="s">
        <v>633</v>
      </c>
      <c r="B2380">
        <v>2017</v>
      </c>
      <c r="C2380" t="s">
        <v>826</v>
      </c>
      <c r="D2380" t="s">
        <v>824</v>
      </c>
      <c r="E2380" t="s">
        <v>48</v>
      </c>
      <c r="F2380" t="s">
        <v>307</v>
      </c>
      <c r="G2380">
        <v>54.183827999999998</v>
      </c>
      <c r="H2380">
        <v>7.8726450000000003</v>
      </c>
      <c r="J2380" s="2" t="s">
        <v>14</v>
      </c>
      <c r="K2380" t="s">
        <v>143</v>
      </c>
      <c r="L2380" t="s">
        <v>143</v>
      </c>
      <c r="M2380" t="s">
        <v>553</v>
      </c>
      <c r="N2380" t="s">
        <v>85</v>
      </c>
      <c r="O2380" s="6" t="s">
        <v>242</v>
      </c>
      <c r="P2380" t="s">
        <v>147</v>
      </c>
      <c r="Q2380">
        <v>18</v>
      </c>
      <c r="R2380" t="s">
        <v>213</v>
      </c>
      <c r="S2380" s="2" t="s">
        <v>13</v>
      </c>
      <c r="T2380">
        <v>4</v>
      </c>
      <c r="U2380" t="s">
        <v>28</v>
      </c>
      <c r="V2380" t="s">
        <v>28</v>
      </c>
      <c r="W2380">
        <v>17</v>
      </c>
      <c r="X2380">
        <v>2.4660000000000002</v>
      </c>
      <c r="Y2380">
        <f>2.775-X2380</f>
        <v>0.30899999999999972</v>
      </c>
      <c r="AA2380" s="6"/>
      <c r="AB2380" s="6"/>
    </row>
    <row r="2381" spans="1:28" x14ac:dyDescent="0.2">
      <c r="A2381" t="s">
        <v>633</v>
      </c>
      <c r="B2381">
        <v>2017</v>
      </c>
      <c r="C2381" t="s">
        <v>826</v>
      </c>
      <c r="D2381" t="s">
        <v>824</v>
      </c>
      <c r="E2381" t="s">
        <v>48</v>
      </c>
      <c r="F2381" t="s">
        <v>307</v>
      </c>
      <c r="G2381">
        <v>54.183827999999998</v>
      </c>
      <c r="H2381">
        <v>7.8726450000000003</v>
      </c>
      <c r="J2381" s="2" t="s">
        <v>16</v>
      </c>
      <c r="K2381" t="s">
        <v>143</v>
      </c>
      <c r="L2381" t="s">
        <v>143</v>
      </c>
      <c r="M2381" t="s">
        <v>553</v>
      </c>
      <c r="N2381" t="s">
        <v>85</v>
      </c>
      <c r="O2381" s="6" t="s">
        <v>242</v>
      </c>
      <c r="P2381" t="s">
        <v>147</v>
      </c>
      <c r="Q2381">
        <v>18</v>
      </c>
      <c r="R2381" t="s">
        <v>213</v>
      </c>
      <c r="S2381" t="s">
        <v>15</v>
      </c>
      <c r="T2381">
        <v>4</v>
      </c>
      <c r="U2381">
        <v>7.82</v>
      </c>
      <c r="V2381">
        <v>783</v>
      </c>
      <c r="W2381">
        <v>17</v>
      </c>
      <c r="X2381">
        <v>2.5459999999999998</v>
      </c>
      <c r="Y2381">
        <f>2.856-X2381</f>
        <v>0.31000000000000005</v>
      </c>
      <c r="AA2381" s="6"/>
      <c r="AB2381" s="6"/>
    </row>
    <row r="2382" spans="1:28" x14ac:dyDescent="0.2">
      <c r="A2382" t="s">
        <v>633</v>
      </c>
      <c r="B2382">
        <v>2017</v>
      </c>
      <c r="C2382" t="s">
        <v>826</v>
      </c>
      <c r="D2382" t="s">
        <v>824</v>
      </c>
      <c r="E2382" t="s">
        <v>48</v>
      </c>
      <c r="F2382" t="s">
        <v>307</v>
      </c>
      <c r="G2382">
        <v>54.183827999999998</v>
      </c>
      <c r="H2382">
        <v>7.8726450000000003</v>
      </c>
      <c r="J2382" s="2" t="s">
        <v>16</v>
      </c>
      <c r="K2382" t="s">
        <v>143</v>
      </c>
      <c r="L2382" t="s">
        <v>143</v>
      </c>
      <c r="M2382" t="s">
        <v>553</v>
      </c>
      <c r="N2382" t="s">
        <v>85</v>
      </c>
      <c r="O2382" s="6" t="s">
        <v>242</v>
      </c>
      <c r="P2382" t="s">
        <v>147</v>
      </c>
      <c r="Q2382">
        <v>18</v>
      </c>
      <c r="R2382" t="s">
        <v>213</v>
      </c>
      <c r="S2382" s="2" t="s">
        <v>37</v>
      </c>
      <c r="T2382">
        <v>4</v>
      </c>
      <c r="U2382">
        <v>7.56</v>
      </c>
      <c r="V2382">
        <v>1505</v>
      </c>
      <c r="W2382">
        <v>17</v>
      </c>
      <c r="X2382">
        <v>2.403</v>
      </c>
      <c r="Y2382">
        <f>2.678-X2382</f>
        <v>0.27499999999999991</v>
      </c>
      <c r="AA2382" s="6"/>
      <c r="AB2382" s="6"/>
    </row>
    <row r="2383" spans="1:28" x14ac:dyDescent="0.2">
      <c r="A2383" t="s">
        <v>633</v>
      </c>
      <c r="B2383">
        <v>2017</v>
      </c>
      <c r="C2383" t="s">
        <v>826</v>
      </c>
      <c r="D2383" t="s">
        <v>824</v>
      </c>
      <c r="E2383" t="s">
        <v>48</v>
      </c>
      <c r="F2383" t="s">
        <v>532</v>
      </c>
      <c r="G2383">
        <v>78.066044000000005</v>
      </c>
      <c r="H2383">
        <v>12.608806</v>
      </c>
      <c r="J2383" s="2" t="s">
        <v>7</v>
      </c>
      <c r="K2383" t="s">
        <v>143</v>
      </c>
      <c r="L2383" t="s">
        <v>143</v>
      </c>
      <c r="M2383" t="s">
        <v>553</v>
      </c>
      <c r="N2383" t="s">
        <v>86</v>
      </c>
      <c r="O2383" s="6" t="s">
        <v>243</v>
      </c>
      <c r="P2383" t="s">
        <v>147</v>
      </c>
      <c r="Q2383">
        <v>18</v>
      </c>
      <c r="R2383" t="s">
        <v>213</v>
      </c>
      <c r="S2383" s="2" t="s">
        <v>7</v>
      </c>
      <c r="T2383">
        <v>4</v>
      </c>
      <c r="U2383">
        <v>8.07</v>
      </c>
      <c r="V2383">
        <v>402</v>
      </c>
      <c r="W2383">
        <v>4</v>
      </c>
      <c r="X2383">
        <v>9.1499999999999998E-2</v>
      </c>
      <c r="Y2383">
        <f>0.1062-X2383</f>
        <v>1.4700000000000005E-2</v>
      </c>
      <c r="AA2383" s="6"/>
      <c r="AB2383" s="6"/>
    </row>
    <row r="2384" spans="1:28" x14ac:dyDescent="0.2">
      <c r="A2384" t="s">
        <v>633</v>
      </c>
      <c r="B2384">
        <v>2017</v>
      </c>
      <c r="C2384" t="s">
        <v>826</v>
      </c>
      <c r="D2384" t="s">
        <v>824</v>
      </c>
      <c r="E2384" t="s">
        <v>48</v>
      </c>
      <c r="F2384" t="s">
        <v>532</v>
      </c>
      <c r="G2384">
        <v>78.066044000000005</v>
      </c>
      <c r="H2384">
        <v>12.608806</v>
      </c>
      <c r="J2384" s="2" t="s">
        <v>5</v>
      </c>
      <c r="K2384" t="s">
        <v>143</v>
      </c>
      <c r="L2384" t="s">
        <v>143</v>
      </c>
      <c r="M2384" t="s">
        <v>553</v>
      </c>
      <c r="N2384" t="s">
        <v>86</v>
      </c>
      <c r="O2384" s="6" t="s">
        <v>243</v>
      </c>
      <c r="P2384" t="s">
        <v>147</v>
      </c>
      <c r="Q2384">
        <v>18</v>
      </c>
      <c r="R2384" t="s">
        <v>213</v>
      </c>
      <c r="S2384" s="2" t="s">
        <v>9</v>
      </c>
      <c r="T2384">
        <v>4</v>
      </c>
      <c r="U2384">
        <v>7.88</v>
      </c>
      <c r="V2384">
        <v>644</v>
      </c>
      <c r="W2384" t="s">
        <v>28</v>
      </c>
      <c r="X2384">
        <v>9.9400000000000002E-2</v>
      </c>
      <c r="Y2384">
        <f>0.1144-X2384</f>
        <v>1.4999999999999999E-2</v>
      </c>
      <c r="AA2384" s="6"/>
      <c r="AB2384" s="6"/>
    </row>
    <row r="2385" spans="1:28" x14ac:dyDescent="0.2">
      <c r="A2385" t="s">
        <v>633</v>
      </c>
      <c r="B2385">
        <v>2017</v>
      </c>
      <c r="C2385" t="s">
        <v>826</v>
      </c>
      <c r="D2385" t="s">
        <v>824</v>
      </c>
      <c r="E2385" t="s">
        <v>48</v>
      </c>
      <c r="F2385" t="s">
        <v>532</v>
      </c>
      <c r="G2385">
        <v>78.066044000000005</v>
      </c>
      <c r="H2385">
        <v>12.608806</v>
      </c>
      <c r="J2385" s="2" t="s">
        <v>5</v>
      </c>
      <c r="K2385" t="s">
        <v>143</v>
      </c>
      <c r="L2385" t="s">
        <v>143</v>
      </c>
      <c r="M2385" t="s">
        <v>553</v>
      </c>
      <c r="N2385" t="s">
        <v>86</v>
      </c>
      <c r="O2385" s="6" t="s">
        <v>243</v>
      </c>
      <c r="P2385" t="s">
        <v>147</v>
      </c>
      <c r="Q2385">
        <v>18</v>
      </c>
      <c r="R2385" t="s">
        <v>213</v>
      </c>
      <c r="S2385" s="2" t="s">
        <v>27</v>
      </c>
      <c r="T2385">
        <v>4</v>
      </c>
      <c r="U2385">
        <v>7.57</v>
      </c>
      <c r="V2385">
        <v>1354</v>
      </c>
      <c r="W2385" t="s">
        <v>28</v>
      </c>
      <c r="X2385">
        <v>7.5700000000000003E-2</v>
      </c>
      <c r="Y2385">
        <f>0.0897-X2385</f>
        <v>1.3999999999999999E-2</v>
      </c>
      <c r="AA2385" s="6"/>
      <c r="AB2385" s="6"/>
    </row>
    <row r="2386" spans="1:28" x14ac:dyDescent="0.2">
      <c r="A2386" t="s">
        <v>633</v>
      </c>
      <c r="B2386">
        <v>2017</v>
      </c>
      <c r="C2386" t="s">
        <v>826</v>
      </c>
      <c r="D2386" t="s">
        <v>824</v>
      </c>
      <c r="E2386" t="s">
        <v>48</v>
      </c>
      <c r="F2386" t="s">
        <v>532</v>
      </c>
      <c r="G2386">
        <v>78.066044000000005</v>
      </c>
      <c r="H2386">
        <v>12.608806</v>
      </c>
      <c r="J2386" s="2" t="s">
        <v>14</v>
      </c>
      <c r="K2386" t="s">
        <v>143</v>
      </c>
      <c r="L2386" t="s">
        <v>143</v>
      </c>
      <c r="M2386" t="s">
        <v>553</v>
      </c>
      <c r="N2386" t="s">
        <v>86</v>
      </c>
      <c r="O2386" s="6" t="s">
        <v>243</v>
      </c>
      <c r="P2386" t="s">
        <v>147</v>
      </c>
      <c r="Q2386">
        <v>18</v>
      </c>
      <c r="R2386" t="s">
        <v>213</v>
      </c>
      <c r="S2386" s="2" t="s">
        <v>13</v>
      </c>
      <c r="T2386">
        <v>4</v>
      </c>
      <c r="U2386" t="s">
        <v>28</v>
      </c>
      <c r="V2386" t="s">
        <v>28</v>
      </c>
      <c r="W2386">
        <v>10</v>
      </c>
      <c r="X2386">
        <v>0.11509999999999999</v>
      </c>
      <c r="Y2386">
        <f>0.1359-X2386</f>
        <v>2.0799999999999999E-2</v>
      </c>
      <c r="AA2386" s="6"/>
      <c r="AB2386" s="6"/>
    </row>
    <row r="2387" spans="1:28" x14ac:dyDescent="0.2">
      <c r="A2387" t="s">
        <v>633</v>
      </c>
      <c r="B2387">
        <v>2017</v>
      </c>
      <c r="C2387" t="s">
        <v>826</v>
      </c>
      <c r="D2387" t="s">
        <v>824</v>
      </c>
      <c r="E2387" t="s">
        <v>48</v>
      </c>
      <c r="F2387" t="s">
        <v>532</v>
      </c>
      <c r="G2387">
        <v>78.066044000000005</v>
      </c>
      <c r="H2387">
        <v>12.608806</v>
      </c>
      <c r="J2387" s="2" t="s">
        <v>16</v>
      </c>
      <c r="K2387" t="s">
        <v>143</v>
      </c>
      <c r="L2387" t="s">
        <v>143</v>
      </c>
      <c r="M2387" t="s">
        <v>553</v>
      </c>
      <c r="N2387" t="s">
        <v>86</v>
      </c>
      <c r="O2387" s="6" t="s">
        <v>243</v>
      </c>
      <c r="P2387" t="s">
        <v>147</v>
      </c>
      <c r="Q2387">
        <v>18</v>
      </c>
      <c r="R2387" t="s">
        <v>213</v>
      </c>
      <c r="S2387" t="s">
        <v>15</v>
      </c>
      <c r="T2387">
        <v>4</v>
      </c>
      <c r="U2387">
        <v>7.89</v>
      </c>
      <c r="V2387">
        <v>683</v>
      </c>
      <c r="W2387">
        <v>10</v>
      </c>
      <c r="X2387">
        <v>9.6500000000000002E-2</v>
      </c>
      <c r="Y2387">
        <f>0.1162-X2387</f>
        <v>1.9699999999999995E-2</v>
      </c>
      <c r="AA2387" s="6"/>
      <c r="AB2387" s="6"/>
    </row>
    <row r="2388" spans="1:28" x14ac:dyDescent="0.2">
      <c r="A2388" t="s">
        <v>633</v>
      </c>
      <c r="B2388">
        <v>2017</v>
      </c>
      <c r="C2388" t="s">
        <v>826</v>
      </c>
      <c r="D2388" t="s">
        <v>824</v>
      </c>
      <c r="E2388" t="s">
        <v>48</v>
      </c>
      <c r="F2388" t="s">
        <v>532</v>
      </c>
      <c r="G2388">
        <v>78.066044000000005</v>
      </c>
      <c r="H2388">
        <v>12.608806</v>
      </c>
      <c r="J2388" s="2" t="s">
        <v>16</v>
      </c>
      <c r="K2388" t="s">
        <v>143</v>
      </c>
      <c r="L2388" t="s">
        <v>143</v>
      </c>
      <c r="M2388" t="s">
        <v>553</v>
      </c>
      <c r="N2388" t="s">
        <v>86</v>
      </c>
      <c r="O2388" s="6" t="s">
        <v>243</v>
      </c>
      <c r="P2388" t="s">
        <v>147</v>
      </c>
      <c r="Q2388">
        <v>18</v>
      </c>
      <c r="R2388" t="s">
        <v>213</v>
      </c>
      <c r="S2388" s="2" t="s">
        <v>37</v>
      </c>
      <c r="T2388">
        <v>4</v>
      </c>
      <c r="U2388">
        <v>7.58</v>
      </c>
      <c r="V2388">
        <v>1456</v>
      </c>
      <c r="W2388">
        <v>10</v>
      </c>
      <c r="X2388">
        <v>9.8599999999999993E-2</v>
      </c>
      <c r="Y2388">
        <f>0.1094-X2388</f>
        <v>1.0800000000000004E-2</v>
      </c>
      <c r="AA2388" s="6"/>
      <c r="AB2388" s="6"/>
    </row>
    <row r="2389" spans="1:28" x14ac:dyDescent="0.2">
      <c r="A2389" t="s">
        <v>633</v>
      </c>
      <c r="B2389">
        <v>2017</v>
      </c>
      <c r="C2389" t="s">
        <v>826</v>
      </c>
      <c r="D2389" t="s">
        <v>824</v>
      </c>
      <c r="E2389" t="s">
        <v>48</v>
      </c>
      <c r="F2389" t="s">
        <v>307</v>
      </c>
      <c r="G2389">
        <v>54.183827999999998</v>
      </c>
      <c r="H2389">
        <v>7.8726450000000003</v>
      </c>
      <c r="J2389" s="2" t="s">
        <v>7</v>
      </c>
      <c r="K2389" t="s">
        <v>143</v>
      </c>
      <c r="L2389" t="s">
        <v>143</v>
      </c>
      <c r="M2389" t="s">
        <v>553</v>
      </c>
      <c r="N2389" t="s">
        <v>86</v>
      </c>
      <c r="O2389" s="6" t="s">
        <v>243</v>
      </c>
      <c r="P2389" t="s">
        <v>147</v>
      </c>
      <c r="Q2389">
        <v>18</v>
      </c>
      <c r="R2389" t="s">
        <v>213</v>
      </c>
      <c r="S2389" s="2" t="s">
        <v>7</v>
      </c>
      <c r="T2389">
        <v>4</v>
      </c>
      <c r="U2389">
        <v>8.06</v>
      </c>
      <c r="V2389">
        <v>423</v>
      </c>
      <c r="W2389">
        <v>10</v>
      </c>
      <c r="X2389">
        <v>0.1331</v>
      </c>
      <c r="Y2389">
        <f>0.1399-X2389</f>
        <v>6.8000000000000005E-3</v>
      </c>
      <c r="AA2389" s="6"/>
      <c r="AB2389" s="6"/>
    </row>
    <row r="2390" spans="1:28" x14ac:dyDescent="0.2">
      <c r="A2390" t="s">
        <v>633</v>
      </c>
      <c r="B2390">
        <v>2017</v>
      </c>
      <c r="C2390" t="s">
        <v>826</v>
      </c>
      <c r="D2390" t="s">
        <v>824</v>
      </c>
      <c r="E2390" t="s">
        <v>48</v>
      </c>
      <c r="F2390" t="s">
        <v>307</v>
      </c>
      <c r="G2390">
        <v>54.183827999999998</v>
      </c>
      <c r="H2390">
        <v>7.8726450000000003</v>
      </c>
      <c r="J2390" s="2" t="s">
        <v>5</v>
      </c>
      <c r="K2390" t="s">
        <v>143</v>
      </c>
      <c r="L2390" t="s">
        <v>143</v>
      </c>
      <c r="M2390" t="s">
        <v>553</v>
      </c>
      <c r="N2390" t="s">
        <v>86</v>
      </c>
      <c r="O2390" s="6" t="s">
        <v>243</v>
      </c>
      <c r="P2390" t="s">
        <v>147</v>
      </c>
      <c r="Q2390">
        <v>18</v>
      </c>
      <c r="R2390" t="s">
        <v>213</v>
      </c>
      <c r="S2390" s="2" t="s">
        <v>9</v>
      </c>
      <c r="T2390">
        <v>4</v>
      </c>
      <c r="U2390">
        <v>7.82</v>
      </c>
      <c r="V2390">
        <v>769</v>
      </c>
      <c r="W2390" t="s">
        <v>28</v>
      </c>
      <c r="X2390">
        <v>0.1101</v>
      </c>
      <c r="Y2390">
        <f>0.1169-X2390</f>
        <v>6.8000000000000005E-3</v>
      </c>
      <c r="AA2390" s="6"/>
      <c r="AB2390" s="6"/>
    </row>
    <row r="2391" spans="1:28" x14ac:dyDescent="0.2">
      <c r="A2391" t="s">
        <v>633</v>
      </c>
      <c r="B2391">
        <v>2017</v>
      </c>
      <c r="C2391" t="s">
        <v>826</v>
      </c>
      <c r="D2391" t="s">
        <v>824</v>
      </c>
      <c r="E2391" t="s">
        <v>48</v>
      </c>
      <c r="F2391" t="s">
        <v>307</v>
      </c>
      <c r="G2391">
        <v>54.183827999999998</v>
      </c>
      <c r="H2391">
        <v>7.8726450000000003</v>
      </c>
      <c r="J2391" s="2" t="s">
        <v>5</v>
      </c>
      <c r="K2391" t="s">
        <v>143</v>
      </c>
      <c r="L2391" t="s">
        <v>143</v>
      </c>
      <c r="M2391" t="s">
        <v>553</v>
      </c>
      <c r="N2391" t="s">
        <v>86</v>
      </c>
      <c r="O2391" s="6" t="s">
        <v>243</v>
      </c>
      <c r="P2391" t="s">
        <v>147</v>
      </c>
      <c r="Q2391">
        <v>18</v>
      </c>
      <c r="R2391" t="s">
        <v>213</v>
      </c>
      <c r="S2391" s="2" t="s">
        <v>27</v>
      </c>
      <c r="T2391">
        <v>4</v>
      </c>
      <c r="U2391">
        <v>7.56</v>
      </c>
      <c r="V2391">
        <v>1437</v>
      </c>
      <c r="W2391" t="s">
        <v>28</v>
      </c>
      <c r="X2391">
        <v>0.1019</v>
      </c>
      <c r="Y2391">
        <f>0.1123-X2391</f>
        <v>1.0399999999999993E-2</v>
      </c>
      <c r="AA2391" s="6"/>
      <c r="AB2391" s="6"/>
    </row>
    <row r="2392" spans="1:28" x14ac:dyDescent="0.2">
      <c r="A2392" t="s">
        <v>633</v>
      </c>
      <c r="B2392">
        <v>2017</v>
      </c>
      <c r="C2392" t="s">
        <v>826</v>
      </c>
      <c r="D2392" t="s">
        <v>824</v>
      </c>
      <c r="E2392" t="s">
        <v>48</v>
      </c>
      <c r="F2392" t="s">
        <v>307</v>
      </c>
      <c r="G2392">
        <v>54.183827999999998</v>
      </c>
      <c r="H2392">
        <v>7.8726450000000003</v>
      </c>
      <c r="J2392" s="2" t="s">
        <v>14</v>
      </c>
      <c r="K2392" t="s">
        <v>143</v>
      </c>
      <c r="L2392" t="s">
        <v>143</v>
      </c>
      <c r="M2392" t="s">
        <v>553</v>
      </c>
      <c r="N2392" t="s">
        <v>86</v>
      </c>
      <c r="O2392" s="6" t="s">
        <v>243</v>
      </c>
      <c r="P2392" t="s">
        <v>147</v>
      </c>
      <c r="Q2392">
        <v>18</v>
      </c>
      <c r="R2392" t="s">
        <v>213</v>
      </c>
      <c r="S2392" s="2" t="s">
        <v>13</v>
      </c>
      <c r="T2392">
        <v>4</v>
      </c>
      <c r="U2392" t="s">
        <v>28</v>
      </c>
      <c r="V2392" t="s">
        <v>28</v>
      </c>
      <c r="W2392">
        <v>17</v>
      </c>
      <c r="X2392">
        <v>0.1772</v>
      </c>
      <c r="Y2392">
        <f>0.1919-X2392</f>
        <v>1.4699999999999991E-2</v>
      </c>
      <c r="AA2392" s="6"/>
      <c r="AB2392" s="6"/>
    </row>
    <row r="2393" spans="1:28" x14ac:dyDescent="0.2">
      <c r="A2393" t="s">
        <v>633</v>
      </c>
      <c r="B2393">
        <v>2017</v>
      </c>
      <c r="C2393" t="s">
        <v>826</v>
      </c>
      <c r="D2393" t="s">
        <v>824</v>
      </c>
      <c r="E2393" t="s">
        <v>48</v>
      </c>
      <c r="F2393" t="s">
        <v>307</v>
      </c>
      <c r="G2393">
        <v>54.183827999999998</v>
      </c>
      <c r="H2393">
        <v>7.8726450000000003</v>
      </c>
      <c r="J2393" s="2" t="s">
        <v>16</v>
      </c>
      <c r="K2393" t="s">
        <v>143</v>
      </c>
      <c r="L2393" t="s">
        <v>143</v>
      </c>
      <c r="M2393" t="s">
        <v>553</v>
      </c>
      <c r="N2393" t="s">
        <v>86</v>
      </c>
      <c r="O2393" s="6" t="s">
        <v>243</v>
      </c>
      <c r="P2393" t="s">
        <v>147</v>
      </c>
      <c r="Q2393">
        <v>18</v>
      </c>
      <c r="R2393" t="s">
        <v>213</v>
      </c>
      <c r="S2393" t="s">
        <v>15</v>
      </c>
      <c r="T2393">
        <v>4</v>
      </c>
      <c r="U2393">
        <v>7.82</v>
      </c>
      <c r="V2393">
        <v>783</v>
      </c>
      <c r="W2393">
        <v>17</v>
      </c>
      <c r="X2393">
        <v>0.18540000000000001</v>
      </c>
      <c r="Y2393">
        <f>0.2034-X2393</f>
        <v>1.7999999999999988E-2</v>
      </c>
      <c r="AA2393" s="6"/>
      <c r="AB2393" s="6"/>
    </row>
    <row r="2394" spans="1:28" x14ac:dyDescent="0.2">
      <c r="A2394" t="s">
        <v>633</v>
      </c>
      <c r="B2394">
        <v>2017</v>
      </c>
      <c r="C2394" t="s">
        <v>826</v>
      </c>
      <c r="D2394" t="s">
        <v>824</v>
      </c>
      <c r="E2394" t="s">
        <v>48</v>
      </c>
      <c r="F2394" t="s">
        <v>307</v>
      </c>
      <c r="G2394">
        <v>54.183827999999998</v>
      </c>
      <c r="H2394">
        <v>7.8726450000000003</v>
      </c>
      <c r="J2394" s="2" t="s">
        <v>16</v>
      </c>
      <c r="K2394" t="s">
        <v>143</v>
      </c>
      <c r="L2394" t="s">
        <v>143</v>
      </c>
      <c r="M2394" t="s">
        <v>553</v>
      </c>
      <c r="N2394" t="s">
        <v>86</v>
      </c>
      <c r="O2394" s="6" t="s">
        <v>243</v>
      </c>
      <c r="P2394" t="s">
        <v>147</v>
      </c>
      <c r="Q2394">
        <v>18</v>
      </c>
      <c r="R2394" t="s">
        <v>213</v>
      </c>
      <c r="S2394" s="2" t="s">
        <v>37</v>
      </c>
      <c r="T2394">
        <v>4</v>
      </c>
      <c r="U2394">
        <v>7.56</v>
      </c>
      <c r="V2394">
        <v>1505</v>
      </c>
      <c r="W2394">
        <v>17</v>
      </c>
      <c r="X2394">
        <v>0.1578</v>
      </c>
      <c r="Y2394">
        <f>0.1732-X2394</f>
        <v>1.5399999999999997E-2</v>
      </c>
      <c r="AA2394" s="6"/>
      <c r="AB2394" s="6"/>
    </row>
    <row r="2395" spans="1:28" x14ac:dyDescent="0.2">
      <c r="A2395" t="s">
        <v>633</v>
      </c>
      <c r="B2395">
        <v>2017</v>
      </c>
      <c r="C2395" t="s">
        <v>826</v>
      </c>
      <c r="D2395" t="s">
        <v>824</v>
      </c>
      <c r="E2395" t="s">
        <v>48</v>
      </c>
      <c r="F2395" t="s">
        <v>532</v>
      </c>
      <c r="G2395">
        <v>78.066044000000005</v>
      </c>
      <c r="H2395">
        <v>12.608806</v>
      </c>
      <c r="J2395" s="2" t="s">
        <v>7</v>
      </c>
      <c r="K2395" t="s">
        <v>143</v>
      </c>
      <c r="L2395" t="s">
        <v>143</v>
      </c>
      <c r="M2395" t="s">
        <v>553</v>
      </c>
      <c r="N2395" t="s">
        <v>85</v>
      </c>
      <c r="O2395" s="6" t="s">
        <v>61</v>
      </c>
      <c r="P2395" t="s">
        <v>147</v>
      </c>
      <c r="Q2395">
        <v>18</v>
      </c>
      <c r="R2395" t="s">
        <v>213</v>
      </c>
      <c r="S2395" s="2" t="s">
        <v>7</v>
      </c>
      <c r="T2395">
        <v>4</v>
      </c>
      <c r="U2395">
        <v>8.07</v>
      </c>
      <c r="V2395">
        <v>402</v>
      </c>
      <c r="W2395">
        <v>4</v>
      </c>
      <c r="X2395">
        <v>3.57</v>
      </c>
      <c r="Y2395">
        <f>4.281-X2395</f>
        <v>0.71099999999999985</v>
      </c>
      <c r="AA2395" s="6"/>
      <c r="AB2395" s="6"/>
    </row>
    <row r="2396" spans="1:28" x14ac:dyDescent="0.2">
      <c r="A2396" t="s">
        <v>633</v>
      </c>
      <c r="B2396">
        <v>2017</v>
      </c>
      <c r="C2396" t="s">
        <v>826</v>
      </c>
      <c r="D2396" t="s">
        <v>824</v>
      </c>
      <c r="E2396" t="s">
        <v>48</v>
      </c>
      <c r="F2396" t="s">
        <v>532</v>
      </c>
      <c r="G2396">
        <v>78.066044000000005</v>
      </c>
      <c r="H2396">
        <v>12.608806</v>
      </c>
      <c r="J2396" s="2" t="s">
        <v>5</v>
      </c>
      <c r="K2396" t="s">
        <v>143</v>
      </c>
      <c r="L2396" t="s">
        <v>143</v>
      </c>
      <c r="M2396" t="s">
        <v>553</v>
      </c>
      <c r="N2396" t="s">
        <v>85</v>
      </c>
      <c r="O2396" s="6" t="s">
        <v>61</v>
      </c>
      <c r="P2396" t="s">
        <v>147</v>
      </c>
      <c r="Q2396">
        <v>18</v>
      </c>
      <c r="R2396" t="s">
        <v>213</v>
      </c>
      <c r="S2396" s="2" t="s">
        <v>9</v>
      </c>
      <c r="T2396">
        <v>4</v>
      </c>
      <c r="U2396">
        <v>7.88</v>
      </c>
      <c r="V2396">
        <v>644</v>
      </c>
      <c r="W2396" t="s">
        <v>28</v>
      </c>
      <c r="X2396">
        <v>3.57</v>
      </c>
      <c r="Y2396">
        <f>4.132-X2396</f>
        <v>0.56199999999999983</v>
      </c>
      <c r="AA2396" s="6"/>
      <c r="AB2396" s="6"/>
    </row>
    <row r="2397" spans="1:28" x14ac:dyDescent="0.2">
      <c r="A2397" t="s">
        <v>633</v>
      </c>
      <c r="B2397">
        <v>2017</v>
      </c>
      <c r="C2397" t="s">
        <v>826</v>
      </c>
      <c r="D2397" t="s">
        <v>824</v>
      </c>
      <c r="E2397" t="s">
        <v>48</v>
      </c>
      <c r="F2397" t="s">
        <v>532</v>
      </c>
      <c r="G2397">
        <v>78.066044000000005</v>
      </c>
      <c r="H2397">
        <v>12.608806</v>
      </c>
      <c r="J2397" s="2" t="s">
        <v>5</v>
      </c>
      <c r="K2397" t="s">
        <v>143</v>
      </c>
      <c r="L2397" t="s">
        <v>143</v>
      </c>
      <c r="M2397" t="s">
        <v>553</v>
      </c>
      <c r="N2397" t="s">
        <v>85</v>
      </c>
      <c r="O2397" s="6" t="s">
        <v>61</v>
      </c>
      <c r="P2397" t="s">
        <v>147</v>
      </c>
      <c r="Q2397">
        <v>18</v>
      </c>
      <c r="R2397" t="s">
        <v>213</v>
      </c>
      <c r="S2397" s="2" t="s">
        <v>27</v>
      </c>
      <c r="T2397">
        <v>4</v>
      </c>
      <c r="U2397">
        <v>7.57</v>
      </c>
      <c r="V2397">
        <v>1354</v>
      </c>
      <c r="W2397" t="s">
        <v>28</v>
      </c>
      <c r="X2397">
        <v>3.2370000000000001</v>
      </c>
      <c r="Y2397">
        <f>3.765-X2397</f>
        <v>0.52800000000000002</v>
      </c>
      <c r="AA2397" s="6"/>
      <c r="AB2397" s="6"/>
    </row>
    <row r="2398" spans="1:28" x14ac:dyDescent="0.2">
      <c r="A2398" t="s">
        <v>633</v>
      </c>
      <c r="B2398">
        <v>2017</v>
      </c>
      <c r="C2398" t="s">
        <v>826</v>
      </c>
      <c r="D2398" t="s">
        <v>824</v>
      </c>
      <c r="E2398" t="s">
        <v>48</v>
      </c>
      <c r="F2398" t="s">
        <v>532</v>
      </c>
      <c r="G2398">
        <v>78.066044000000005</v>
      </c>
      <c r="H2398">
        <v>12.608806</v>
      </c>
      <c r="J2398" s="2" t="s">
        <v>14</v>
      </c>
      <c r="K2398" t="s">
        <v>143</v>
      </c>
      <c r="L2398" t="s">
        <v>143</v>
      </c>
      <c r="M2398" t="s">
        <v>553</v>
      </c>
      <c r="N2398" t="s">
        <v>85</v>
      </c>
      <c r="O2398" s="6" t="s">
        <v>61</v>
      </c>
      <c r="P2398" t="s">
        <v>147</v>
      </c>
      <c r="Q2398">
        <v>18</v>
      </c>
      <c r="R2398" t="s">
        <v>213</v>
      </c>
      <c r="S2398" s="2" t="s">
        <v>13</v>
      </c>
      <c r="T2398">
        <v>4</v>
      </c>
      <c r="U2398" t="s">
        <v>28</v>
      </c>
      <c r="V2398" t="s">
        <v>28</v>
      </c>
      <c r="W2398">
        <v>10</v>
      </c>
      <c r="X2398">
        <v>4.1890000000000001</v>
      </c>
      <c r="Y2398">
        <f>4.97-X2398</f>
        <v>0.78099999999999969</v>
      </c>
      <c r="AA2398" s="6"/>
      <c r="AB2398" s="6"/>
    </row>
    <row r="2399" spans="1:28" x14ac:dyDescent="0.2">
      <c r="A2399" t="s">
        <v>633</v>
      </c>
      <c r="B2399">
        <v>2017</v>
      </c>
      <c r="C2399" t="s">
        <v>826</v>
      </c>
      <c r="D2399" t="s">
        <v>824</v>
      </c>
      <c r="E2399" t="s">
        <v>48</v>
      </c>
      <c r="F2399" t="s">
        <v>532</v>
      </c>
      <c r="G2399">
        <v>78.066044000000005</v>
      </c>
      <c r="H2399">
        <v>12.608806</v>
      </c>
      <c r="J2399" s="2" t="s">
        <v>16</v>
      </c>
      <c r="K2399" t="s">
        <v>143</v>
      </c>
      <c r="L2399" t="s">
        <v>143</v>
      </c>
      <c r="M2399" t="s">
        <v>553</v>
      </c>
      <c r="N2399" t="s">
        <v>85</v>
      </c>
      <c r="O2399" s="6" t="s">
        <v>61</v>
      </c>
      <c r="P2399" t="s">
        <v>147</v>
      </c>
      <c r="Q2399">
        <v>18</v>
      </c>
      <c r="R2399" t="s">
        <v>213</v>
      </c>
      <c r="S2399" t="s">
        <v>15</v>
      </c>
      <c r="T2399">
        <v>4</v>
      </c>
      <c r="U2399">
        <v>7.89</v>
      </c>
      <c r="V2399">
        <v>683</v>
      </c>
      <c r="W2399">
        <v>10</v>
      </c>
      <c r="X2399">
        <v>3.5579999999999998</v>
      </c>
      <c r="Y2399">
        <f>4.143-X2399</f>
        <v>0.58499999999999996</v>
      </c>
      <c r="AA2399" s="6"/>
      <c r="AB2399" s="6"/>
    </row>
    <row r="2400" spans="1:28" x14ac:dyDescent="0.2">
      <c r="A2400" t="s">
        <v>633</v>
      </c>
      <c r="B2400">
        <v>2017</v>
      </c>
      <c r="C2400" t="s">
        <v>826</v>
      </c>
      <c r="D2400" t="s">
        <v>824</v>
      </c>
      <c r="E2400" t="s">
        <v>48</v>
      </c>
      <c r="F2400" t="s">
        <v>532</v>
      </c>
      <c r="G2400">
        <v>78.066044000000005</v>
      </c>
      <c r="H2400">
        <v>12.608806</v>
      </c>
      <c r="J2400" s="2" t="s">
        <v>16</v>
      </c>
      <c r="K2400" t="s">
        <v>143</v>
      </c>
      <c r="L2400" t="s">
        <v>143</v>
      </c>
      <c r="M2400" t="s">
        <v>553</v>
      </c>
      <c r="N2400" t="s">
        <v>85</v>
      </c>
      <c r="O2400" s="6" t="s">
        <v>61</v>
      </c>
      <c r="P2400" t="s">
        <v>147</v>
      </c>
      <c r="Q2400">
        <v>18</v>
      </c>
      <c r="R2400" t="s">
        <v>213</v>
      </c>
      <c r="S2400" s="2" t="s">
        <v>37</v>
      </c>
      <c r="T2400">
        <v>4</v>
      </c>
      <c r="U2400">
        <v>7.58</v>
      </c>
      <c r="V2400">
        <v>1456</v>
      </c>
      <c r="W2400">
        <v>10</v>
      </c>
      <c r="X2400">
        <v>3.4319999999999999</v>
      </c>
      <c r="Y2400">
        <f>3.742-X2400</f>
        <v>0.31000000000000005</v>
      </c>
      <c r="AA2400" s="6"/>
      <c r="AB2400" s="6"/>
    </row>
    <row r="2401" spans="1:28" x14ac:dyDescent="0.2">
      <c r="A2401" t="s">
        <v>633</v>
      </c>
      <c r="B2401">
        <v>2017</v>
      </c>
      <c r="C2401" t="s">
        <v>826</v>
      </c>
      <c r="D2401" t="s">
        <v>824</v>
      </c>
      <c r="E2401" t="s">
        <v>48</v>
      </c>
      <c r="F2401" t="s">
        <v>307</v>
      </c>
      <c r="G2401">
        <v>54.183827999999998</v>
      </c>
      <c r="H2401">
        <v>7.8726450000000003</v>
      </c>
      <c r="J2401" s="2" t="s">
        <v>7</v>
      </c>
      <c r="K2401" t="s">
        <v>143</v>
      </c>
      <c r="L2401" t="s">
        <v>143</v>
      </c>
      <c r="M2401" t="s">
        <v>553</v>
      </c>
      <c r="N2401" t="s">
        <v>85</v>
      </c>
      <c r="O2401" s="6" t="s">
        <v>61</v>
      </c>
      <c r="P2401" t="s">
        <v>147</v>
      </c>
      <c r="Q2401">
        <v>18</v>
      </c>
      <c r="R2401" t="s">
        <v>213</v>
      </c>
      <c r="S2401" s="2" t="s">
        <v>7</v>
      </c>
      <c r="T2401">
        <v>4</v>
      </c>
      <c r="U2401">
        <v>8.06</v>
      </c>
      <c r="V2401">
        <v>423</v>
      </c>
      <c r="W2401">
        <v>10</v>
      </c>
      <c r="X2401">
        <v>3.512</v>
      </c>
      <c r="Y2401">
        <f>3.845-X2401</f>
        <v>0.33300000000000018</v>
      </c>
      <c r="AA2401" s="6"/>
      <c r="AB2401" s="6"/>
    </row>
    <row r="2402" spans="1:28" x14ac:dyDescent="0.2">
      <c r="A2402" t="s">
        <v>633</v>
      </c>
      <c r="B2402">
        <v>2017</v>
      </c>
      <c r="C2402" t="s">
        <v>826</v>
      </c>
      <c r="D2402" t="s">
        <v>824</v>
      </c>
      <c r="E2402" t="s">
        <v>48</v>
      </c>
      <c r="F2402" t="s">
        <v>307</v>
      </c>
      <c r="G2402">
        <v>54.183827999999998</v>
      </c>
      <c r="H2402">
        <v>7.8726450000000003</v>
      </c>
      <c r="J2402" s="2" t="s">
        <v>5</v>
      </c>
      <c r="K2402" t="s">
        <v>143</v>
      </c>
      <c r="L2402" t="s">
        <v>143</v>
      </c>
      <c r="M2402" t="s">
        <v>553</v>
      </c>
      <c r="N2402" t="s">
        <v>85</v>
      </c>
      <c r="O2402" s="6" t="s">
        <v>61</v>
      </c>
      <c r="P2402" t="s">
        <v>147</v>
      </c>
      <c r="Q2402">
        <v>18</v>
      </c>
      <c r="R2402" t="s">
        <v>213</v>
      </c>
      <c r="S2402" s="2" t="s">
        <v>9</v>
      </c>
      <c r="T2402">
        <v>4</v>
      </c>
      <c r="U2402">
        <v>7.82</v>
      </c>
      <c r="V2402">
        <v>769</v>
      </c>
      <c r="W2402" t="s">
        <v>28</v>
      </c>
      <c r="X2402">
        <v>3.11</v>
      </c>
      <c r="Y2402">
        <f>3.466-X2402</f>
        <v>0.35600000000000032</v>
      </c>
      <c r="AA2402" s="6"/>
      <c r="AB2402" s="6"/>
    </row>
    <row r="2403" spans="1:28" x14ac:dyDescent="0.2">
      <c r="A2403" t="s">
        <v>633</v>
      </c>
      <c r="B2403">
        <v>2017</v>
      </c>
      <c r="C2403" t="s">
        <v>826</v>
      </c>
      <c r="D2403" t="s">
        <v>824</v>
      </c>
      <c r="E2403" t="s">
        <v>48</v>
      </c>
      <c r="F2403" t="s">
        <v>307</v>
      </c>
      <c r="G2403">
        <v>54.183827999999998</v>
      </c>
      <c r="H2403">
        <v>7.8726450000000003</v>
      </c>
      <c r="J2403" s="2" t="s">
        <v>5</v>
      </c>
      <c r="K2403" t="s">
        <v>143</v>
      </c>
      <c r="L2403" t="s">
        <v>143</v>
      </c>
      <c r="M2403" t="s">
        <v>553</v>
      </c>
      <c r="N2403" t="s">
        <v>85</v>
      </c>
      <c r="O2403" s="6" t="s">
        <v>61</v>
      </c>
      <c r="P2403" t="s">
        <v>147</v>
      </c>
      <c r="Q2403">
        <v>18</v>
      </c>
      <c r="R2403" t="s">
        <v>213</v>
      </c>
      <c r="S2403" s="2" t="s">
        <v>27</v>
      </c>
      <c r="T2403">
        <v>4</v>
      </c>
      <c r="U2403">
        <v>7.56</v>
      </c>
      <c r="V2403">
        <v>1437</v>
      </c>
      <c r="W2403" t="s">
        <v>28</v>
      </c>
      <c r="X2403">
        <v>2.6509999999999998</v>
      </c>
      <c r="Y2403">
        <f>3.042-X2403</f>
        <v>0.39100000000000001</v>
      </c>
      <c r="AA2403" s="6"/>
      <c r="AB2403" s="6"/>
    </row>
    <row r="2404" spans="1:28" x14ac:dyDescent="0.2">
      <c r="A2404" t="s">
        <v>633</v>
      </c>
      <c r="B2404">
        <v>2017</v>
      </c>
      <c r="C2404" t="s">
        <v>826</v>
      </c>
      <c r="D2404" t="s">
        <v>824</v>
      </c>
      <c r="E2404" t="s">
        <v>48</v>
      </c>
      <c r="F2404" t="s">
        <v>307</v>
      </c>
      <c r="G2404">
        <v>54.183827999999998</v>
      </c>
      <c r="H2404">
        <v>7.8726450000000003</v>
      </c>
      <c r="J2404" s="2" t="s">
        <v>14</v>
      </c>
      <c r="K2404" t="s">
        <v>143</v>
      </c>
      <c r="L2404" t="s">
        <v>143</v>
      </c>
      <c r="M2404" t="s">
        <v>553</v>
      </c>
      <c r="N2404" t="s">
        <v>85</v>
      </c>
      <c r="O2404" s="6" t="s">
        <v>61</v>
      </c>
      <c r="P2404" t="s">
        <v>147</v>
      </c>
      <c r="Q2404">
        <v>18</v>
      </c>
      <c r="R2404" t="s">
        <v>213</v>
      </c>
      <c r="S2404" s="2" t="s">
        <v>13</v>
      </c>
      <c r="T2404">
        <v>4</v>
      </c>
      <c r="U2404" t="s">
        <v>28</v>
      </c>
      <c r="V2404" t="s">
        <v>28</v>
      </c>
      <c r="W2404">
        <v>17</v>
      </c>
      <c r="X2404">
        <v>5.05</v>
      </c>
      <c r="Y2404">
        <f>5.693-X2404</f>
        <v>0.64299999999999979</v>
      </c>
      <c r="AA2404" s="6"/>
      <c r="AB2404" s="6"/>
    </row>
    <row r="2405" spans="1:28" x14ac:dyDescent="0.2">
      <c r="A2405" t="s">
        <v>633</v>
      </c>
      <c r="B2405">
        <v>2017</v>
      </c>
      <c r="C2405" t="s">
        <v>826</v>
      </c>
      <c r="D2405" t="s">
        <v>824</v>
      </c>
      <c r="E2405" t="s">
        <v>48</v>
      </c>
      <c r="F2405" t="s">
        <v>307</v>
      </c>
      <c r="G2405">
        <v>54.183827999999998</v>
      </c>
      <c r="H2405">
        <v>7.8726450000000003</v>
      </c>
      <c r="J2405" s="2" t="s">
        <v>16</v>
      </c>
      <c r="K2405" t="s">
        <v>143</v>
      </c>
      <c r="L2405" t="s">
        <v>143</v>
      </c>
      <c r="M2405" t="s">
        <v>553</v>
      </c>
      <c r="N2405" t="s">
        <v>85</v>
      </c>
      <c r="O2405" s="6" t="s">
        <v>61</v>
      </c>
      <c r="P2405" t="s">
        <v>147</v>
      </c>
      <c r="Q2405">
        <v>18</v>
      </c>
      <c r="R2405" t="s">
        <v>213</v>
      </c>
      <c r="S2405" t="s">
        <v>15</v>
      </c>
      <c r="T2405">
        <v>4</v>
      </c>
      <c r="U2405">
        <v>7.82</v>
      </c>
      <c r="V2405">
        <v>783</v>
      </c>
      <c r="W2405">
        <v>17</v>
      </c>
      <c r="X2405">
        <v>5.2110000000000003</v>
      </c>
      <c r="Y2405">
        <f>5.842-X2405</f>
        <v>0.63099999999999934</v>
      </c>
      <c r="AA2405" s="6"/>
      <c r="AB2405" s="6"/>
    </row>
    <row r="2406" spans="1:28" x14ac:dyDescent="0.2">
      <c r="A2406" t="s">
        <v>633</v>
      </c>
      <c r="B2406">
        <v>2017</v>
      </c>
      <c r="C2406" t="s">
        <v>826</v>
      </c>
      <c r="D2406" t="s">
        <v>824</v>
      </c>
      <c r="E2406" t="s">
        <v>48</v>
      </c>
      <c r="F2406" t="s">
        <v>307</v>
      </c>
      <c r="G2406">
        <v>54.183827999999998</v>
      </c>
      <c r="H2406">
        <v>7.8726450000000003</v>
      </c>
      <c r="J2406" s="2" t="s">
        <v>16</v>
      </c>
      <c r="K2406" t="s">
        <v>143</v>
      </c>
      <c r="L2406" t="s">
        <v>143</v>
      </c>
      <c r="M2406" t="s">
        <v>553</v>
      </c>
      <c r="N2406" t="s">
        <v>85</v>
      </c>
      <c r="O2406" s="6" t="s">
        <v>61</v>
      </c>
      <c r="P2406" t="s">
        <v>147</v>
      </c>
      <c r="Q2406">
        <v>18</v>
      </c>
      <c r="R2406" t="s">
        <v>213</v>
      </c>
      <c r="S2406" s="2" t="s">
        <v>37</v>
      </c>
      <c r="T2406">
        <v>4</v>
      </c>
      <c r="U2406">
        <v>7.56</v>
      </c>
      <c r="V2406">
        <v>1505</v>
      </c>
      <c r="W2406">
        <v>17</v>
      </c>
      <c r="X2406">
        <v>4.8440000000000003</v>
      </c>
      <c r="Y2406">
        <f>5.395-X2406</f>
        <v>0.55099999999999927</v>
      </c>
      <c r="AA2406" s="6"/>
      <c r="AB2406" s="6"/>
    </row>
    <row r="2407" spans="1:28" x14ac:dyDescent="0.2">
      <c r="A2407" t="s">
        <v>633</v>
      </c>
      <c r="B2407">
        <v>2017</v>
      </c>
      <c r="C2407" t="s">
        <v>826</v>
      </c>
      <c r="D2407" t="s">
        <v>824</v>
      </c>
      <c r="E2407" t="s">
        <v>48</v>
      </c>
      <c r="F2407" t="s">
        <v>532</v>
      </c>
      <c r="G2407">
        <v>78.066044000000005</v>
      </c>
      <c r="H2407">
        <v>12.608806</v>
      </c>
      <c r="J2407" s="2" t="s">
        <v>7</v>
      </c>
      <c r="K2407" t="s">
        <v>143</v>
      </c>
      <c r="L2407" t="s">
        <v>143</v>
      </c>
      <c r="M2407" t="s">
        <v>553</v>
      </c>
      <c r="N2407" t="s">
        <v>85</v>
      </c>
      <c r="O2407" s="6" t="s">
        <v>88</v>
      </c>
      <c r="P2407" t="s">
        <v>349</v>
      </c>
      <c r="Q2407">
        <v>18</v>
      </c>
      <c r="R2407" t="s">
        <v>213</v>
      </c>
      <c r="S2407" s="2" t="s">
        <v>7</v>
      </c>
      <c r="T2407">
        <v>4</v>
      </c>
      <c r="U2407">
        <v>8.07</v>
      </c>
      <c r="V2407">
        <v>402</v>
      </c>
      <c r="W2407">
        <v>4</v>
      </c>
      <c r="X2407">
        <v>0.1913</v>
      </c>
      <c r="Y2407">
        <f>0.2095-X2407</f>
        <v>1.8199999999999994E-2</v>
      </c>
      <c r="AA2407" s="6"/>
      <c r="AB2407" s="6"/>
    </row>
    <row r="2408" spans="1:28" x14ac:dyDescent="0.2">
      <c r="A2408" t="s">
        <v>633</v>
      </c>
      <c r="B2408">
        <v>2017</v>
      </c>
      <c r="C2408" t="s">
        <v>826</v>
      </c>
      <c r="D2408" t="s">
        <v>824</v>
      </c>
      <c r="E2408" t="s">
        <v>48</v>
      </c>
      <c r="F2408" t="s">
        <v>532</v>
      </c>
      <c r="G2408">
        <v>78.066044000000005</v>
      </c>
      <c r="H2408">
        <v>12.608806</v>
      </c>
      <c r="J2408" s="2" t="s">
        <v>5</v>
      </c>
      <c r="K2408" t="s">
        <v>143</v>
      </c>
      <c r="L2408" t="s">
        <v>143</v>
      </c>
      <c r="M2408" t="s">
        <v>553</v>
      </c>
      <c r="N2408" t="s">
        <v>85</v>
      </c>
      <c r="O2408" s="6" t="s">
        <v>88</v>
      </c>
      <c r="P2408" t="s">
        <v>349</v>
      </c>
      <c r="Q2408">
        <v>18</v>
      </c>
      <c r="R2408" t="s">
        <v>213</v>
      </c>
      <c r="S2408" s="2" t="s">
        <v>9</v>
      </c>
      <c r="T2408">
        <v>4</v>
      </c>
      <c r="U2408">
        <v>7.88</v>
      </c>
      <c r="V2408">
        <v>644</v>
      </c>
      <c r="W2408" t="s">
        <v>28</v>
      </c>
      <c r="X2408">
        <v>0.21560000000000001</v>
      </c>
      <c r="Y2408">
        <f>0.2264-X2408</f>
        <v>1.0799999999999976E-2</v>
      </c>
      <c r="AA2408" s="6"/>
      <c r="AB2408" s="6"/>
    </row>
    <row r="2409" spans="1:28" x14ac:dyDescent="0.2">
      <c r="A2409" t="s">
        <v>633</v>
      </c>
      <c r="B2409">
        <v>2017</v>
      </c>
      <c r="C2409" t="s">
        <v>826</v>
      </c>
      <c r="D2409" t="s">
        <v>824</v>
      </c>
      <c r="E2409" t="s">
        <v>48</v>
      </c>
      <c r="F2409" t="s">
        <v>532</v>
      </c>
      <c r="G2409">
        <v>78.066044000000005</v>
      </c>
      <c r="H2409">
        <v>12.608806</v>
      </c>
      <c r="J2409" s="2" t="s">
        <v>5</v>
      </c>
      <c r="K2409" t="s">
        <v>143</v>
      </c>
      <c r="L2409" t="s">
        <v>143</v>
      </c>
      <c r="M2409" t="s">
        <v>553</v>
      </c>
      <c r="N2409" t="s">
        <v>85</v>
      </c>
      <c r="O2409" s="6" t="s">
        <v>88</v>
      </c>
      <c r="P2409" t="s">
        <v>349</v>
      </c>
      <c r="Q2409">
        <v>18</v>
      </c>
      <c r="R2409" t="s">
        <v>213</v>
      </c>
      <c r="S2409" s="2" t="s">
        <v>27</v>
      </c>
      <c r="T2409">
        <v>4</v>
      </c>
      <c r="U2409">
        <v>7.57</v>
      </c>
      <c r="V2409">
        <v>1354</v>
      </c>
      <c r="W2409" t="s">
        <v>28</v>
      </c>
      <c r="X2409">
        <v>0.19309999999999999</v>
      </c>
      <c r="Y2409">
        <f>0.2017-X2409</f>
        <v>8.5999999999999965E-3</v>
      </c>
      <c r="AA2409" s="6"/>
      <c r="AB2409" s="6"/>
    </row>
    <row r="2410" spans="1:28" x14ac:dyDescent="0.2">
      <c r="A2410" t="s">
        <v>633</v>
      </c>
      <c r="B2410">
        <v>2017</v>
      </c>
      <c r="C2410" t="s">
        <v>826</v>
      </c>
      <c r="D2410" t="s">
        <v>824</v>
      </c>
      <c r="E2410" t="s">
        <v>48</v>
      </c>
      <c r="F2410" t="s">
        <v>532</v>
      </c>
      <c r="G2410">
        <v>78.066044000000005</v>
      </c>
      <c r="H2410">
        <v>12.608806</v>
      </c>
      <c r="J2410" s="2" t="s">
        <v>14</v>
      </c>
      <c r="K2410" t="s">
        <v>143</v>
      </c>
      <c r="L2410" t="s">
        <v>143</v>
      </c>
      <c r="M2410" t="s">
        <v>553</v>
      </c>
      <c r="N2410" t="s">
        <v>85</v>
      </c>
      <c r="O2410" s="6" t="s">
        <v>88</v>
      </c>
      <c r="P2410" t="s">
        <v>349</v>
      </c>
      <c r="Q2410">
        <v>18</v>
      </c>
      <c r="R2410" t="s">
        <v>213</v>
      </c>
      <c r="S2410" s="2" t="s">
        <v>13</v>
      </c>
      <c r="T2410">
        <v>4</v>
      </c>
      <c r="U2410" t="s">
        <v>28</v>
      </c>
      <c r="V2410" t="s">
        <v>28</v>
      </c>
      <c r="W2410">
        <v>10</v>
      </c>
      <c r="X2410">
        <v>0.2069</v>
      </c>
      <c r="Y2410">
        <f>0.2186-X2410</f>
        <v>1.1699999999999988E-2</v>
      </c>
      <c r="AA2410" s="6"/>
      <c r="AB2410" s="6"/>
    </row>
    <row r="2411" spans="1:28" x14ac:dyDescent="0.2">
      <c r="A2411" t="s">
        <v>633</v>
      </c>
      <c r="B2411">
        <v>2017</v>
      </c>
      <c r="C2411" t="s">
        <v>826</v>
      </c>
      <c r="D2411" t="s">
        <v>824</v>
      </c>
      <c r="E2411" t="s">
        <v>48</v>
      </c>
      <c r="F2411" t="s">
        <v>532</v>
      </c>
      <c r="G2411">
        <v>78.066044000000005</v>
      </c>
      <c r="H2411">
        <v>12.608806</v>
      </c>
      <c r="J2411" s="2" t="s">
        <v>16</v>
      </c>
      <c r="K2411" t="s">
        <v>143</v>
      </c>
      <c r="L2411" t="s">
        <v>143</v>
      </c>
      <c r="M2411" t="s">
        <v>553</v>
      </c>
      <c r="N2411" t="s">
        <v>85</v>
      </c>
      <c r="O2411" s="6" t="s">
        <v>88</v>
      </c>
      <c r="P2411" t="s">
        <v>349</v>
      </c>
      <c r="Q2411">
        <v>18</v>
      </c>
      <c r="R2411" t="s">
        <v>213</v>
      </c>
      <c r="S2411" t="s">
        <v>15</v>
      </c>
      <c r="T2411">
        <v>4</v>
      </c>
      <c r="U2411">
        <v>7.89</v>
      </c>
      <c r="V2411">
        <v>683</v>
      </c>
      <c r="W2411">
        <v>10</v>
      </c>
      <c r="X2411">
        <v>0.20039999999999999</v>
      </c>
      <c r="Y2411">
        <f>0.2065-X2411</f>
        <v>6.0999999999999943E-3</v>
      </c>
      <c r="AA2411" s="6"/>
      <c r="AB2411" s="6"/>
    </row>
    <row r="2412" spans="1:28" x14ac:dyDescent="0.2">
      <c r="A2412" t="s">
        <v>633</v>
      </c>
      <c r="B2412">
        <v>2017</v>
      </c>
      <c r="C2412" t="s">
        <v>826</v>
      </c>
      <c r="D2412" t="s">
        <v>824</v>
      </c>
      <c r="E2412" t="s">
        <v>48</v>
      </c>
      <c r="F2412" t="s">
        <v>532</v>
      </c>
      <c r="G2412">
        <v>78.066044000000005</v>
      </c>
      <c r="H2412">
        <v>12.608806</v>
      </c>
      <c r="J2412" s="2" t="s">
        <v>16</v>
      </c>
      <c r="K2412" t="s">
        <v>143</v>
      </c>
      <c r="L2412" t="s">
        <v>143</v>
      </c>
      <c r="M2412" t="s">
        <v>553</v>
      </c>
      <c r="N2412" t="s">
        <v>85</v>
      </c>
      <c r="O2412" s="6" t="s">
        <v>88</v>
      </c>
      <c r="P2412" t="s">
        <v>349</v>
      </c>
      <c r="Q2412">
        <v>18</v>
      </c>
      <c r="R2412" t="s">
        <v>213</v>
      </c>
      <c r="S2412" s="2" t="s">
        <v>37</v>
      </c>
      <c r="T2412">
        <v>4</v>
      </c>
      <c r="U2412">
        <v>7.58</v>
      </c>
      <c r="V2412">
        <v>1456</v>
      </c>
      <c r="W2412">
        <v>10</v>
      </c>
      <c r="X2412">
        <v>0.2056</v>
      </c>
      <c r="Y2412">
        <f>0.2186-X2412</f>
        <v>1.2999999999999984E-2</v>
      </c>
      <c r="AA2412" s="6"/>
      <c r="AB2412" s="6"/>
    </row>
    <row r="2413" spans="1:28" x14ac:dyDescent="0.2">
      <c r="A2413" t="s">
        <v>633</v>
      </c>
      <c r="B2413">
        <v>2017</v>
      </c>
      <c r="C2413" t="s">
        <v>826</v>
      </c>
      <c r="D2413" t="s">
        <v>824</v>
      </c>
      <c r="E2413" t="s">
        <v>48</v>
      </c>
      <c r="F2413" t="s">
        <v>307</v>
      </c>
      <c r="G2413">
        <v>54.183827999999998</v>
      </c>
      <c r="H2413">
        <v>7.8726450000000003</v>
      </c>
      <c r="J2413" s="2" t="s">
        <v>7</v>
      </c>
      <c r="K2413" t="s">
        <v>143</v>
      </c>
      <c r="L2413" t="s">
        <v>143</v>
      </c>
      <c r="M2413" t="s">
        <v>553</v>
      </c>
      <c r="N2413" t="s">
        <v>85</v>
      </c>
      <c r="O2413" s="6" t="s">
        <v>88</v>
      </c>
      <c r="P2413" t="s">
        <v>349</v>
      </c>
      <c r="Q2413">
        <v>18</v>
      </c>
      <c r="R2413" t="s">
        <v>213</v>
      </c>
      <c r="S2413" s="2" t="s">
        <v>7</v>
      </c>
      <c r="T2413">
        <v>4</v>
      </c>
      <c r="U2413">
        <v>8.06</v>
      </c>
      <c r="V2413">
        <v>423</v>
      </c>
      <c r="W2413">
        <v>10</v>
      </c>
      <c r="X2413">
        <v>0.22470000000000001</v>
      </c>
      <c r="Y2413">
        <f>0.2398-X2413</f>
        <v>1.5100000000000002E-2</v>
      </c>
      <c r="AA2413" s="6"/>
      <c r="AB2413" s="6"/>
    </row>
    <row r="2414" spans="1:28" x14ac:dyDescent="0.2">
      <c r="A2414" t="s">
        <v>633</v>
      </c>
      <c r="B2414">
        <v>2017</v>
      </c>
      <c r="C2414" t="s">
        <v>826</v>
      </c>
      <c r="D2414" t="s">
        <v>824</v>
      </c>
      <c r="E2414" t="s">
        <v>48</v>
      </c>
      <c r="F2414" t="s">
        <v>307</v>
      </c>
      <c r="G2414">
        <v>54.183827999999998</v>
      </c>
      <c r="H2414">
        <v>7.8726450000000003</v>
      </c>
      <c r="J2414" s="2" t="s">
        <v>5</v>
      </c>
      <c r="K2414" t="s">
        <v>143</v>
      </c>
      <c r="L2414" t="s">
        <v>143</v>
      </c>
      <c r="M2414" t="s">
        <v>553</v>
      </c>
      <c r="N2414" t="s">
        <v>85</v>
      </c>
      <c r="O2414" s="6" t="s">
        <v>88</v>
      </c>
      <c r="P2414" t="s">
        <v>349</v>
      </c>
      <c r="Q2414">
        <v>18</v>
      </c>
      <c r="R2414" t="s">
        <v>213</v>
      </c>
      <c r="S2414" s="2" t="s">
        <v>9</v>
      </c>
      <c r="T2414">
        <v>4</v>
      </c>
      <c r="U2414">
        <v>7.82</v>
      </c>
      <c r="V2414">
        <v>769</v>
      </c>
      <c r="W2414" t="s">
        <v>28</v>
      </c>
      <c r="X2414">
        <v>0.22339999999999999</v>
      </c>
      <c r="Y2414">
        <f>0.2442-X2414</f>
        <v>2.0800000000000013E-2</v>
      </c>
      <c r="AA2414" s="6"/>
      <c r="AB2414" s="6"/>
    </row>
    <row r="2415" spans="1:28" x14ac:dyDescent="0.2">
      <c r="A2415" t="s">
        <v>633</v>
      </c>
      <c r="B2415">
        <v>2017</v>
      </c>
      <c r="C2415" t="s">
        <v>826</v>
      </c>
      <c r="D2415" t="s">
        <v>824</v>
      </c>
      <c r="E2415" t="s">
        <v>48</v>
      </c>
      <c r="F2415" t="s">
        <v>307</v>
      </c>
      <c r="G2415">
        <v>54.183827999999998</v>
      </c>
      <c r="H2415">
        <v>7.8726450000000003</v>
      </c>
      <c r="J2415" s="2" t="s">
        <v>5</v>
      </c>
      <c r="K2415" t="s">
        <v>143</v>
      </c>
      <c r="L2415" t="s">
        <v>143</v>
      </c>
      <c r="M2415" t="s">
        <v>553</v>
      </c>
      <c r="N2415" t="s">
        <v>85</v>
      </c>
      <c r="O2415" s="6" t="s">
        <v>88</v>
      </c>
      <c r="P2415" t="s">
        <v>349</v>
      </c>
      <c r="Q2415">
        <v>18</v>
      </c>
      <c r="R2415" t="s">
        <v>213</v>
      </c>
      <c r="S2415" s="2" t="s">
        <v>27</v>
      </c>
      <c r="T2415">
        <v>4</v>
      </c>
      <c r="U2415">
        <v>7.56</v>
      </c>
      <c r="V2415">
        <v>1437</v>
      </c>
      <c r="W2415" t="s">
        <v>28</v>
      </c>
      <c r="X2415">
        <v>0.23419999999999999</v>
      </c>
      <c r="Y2415">
        <f>0.2472-X2415</f>
        <v>1.3000000000000012E-2</v>
      </c>
      <c r="AA2415" s="6"/>
      <c r="AB2415" s="6"/>
    </row>
    <row r="2416" spans="1:28" x14ac:dyDescent="0.2">
      <c r="A2416" t="s">
        <v>633</v>
      </c>
      <c r="B2416">
        <v>2017</v>
      </c>
      <c r="C2416" t="s">
        <v>826</v>
      </c>
      <c r="D2416" t="s">
        <v>824</v>
      </c>
      <c r="E2416" t="s">
        <v>48</v>
      </c>
      <c r="F2416" t="s">
        <v>307</v>
      </c>
      <c r="G2416">
        <v>54.183827999999998</v>
      </c>
      <c r="H2416">
        <v>7.8726450000000003</v>
      </c>
      <c r="J2416" s="2" t="s">
        <v>14</v>
      </c>
      <c r="K2416" t="s">
        <v>143</v>
      </c>
      <c r="L2416" t="s">
        <v>143</v>
      </c>
      <c r="M2416" t="s">
        <v>553</v>
      </c>
      <c r="N2416" t="s">
        <v>85</v>
      </c>
      <c r="O2416" s="6" t="s">
        <v>88</v>
      </c>
      <c r="P2416" t="s">
        <v>349</v>
      </c>
      <c r="Q2416">
        <v>18</v>
      </c>
      <c r="R2416" t="s">
        <v>213</v>
      </c>
      <c r="S2416" s="2" t="s">
        <v>13</v>
      </c>
      <c r="T2416">
        <v>4</v>
      </c>
      <c r="U2416" t="s">
        <v>28</v>
      </c>
      <c r="V2416" t="s">
        <v>28</v>
      </c>
      <c r="W2416">
        <v>17</v>
      </c>
      <c r="X2416">
        <v>0.22639999999999999</v>
      </c>
      <c r="Y2416">
        <f>0.2481-X2416</f>
        <v>2.1699999999999997E-2</v>
      </c>
      <c r="AA2416" s="6"/>
      <c r="AB2416" s="6"/>
    </row>
    <row r="2417" spans="1:28" x14ac:dyDescent="0.2">
      <c r="A2417" t="s">
        <v>633</v>
      </c>
      <c r="B2417">
        <v>2017</v>
      </c>
      <c r="C2417" t="s">
        <v>826</v>
      </c>
      <c r="D2417" t="s">
        <v>824</v>
      </c>
      <c r="E2417" t="s">
        <v>48</v>
      </c>
      <c r="F2417" t="s">
        <v>307</v>
      </c>
      <c r="G2417">
        <v>54.183827999999998</v>
      </c>
      <c r="H2417">
        <v>7.8726450000000003</v>
      </c>
      <c r="J2417" s="2" t="s">
        <v>16</v>
      </c>
      <c r="K2417" t="s">
        <v>143</v>
      </c>
      <c r="L2417" t="s">
        <v>143</v>
      </c>
      <c r="M2417" t="s">
        <v>553</v>
      </c>
      <c r="N2417" t="s">
        <v>85</v>
      </c>
      <c r="O2417" s="6" t="s">
        <v>88</v>
      </c>
      <c r="P2417" t="s">
        <v>349</v>
      </c>
      <c r="Q2417">
        <v>18</v>
      </c>
      <c r="R2417" t="s">
        <v>213</v>
      </c>
      <c r="S2417" t="s">
        <v>15</v>
      </c>
      <c r="T2417">
        <v>4</v>
      </c>
      <c r="U2417">
        <v>7.82</v>
      </c>
      <c r="V2417">
        <v>783</v>
      </c>
      <c r="W2417">
        <v>17</v>
      </c>
      <c r="X2417">
        <v>0.22159999999999999</v>
      </c>
      <c r="Y2417">
        <f>0.232-X2417</f>
        <v>1.040000000000002E-2</v>
      </c>
      <c r="AA2417" s="6"/>
      <c r="AB2417" s="6"/>
    </row>
    <row r="2418" spans="1:28" x14ac:dyDescent="0.2">
      <c r="A2418" t="s">
        <v>633</v>
      </c>
      <c r="B2418">
        <v>2017</v>
      </c>
      <c r="C2418" t="s">
        <v>826</v>
      </c>
      <c r="D2418" t="s">
        <v>824</v>
      </c>
      <c r="E2418" t="s">
        <v>48</v>
      </c>
      <c r="F2418" t="s">
        <v>307</v>
      </c>
      <c r="G2418">
        <v>54.183827999999998</v>
      </c>
      <c r="H2418">
        <v>7.8726450000000003</v>
      </c>
      <c r="J2418" s="2" t="s">
        <v>16</v>
      </c>
      <c r="K2418" t="s">
        <v>143</v>
      </c>
      <c r="L2418" t="s">
        <v>143</v>
      </c>
      <c r="M2418" t="s">
        <v>553</v>
      </c>
      <c r="N2418" t="s">
        <v>85</v>
      </c>
      <c r="O2418" s="6" t="s">
        <v>88</v>
      </c>
      <c r="P2418" t="s">
        <v>349</v>
      </c>
      <c r="Q2418">
        <v>18</v>
      </c>
      <c r="R2418" t="s">
        <v>213</v>
      </c>
      <c r="S2418" s="2" t="s">
        <v>37</v>
      </c>
      <c r="T2418">
        <v>4</v>
      </c>
      <c r="U2418">
        <v>7.56</v>
      </c>
      <c r="V2418">
        <v>1505</v>
      </c>
      <c r="W2418">
        <v>17</v>
      </c>
      <c r="X2418">
        <v>0.2165</v>
      </c>
      <c r="Y2418">
        <f>0.2221-X2418</f>
        <v>5.5999999999999939E-3</v>
      </c>
      <c r="AA2418" s="6"/>
      <c r="AB2418" s="6"/>
    </row>
    <row r="2419" spans="1:28" x14ac:dyDescent="0.2">
      <c r="A2419" t="s">
        <v>633</v>
      </c>
      <c r="B2419">
        <v>2017</v>
      </c>
      <c r="C2419" t="s">
        <v>826</v>
      </c>
      <c r="D2419" t="s">
        <v>824</v>
      </c>
      <c r="E2419" t="s">
        <v>48</v>
      </c>
      <c r="F2419" t="s">
        <v>532</v>
      </c>
      <c r="G2419">
        <v>78.066044000000005</v>
      </c>
      <c r="H2419">
        <v>12.608806</v>
      </c>
      <c r="J2419" s="2" t="s">
        <v>7</v>
      </c>
      <c r="K2419" t="s">
        <v>143</v>
      </c>
      <c r="L2419" t="s">
        <v>143</v>
      </c>
      <c r="M2419" t="s">
        <v>553</v>
      </c>
      <c r="N2419" t="s">
        <v>85</v>
      </c>
      <c r="O2419" s="6" t="s">
        <v>90</v>
      </c>
      <c r="P2419" t="s">
        <v>349</v>
      </c>
      <c r="Q2419">
        <v>18</v>
      </c>
      <c r="R2419" t="s">
        <v>213</v>
      </c>
      <c r="S2419" s="2" t="s">
        <v>7</v>
      </c>
      <c r="T2419">
        <v>4</v>
      </c>
      <c r="U2419">
        <v>8.07</v>
      </c>
      <c r="V2419">
        <v>402</v>
      </c>
      <c r="W2419">
        <v>4</v>
      </c>
      <c r="X2419">
        <v>0.53100000000000003</v>
      </c>
      <c r="Y2419">
        <f>0.5901-X2419</f>
        <v>5.909999999999993E-2</v>
      </c>
      <c r="AA2419" s="6"/>
      <c r="AB2419" s="6"/>
    </row>
    <row r="2420" spans="1:28" x14ac:dyDescent="0.2">
      <c r="A2420" t="s">
        <v>633</v>
      </c>
      <c r="B2420">
        <v>2017</v>
      </c>
      <c r="C2420" t="s">
        <v>826</v>
      </c>
      <c r="D2420" t="s">
        <v>824</v>
      </c>
      <c r="E2420" t="s">
        <v>48</v>
      </c>
      <c r="F2420" t="s">
        <v>532</v>
      </c>
      <c r="G2420">
        <v>78.066044000000005</v>
      </c>
      <c r="H2420">
        <v>12.608806</v>
      </c>
      <c r="J2420" s="2" t="s">
        <v>5</v>
      </c>
      <c r="K2420" t="s">
        <v>143</v>
      </c>
      <c r="L2420" t="s">
        <v>143</v>
      </c>
      <c r="M2420" t="s">
        <v>553</v>
      </c>
      <c r="N2420" t="s">
        <v>85</v>
      </c>
      <c r="O2420" s="6" t="s">
        <v>90</v>
      </c>
      <c r="P2420" t="s">
        <v>349</v>
      </c>
      <c r="Q2420">
        <v>18</v>
      </c>
      <c r="R2420" t="s">
        <v>213</v>
      </c>
      <c r="S2420" s="2" t="s">
        <v>9</v>
      </c>
      <c r="T2420">
        <v>4</v>
      </c>
      <c r="U2420">
        <v>7.88</v>
      </c>
      <c r="V2420">
        <v>644</v>
      </c>
      <c r="W2420" t="s">
        <v>28</v>
      </c>
      <c r="X2420">
        <v>0.58899999999999997</v>
      </c>
      <c r="Y2420">
        <f>0.6365-X2420</f>
        <v>4.7499999999999987E-2</v>
      </c>
      <c r="AA2420" s="6"/>
      <c r="AB2420" s="6"/>
    </row>
    <row r="2421" spans="1:28" x14ac:dyDescent="0.2">
      <c r="A2421" t="s">
        <v>633</v>
      </c>
      <c r="B2421">
        <v>2017</v>
      </c>
      <c r="C2421" t="s">
        <v>826</v>
      </c>
      <c r="D2421" t="s">
        <v>824</v>
      </c>
      <c r="E2421" t="s">
        <v>48</v>
      </c>
      <c r="F2421" t="s">
        <v>532</v>
      </c>
      <c r="G2421">
        <v>78.066044000000005</v>
      </c>
      <c r="H2421">
        <v>12.608806</v>
      </c>
      <c r="J2421" s="2" t="s">
        <v>5</v>
      </c>
      <c r="K2421" t="s">
        <v>143</v>
      </c>
      <c r="L2421" t="s">
        <v>143</v>
      </c>
      <c r="M2421" t="s">
        <v>553</v>
      </c>
      <c r="N2421" t="s">
        <v>85</v>
      </c>
      <c r="O2421" s="6" t="s">
        <v>90</v>
      </c>
      <c r="P2421" t="s">
        <v>349</v>
      </c>
      <c r="Q2421">
        <v>18</v>
      </c>
      <c r="R2421" t="s">
        <v>213</v>
      </c>
      <c r="S2421" s="2" t="s">
        <v>27</v>
      </c>
      <c r="T2421">
        <v>4</v>
      </c>
      <c r="U2421">
        <v>7.57</v>
      </c>
      <c r="V2421">
        <v>1354</v>
      </c>
      <c r="W2421" t="s">
        <v>28</v>
      </c>
      <c r="X2421">
        <v>0.53449999999999998</v>
      </c>
      <c r="Y2421">
        <f>0.5646-X2421</f>
        <v>3.0100000000000016E-2</v>
      </c>
      <c r="AA2421" s="6"/>
      <c r="AB2421" s="6"/>
    </row>
    <row r="2422" spans="1:28" x14ac:dyDescent="0.2">
      <c r="A2422" t="s">
        <v>633</v>
      </c>
      <c r="B2422">
        <v>2017</v>
      </c>
      <c r="C2422" t="s">
        <v>826</v>
      </c>
      <c r="D2422" t="s">
        <v>824</v>
      </c>
      <c r="E2422" t="s">
        <v>48</v>
      </c>
      <c r="F2422" t="s">
        <v>532</v>
      </c>
      <c r="G2422">
        <v>78.066044000000005</v>
      </c>
      <c r="H2422">
        <v>12.608806</v>
      </c>
      <c r="J2422" s="2" t="s">
        <v>14</v>
      </c>
      <c r="K2422" t="s">
        <v>143</v>
      </c>
      <c r="L2422" t="s">
        <v>143</v>
      </c>
      <c r="M2422" t="s">
        <v>553</v>
      </c>
      <c r="N2422" t="s">
        <v>85</v>
      </c>
      <c r="O2422" s="6" t="s">
        <v>90</v>
      </c>
      <c r="P2422" t="s">
        <v>349</v>
      </c>
      <c r="Q2422">
        <v>18</v>
      </c>
      <c r="R2422" t="s">
        <v>213</v>
      </c>
      <c r="S2422" s="2" t="s">
        <v>13</v>
      </c>
      <c r="T2422">
        <v>4</v>
      </c>
      <c r="U2422" t="s">
        <v>28</v>
      </c>
      <c r="V2422" t="s">
        <v>28</v>
      </c>
      <c r="W2422">
        <v>10</v>
      </c>
      <c r="X2422">
        <v>0.54959999999999998</v>
      </c>
      <c r="Y2422">
        <f>0.5612-X2422</f>
        <v>1.1600000000000055E-2</v>
      </c>
      <c r="AA2422" s="6"/>
      <c r="AB2422" s="6"/>
    </row>
    <row r="2423" spans="1:28" x14ac:dyDescent="0.2">
      <c r="A2423" t="s">
        <v>633</v>
      </c>
      <c r="B2423">
        <v>2017</v>
      </c>
      <c r="C2423" t="s">
        <v>826</v>
      </c>
      <c r="D2423" t="s">
        <v>824</v>
      </c>
      <c r="E2423" t="s">
        <v>48</v>
      </c>
      <c r="F2423" t="s">
        <v>532</v>
      </c>
      <c r="G2423">
        <v>78.066044000000005</v>
      </c>
      <c r="H2423">
        <v>12.608806</v>
      </c>
      <c r="J2423" s="2" t="s">
        <v>16</v>
      </c>
      <c r="K2423" t="s">
        <v>143</v>
      </c>
      <c r="L2423" t="s">
        <v>143</v>
      </c>
      <c r="M2423" t="s">
        <v>553</v>
      </c>
      <c r="N2423" t="s">
        <v>85</v>
      </c>
      <c r="O2423" s="6" t="s">
        <v>90</v>
      </c>
      <c r="P2423" t="s">
        <v>349</v>
      </c>
      <c r="Q2423">
        <v>18</v>
      </c>
      <c r="R2423" t="s">
        <v>213</v>
      </c>
      <c r="S2423" t="s">
        <v>15</v>
      </c>
      <c r="T2423">
        <v>4</v>
      </c>
      <c r="U2423">
        <v>7.89</v>
      </c>
      <c r="V2423">
        <v>683</v>
      </c>
      <c r="W2423">
        <v>10</v>
      </c>
      <c r="X2423">
        <v>0.53569999999999995</v>
      </c>
      <c r="Y2423">
        <f>0.5496-X2423</f>
        <v>1.3900000000000023E-2</v>
      </c>
      <c r="AA2423" s="6"/>
      <c r="AB2423" s="6"/>
    </row>
    <row r="2424" spans="1:28" x14ac:dyDescent="0.2">
      <c r="A2424" t="s">
        <v>633</v>
      </c>
      <c r="B2424">
        <v>2017</v>
      </c>
      <c r="C2424" t="s">
        <v>826</v>
      </c>
      <c r="D2424" t="s">
        <v>824</v>
      </c>
      <c r="E2424" t="s">
        <v>48</v>
      </c>
      <c r="F2424" t="s">
        <v>532</v>
      </c>
      <c r="G2424">
        <v>78.066044000000005</v>
      </c>
      <c r="H2424">
        <v>12.608806</v>
      </c>
      <c r="J2424" s="2" t="s">
        <v>16</v>
      </c>
      <c r="K2424" t="s">
        <v>143</v>
      </c>
      <c r="L2424" t="s">
        <v>143</v>
      </c>
      <c r="M2424" t="s">
        <v>553</v>
      </c>
      <c r="N2424" t="s">
        <v>85</v>
      </c>
      <c r="O2424" s="6" t="s">
        <v>90</v>
      </c>
      <c r="P2424" t="s">
        <v>349</v>
      </c>
      <c r="Q2424">
        <v>18</v>
      </c>
      <c r="R2424" t="s">
        <v>213</v>
      </c>
      <c r="S2424" s="2" t="s">
        <v>37</v>
      </c>
      <c r="T2424">
        <v>4</v>
      </c>
      <c r="U2424">
        <v>7.58</v>
      </c>
      <c r="V2424">
        <v>1456</v>
      </c>
      <c r="W2424">
        <v>10</v>
      </c>
      <c r="X2424">
        <v>0.55769999999999997</v>
      </c>
      <c r="Y2424">
        <f>0.5994-X2424</f>
        <v>4.170000000000007E-2</v>
      </c>
      <c r="AA2424" s="6"/>
      <c r="AB2424" s="6"/>
    </row>
    <row r="2425" spans="1:28" x14ac:dyDescent="0.2">
      <c r="A2425" t="s">
        <v>633</v>
      </c>
      <c r="B2425">
        <v>2017</v>
      </c>
      <c r="C2425" t="s">
        <v>826</v>
      </c>
      <c r="D2425" t="s">
        <v>824</v>
      </c>
      <c r="E2425" t="s">
        <v>48</v>
      </c>
      <c r="F2425" t="s">
        <v>307</v>
      </c>
      <c r="G2425">
        <v>54.183827999999998</v>
      </c>
      <c r="H2425">
        <v>7.8726450000000003</v>
      </c>
      <c r="J2425" s="2" t="s">
        <v>7</v>
      </c>
      <c r="K2425" t="s">
        <v>143</v>
      </c>
      <c r="L2425" t="s">
        <v>143</v>
      </c>
      <c r="M2425" t="s">
        <v>553</v>
      </c>
      <c r="N2425" t="s">
        <v>85</v>
      </c>
      <c r="O2425" s="6" t="s">
        <v>90</v>
      </c>
      <c r="P2425" t="s">
        <v>349</v>
      </c>
      <c r="Q2425">
        <v>18</v>
      </c>
      <c r="R2425" t="s">
        <v>213</v>
      </c>
      <c r="S2425" s="2" t="s">
        <v>7</v>
      </c>
      <c r="T2425">
        <v>4</v>
      </c>
      <c r="U2425">
        <v>8.06</v>
      </c>
      <c r="V2425">
        <v>423</v>
      </c>
      <c r="W2425">
        <v>10</v>
      </c>
      <c r="X2425">
        <v>0.62139999999999995</v>
      </c>
      <c r="Y2425">
        <f>0.6504-X2425</f>
        <v>2.9000000000000026E-2</v>
      </c>
      <c r="AA2425" s="6"/>
      <c r="AB2425" s="6"/>
    </row>
    <row r="2426" spans="1:28" x14ac:dyDescent="0.2">
      <c r="A2426" t="s">
        <v>633</v>
      </c>
      <c r="B2426">
        <v>2017</v>
      </c>
      <c r="C2426" t="s">
        <v>826</v>
      </c>
      <c r="D2426" t="s">
        <v>824</v>
      </c>
      <c r="E2426" t="s">
        <v>48</v>
      </c>
      <c r="F2426" t="s">
        <v>307</v>
      </c>
      <c r="G2426">
        <v>54.183827999999998</v>
      </c>
      <c r="H2426">
        <v>7.8726450000000003</v>
      </c>
      <c r="J2426" s="2" t="s">
        <v>5</v>
      </c>
      <c r="K2426" t="s">
        <v>143</v>
      </c>
      <c r="L2426" t="s">
        <v>143</v>
      </c>
      <c r="M2426" t="s">
        <v>553</v>
      </c>
      <c r="N2426" t="s">
        <v>85</v>
      </c>
      <c r="O2426" s="6" t="s">
        <v>90</v>
      </c>
      <c r="P2426" t="s">
        <v>349</v>
      </c>
      <c r="Q2426">
        <v>18</v>
      </c>
      <c r="R2426" t="s">
        <v>213</v>
      </c>
      <c r="S2426" s="2" t="s">
        <v>9</v>
      </c>
      <c r="T2426">
        <v>4</v>
      </c>
      <c r="U2426">
        <v>7.82</v>
      </c>
      <c r="V2426">
        <v>769</v>
      </c>
      <c r="W2426" t="s">
        <v>28</v>
      </c>
      <c r="X2426">
        <v>0.6099</v>
      </c>
      <c r="Y2426">
        <f>0.6319-X2426</f>
        <v>2.200000000000002E-2</v>
      </c>
      <c r="AA2426" s="6"/>
      <c r="AB2426" s="6"/>
    </row>
    <row r="2427" spans="1:28" x14ac:dyDescent="0.2">
      <c r="A2427" t="s">
        <v>633</v>
      </c>
      <c r="B2427">
        <v>2017</v>
      </c>
      <c r="C2427" t="s">
        <v>826</v>
      </c>
      <c r="D2427" t="s">
        <v>824</v>
      </c>
      <c r="E2427" t="s">
        <v>48</v>
      </c>
      <c r="F2427" t="s">
        <v>307</v>
      </c>
      <c r="G2427">
        <v>54.183827999999998</v>
      </c>
      <c r="H2427">
        <v>7.8726450000000003</v>
      </c>
      <c r="J2427" s="2" t="s">
        <v>5</v>
      </c>
      <c r="K2427" t="s">
        <v>143</v>
      </c>
      <c r="L2427" t="s">
        <v>143</v>
      </c>
      <c r="M2427" t="s">
        <v>553</v>
      </c>
      <c r="N2427" t="s">
        <v>85</v>
      </c>
      <c r="O2427" s="6" t="s">
        <v>90</v>
      </c>
      <c r="P2427" t="s">
        <v>349</v>
      </c>
      <c r="Q2427">
        <v>18</v>
      </c>
      <c r="R2427" t="s">
        <v>213</v>
      </c>
      <c r="S2427" s="2" t="s">
        <v>27</v>
      </c>
      <c r="T2427">
        <v>4</v>
      </c>
      <c r="U2427">
        <v>7.56</v>
      </c>
      <c r="V2427">
        <v>1437</v>
      </c>
      <c r="W2427" t="s">
        <v>28</v>
      </c>
      <c r="X2427">
        <v>0.63190000000000002</v>
      </c>
      <c r="Y2427">
        <f>0.6493-X2427</f>
        <v>1.7399999999999971E-2</v>
      </c>
      <c r="AA2427" s="6"/>
      <c r="AB2427" s="6"/>
    </row>
    <row r="2428" spans="1:28" x14ac:dyDescent="0.2">
      <c r="A2428" t="s">
        <v>633</v>
      </c>
      <c r="B2428">
        <v>2017</v>
      </c>
      <c r="C2428" t="s">
        <v>826</v>
      </c>
      <c r="D2428" t="s">
        <v>824</v>
      </c>
      <c r="E2428" t="s">
        <v>48</v>
      </c>
      <c r="F2428" t="s">
        <v>307</v>
      </c>
      <c r="G2428">
        <v>54.183827999999998</v>
      </c>
      <c r="H2428">
        <v>7.8726450000000003</v>
      </c>
      <c r="J2428" s="2" t="s">
        <v>14</v>
      </c>
      <c r="K2428" t="s">
        <v>143</v>
      </c>
      <c r="L2428" t="s">
        <v>143</v>
      </c>
      <c r="M2428" t="s">
        <v>553</v>
      </c>
      <c r="N2428" t="s">
        <v>85</v>
      </c>
      <c r="O2428" s="6" t="s">
        <v>90</v>
      </c>
      <c r="P2428" t="s">
        <v>349</v>
      </c>
      <c r="Q2428">
        <v>18</v>
      </c>
      <c r="R2428" t="s">
        <v>213</v>
      </c>
      <c r="S2428" s="2" t="s">
        <v>13</v>
      </c>
      <c r="T2428">
        <v>4</v>
      </c>
      <c r="U2428" t="s">
        <v>28</v>
      </c>
      <c r="V2428" t="s">
        <v>28</v>
      </c>
      <c r="W2428">
        <v>17</v>
      </c>
      <c r="X2428">
        <v>0.66320000000000001</v>
      </c>
      <c r="Y2428">
        <f>0.7049-X2428</f>
        <v>4.1699999999999959E-2</v>
      </c>
      <c r="AA2428" s="6"/>
      <c r="AB2428" s="6"/>
    </row>
    <row r="2429" spans="1:28" x14ac:dyDescent="0.2">
      <c r="A2429" t="s">
        <v>633</v>
      </c>
      <c r="B2429">
        <v>2017</v>
      </c>
      <c r="C2429" t="s">
        <v>826</v>
      </c>
      <c r="D2429" t="s">
        <v>824</v>
      </c>
      <c r="E2429" t="s">
        <v>48</v>
      </c>
      <c r="F2429" t="s">
        <v>307</v>
      </c>
      <c r="G2429">
        <v>54.183827999999998</v>
      </c>
      <c r="H2429">
        <v>7.8726450000000003</v>
      </c>
      <c r="J2429" s="2" t="s">
        <v>16</v>
      </c>
      <c r="K2429" t="s">
        <v>143</v>
      </c>
      <c r="L2429" t="s">
        <v>143</v>
      </c>
      <c r="M2429" t="s">
        <v>553</v>
      </c>
      <c r="N2429" t="s">
        <v>85</v>
      </c>
      <c r="O2429" s="6" t="s">
        <v>90</v>
      </c>
      <c r="P2429" t="s">
        <v>349</v>
      </c>
      <c r="Q2429">
        <v>18</v>
      </c>
      <c r="R2429" t="s">
        <v>213</v>
      </c>
      <c r="S2429" t="s">
        <v>15</v>
      </c>
      <c r="T2429">
        <v>4</v>
      </c>
      <c r="U2429">
        <v>7.82</v>
      </c>
      <c r="V2429">
        <v>783</v>
      </c>
      <c r="W2429">
        <v>17</v>
      </c>
      <c r="X2429">
        <v>0.66779999999999995</v>
      </c>
      <c r="Y2429">
        <f>0.6806-X2429</f>
        <v>1.2800000000000034E-2</v>
      </c>
      <c r="AA2429" s="6"/>
      <c r="AB2429" s="6"/>
    </row>
    <row r="2430" spans="1:28" x14ac:dyDescent="0.2">
      <c r="A2430" t="s">
        <v>633</v>
      </c>
      <c r="B2430">
        <v>2017</v>
      </c>
      <c r="C2430" t="s">
        <v>826</v>
      </c>
      <c r="D2430" t="s">
        <v>824</v>
      </c>
      <c r="E2430" t="s">
        <v>48</v>
      </c>
      <c r="F2430" t="s">
        <v>307</v>
      </c>
      <c r="G2430">
        <v>54.183827999999998</v>
      </c>
      <c r="H2430">
        <v>7.8726450000000003</v>
      </c>
      <c r="J2430" s="2" t="s">
        <v>16</v>
      </c>
      <c r="K2430" t="s">
        <v>143</v>
      </c>
      <c r="L2430" t="s">
        <v>143</v>
      </c>
      <c r="M2430" t="s">
        <v>553</v>
      </c>
      <c r="N2430" t="s">
        <v>85</v>
      </c>
      <c r="O2430" s="6" t="s">
        <v>90</v>
      </c>
      <c r="P2430" t="s">
        <v>349</v>
      </c>
      <c r="Q2430">
        <v>18</v>
      </c>
      <c r="R2430" t="s">
        <v>213</v>
      </c>
      <c r="S2430" s="2" t="s">
        <v>37</v>
      </c>
      <c r="T2430">
        <v>4</v>
      </c>
      <c r="U2430">
        <v>7.56</v>
      </c>
      <c r="V2430">
        <v>1505</v>
      </c>
      <c r="W2430">
        <v>17</v>
      </c>
      <c r="X2430">
        <v>0.67249999999999999</v>
      </c>
      <c r="Y2430">
        <f>0.6829-X2430</f>
        <v>1.0399999999999965E-2</v>
      </c>
      <c r="AA2430" s="6"/>
      <c r="AB2430" s="6"/>
    </row>
    <row r="2431" spans="1:28" x14ac:dyDescent="0.2">
      <c r="A2431" t="s">
        <v>633</v>
      </c>
      <c r="B2431">
        <v>2017</v>
      </c>
      <c r="C2431" t="s">
        <v>826</v>
      </c>
      <c r="D2431" t="s">
        <v>824</v>
      </c>
      <c r="E2431" t="s">
        <v>48</v>
      </c>
      <c r="F2431" t="s">
        <v>532</v>
      </c>
      <c r="G2431">
        <v>78.066044000000005</v>
      </c>
      <c r="H2431">
        <v>12.608806</v>
      </c>
      <c r="J2431" s="2" t="s">
        <v>7</v>
      </c>
      <c r="K2431" t="s">
        <v>143</v>
      </c>
      <c r="L2431" t="s">
        <v>143</v>
      </c>
      <c r="M2431" t="s">
        <v>553</v>
      </c>
      <c r="N2431" t="s">
        <v>86</v>
      </c>
      <c r="O2431" s="6" t="s">
        <v>359</v>
      </c>
      <c r="P2431" t="s">
        <v>349</v>
      </c>
      <c r="Q2431">
        <v>18</v>
      </c>
      <c r="R2431" t="s">
        <v>213</v>
      </c>
      <c r="S2431" s="2" t="s">
        <v>7</v>
      </c>
      <c r="T2431">
        <v>4</v>
      </c>
      <c r="U2431">
        <v>8.07</v>
      </c>
      <c r="V2431">
        <v>402</v>
      </c>
      <c r="W2431">
        <v>4</v>
      </c>
      <c r="X2431">
        <v>4.3090000000000003E-2</v>
      </c>
      <c r="Y2431">
        <f>0.05019-X2431</f>
        <v>7.0999999999999952E-3</v>
      </c>
      <c r="AA2431" s="6"/>
      <c r="AB2431" s="6"/>
    </row>
    <row r="2432" spans="1:28" x14ac:dyDescent="0.2">
      <c r="A2432" t="s">
        <v>633</v>
      </c>
      <c r="B2432">
        <v>2017</v>
      </c>
      <c r="C2432" t="s">
        <v>826</v>
      </c>
      <c r="D2432" t="s">
        <v>824</v>
      </c>
      <c r="E2432" t="s">
        <v>48</v>
      </c>
      <c r="F2432" t="s">
        <v>532</v>
      </c>
      <c r="G2432">
        <v>78.066044000000005</v>
      </c>
      <c r="H2432">
        <v>12.608806</v>
      </c>
      <c r="J2432" s="2" t="s">
        <v>5</v>
      </c>
      <c r="K2432" t="s">
        <v>143</v>
      </c>
      <c r="L2432" t="s">
        <v>143</v>
      </c>
      <c r="M2432" t="s">
        <v>553</v>
      </c>
      <c r="N2432" t="s">
        <v>86</v>
      </c>
      <c r="O2432" s="6" t="s">
        <v>359</v>
      </c>
      <c r="P2432" t="s">
        <v>349</v>
      </c>
      <c r="Q2432">
        <v>18</v>
      </c>
      <c r="R2432" t="s">
        <v>213</v>
      </c>
      <c r="S2432" s="2" t="s">
        <v>9</v>
      </c>
      <c r="T2432">
        <v>4</v>
      </c>
      <c r="U2432">
        <v>7.88</v>
      </c>
      <c r="V2432">
        <v>644</v>
      </c>
      <c r="W2432" t="s">
        <v>28</v>
      </c>
      <c r="X2432">
        <v>4.5999999999999999E-2</v>
      </c>
      <c r="Y2432">
        <f>0.0531-X2432</f>
        <v>7.1000000000000021E-3</v>
      </c>
      <c r="AA2432" s="6"/>
      <c r="AB2432" s="6"/>
    </row>
    <row r="2433" spans="1:28" x14ac:dyDescent="0.2">
      <c r="A2433" t="s">
        <v>633</v>
      </c>
      <c r="B2433">
        <v>2017</v>
      </c>
      <c r="C2433" t="s">
        <v>826</v>
      </c>
      <c r="D2433" t="s">
        <v>824</v>
      </c>
      <c r="E2433" t="s">
        <v>48</v>
      </c>
      <c r="F2433" t="s">
        <v>532</v>
      </c>
      <c r="G2433">
        <v>78.066044000000005</v>
      </c>
      <c r="H2433">
        <v>12.608806</v>
      </c>
      <c r="J2433" s="2" t="s">
        <v>5</v>
      </c>
      <c r="K2433" t="s">
        <v>143</v>
      </c>
      <c r="L2433" t="s">
        <v>143</v>
      </c>
      <c r="M2433" t="s">
        <v>553</v>
      </c>
      <c r="N2433" t="s">
        <v>86</v>
      </c>
      <c r="O2433" s="6" t="s">
        <v>359</v>
      </c>
      <c r="P2433" t="s">
        <v>349</v>
      </c>
      <c r="Q2433">
        <v>18</v>
      </c>
      <c r="R2433" t="s">
        <v>213</v>
      </c>
      <c r="S2433" s="2" t="s">
        <v>27</v>
      </c>
      <c r="T2433">
        <v>4</v>
      </c>
      <c r="U2433">
        <v>7.57</v>
      </c>
      <c r="V2433">
        <v>1354</v>
      </c>
      <c r="W2433" t="s">
        <v>28</v>
      </c>
      <c r="X2433">
        <v>3.9129999999999998E-2</v>
      </c>
      <c r="Y2433">
        <f>0.04507-X2433</f>
        <v>5.9400000000000008E-3</v>
      </c>
      <c r="AA2433" s="6"/>
      <c r="AB2433" s="6"/>
    </row>
    <row r="2434" spans="1:28" x14ac:dyDescent="0.2">
      <c r="A2434" t="s">
        <v>633</v>
      </c>
      <c r="B2434">
        <v>2017</v>
      </c>
      <c r="C2434" t="s">
        <v>826</v>
      </c>
      <c r="D2434" t="s">
        <v>824</v>
      </c>
      <c r="E2434" t="s">
        <v>48</v>
      </c>
      <c r="F2434" t="s">
        <v>532</v>
      </c>
      <c r="G2434">
        <v>78.066044000000005</v>
      </c>
      <c r="H2434">
        <v>12.608806</v>
      </c>
      <c r="J2434" s="2" t="s">
        <v>14</v>
      </c>
      <c r="K2434" t="s">
        <v>143</v>
      </c>
      <c r="L2434" t="s">
        <v>143</v>
      </c>
      <c r="M2434" t="s">
        <v>553</v>
      </c>
      <c r="N2434" t="s">
        <v>86</v>
      </c>
      <c r="O2434" s="6" t="s">
        <v>359</v>
      </c>
      <c r="P2434" t="s">
        <v>349</v>
      </c>
      <c r="Q2434">
        <v>18</v>
      </c>
      <c r="R2434" t="s">
        <v>213</v>
      </c>
      <c r="S2434" s="2" t="s">
        <v>13</v>
      </c>
      <c r="T2434">
        <v>4</v>
      </c>
      <c r="U2434" t="s">
        <v>28</v>
      </c>
      <c r="V2434" t="s">
        <v>28</v>
      </c>
      <c r="W2434">
        <v>10</v>
      </c>
      <c r="X2434">
        <v>4.5999999999999999E-2</v>
      </c>
      <c r="Y2434">
        <f>0.05112-X2434</f>
        <v>5.1199999999999996E-3</v>
      </c>
      <c r="AA2434" s="6"/>
      <c r="AB2434" s="6"/>
    </row>
    <row r="2435" spans="1:28" x14ac:dyDescent="0.2">
      <c r="A2435" t="s">
        <v>633</v>
      </c>
      <c r="B2435">
        <v>2017</v>
      </c>
      <c r="C2435" t="s">
        <v>826</v>
      </c>
      <c r="D2435" t="s">
        <v>824</v>
      </c>
      <c r="E2435" t="s">
        <v>48</v>
      </c>
      <c r="F2435" t="s">
        <v>532</v>
      </c>
      <c r="G2435">
        <v>78.066044000000005</v>
      </c>
      <c r="H2435">
        <v>12.608806</v>
      </c>
      <c r="J2435" s="2" t="s">
        <v>16</v>
      </c>
      <c r="K2435" t="s">
        <v>143</v>
      </c>
      <c r="L2435" t="s">
        <v>143</v>
      </c>
      <c r="M2435" t="s">
        <v>553</v>
      </c>
      <c r="N2435" t="s">
        <v>86</v>
      </c>
      <c r="O2435" s="6" t="s">
        <v>359</v>
      </c>
      <c r="P2435" t="s">
        <v>349</v>
      </c>
      <c r="Q2435">
        <v>18</v>
      </c>
      <c r="R2435" t="s">
        <v>213</v>
      </c>
      <c r="S2435" t="s">
        <v>15</v>
      </c>
      <c r="T2435">
        <v>4</v>
      </c>
      <c r="U2435">
        <v>7.89</v>
      </c>
      <c r="V2435">
        <v>683</v>
      </c>
      <c r="W2435">
        <v>10</v>
      </c>
      <c r="X2435">
        <v>4.5069999999999999E-2</v>
      </c>
      <c r="Y2435">
        <f>0.04809-X2435</f>
        <v>3.0200000000000018E-3</v>
      </c>
      <c r="AA2435" s="6"/>
      <c r="AB2435" s="6"/>
    </row>
    <row r="2436" spans="1:28" x14ac:dyDescent="0.2">
      <c r="A2436" t="s">
        <v>633</v>
      </c>
      <c r="B2436">
        <v>2017</v>
      </c>
      <c r="C2436" t="s">
        <v>826</v>
      </c>
      <c r="D2436" t="s">
        <v>824</v>
      </c>
      <c r="E2436" t="s">
        <v>48</v>
      </c>
      <c r="F2436" t="s">
        <v>532</v>
      </c>
      <c r="G2436">
        <v>78.066044000000005</v>
      </c>
      <c r="H2436">
        <v>12.608806</v>
      </c>
      <c r="J2436" s="2" t="s">
        <v>16</v>
      </c>
      <c r="K2436" t="s">
        <v>143</v>
      </c>
      <c r="L2436" t="s">
        <v>143</v>
      </c>
      <c r="M2436" t="s">
        <v>553</v>
      </c>
      <c r="N2436" t="s">
        <v>86</v>
      </c>
      <c r="O2436" s="6" t="s">
        <v>359</v>
      </c>
      <c r="P2436" t="s">
        <v>349</v>
      </c>
      <c r="Q2436">
        <v>18</v>
      </c>
      <c r="R2436" t="s">
        <v>213</v>
      </c>
      <c r="S2436" s="2" t="s">
        <v>37</v>
      </c>
      <c r="T2436">
        <v>4</v>
      </c>
      <c r="U2436">
        <v>7.58</v>
      </c>
      <c r="V2436">
        <v>1456</v>
      </c>
      <c r="W2436">
        <v>10</v>
      </c>
      <c r="X2436">
        <v>4.8090000000000001E-2</v>
      </c>
      <c r="Y2436">
        <f>0.0552-X2436</f>
        <v>7.1099999999999983E-3</v>
      </c>
      <c r="AA2436" s="6"/>
      <c r="AB2436" s="6"/>
    </row>
    <row r="2437" spans="1:28" x14ac:dyDescent="0.2">
      <c r="A2437" t="s">
        <v>633</v>
      </c>
      <c r="B2437">
        <v>2017</v>
      </c>
      <c r="C2437" t="s">
        <v>826</v>
      </c>
      <c r="D2437" t="s">
        <v>824</v>
      </c>
      <c r="E2437" t="s">
        <v>48</v>
      </c>
      <c r="F2437" t="s">
        <v>307</v>
      </c>
      <c r="G2437">
        <v>54.183827999999998</v>
      </c>
      <c r="H2437">
        <v>7.8726450000000003</v>
      </c>
      <c r="J2437" s="2" t="s">
        <v>7</v>
      </c>
      <c r="K2437" t="s">
        <v>143</v>
      </c>
      <c r="L2437" t="s">
        <v>143</v>
      </c>
      <c r="M2437" t="s">
        <v>553</v>
      </c>
      <c r="N2437" t="s">
        <v>86</v>
      </c>
      <c r="O2437" s="6" t="s">
        <v>359</v>
      </c>
      <c r="P2437" t="s">
        <v>349</v>
      </c>
      <c r="Q2437">
        <v>18</v>
      </c>
      <c r="R2437" t="s">
        <v>213</v>
      </c>
      <c r="S2437" s="2" t="s">
        <v>7</v>
      </c>
      <c r="T2437">
        <v>4</v>
      </c>
      <c r="U2437">
        <v>8.06</v>
      </c>
      <c r="V2437">
        <v>423</v>
      </c>
      <c r="W2437">
        <v>10</v>
      </c>
      <c r="X2437">
        <v>6.3930000000000001E-2</v>
      </c>
      <c r="Y2437">
        <f>0.07313-X2437</f>
        <v>9.1999999999999998E-3</v>
      </c>
      <c r="AA2437" s="6"/>
      <c r="AB2437" s="6"/>
    </row>
    <row r="2438" spans="1:28" x14ac:dyDescent="0.2">
      <c r="A2438" t="s">
        <v>633</v>
      </c>
      <c r="B2438">
        <v>2017</v>
      </c>
      <c r="C2438" t="s">
        <v>826</v>
      </c>
      <c r="D2438" t="s">
        <v>824</v>
      </c>
      <c r="E2438" t="s">
        <v>48</v>
      </c>
      <c r="F2438" t="s">
        <v>307</v>
      </c>
      <c r="G2438">
        <v>54.183827999999998</v>
      </c>
      <c r="H2438">
        <v>7.8726450000000003</v>
      </c>
      <c r="J2438" s="2" t="s">
        <v>5</v>
      </c>
      <c r="K2438" t="s">
        <v>143</v>
      </c>
      <c r="L2438" t="s">
        <v>143</v>
      </c>
      <c r="M2438" t="s">
        <v>553</v>
      </c>
      <c r="N2438" t="s">
        <v>86</v>
      </c>
      <c r="O2438" s="6" t="s">
        <v>359</v>
      </c>
      <c r="P2438" t="s">
        <v>349</v>
      </c>
      <c r="Q2438">
        <v>18</v>
      </c>
      <c r="R2438" t="s">
        <v>213</v>
      </c>
      <c r="S2438" s="2" t="s">
        <v>9</v>
      </c>
      <c r="T2438">
        <v>4</v>
      </c>
      <c r="U2438">
        <v>7.82</v>
      </c>
      <c r="V2438">
        <v>769</v>
      </c>
      <c r="W2438" t="s">
        <v>28</v>
      </c>
      <c r="X2438">
        <v>5.9040000000000002E-2</v>
      </c>
      <c r="Y2438">
        <f>0.06707-X2438</f>
        <v>8.0300000000000024E-3</v>
      </c>
      <c r="AA2438" s="6"/>
      <c r="AB2438" s="6"/>
    </row>
    <row r="2439" spans="1:28" x14ac:dyDescent="0.2">
      <c r="A2439" t="s">
        <v>633</v>
      </c>
      <c r="B2439">
        <v>2017</v>
      </c>
      <c r="C2439" t="s">
        <v>826</v>
      </c>
      <c r="D2439" t="s">
        <v>824</v>
      </c>
      <c r="E2439" t="s">
        <v>48</v>
      </c>
      <c r="F2439" t="s">
        <v>307</v>
      </c>
      <c r="G2439">
        <v>54.183827999999998</v>
      </c>
      <c r="H2439">
        <v>7.8726450000000003</v>
      </c>
      <c r="J2439" s="2" t="s">
        <v>5</v>
      </c>
      <c r="K2439" t="s">
        <v>143</v>
      </c>
      <c r="L2439" t="s">
        <v>143</v>
      </c>
      <c r="M2439" t="s">
        <v>553</v>
      </c>
      <c r="N2439" t="s">
        <v>86</v>
      </c>
      <c r="O2439" s="6" t="s">
        <v>359</v>
      </c>
      <c r="P2439" t="s">
        <v>349</v>
      </c>
      <c r="Q2439">
        <v>18</v>
      </c>
      <c r="R2439" t="s">
        <v>213</v>
      </c>
      <c r="S2439" s="2" t="s">
        <v>27</v>
      </c>
      <c r="T2439">
        <v>4</v>
      </c>
      <c r="U2439">
        <v>7.56</v>
      </c>
      <c r="V2439">
        <v>1437</v>
      </c>
      <c r="W2439" t="s">
        <v>28</v>
      </c>
      <c r="X2439">
        <v>6.4049999999999996E-2</v>
      </c>
      <c r="Y2439">
        <f>0.06917-X2439</f>
        <v>5.1199999999999996E-3</v>
      </c>
      <c r="AA2439" s="6"/>
      <c r="AB2439" s="6"/>
    </row>
    <row r="2440" spans="1:28" x14ac:dyDescent="0.2">
      <c r="A2440" t="s">
        <v>633</v>
      </c>
      <c r="B2440">
        <v>2017</v>
      </c>
      <c r="C2440" t="s">
        <v>826</v>
      </c>
      <c r="D2440" t="s">
        <v>824</v>
      </c>
      <c r="E2440" t="s">
        <v>48</v>
      </c>
      <c r="F2440" t="s">
        <v>307</v>
      </c>
      <c r="G2440">
        <v>54.183827999999998</v>
      </c>
      <c r="H2440">
        <v>7.8726450000000003</v>
      </c>
      <c r="J2440" s="2" t="s">
        <v>14</v>
      </c>
      <c r="K2440" t="s">
        <v>143</v>
      </c>
      <c r="L2440" t="s">
        <v>143</v>
      </c>
      <c r="M2440" t="s">
        <v>553</v>
      </c>
      <c r="N2440" t="s">
        <v>86</v>
      </c>
      <c r="O2440" s="6" t="s">
        <v>359</v>
      </c>
      <c r="P2440" t="s">
        <v>349</v>
      </c>
      <c r="Q2440">
        <v>18</v>
      </c>
      <c r="R2440" t="s">
        <v>213</v>
      </c>
      <c r="S2440" s="2" t="s">
        <v>13</v>
      </c>
      <c r="T2440">
        <v>4</v>
      </c>
      <c r="U2440" t="s">
        <v>28</v>
      </c>
      <c r="V2440" t="s">
        <v>28</v>
      </c>
      <c r="W2440">
        <v>17</v>
      </c>
      <c r="X2440">
        <v>5.9040000000000002E-2</v>
      </c>
      <c r="Y2440">
        <f>0.06393-X2440</f>
        <v>4.8899999999999985E-3</v>
      </c>
      <c r="AA2440" s="6"/>
      <c r="AB2440" s="6"/>
    </row>
    <row r="2441" spans="1:28" x14ac:dyDescent="0.2">
      <c r="A2441" t="s">
        <v>633</v>
      </c>
      <c r="B2441">
        <v>2017</v>
      </c>
      <c r="C2441" t="s">
        <v>826</v>
      </c>
      <c r="D2441" t="s">
        <v>824</v>
      </c>
      <c r="E2441" t="s">
        <v>48</v>
      </c>
      <c r="F2441" t="s">
        <v>307</v>
      </c>
      <c r="G2441">
        <v>54.183827999999998</v>
      </c>
      <c r="H2441">
        <v>7.8726450000000003</v>
      </c>
      <c r="J2441" s="2" t="s">
        <v>16</v>
      </c>
      <c r="K2441" t="s">
        <v>143</v>
      </c>
      <c r="L2441" t="s">
        <v>143</v>
      </c>
      <c r="M2441" t="s">
        <v>553</v>
      </c>
      <c r="N2441" t="s">
        <v>86</v>
      </c>
      <c r="O2441" s="6" t="s">
        <v>359</v>
      </c>
      <c r="P2441" t="s">
        <v>349</v>
      </c>
      <c r="Q2441">
        <v>18</v>
      </c>
      <c r="R2441" t="s">
        <v>213</v>
      </c>
      <c r="S2441" t="s">
        <v>15</v>
      </c>
      <c r="T2441">
        <v>4</v>
      </c>
      <c r="U2441">
        <v>7.82</v>
      </c>
      <c r="V2441">
        <v>783</v>
      </c>
      <c r="W2441">
        <v>17</v>
      </c>
      <c r="X2441">
        <v>5.9040000000000002E-2</v>
      </c>
      <c r="Y2441">
        <f>0.06393-X2441</f>
        <v>4.8899999999999985E-3</v>
      </c>
      <c r="AA2441" s="6"/>
      <c r="AB2441" s="6"/>
    </row>
    <row r="2442" spans="1:28" x14ac:dyDescent="0.2">
      <c r="A2442" t="s">
        <v>633</v>
      </c>
      <c r="B2442">
        <v>2017</v>
      </c>
      <c r="C2442" t="s">
        <v>826</v>
      </c>
      <c r="D2442" t="s">
        <v>824</v>
      </c>
      <c r="E2442" t="s">
        <v>48</v>
      </c>
      <c r="F2442" t="s">
        <v>307</v>
      </c>
      <c r="G2442">
        <v>54.183827999999998</v>
      </c>
      <c r="H2442">
        <v>7.8726450000000003</v>
      </c>
      <c r="J2442" s="2" t="s">
        <v>16</v>
      </c>
      <c r="K2442" t="s">
        <v>143</v>
      </c>
      <c r="L2442" t="s">
        <v>143</v>
      </c>
      <c r="M2442" t="s">
        <v>553</v>
      </c>
      <c r="N2442" t="s">
        <v>86</v>
      </c>
      <c r="O2442" s="6" t="s">
        <v>359</v>
      </c>
      <c r="P2442" t="s">
        <v>349</v>
      </c>
      <c r="Q2442">
        <v>18</v>
      </c>
      <c r="R2442" t="s">
        <v>213</v>
      </c>
      <c r="S2442" s="2" t="s">
        <v>37</v>
      </c>
      <c r="T2442">
        <v>4</v>
      </c>
      <c r="U2442">
        <v>7.56</v>
      </c>
      <c r="V2442">
        <v>1505</v>
      </c>
      <c r="W2442">
        <v>17</v>
      </c>
      <c r="X2442">
        <v>5.4260000000000003E-2</v>
      </c>
      <c r="Y2442">
        <f>0.05613-X2442</f>
        <v>1.8699999999999967E-3</v>
      </c>
      <c r="AA2442" s="6"/>
      <c r="AB2442" s="6"/>
    </row>
    <row r="2443" spans="1:28" x14ac:dyDescent="0.2">
      <c r="A2443" t="s">
        <v>633</v>
      </c>
      <c r="B2443">
        <v>2017</v>
      </c>
      <c r="C2443" t="s">
        <v>826</v>
      </c>
      <c r="D2443" t="s">
        <v>824</v>
      </c>
      <c r="E2443" t="s">
        <v>48</v>
      </c>
      <c r="F2443" t="s">
        <v>532</v>
      </c>
      <c r="G2443">
        <v>78.066044000000005</v>
      </c>
      <c r="H2443">
        <v>12.608806</v>
      </c>
      <c r="J2443" s="2" t="s">
        <v>7</v>
      </c>
      <c r="K2443" t="s">
        <v>143</v>
      </c>
      <c r="L2443" t="s">
        <v>143</v>
      </c>
      <c r="M2443" t="s">
        <v>553</v>
      </c>
      <c r="N2443" t="s">
        <v>85</v>
      </c>
      <c r="O2443" s="6" t="s">
        <v>360</v>
      </c>
      <c r="P2443" t="s">
        <v>349</v>
      </c>
      <c r="Q2443">
        <v>18</v>
      </c>
      <c r="R2443" t="s">
        <v>213</v>
      </c>
      <c r="S2443" s="2" t="s">
        <v>7</v>
      </c>
      <c r="T2443">
        <v>4</v>
      </c>
      <c r="U2443">
        <v>8.07</v>
      </c>
      <c r="V2443">
        <v>402</v>
      </c>
      <c r="W2443">
        <v>4</v>
      </c>
      <c r="X2443">
        <v>0.84399999999999997</v>
      </c>
      <c r="Y2443">
        <f>0.933-X2443</f>
        <v>8.9000000000000079E-2</v>
      </c>
      <c r="AA2443" s="6"/>
      <c r="AB2443" s="6"/>
    </row>
    <row r="2444" spans="1:28" x14ac:dyDescent="0.2">
      <c r="A2444" t="s">
        <v>633</v>
      </c>
      <c r="B2444">
        <v>2017</v>
      </c>
      <c r="C2444" t="s">
        <v>826</v>
      </c>
      <c r="D2444" t="s">
        <v>824</v>
      </c>
      <c r="E2444" t="s">
        <v>48</v>
      </c>
      <c r="F2444" t="s">
        <v>532</v>
      </c>
      <c r="G2444">
        <v>78.066044000000005</v>
      </c>
      <c r="H2444">
        <v>12.608806</v>
      </c>
      <c r="J2444" s="2" t="s">
        <v>5</v>
      </c>
      <c r="K2444" t="s">
        <v>143</v>
      </c>
      <c r="L2444" t="s">
        <v>143</v>
      </c>
      <c r="M2444" t="s">
        <v>553</v>
      </c>
      <c r="N2444" t="s">
        <v>85</v>
      </c>
      <c r="O2444" s="6" t="s">
        <v>360</v>
      </c>
      <c r="P2444" t="s">
        <v>349</v>
      </c>
      <c r="Q2444">
        <v>18</v>
      </c>
      <c r="R2444" t="s">
        <v>213</v>
      </c>
      <c r="S2444" s="2" t="s">
        <v>9</v>
      </c>
      <c r="T2444">
        <v>4</v>
      </c>
      <c r="U2444">
        <v>7.88</v>
      </c>
      <c r="V2444">
        <v>644</v>
      </c>
      <c r="W2444" t="s">
        <v>28</v>
      </c>
      <c r="X2444">
        <v>0.93500000000000005</v>
      </c>
      <c r="Y2444">
        <f>1.003-X2444</f>
        <v>6.7999999999999838E-2</v>
      </c>
      <c r="AA2444" s="6"/>
      <c r="AB2444" s="6"/>
    </row>
    <row r="2445" spans="1:28" x14ac:dyDescent="0.2">
      <c r="A2445" t="s">
        <v>633</v>
      </c>
      <c r="B2445">
        <v>2017</v>
      </c>
      <c r="C2445" t="s">
        <v>826</v>
      </c>
      <c r="D2445" t="s">
        <v>824</v>
      </c>
      <c r="E2445" t="s">
        <v>48</v>
      </c>
      <c r="F2445" t="s">
        <v>532</v>
      </c>
      <c r="G2445">
        <v>78.066044000000005</v>
      </c>
      <c r="H2445">
        <v>12.608806</v>
      </c>
      <c r="J2445" s="2" t="s">
        <v>5</v>
      </c>
      <c r="K2445" t="s">
        <v>143</v>
      </c>
      <c r="L2445" t="s">
        <v>143</v>
      </c>
      <c r="M2445" t="s">
        <v>553</v>
      </c>
      <c r="N2445" t="s">
        <v>85</v>
      </c>
      <c r="O2445" s="6" t="s">
        <v>360</v>
      </c>
      <c r="P2445" t="s">
        <v>349</v>
      </c>
      <c r="Q2445">
        <v>18</v>
      </c>
      <c r="R2445" t="s">
        <v>213</v>
      </c>
      <c r="S2445" s="2" t="s">
        <v>27</v>
      </c>
      <c r="T2445">
        <v>4</v>
      </c>
      <c r="U2445">
        <v>7.57</v>
      </c>
      <c r="V2445">
        <v>1354</v>
      </c>
      <c r="W2445" t="s">
        <v>28</v>
      </c>
      <c r="X2445">
        <v>0.84199999999999997</v>
      </c>
      <c r="Y2445">
        <f>0.892-X2445</f>
        <v>5.0000000000000044E-2</v>
      </c>
      <c r="AA2445" s="6"/>
      <c r="AB2445" s="6"/>
    </row>
    <row r="2446" spans="1:28" x14ac:dyDescent="0.2">
      <c r="A2446" t="s">
        <v>633</v>
      </c>
      <c r="B2446">
        <v>2017</v>
      </c>
      <c r="C2446" t="s">
        <v>826</v>
      </c>
      <c r="D2446" t="s">
        <v>824</v>
      </c>
      <c r="E2446" t="s">
        <v>48</v>
      </c>
      <c r="F2446" t="s">
        <v>532</v>
      </c>
      <c r="G2446">
        <v>78.066044000000005</v>
      </c>
      <c r="H2446">
        <v>12.608806</v>
      </c>
      <c r="J2446" s="2" t="s">
        <v>14</v>
      </c>
      <c r="K2446" t="s">
        <v>143</v>
      </c>
      <c r="L2446" t="s">
        <v>143</v>
      </c>
      <c r="M2446" t="s">
        <v>553</v>
      </c>
      <c r="N2446" t="s">
        <v>85</v>
      </c>
      <c r="O2446" s="6" t="s">
        <v>360</v>
      </c>
      <c r="P2446" t="s">
        <v>349</v>
      </c>
      <c r="Q2446">
        <v>18</v>
      </c>
      <c r="R2446" t="s">
        <v>213</v>
      </c>
      <c r="S2446" s="2" t="s">
        <v>13</v>
      </c>
      <c r="T2446">
        <v>4</v>
      </c>
      <c r="U2446" t="s">
        <v>28</v>
      </c>
      <c r="V2446" t="s">
        <v>28</v>
      </c>
      <c r="W2446">
        <v>10</v>
      </c>
      <c r="X2446">
        <v>0.876</v>
      </c>
      <c r="Y2446">
        <f>0.903-X2446</f>
        <v>2.7000000000000024E-2</v>
      </c>
      <c r="AA2446" s="6"/>
      <c r="AB2446" s="6"/>
    </row>
    <row r="2447" spans="1:28" x14ac:dyDescent="0.2">
      <c r="A2447" t="s">
        <v>633</v>
      </c>
      <c r="B2447">
        <v>2017</v>
      </c>
      <c r="C2447" t="s">
        <v>826</v>
      </c>
      <c r="D2447" t="s">
        <v>824</v>
      </c>
      <c r="E2447" t="s">
        <v>48</v>
      </c>
      <c r="F2447" t="s">
        <v>532</v>
      </c>
      <c r="G2447">
        <v>78.066044000000005</v>
      </c>
      <c r="H2447">
        <v>12.608806</v>
      </c>
      <c r="J2447" s="2" t="s">
        <v>16</v>
      </c>
      <c r="K2447" t="s">
        <v>143</v>
      </c>
      <c r="L2447" t="s">
        <v>143</v>
      </c>
      <c r="M2447" t="s">
        <v>553</v>
      </c>
      <c r="N2447" t="s">
        <v>85</v>
      </c>
      <c r="O2447" s="6" t="s">
        <v>360</v>
      </c>
      <c r="P2447" t="s">
        <v>349</v>
      </c>
      <c r="Q2447">
        <v>18</v>
      </c>
      <c r="R2447" t="s">
        <v>213</v>
      </c>
      <c r="S2447" t="s">
        <v>15</v>
      </c>
      <c r="T2447">
        <v>4</v>
      </c>
      <c r="U2447">
        <v>7.89</v>
      </c>
      <c r="V2447">
        <v>683</v>
      </c>
      <c r="W2447">
        <v>10</v>
      </c>
      <c r="X2447">
        <v>0.85699999999999998</v>
      </c>
      <c r="Y2447">
        <f>0.874-X2447</f>
        <v>1.7000000000000015E-2</v>
      </c>
      <c r="AA2447" s="6"/>
      <c r="AB2447" s="6"/>
    </row>
    <row r="2448" spans="1:28" x14ac:dyDescent="0.2">
      <c r="A2448" t="s">
        <v>633</v>
      </c>
      <c r="B2448">
        <v>2017</v>
      </c>
      <c r="C2448" t="s">
        <v>826</v>
      </c>
      <c r="D2448" t="s">
        <v>824</v>
      </c>
      <c r="E2448" t="s">
        <v>48</v>
      </c>
      <c r="F2448" t="s">
        <v>532</v>
      </c>
      <c r="G2448">
        <v>78.066044000000005</v>
      </c>
      <c r="H2448">
        <v>12.608806</v>
      </c>
      <c r="J2448" s="2" t="s">
        <v>16</v>
      </c>
      <c r="K2448" t="s">
        <v>143</v>
      </c>
      <c r="L2448" t="s">
        <v>143</v>
      </c>
      <c r="M2448" t="s">
        <v>553</v>
      </c>
      <c r="N2448" t="s">
        <v>85</v>
      </c>
      <c r="O2448" s="6" t="s">
        <v>360</v>
      </c>
      <c r="P2448" t="s">
        <v>349</v>
      </c>
      <c r="Q2448">
        <v>18</v>
      </c>
      <c r="R2448" t="s">
        <v>213</v>
      </c>
      <c r="S2448" s="2" t="s">
        <v>37</v>
      </c>
      <c r="T2448">
        <v>4</v>
      </c>
      <c r="U2448">
        <v>7.58</v>
      </c>
      <c r="V2448">
        <v>1456</v>
      </c>
      <c r="W2448">
        <v>10</v>
      </c>
      <c r="X2448">
        <v>0.88300000000000001</v>
      </c>
      <c r="Y2448">
        <f>0.946-X2448</f>
        <v>6.2999999999999945E-2</v>
      </c>
      <c r="AA2448" s="6"/>
      <c r="AB2448" s="6"/>
    </row>
    <row r="2449" spans="1:28" x14ac:dyDescent="0.2">
      <c r="A2449" t="s">
        <v>633</v>
      </c>
      <c r="B2449">
        <v>2017</v>
      </c>
      <c r="C2449" t="s">
        <v>826</v>
      </c>
      <c r="D2449" t="s">
        <v>824</v>
      </c>
      <c r="E2449" t="s">
        <v>48</v>
      </c>
      <c r="F2449" t="s">
        <v>307</v>
      </c>
      <c r="G2449">
        <v>54.183827999999998</v>
      </c>
      <c r="H2449">
        <v>7.8726450000000003</v>
      </c>
      <c r="J2449" s="2" t="s">
        <v>7</v>
      </c>
      <c r="K2449" t="s">
        <v>143</v>
      </c>
      <c r="L2449" t="s">
        <v>143</v>
      </c>
      <c r="M2449" t="s">
        <v>553</v>
      </c>
      <c r="N2449" t="s">
        <v>85</v>
      </c>
      <c r="O2449" s="6" t="s">
        <v>360</v>
      </c>
      <c r="P2449" t="s">
        <v>349</v>
      </c>
      <c r="Q2449">
        <v>18</v>
      </c>
      <c r="R2449" t="s">
        <v>213</v>
      </c>
      <c r="S2449" s="2" t="s">
        <v>7</v>
      </c>
      <c r="T2449">
        <v>4</v>
      </c>
      <c r="U2449">
        <v>8.06</v>
      </c>
      <c r="V2449">
        <v>423</v>
      </c>
      <c r="W2449">
        <v>10</v>
      </c>
      <c r="X2449">
        <v>1.0089999999999999</v>
      </c>
      <c r="Y2449">
        <f>1.068-X2449</f>
        <v>5.9000000000000163E-2</v>
      </c>
      <c r="AA2449" s="6"/>
      <c r="AB2449" s="6"/>
    </row>
    <row r="2450" spans="1:28" x14ac:dyDescent="0.2">
      <c r="A2450" t="s">
        <v>633</v>
      </c>
      <c r="B2450">
        <v>2017</v>
      </c>
      <c r="C2450" t="s">
        <v>826</v>
      </c>
      <c r="D2450" t="s">
        <v>824</v>
      </c>
      <c r="E2450" t="s">
        <v>48</v>
      </c>
      <c r="F2450" t="s">
        <v>307</v>
      </c>
      <c r="G2450">
        <v>54.183827999999998</v>
      </c>
      <c r="H2450">
        <v>7.8726450000000003</v>
      </c>
      <c r="J2450" s="2" t="s">
        <v>5</v>
      </c>
      <c r="K2450" t="s">
        <v>143</v>
      </c>
      <c r="L2450" t="s">
        <v>143</v>
      </c>
      <c r="M2450" t="s">
        <v>553</v>
      </c>
      <c r="N2450" t="s">
        <v>85</v>
      </c>
      <c r="O2450" s="6" t="s">
        <v>360</v>
      </c>
      <c r="P2450" t="s">
        <v>349</v>
      </c>
      <c r="Q2450">
        <v>18</v>
      </c>
      <c r="R2450" t="s">
        <v>213</v>
      </c>
      <c r="S2450" s="2" t="s">
        <v>9</v>
      </c>
      <c r="T2450">
        <v>4</v>
      </c>
      <c r="U2450">
        <v>7.82</v>
      </c>
      <c r="V2450">
        <v>769</v>
      </c>
      <c r="W2450" t="s">
        <v>28</v>
      </c>
      <c r="X2450">
        <v>0.999</v>
      </c>
      <c r="Y2450">
        <f>1.057-X2450</f>
        <v>5.799999999999994E-2</v>
      </c>
      <c r="AA2450" s="6"/>
      <c r="AB2450" s="6"/>
    </row>
    <row r="2451" spans="1:28" x14ac:dyDescent="0.2">
      <c r="A2451" t="s">
        <v>633</v>
      </c>
      <c r="B2451">
        <v>2017</v>
      </c>
      <c r="C2451" t="s">
        <v>826</v>
      </c>
      <c r="D2451" t="s">
        <v>824</v>
      </c>
      <c r="E2451" t="s">
        <v>48</v>
      </c>
      <c r="F2451" t="s">
        <v>307</v>
      </c>
      <c r="G2451">
        <v>54.183827999999998</v>
      </c>
      <c r="H2451">
        <v>7.8726450000000003</v>
      </c>
      <c r="J2451" s="2" t="s">
        <v>5</v>
      </c>
      <c r="K2451" t="s">
        <v>143</v>
      </c>
      <c r="L2451" t="s">
        <v>143</v>
      </c>
      <c r="M2451" t="s">
        <v>553</v>
      </c>
      <c r="N2451" t="s">
        <v>85</v>
      </c>
      <c r="O2451" s="6" t="s">
        <v>360</v>
      </c>
      <c r="P2451" t="s">
        <v>349</v>
      </c>
      <c r="Q2451">
        <v>18</v>
      </c>
      <c r="R2451" t="s">
        <v>213</v>
      </c>
      <c r="S2451" s="2" t="s">
        <v>27</v>
      </c>
      <c r="T2451">
        <v>4</v>
      </c>
      <c r="U2451">
        <v>7.56</v>
      </c>
      <c r="V2451">
        <v>1437</v>
      </c>
      <c r="W2451" t="s">
        <v>28</v>
      </c>
      <c r="X2451">
        <v>1.0489999999999999</v>
      </c>
      <c r="Y2451">
        <f>1.081-X2451</f>
        <v>3.2000000000000028E-2</v>
      </c>
      <c r="AA2451" s="6"/>
      <c r="AB2451" s="6"/>
    </row>
    <row r="2452" spans="1:28" x14ac:dyDescent="0.2">
      <c r="A2452" t="s">
        <v>633</v>
      </c>
      <c r="B2452">
        <v>2017</v>
      </c>
      <c r="C2452" t="s">
        <v>826</v>
      </c>
      <c r="D2452" t="s">
        <v>824</v>
      </c>
      <c r="E2452" t="s">
        <v>48</v>
      </c>
      <c r="F2452" t="s">
        <v>307</v>
      </c>
      <c r="G2452">
        <v>54.183827999999998</v>
      </c>
      <c r="H2452">
        <v>7.8726450000000003</v>
      </c>
      <c r="J2452" s="2" t="s">
        <v>14</v>
      </c>
      <c r="K2452" t="s">
        <v>143</v>
      </c>
      <c r="L2452" t="s">
        <v>143</v>
      </c>
      <c r="M2452" t="s">
        <v>553</v>
      </c>
      <c r="N2452" t="s">
        <v>85</v>
      </c>
      <c r="O2452" s="6" t="s">
        <v>360</v>
      </c>
      <c r="P2452" t="s">
        <v>349</v>
      </c>
      <c r="Q2452">
        <v>18</v>
      </c>
      <c r="R2452" t="s">
        <v>213</v>
      </c>
      <c r="S2452" s="2" t="s">
        <v>13</v>
      </c>
      <c r="T2452">
        <v>4</v>
      </c>
      <c r="U2452" t="s">
        <v>28</v>
      </c>
      <c r="V2452" t="s">
        <v>28</v>
      </c>
      <c r="W2452">
        <v>17</v>
      </c>
      <c r="X2452">
        <v>1.0549999999999999</v>
      </c>
      <c r="Y2452">
        <f>1.105-X2452</f>
        <v>5.0000000000000044E-2</v>
      </c>
      <c r="AA2452" s="6"/>
      <c r="AB2452" s="6"/>
    </row>
    <row r="2453" spans="1:28" x14ac:dyDescent="0.2">
      <c r="A2453" t="s">
        <v>633</v>
      </c>
      <c r="B2453">
        <v>2017</v>
      </c>
      <c r="C2453" t="s">
        <v>826</v>
      </c>
      <c r="D2453" t="s">
        <v>824</v>
      </c>
      <c r="E2453" t="s">
        <v>48</v>
      </c>
      <c r="F2453" t="s">
        <v>307</v>
      </c>
      <c r="G2453">
        <v>54.183827999999998</v>
      </c>
      <c r="H2453">
        <v>7.8726450000000003</v>
      </c>
      <c r="J2453" s="2" t="s">
        <v>16</v>
      </c>
      <c r="K2453" t="s">
        <v>143</v>
      </c>
      <c r="L2453" t="s">
        <v>143</v>
      </c>
      <c r="M2453" t="s">
        <v>553</v>
      </c>
      <c r="N2453" t="s">
        <v>85</v>
      </c>
      <c r="O2453" s="6" t="s">
        <v>360</v>
      </c>
      <c r="P2453" t="s">
        <v>349</v>
      </c>
      <c r="Q2453">
        <v>18</v>
      </c>
      <c r="R2453" t="s">
        <v>213</v>
      </c>
      <c r="S2453" t="s">
        <v>15</v>
      </c>
      <c r="T2453">
        <v>4</v>
      </c>
      <c r="U2453">
        <v>7.82</v>
      </c>
      <c r="V2453">
        <v>783</v>
      </c>
      <c r="W2453">
        <v>17</v>
      </c>
      <c r="X2453">
        <v>1.0469999999999999</v>
      </c>
      <c r="Y2453">
        <f>1.075-X2453</f>
        <v>2.8000000000000025E-2</v>
      </c>
      <c r="AA2453" s="6"/>
      <c r="AB2453" s="6"/>
    </row>
    <row r="2454" spans="1:28" x14ac:dyDescent="0.2">
      <c r="A2454" t="s">
        <v>633</v>
      </c>
      <c r="B2454">
        <v>2017</v>
      </c>
      <c r="C2454" t="s">
        <v>826</v>
      </c>
      <c r="D2454" t="s">
        <v>824</v>
      </c>
      <c r="E2454" t="s">
        <v>48</v>
      </c>
      <c r="F2454" t="s">
        <v>307</v>
      </c>
      <c r="G2454">
        <v>54.183827999999998</v>
      </c>
      <c r="H2454">
        <v>7.8726450000000003</v>
      </c>
      <c r="J2454" s="2" t="s">
        <v>16</v>
      </c>
      <c r="K2454" t="s">
        <v>143</v>
      </c>
      <c r="L2454" t="s">
        <v>143</v>
      </c>
      <c r="M2454" t="s">
        <v>553</v>
      </c>
      <c r="N2454" t="s">
        <v>85</v>
      </c>
      <c r="O2454" s="6" t="s">
        <v>360</v>
      </c>
      <c r="P2454" t="s">
        <v>349</v>
      </c>
      <c r="Q2454">
        <v>18</v>
      </c>
      <c r="R2454" t="s">
        <v>213</v>
      </c>
      <c r="S2454" s="2" t="s">
        <v>37</v>
      </c>
      <c r="T2454">
        <v>4</v>
      </c>
      <c r="U2454">
        <v>7.56</v>
      </c>
      <c r="V2454">
        <v>1505</v>
      </c>
      <c r="W2454">
        <v>17</v>
      </c>
      <c r="X2454">
        <v>1.036</v>
      </c>
      <c r="Y2454">
        <f>1.049-X2454</f>
        <v>1.2999999999999901E-2</v>
      </c>
      <c r="AA2454" s="6"/>
      <c r="AB2454" s="6"/>
    </row>
    <row r="2455" spans="1:28" x14ac:dyDescent="0.2">
      <c r="A2455" t="s">
        <v>633</v>
      </c>
      <c r="B2455">
        <v>2017</v>
      </c>
      <c r="C2455" t="s">
        <v>826</v>
      </c>
      <c r="D2455" t="s">
        <v>824</v>
      </c>
      <c r="E2455" t="s">
        <v>48</v>
      </c>
      <c r="F2455" t="s">
        <v>532</v>
      </c>
      <c r="G2455">
        <v>78.066044000000005</v>
      </c>
      <c r="H2455">
        <v>12.608806</v>
      </c>
      <c r="J2455" s="2" t="s">
        <v>7</v>
      </c>
      <c r="K2455" t="s">
        <v>143</v>
      </c>
      <c r="L2455" t="s">
        <v>143</v>
      </c>
      <c r="M2455" t="s">
        <v>553</v>
      </c>
      <c r="N2455" t="s">
        <v>85</v>
      </c>
      <c r="O2455" s="6" t="s">
        <v>361</v>
      </c>
      <c r="P2455" t="s">
        <v>147</v>
      </c>
      <c r="Q2455">
        <v>18</v>
      </c>
      <c r="R2455" t="s">
        <v>213</v>
      </c>
      <c r="S2455" s="2" t="s">
        <v>7</v>
      </c>
      <c r="T2455">
        <v>4</v>
      </c>
      <c r="U2455">
        <v>8.07</v>
      </c>
      <c r="V2455">
        <v>402</v>
      </c>
      <c r="W2455">
        <v>4</v>
      </c>
      <c r="X2455">
        <v>0.1076</v>
      </c>
      <c r="Y2455">
        <f>0.1224-X2455</f>
        <v>1.4799999999999994E-2</v>
      </c>
      <c r="AA2455" s="6"/>
      <c r="AB2455" s="6"/>
    </row>
    <row r="2456" spans="1:28" x14ac:dyDescent="0.2">
      <c r="A2456" t="s">
        <v>633</v>
      </c>
      <c r="B2456">
        <v>2017</v>
      </c>
      <c r="C2456" t="s">
        <v>826</v>
      </c>
      <c r="D2456" t="s">
        <v>824</v>
      </c>
      <c r="E2456" t="s">
        <v>48</v>
      </c>
      <c r="F2456" t="s">
        <v>532</v>
      </c>
      <c r="G2456">
        <v>78.066044000000005</v>
      </c>
      <c r="H2456">
        <v>12.608806</v>
      </c>
      <c r="J2456" s="2" t="s">
        <v>5</v>
      </c>
      <c r="K2456" t="s">
        <v>143</v>
      </c>
      <c r="L2456" t="s">
        <v>143</v>
      </c>
      <c r="M2456" t="s">
        <v>553</v>
      </c>
      <c r="N2456" t="s">
        <v>85</v>
      </c>
      <c r="O2456" s="6" t="s">
        <v>361</v>
      </c>
      <c r="P2456" t="s">
        <v>147</v>
      </c>
      <c r="Q2456">
        <v>18</v>
      </c>
      <c r="R2456" t="s">
        <v>213</v>
      </c>
      <c r="S2456" s="2" t="s">
        <v>9</v>
      </c>
      <c r="T2456">
        <v>4</v>
      </c>
      <c r="U2456">
        <v>7.88</v>
      </c>
      <c r="V2456">
        <v>644</v>
      </c>
      <c r="W2456" t="s">
        <v>28</v>
      </c>
      <c r="X2456">
        <v>0.11409999999999999</v>
      </c>
      <c r="Y2456">
        <f>0.1341-X2456</f>
        <v>2.0000000000000004E-2</v>
      </c>
      <c r="AA2456" s="6"/>
      <c r="AB2456" s="6"/>
    </row>
    <row r="2457" spans="1:28" x14ac:dyDescent="0.2">
      <c r="A2457" t="s">
        <v>633</v>
      </c>
      <c r="B2457">
        <v>2017</v>
      </c>
      <c r="C2457" t="s">
        <v>826</v>
      </c>
      <c r="D2457" t="s">
        <v>824</v>
      </c>
      <c r="E2457" t="s">
        <v>48</v>
      </c>
      <c r="F2457" t="s">
        <v>532</v>
      </c>
      <c r="G2457">
        <v>78.066044000000005</v>
      </c>
      <c r="H2457">
        <v>12.608806</v>
      </c>
      <c r="J2457" s="2" t="s">
        <v>5</v>
      </c>
      <c r="K2457" t="s">
        <v>143</v>
      </c>
      <c r="L2457" t="s">
        <v>143</v>
      </c>
      <c r="M2457" t="s">
        <v>553</v>
      </c>
      <c r="N2457" t="s">
        <v>85</v>
      </c>
      <c r="O2457" s="6" t="s">
        <v>361</v>
      </c>
      <c r="P2457" t="s">
        <v>147</v>
      </c>
      <c r="Q2457">
        <v>18</v>
      </c>
      <c r="R2457" t="s">
        <v>213</v>
      </c>
      <c r="S2457" s="2" t="s">
        <v>27</v>
      </c>
      <c r="T2457">
        <v>4</v>
      </c>
      <c r="U2457">
        <v>7.57</v>
      </c>
      <c r="V2457">
        <v>1354</v>
      </c>
      <c r="W2457" t="s">
        <v>28</v>
      </c>
      <c r="X2457">
        <v>9.5299999999999996E-2</v>
      </c>
      <c r="Y2457">
        <f>0.1082-X2457</f>
        <v>1.2900000000000009E-2</v>
      </c>
      <c r="AA2457" s="6"/>
      <c r="AB2457" s="6"/>
    </row>
    <row r="2458" spans="1:28" x14ac:dyDescent="0.2">
      <c r="A2458" t="s">
        <v>633</v>
      </c>
      <c r="B2458">
        <v>2017</v>
      </c>
      <c r="C2458" t="s">
        <v>826</v>
      </c>
      <c r="D2458" t="s">
        <v>824</v>
      </c>
      <c r="E2458" t="s">
        <v>48</v>
      </c>
      <c r="F2458" t="s">
        <v>532</v>
      </c>
      <c r="G2458">
        <v>78.066044000000005</v>
      </c>
      <c r="H2458">
        <v>12.608806</v>
      </c>
      <c r="J2458" s="2" t="s">
        <v>14</v>
      </c>
      <c r="K2458" t="s">
        <v>143</v>
      </c>
      <c r="L2458" t="s">
        <v>143</v>
      </c>
      <c r="M2458" t="s">
        <v>553</v>
      </c>
      <c r="N2458" t="s">
        <v>85</v>
      </c>
      <c r="O2458" s="6" t="s">
        <v>361</v>
      </c>
      <c r="P2458" t="s">
        <v>147</v>
      </c>
      <c r="Q2458">
        <v>18</v>
      </c>
      <c r="R2458" t="s">
        <v>213</v>
      </c>
      <c r="S2458" s="2" t="s">
        <v>13</v>
      </c>
      <c r="T2458">
        <v>4</v>
      </c>
      <c r="U2458" t="s">
        <v>28</v>
      </c>
      <c r="V2458" t="s">
        <v>28</v>
      </c>
      <c r="W2458">
        <v>10</v>
      </c>
      <c r="X2458">
        <v>0.14760000000000001</v>
      </c>
      <c r="Y2458">
        <f>0.1724-X2458</f>
        <v>2.4799999999999989E-2</v>
      </c>
      <c r="AA2458" s="6"/>
      <c r="AB2458" s="6"/>
    </row>
    <row r="2459" spans="1:28" x14ac:dyDescent="0.2">
      <c r="A2459" t="s">
        <v>633</v>
      </c>
      <c r="B2459">
        <v>2017</v>
      </c>
      <c r="C2459" t="s">
        <v>826</v>
      </c>
      <c r="D2459" t="s">
        <v>824</v>
      </c>
      <c r="E2459" t="s">
        <v>48</v>
      </c>
      <c r="F2459" t="s">
        <v>532</v>
      </c>
      <c r="G2459">
        <v>78.066044000000005</v>
      </c>
      <c r="H2459">
        <v>12.608806</v>
      </c>
      <c r="J2459" s="2" t="s">
        <v>16</v>
      </c>
      <c r="K2459" t="s">
        <v>143</v>
      </c>
      <c r="L2459" t="s">
        <v>143</v>
      </c>
      <c r="M2459" t="s">
        <v>553</v>
      </c>
      <c r="N2459" t="s">
        <v>85</v>
      </c>
      <c r="O2459" s="6" t="s">
        <v>361</v>
      </c>
      <c r="P2459" t="s">
        <v>147</v>
      </c>
      <c r="Q2459">
        <v>18</v>
      </c>
      <c r="R2459" t="s">
        <v>213</v>
      </c>
      <c r="S2459" t="s">
        <v>15</v>
      </c>
      <c r="T2459">
        <v>4</v>
      </c>
      <c r="U2459">
        <v>7.89</v>
      </c>
      <c r="V2459">
        <v>683</v>
      </c>
      <c r="W2459">
        <v>10</v>
      </c>
      <c r="X2459">
        <v>0.1206</v>
      </c>
      <c r="Y2459">
        <f>0.1418-X2459</f>
        <v>2.1200000000000011E-2</v>
      </c>
      <c r="AA2459" s="6"/>
      <c r="AB2459" s="6"/>
    </row>
    <row r="2460" spans="1:28" x14ac:dyDescent="0.2">
      <c r="A2460" t="s">
        <v>633</v>
      </c>
      <c r="B2460">
        <v>2017</v>
      </c>
      <c r="C2460" t="s">
        <v>826</v>
      </c>
      <c r="D2460" t="s">
        <v>824</v>
      </c>
      <c r="E2460" t="s">
        <v>48</v>
      </c>
      <c r="F2460" t="s">
        <v>532</v>
      </c>
      <c r="G2460">
        <v>78.066044000000005</v>
      </c>
      <c r="H2460">
        <v>12.608806</v>
      </c>
      <c r="J2460" s="2" t="s">
        <v>16</v>
      </c>
      <c r="K2460" t="s">
        <v>143</v>
      </c>
      <c r="L2460" t="s">
        <v>143</v>
      </c>
      <c r="M2460" t="s">
        <v>553</v>
      </c>
      <c r="N2460" t="s">
        <v>85</v>
      </c>
      <c r="O2460" s="6" t="s">
        <v>361</v>
      </c>
      <c r="P2460" t="s">
        <v>147</v>
      </c>
      <c r="Q2460">
        <v>18</v>
      </c>
      <c r="R2460" t="s">
        <v>213</v>
      </c>
      <c r="S2460" s="2" t="s">
        <v>37</v>
      </c>
      <c r="T2460">
        <v>4</v>
      </c>
      <c r="U2460">
        <v>7.58</v>
      </c>
      <c r="V2460">
        <v>1456</v>
      </c>
      <c r="W2460">
        <v>10</v>
      </c>
      <c r="X2460">
        <v>0.1235</v>
      </c>
      <c r="Y2460">
        <f>0.1347-X2460</f>
        <v>1.1199999999999988E-2</v>
      </c>
      <c r="AA2460" s="6"/>
      <c r="AB2460" s="6"/>
    </row>
    <row r="2461" spans="1:28" x14ac:dyDescent="0.2">
      <c r="A2461" t="s">
        <v>633</v>
      </c>
      <c r="B2461">
        <v>2017</v>
      </c>
      <c r="C2461" t="s">
        <v>826</v>
      </c>
      <c r="D2461" t="s">
        <v>824</v>
      </c>
      <c r="E2461" t="s">
        <v>48</v>
      </c>
      <c r="F2461" t="s">
        <v>307</v>
      </c>
      <c r="G2461">
        <v>54.183827999999998</v>
      </c>
      <c r="H2461">
        <v>7.8726450000000003</v>
      </c>
      <c r="J2461" s="2" t="s">
        <v>7</v>
      </c>
      <c r="K2461" t="s">
        <v>143</v>
      </c>
      <c r="L2461" t="s">
        <v>143</v>
      </c>
      <c r="M2461" t="s">
        <v>553</v>
      </c>
      <c r="N2461" t="s">
        <v>85</v>
      </c>
      <c r="O2461" s="6" t="s">
        <v>361</v>
      </c>
      <c r="P2461" t="s">
        <v>147</v>
      </c>
      <c r="Q2461">
        <v>18</v>
      </c>
      <c r="R2461" t="s">
        <v>213</v>
      </c>
      <c r="S2461" s="2" t="s">
        <v>7</v>
      </c>
      <c r="T2461">
        <v>4</v>
      </c>
      <c r="U2461">
        <v>8.06</v>
      </c>
      <c r="V2461">
        <v>423</v>
      </c>
      <c r="W2461">
        <v>10</v>
      </c>
      <c r="X2461">
        <v>0.16239999999999999</v>
      </c>
      <c r="Y2461">
        <f>0.1759-X2461</f>
        <v>1.3500000000000012E-2</v>
      </c>
      <c r="AA2461" s="6"/>
      <c r="AB2461" s="6"/>
    </row>
    <row r="2462" spans="1:28" x14ac:dyDescent="0.2">
      <c r="A2462" t="s">
        <v>633</v>
      </c>
      <c r="B2462">
        <v>2017</v>
      </c>
      <c r="C2462" t="s">
        <v>826</v>
      </c>
      <c r="D2462" t="s">
        <v>824</v>
      </c>
      <c r="E2462" t="s">
        <v>48</v>
      </c>
      <c r="F2462" t="s">
        <v>307</v>
      </c>
      <c r="G2462">
        <v>54.183827999999998</v>
      </c>
      <c r="H2462">
        <v>7.8726450000000003</v>
      </c>
      <c r="J2462" s="2" t="s">
        <v>5</v>
      </c>
      <c r="K2462" t="s">
        <v>143</v>
      </c>
      <c r="L2462" t="s">
        <v>143</v>
      </c>
      <c r="M2462" t="s">
        <v>553</v>
      </c>
      <c r="N2462" t="s">
        <v>85</v>
      </c>
      <c r="O2462" s="6" t="s">
        <v>361</v>
      </c>
      <c r="P2462" t="s">
        <v>147</v>
      </c>
      <c r="Q2462">
        <v>18</v>
      </c>
      <c r="R2462" t="s">
        <v>213</v>
      </c>
      <c r="S2462" s="2" t="s">
        <v>9</v>
      </c>
      <c r="T2462">
        <v>4</v>
      </c>
      <c r="U2462">
        <v>7.82</v>
      </c>
      <c r="V2462">
        <v>769</v>
      </c>
      <c r="W2462" t="s">
        <v>28</v>
      </c>
      <c r="X2462">
        <v>0.15</v>
      </c>
      <c r="Y2462">
        <f>0.1624-X2462</f>
        <v>1.2399999999999994E-2</v>
      </c>
      <c r="AA2462" s="6"/>
      <c r="AB2462" s="6"/>
    </row>
    <row r="2463" spans="1:28" x14ac:dyDescent="0.2">
      <c r="A2463" t="s">
        <v>633</v>
      </c>
      <c r="B2463">
        <v>2017</v>
      </c>
      <c r="C2463" t="s">
        <v>826</v>
      </c>
      <c r="D2463" t="s">
        <v>824</v>
      </c>
      <c r="E2463" t="s">
        <v>48</v>
      </c>
      <c r="F2463" t="s">
        <v>307</v>
      </c>
      <c r="G2463">
        <v>54.183827999999998</v>
      </c>
      <c r="H2463">
        <v>7.8726450000000003</v>
      </c>
      <c r="J2463" s="2" t="s">
        <v>5</v>
      </c>
      <c r="K2463" t="s">
        <v>143</v>
      </c>
      <c r="L2463" t="s">
        <v>143</v>
      </c>
      <c r="M2463" t="s">
        <v>553</v>
      </c>
      <c r="N2463" t="s">
        <v>85</v>
      </c>
      <c r="O2463" s="6" t="s">
        <v>361</v>
      </c>
      <c r="P2463" t="s">
        <v>147</v>
      </c>
      <c r="Q2463">
        <v>18</v>
      </c>
      <c r="R2463" t="s">
        <v>213</v>
      </c>
      <c r="S2463" s="2" t="s">
        <v>27</v>
      </c>
      <c r="T2463">
        <v>4</v>
      </c>
      <c r="U2463">
        <v>7.56</v>
      </c>
      <c r="V2463">
        <v>1437</v>
      </c>
      <c r="W2463" t="s">
        <v>28</v>
      </c>
      <c r="X2463">
        <v>0.1512</v>
      </c>
      <c r="Y2463">
        <f>0.1729-X2463</f>
        <v>2.1699999999999997E-2</v>
      </c>
      <c r="AA2463" s="6"/>
      <c r="AB2463" s="6"/>
    </row>
    <row r="2464" spans="1:28" x14ac:dyDescent="0.2">
      <c r="A2464" t="s">
        <v>633</v>
      </c>
      <c r="B2464">
        <v>2017</v>
      </c>
      <c r="C2464" t="s">
        <v>826</v>
      </c>
      <c r="D2464" t="s">
        <v>824</v>
      </c>
      <c r="E2464" t="s">
        <v>48</v>
      </c>
      <c r="F2464" t="s">
        <v>307</v>
      </c>
      <c r="G2464">
        <v>54.183827999999998</v>
      </c>
      <c r="H2464">
        <v>7.8726450000000003</v>
      </c>
      <c r="J2464" s="2" t="s">
        <v>14</v>
      </c>
      <c r="K2464" t="s">
        <v>143</v>
      </c>
      <c r="L2464" t="s">
        <v>143</v>
      </c>
      <c r="M2464" t="s">
        <v>553</v>
      </c>
      <c r="N2464" t="s">
        <v>85</v>
      </c>
      <c r="O2464" s="6" t="s">
        <v>361</v>
      </c>
      <c r="P2464" t="s">
        <v>147</v>
      </c>
      <c r="Q2464">
        <v>18</v>
      </c>
      <c r="R2464" t="s">
        <v>213</v>
      </c>
      <c r="S2464" s="2" t="s">
        <v>13</v>
      </c>
      <c r="T2464">
        <v>4</v>
      </c>
      <c r="U2464" t="s">
        <v>28</v>
      </c>
      <c r="V2464" t="s">
        <v>28</v>
      </c>
      <c r="W2464">
        <v>17</v>
      </c>
      <c r="X2464">
        <v>0.3</v>
      </c>
      <c r="Y2464">
        <f>0.3312-X2464</f>
        <v>3.1200000000000006E-2</v>
      </c>
      <c r="AA2464" s="6"/>
      <c r="AB2464" s="6"/>
    </row>
    <row r="2465" spans="1:28" x14ac:dyDescent="0.2">
      <c r="A2465" t="s">
        <v>633</v>
      </c>
      <c r="B2465">
        <v>2017</v>
      </c>
      <c r="C2465" t="s">
        <v>826</v>
      </c>
      <c r="D2465" t="s">
        <v>824</v>
      </c>
      <c r="E2465" t="s">
        <v>48</v>
      </c>
      <c r="F2465" t="s">
        <v>307</v>
      </c>
      <c r="G2465">
        <v>54.183827999999998</v>
      </c>
      <c r="H2465">
        <v>7.8726450000000003</v>
      </c>
      <c r="J2465" s="2" t="s">
        <v>16</v>
      </c>
      <c r="K2465" t="s">
        <v>143</v>
      </c>
      <c r="L2465" t="s">
        <v>143</v>
      </c>
      <c r="M2465" t="s">
        <v>553</v>
      </c>
      <c r="N2465" t="s">
        <v>85</v>
      </c>
      <c r="O2465" s="6" t="s">
        <v>361</v>
      </c>
      <c r="P2465" t="s">
        <v>147</v>
      </c>
      <c r="Q2465">
        <v>18</v>
      </c>
      <c r="R2465" t="s">
        <v>213</v>
      </c>
      <c r="S2465" t="s">
        <v>15</v>
      </c>
      <c r="T2465">
        <v>4</v>
      </c>
      <c r="U2465">
        <v>7.82</v>
      </c>
      <c r="V2465">
        <v>783</v>
      </c>
      <c r="W2465">
        <v>17</v>
      </c>
      <c r="X2465">
        <v>0.2888</v>
      </c>
      <c r="Y2465">
        <f>0.3106-X2465</f>
        <v>2.1799999999999986E-2</v>
      </c>
      <c r="AA2465" s="6"/>
      <c r="AB2465" s="6"/>
    </row>
    <row r="2466" spans="1:28" x14ac:dyDescent="0.2">
      <c r="A2466" t="s">
        <v>633</v>
      </c>
      <c r="B2466">
        <v>2017</v>
      </c>
      <c r="C2466" t="s">
        <v>826</v>
      </c>
      <c r="D2466" t="s">
        <v>824</v>
      </c>
      <c r="E2466" t="s">
        <v>48</v>
      </c>
      <c r="F2466" t="s">
        <v>307</v>
      </c>
      <c r="G2466">
        <v>54.183827999999998</v>
      </c>
      <c r="H2466">
        <v>7.8726450000000003</v>
      </c>
      <c r="J2466" s="2" t="s">
        <v>16</v>
      </c>
      <c r="K2466" t="s">
        <v>143</v>
      </c>
      <c r="L2466" t="s">
        <v>143</v>
      </c>
      <c r="M2466" t="s">
        <v>553</v>
      </c>
      <c r="N2466" t="s">
        <v>85</v>
      </c>
      <c r="O2466" s="6" t="s">
        <v>361</v>
      </c>
      <c r="P2466" t="s">
        <v>147</v>
      </c>
      <c r="Q2466">
        <v>18</v>
      </c>
      <c r="R2466" t="s">
        <v>213</v>
      </c>
      <c r="S2466" s="2" t="s">
        <v>37</v>
      </c>
      <c r="T2466">
        <v>4</v>
      </c>
      <c r="U2466">
        <v>7.56</v>
      </c>
      <c r="V2466">
        <v>1505</v>
      </c>
      <c r="W2466">
        <v>17</v>
      </c>
      <c r="X2466">
        <v>0.25469999999999998</v>
      </c>
      <c r="Y2466">
        <f>0.2812-X2466</f>
        <v>2.6500000000000024E-2</v>
      </c>
      <c r="AA2466" s="6"/>
      <c r="AB2466" s="6"/>
    </row>
    <row r="2467" spans="1:28" x14ac:dyDescent="0.2">
      <c r="A2467" t="s">
        <v>633</v>
      </c>
      <c r="B2467">
        <v>2017</v>
      </c>
      <c r="C2467" t="s">
        <v>826</v>
      </c>
      <c r="D2467" t="s">
        <v>824</v>
      </c>
      <c r="E2467" t="s">
        <v>48</v>
      </c>
      <c r="F2467" t="s">
        <v>532</v>
      </c>
      <c r="G2467">
        <v>78.066044000000005</v>
      </c>
      <c r="H2467">
        <v>12.608806</v>
      </c>
      <c r="J2467" s="2" t="s">
        <v>7</v>
      </c>
      <c r="K2467" t="s">
        <v>143</v>
      </c>
      <c r="L2467" t="s">
        <v>143</v>
      </c>
      <c r="M2467" t="s">
        <v>553</v>
      </c>
      <c r="N2467" t="s">
        <v>85</v>
      </c>
      <c r="O2467" s="6" t="s">
        <v>362</v>
      </c>
      <c r="P2467" t="s">
        <v>147</v>
      </c>
      <c r="Q2467">
        <v>18</v>
      </c>
      <c r="R2467" t="s">
        <v>213</v>
      </c>
      <c r="S2467" s="2" t="s">
        <v>7</v>
      </c>
      <c r="T2467">
        <v>4</v>
      </c>
      <c r="U2467">
        <v>8.07</v>
      </c>
      <c r="V2467">
        <v>402</v>
      </c>
      <c r="W2467">
        <v>4</v>
      </c>
      <c r="X2467">
        <v>3.7999999999999999E-2</v>
      </c>
      <c r="Y2467">
        <f>0.04604-X2467</f>
        <v>8.0399999999999985E-3</v>
      </c>
      <c r="AA2467" s="6"/>
      <c r="AB2467" s="6"/>
    </row>
    <row r="2468" spans="1:28" x14ac:dyDescent="0.2">
      <c r="A2468" t="s">
        <v>633</v>
      </c>
      <c r="B2468">
        <v>2017</v>
      </c>
      <c r="C2468" t="s">
        <v>826</v>
      </c>
      <c r="D2468" t="s">
        <v>824</v>
      </c>
      <c r="E2468" t="s">
        <v>48</v>
      </c>
      <c r="F2468" t="s">
        <v>532</v>
      </c>
      <c r="G2468">
        <v>78.066044000000005</v>
      </c>
      <c r="H2468">
        <v>12.608806</v>
      </c>
      <c r="J2468" s="2" t="s">
        <v>5</v>
      </c>
      <c r="K2468" t="s">
        <v>143</v>
      </c>
      <c r="L2468" t="s">
        <v>143</v>
      </c>
      <c r="M2468" t="s">
        <v>553</v>
      </c>
      <c r="N2468" t="s">
        <v>85</v>
      </c>
      <c r="O2468" s="6" t="s">
        <v>362</v>
      </c>
      <c r="P2468" t="s">
        <v>147</v>
      </c>
      <c r="Q2468">
        <v>18</v>
      </c>
      <c r="R2468" t="s">
        <v>213</v>
      </c>
      <c r="S2468" s="2" t="s">
        <v>9</v>
      </c>
      <c r="T2468">
        <v>4</v>
      </c>
      <c r="U2468">
        <v>7.88</v>
      </c>
      <c r="V2468">
        <v>644</v>
      </c>
      <c r="W2468" t="s">
        <v>28</v>
      </c>
      <c r="X2468">
        <v>3.7999999999999999E-2</v>
      </c>
      <c r="Y2468">
        <f>0.04904-X2468</f>
        <v>1.1040000000000001E-2</v>
      </c>
      <c r="AA2468" s="6"/>
      <c r="AB2468" s="6"/>
    </row>
    <row r="2469" spans="1:28" x14ac:dyDescent="0.2">
      <c r="A2469" t="s">
        <v>633</v>
      </c>
      <c r="B2469">
        <v>2017</v>
      </c>
      <c r="C2469" t="s">
        <v>826</v>
      </c>
      <c r="D2469" t="s">
        <v>824</v>
      </c>
      <c r="E2469" t="s">
        <v>48</v>
      </c>
      <c r="F2469" t="s">
        <v>532</v>
      </c>
      <c r="G2469">
        <v>78.066044000000005</v>
      </c>
      <c r="H2469">
        <v>12.608806</v>
      </c>
      <c r="J2469" s="2" t="s">
        <v>5</v>
      </c>
      <c r="K2469" t="s">
        <v>143</v>
      </c>
      <c r="L2469" t="s">
        <v>143</v>
      </c>
      <c r="M2469" t="s">
        <v>553</v>
      </c>
      <c r="N2469" t="s">
        <v>85</v>
      </c>
      <c r="O2469" s="6" t="s">
        <v>362</v>
      </c>
      <c r="P2469" t="s">
        <v>147</v>
      </c>
      <c r="Q2469">
        <v>18</v>
      </c>
      <c r="R2469" t="s">
        <v>213</v>
      </c>
      <c r="S2469" s="2" t="s">
        <v>27</v>
      </c>
      <c r="T2469">
        <v>4</v>
      </c>
      <c r="U2469">
        <v>7.57</v>
      </c>
      <c r="V2469">
        <v>1354</v>
      </c>
      <c r="W2469" t="s">
        <v>28</v>
      </c>
      <c r="X2469">
        <v>3.4200000000000001E-2</v>
      </c>
      <c r="Y2469">
        <f>0.041-X2469</f>
        <v>6.8000000000000005E-3</v>
      </c>
      <c r="AA2469" s="6"/>
      <c r="AB2469" s="6"/>
    </row>
    <row r="2470" spans="1:28" x14ac:dyDescent="0.2">
      <c r="A2470" t="s">
        <v>633</v>
      </c>
      <c r="B2470">
        <v>2017</v>
      </c>
      <c r="C2470" t="s">
        <v>826</v>
      </c>
      <c r="D2470" t="s">
        <v>824</v>
      </c>
      <c r="E2470" t="s">
        <v>48</v>
      </c>
      <c r="F2470" t="s">
        <v>532</v>
      </c>
      <c r="G2470">
        <v>78.066044000000005</v>
      </c>
      <c r="H2470">
        <v>12.608806</v>
      </c>
      <c r="J2470" s="2" t="s">
        <v>14</v>
      </c>
      <c r="K2470" t="s">
        <v>143</v>
      </c>
      <c r="L2470" t="s">
        <v>143</v>
      </c>
      <c r="M2470" t="s">
        <v>553</v>
      </c>
      <c r="N2470" t="s">
        <v>85</v>
      </c>
      <c r="O2470" s="6" t="s">
        <v>362</v>
      </c>
      <c r="P2470" t="s">
        <v>147</v>
      </c>
      <c r="Q2470">
        <v>18</v>
      </c>
      <c r="R2470" t="s">
        <v>213</v>
      </c>
      <c r="S2470" s="2" t="s">
        <v>13</v>
      </c>
      <c r="T2470">
        <v>4</v>
      </c>
      <c r="U2470" t="s">
        <v>28</v>
      </c>
      <c r="V2470" t="s">
        <v>28</v>
      </c>
      <c r="W2470">
        <v>10</v>
      </c>
      <c r="X2470">
        <v>2.9069999999999999E-2</v>
      </c>
      <c r="Y2470">
        <f>0.038-X2470</f>
        <v>8.9300000000000004E-3</v>
      </c>
      <c r="AA2470" s="6"/>
      <c r="AB2470" s="6"/>
    </row>
    <row r="2471" spans="1:28" x14ac:dyDescent="0.2">
      <c r="A2471" t="s">
        <v>633</v>
      </c>
      <c r="B2471">
        <v>2017</v>
      </c>
      <c r="C2471" t="s">
        <v>826</v>
      </c>
      <c r="D2471" t="s">
        <v>824</v>
      </c>
      <c r="E2471" t="s">
        <v>48</v>
      </c>
      <c r="F2471" t="s">
        <v>532</v>
      </c>
      <c r="G2471">
        <v>78.066044000000005</v>
      </c>
      <c r="H2471">
        <v>12.608806</v>
      </c>
      <c r="J2471" s="2" t="s">
        <v>16</v>
      </c>
      <c r="K2471" t="s">
        <v>143</v>
      </c>
      <c r="L2471" t="s">
        <v>143</v>
      </c>
      <c r="M2471" t="s">
        <v>553</v>
      </c>
      <c r="N2471" t="s">
        <v>85</v>
      </c>
      <c r="O2471" s="6" t="s">
        <v>362</v>
      </c>
      <c r="P2471" t="s">
        <v>147</v>
      </c>
      <c r="Q2471">
        <v>18</v>
      </c>
      <c r="R2471" t="s">
        <v>213</v>
      </c>
      <c r="S2471" t="s">
        <v>15</v>
      </c>
      <c r="T2471">
        <v>4</v>
      </c>
      <c r="U2471">
        <v>7.89</v>
      </c>
      <c r="V2471">
        <v>683</v>
      </c>
      <c r="W2471">
        <v>10</v>
      </c>
      <c r="X2471">
        <v>2.7040000000000002E-2</v>
      </c>
      <c r="Y2471">
        <f>0.0311-X2471</f>
        <v>4.0599999999999976E-3</v>
      </c>
      <c r="AA2471" s="6"/>
      <c r="AB2471" s="6"/>
    </row>
    <row r="2472" spans="1:28" x14ac:dyDescent="0.2">
      <c r="A2472" t="s">
        <v>633</v>
      </c>
      <c r="B2472">
        <v>2017</v>
      </c>
      <c r="C2472" t="s">
        <v>826</v>
      </c>
      <c r="D2472" t="s">
        <v>824</v>
      </c>
      <c r="E2472" t="s">
        <v>48</v>
      </c>
      <c r="F2472" t="s">
        <v>532</v>
      </c>
      <c r="G2472">
        <v>78.066044000000005</v>
      </c>
      <c r="H2472">
        <v>12.608806</v>
      </c>
      <c r="J2472" s="2" t="s">
        <v>16</v>
      </c>
      <c r="K2472" t="s">
        <v>143</v>
      </c>
      <c r="L2472" t="s">
        <v>143</v>
      </c>
      <c r="M2472" t="s">
        <v>553</v>
      </c>
      <c r="N2472" t="s">
        <v>85</v>
      </c>
      <c r="O2472" s="6" t="s">
        <v>362</v>
      </c>
      <c r="P2472" t="s">
        <v>147</v>
      </c>
      <c r="Q2472">
        <v>18</v>
      </c>
      <c r="R2472" t="s">
        <v>213</v>
      </c>
      <c r="S2472" s="2" t="s">
        <v>37</v>
      </c>
      <c r="T2472">
        <v>4</v>
      </c>
      <c r="U2472">
        <v>7.58</v>
      </c>
      <c r="V2472">
        <v>1456</v>
      </c>
      <c r="W2472">
        <v>10</v>
      </c>
      <c r="X2472">
        <v>2.4209999999999999E-2</v>
      </c>
      <c r="Y2472">
        <f>0.02907-X2472</f>
        <v>4.8599999999999997E-3</v>
      </c>
      <c r="AA2472" s="6"/>
      <c r="AB2472" s="6"/>
    </row>
    <row r="2473" spans="1:28" x14ac:dyDescent="0.2">
      <c r="A2473" t="s">
        <v>633</v>
      </c>
      <c r="B2473">
        <v>2017</v>
      </c>
      <c r="C2473" t="s">
        <v>826</v>
      </c>
      <c r="D2473" t="s">
        <v>824</v>
      </c>
      <c r="E2473" t="s">
        <v>48</v>
      </c>
      <c r="F2473" t="s">
        <v>307</v>
      </c>
      <c r="G2473">
        <v>54.183827999999998</v>
      </c>
      <c r="H2473">
        <v>7.8726450000000003</v>
      </c>
      <c r="J2473" s="2" t="s">
        <v>7</v>
      </c>
      <c r="K2473" t="s">
        <v>143</v>
      </c>
      <c r="L2473" t="s">
        <v>143</v>
      </c>
      <c r="M2473" t="s">
        <v>553</v>
      </c>
      <c r="N2473" t="s">
        <v>85</v>
      </c>
      <c r="O2473" s="6" t="s">
        <v>362</v>
      </c>
      <c r="P2473" t="s">
        <v>147</v>
      </c>
      <c r="Q2473">
        <v>18</v>
      </c>
      <c r="R2473" t="s">
        <v>213</v>
      </c>
      <c r="S2473" s="2" t="s">
        <v>7</v>
      </c>
      <c r="T2473">
        <v>4</v>
      </c>
      <c r="U2473">
        <v>8.06</v>
      </c>
      <c r="V2473">
        <v>423</v>
      </c>
      <c r="W2473">
        <v>10</v>
      </c>
      <c r="X2473">
        <v>3.9059999999999997E-2</v>
      </c>
      <c r="Y2473">
        <f>0.04507-X2473</f>
        <v>6.0100000000000015E-3</v>
      </c>
      <c r="AA2473" s="6"/>
      <c r="AB2473" s="6"/>
    </row>
    <row r="2474" spans="1:28" x14ac:dyDescent="0.2">
      <c r="A2474" t="s">
        <v>633</v>
      </c>
      <c r="B2474">
        <v>2017</v>
      </c>
      <c r="C2474" t="s">
        <v>826</v>
      </c>
      <c r="D2474" t="s">
        <v>824</v>
      </c>
      <c r="E2474" t="s">
        <v>48</v>
      </c>
      <c r="F2474" t="s">
        <v>307</v>
      </c>
      <c r="G2474">
        <v>54.183827999999998</v>
      </c>
      <c r="H2474">
        <v>7.8726450000000003</v>
      </c>
      <c r="J2474" s="2" t="s">
        <v>5</v>
      </c>
      <c r="K2474" t="s">
        <v>143</v>
      </c>
      <c r="L2474" t="s">
        <v>143</v>
      </c>
      <c r="M2474" t="s">
        <v>553</v>
      </c>
      <c r="N2474" t="s">
        <v>85</v>
      </c>
      <c r="O2474" s="6" t="s">
        <v>362</v>
      </c>
      <c r="P2474" t="s">
        <v>147</v>
      </c>
      <c r="Q2474">
        <v>18</v>
      </c>
      <c r="R2474" t="s">
        <v>213</v>
      </c>
      <c r="S2474" s="2" t="s">
        <v>9</v>
      </c>
      <c r="T2474">
        <v>4</v>
      </c>
      <c r="U2474">
        <v>7.82</v>
      </c>
      <c r="V2474">
        <v>769</v>
      </c>
      <c r="W2474" t="s">
        <v>28</v>
      </c>
      <c r="X2474">
        <v>4.1090000000000002E-2</v>
      </c>
      <c r="Y2474">
        <f>0.05302-X2474</f>
        <v>1.1929999999999996E-2</v>
      </c>
      <c r="AA2474" s="6"/>
      <c r="AB2474" s="6"/>
    </row>
    <row r="2475" spans="1:28" x14ac:dyDescent="0.2">
      <c r="A2475" t="s">
        <v>633</v>
      </c>
      <c r="B2475">
        <v>2017</v>
      </c>
      <c r="C2475" t="s">
        <v>826</v>
      </c>
      <c r="D2475" t="s">
        <v>824</v>
      </c>
      <c r="E2475" t="s">
        <v>48</v>
      </c>
      <c r="F2475" t="s">
        <v>307</v>
      </c>
      <c r="G2475">
        <v>54.183827999999998</v>
      </c>
      <c r="H2475">
        <v>7.8726450000000003</v>
      </c>
      <c r="J2475" s="2" t="s">
        <v>5</v>
      </c>
      <c r="K2475" t="s">
        <v>143</v>
      </c>
      <c r="L2475" t="s">
        <v>143</v>
      </c>
      <c r="M2475" t="s">
        <v>553</v>
      </c>
      <c r="N2475" t="s">
        <v>85</v>
      </c>
      <c r="O2475" s="6" t="s">
        <v>362</v>
      </c>
      <c r="P2475" t="s">
        <v>147</v>
      </c>
      <c r="Q2475">
        <v>18</v>
      </c>
      <c r="R2475" t="s">
        <v>213</v>
      </c>
      <c r="S2475" s="2" t="s">
        <v>27</v>
      </c>
      <c r="T2475">
        <v>4</v>
      </c>
      <c r="U2475">
        <v>7.56</v>
      </c>
      <c r="V2475">
        <v>1437</v>
      </c>
      <c r="W2475" t="s">
        <v>28</v>
      </c>
      <c r="X2475">
        <v>3.3230000000000003E-2</v>
      </c>
      <c r="Y2475">
        <f>0.03605-X2475</f>
        <v>2.8199999999999961E-3</v>
      </c>
      <c r="AA2475" s="6"/>
      <c r="AB2475" s="6"/>
    </row>
    <row r="2476" spans="1:28" x14ac:dyDescent="0.2">
      <c r="A2476" t="s">
        <v>633</v>
      </c>
      <c r="B2476">
        <v>2017</v>
      </c>
      <c r="C2476" t="s">
        <v>826</v>
      </c>
      <c r="D2476" t="s">
        <v>824</v>
      </c>
      <c r="E2476" t="s">
        <v>48</v>
      </c>
      <c r="F2476" t="s">
        <v>307</v>
      </c>
      <c r="G2476">
        <v>54.183827999999998</v>
      </c>
      <c r="H2476">
        <v>7.8726450000000003</v>
      </c>
      <c r="J2476" s="2" t="s">
        <v>14</v>
      </c>
      <c r="K2476" t="s">
        <v>143</v>
      </c>
      <c r="L2476" t="s">
        <v>143</v>
      </c>
      <c r="M2476" t="s">
        <v>553</v>
      </c>
      <c r="N2476" t="s">
        <v>85</v>
      </c>
      <c r="O2476" s="6" t="s">
        <v>362</v>
      </c>
      <c r="P2476" t="s">
        <v>147</v>
      </c>
      <c r="Q2476">
        <v>18</v>
      </c>
      <c r="R2476" t="s">
        <v>213</v>
      </c>
      <c r="S2476" s="2" t="s">
        <v>13</v>
      </c>
      <c r="T2476">
        <v>4</v>
      </c>
      <c r="U2476" t="s">
        <v>28</v>
      </c>
      <c r="V2476" t="s">
        <v>28</v>
      </c>
      <c r="W2476">
        <v>17</v>
      </c>
      <c r="X2476">
        <v>4.206E-2</v>
      </c>
      <c r="Y2476">
        <f>0.05505-X2476</f>
        <v>1.2990000000000002E-2</v>
      </c>
      <c r="AA2476" s="6"/>
      <c r="AB2476" s="6"/>
    </row>
    <row r="2477" spans="1:28" x14ac:dyDescent="0.2">
      <c r="A2477" t="s">
        <v>633</v>
      </c>
      <c r="B2477">
        <v>2017</v>
      </c>
      <c r="C2477" t="s">
        <v>826</v>
      </c>
      <c r="D2477" t="s">
        <v>824</v>
      </c>
      <c r="E2477" t="s">
        <v>48</v>
      </c>
      <c r="F2477" t="s">
        <v>307</v>
      </c>
      <c r="G2477">
        <v>54.183827999999998</v>
      </c>
      <c r="H2477">
        <v>7.8726450000000003</v>
      </c>
      <c r="J2477" s="2" t="s">
        <v>16</v>
      </c>
      <c r="K2477" t="s">
        <v>143</v>
      </c>
      <c r="L2477" t="s">
        <v>143</v>
      </c>
      <c r="M2477" t="s">
        <v>553</v>
      </c>
      <c r="N2477" t="s">
        <v>85</v>
      </c>
      <c r="O2477" s="6" t="s">
        <v>362</v>
      </c>
      <c r="P2477" t="s">
        <v>147</v>
      </c>
      <c r="Q2477">
        <v>18</v>
      </c>
      <c r="R2477" t="s">
        <v>213</v>
      </c>
      <c r="S2477" t="s">
        <v>15</v>
      </c>
      <c r="T2477">
        <v>4</v>
      </c>
      <c r="U2477">
        <v>7.82</v>
      </c>
      <c r="V2477">
        <v>783</v>
      </c>
      <c r="W2477">
        <v>17</v>
      </c>
      <c r="X2477">
        <v>4.0030000000000003E-2</v>
      </c>
      <c r="Y2477">
        <f>0.05602-X2477</f>
        <v>1.5989999999999997E-2</v>
      </c>
      <c r="AA2477" s="6"/>
      <c r="AB2477" s="6"/>
    </row>
    <row r="2478" spans="1:28" x14ac:dyDescent="0.2">
      <c r="A2478" t="s">
        <v>633</v>
      </c>
      <c r="B2478">
        <v>2017</v>
      </c>
      <c r="C2478" t="s">
        <v>826</v>
      </c>
      <c r="D2478" t="s">
        <v>824</v>
      </c>
      <c r="E2478" t="s">
        <v>48</v>
      </c>
      <c r="F2478" t="s">
        <v>307</v>
      </c>
      <c r="G2478">
        <v>54.183827999999998</v>
      </c>
      <c r="H2478">
        <v>7.8726450000000003</v>
      </c>
      <c r="J2478" s="2" t="s">
        <v>16</v>
      </c>
      <c r="K2478" t="s">
        <v>143</v>
      </c>
      <c r="L2478" t="s">
        <v>143</v>
      </c>
      <c r="M2478" t="s">
        <v>553</v>
      </c>
      <c r="N2478" t="s">
        <v>85</v>
      </c>
      <c r="O2478" s="6" t="s">
        <v>362</v>
      </c>
      <c r="P2478" t="s">
        <v>147</v>
      </c>
      <c r="Q2478">
        <v>18</v>
      </c>
      <c r="R2478" t="s">
        <v>213</v>
      </c>
      <c r="S2478" s="2" t="s">
        <v>37</v>
      </c>
      <c r="T2478">
        <v>4</v>
      </c>
      <c r="U2478">
        <v>7.56</v>
      </c>
      <c r="V2478">
        <v>1505</v>
      </c>
      <c r="W2478">
        <v>17</v>
      </c>
      <c r="X2478">
        <v>3.0040000000000001E-2</v>
      </c>
      <c r="Y2478">
        <f>0.04507-X2478</f>
        <v>1.5029999999999998E-2</v>
      </c>
      <c r="AA2478" s="6"/>
      <c r="AB2478" s="6"/>
    </row>
    <row r="2479" spans="1:28" x14ac:dyDescent="0.2">
      <c r="A2479" t="s">
        <v>633</v>
      </c>
      <c r="B2479">
        <v>2017</v>
      </c>
      <c r="C2479" t="s">
        <v>826</v>
      </c>
      <c r="D2479" t="s">
        <v>824</v>
      </c>
      <c r="E2479" t="s">
        <v>48</v>
      </c>
      <c r="F2479" t="s">
        <v>532</v>
      </c>
      <c r="G2479">
        <v>78.066044000000005</v>
      </c>
      <c r="H2479">
        <v>12.608806</v>
      </c>
      <c r="J2479" s="2" t="s">
        <v>7</v>
      </c>
      <c r="K2479" t="s">
        <v>143</v>
      </c>
      <c r="L2479" t="s">
        <v>143</v>
      </c>
      <c r="M2479" t="s">
        <v>553</v>
      </c>
      <c r="N2479" t="s">
        <v>85</v>
      </c>
      <c r="O2479" s="6" t="s">
        <v>363</v>
      </c>
      <c r="P2479" t="s">
        <v>147</v>
      </c>
      <c r="Q2479">
        <v>18</v>
      </c>
      <c r="R2479" t="s">
        <v>213</v>
      </c>
      <c r="S2479" s="2" t="s">
        <v>7</v>
      </c>
      <c r="T2479">
        <v>4</v>
      </c>
      <c r="U2479">
        <v>8.07</v>
      </c>
      <c r="V2479">
        <v>402</v>
      </c>
      <c r="W2479">
        <v>4</v>
      </c>
      <c r="X2479">
        <v>0.18390000000000001</v>
      </c>
      <c r="Y2479">
        <f>0.2116-X2479</f>
        <v>2.7700000000000002E-2</v>
      </c>
      <c r="AA2479" s="6"/>
      <c r="AB2479" s="6"/>
    </row>
    <row r="2480" spans="1:28" x14ac:dyDescent="0.2">
      <c r="A2480" t="s">
        <v>633</v>
      </c>
      <c r="B2480">
        <v>2017</v>
      </c>
      <c r="C2480" t="s">
        <v>826</v>
      </c>
      <c r="D2480" t="s">
        <v>824</v>
      </c>
      <c r="E2480" t="s">
        <v>48</v>
      </c>
      <c r="F2480" t="s">
        <v>532</v>
      </c>
      <c r="G2480">
        <v>78.066044000000005</v>
      </c>
      <c r="H2480">
        <v>12.608806</v>
      </c>
      <c r="J2480" s="2" t="s">
        <v>5</v>
      </c>
      <c r="K2480" t="s">
        <v>143</v>
      </c>
      <c r="L2480" t="s">
        <v>143</v>
      </c>
      <c r="M2480" t="s">
        <v>553</v>
      </c>
      <c r="N2480" t="s">
        <v>85</v>
      </c>
      <c r="O2480" s="6" t="s">
        <v>363</v>
      </c>
      <c r="P2480" t="s">
        <v>147</v>
      </c>
      <c r="Q2480">
        <v>18</v>
      </c>
      <c r="R2480" t="s">
        <v>213</v>
      </c>
      <c r="S2480" s="2" t="s">
        <v>9</v>
      </c>
      <c r="T2480">
        <v>4</v>
      </c>
      <c r="U2480">
        <v>7.88</v>
      </c>
      <c r="V2480">
        <v>644</v>
      </c>
      <c r="W2480" t="s">
        <v>28</v>
      </c>
      <c r="X2480">
        <v>0.19639999999999999</v>
      </c>
      <c r="Y2480">
        <f>0.2282-X2480</f>
        <v>3.1799999999999995E-2</v>
      </c>
      <c r="AA2480" s="6"/>
      <c r="AB2480" s="6"/>
    </row>
    <row r="2481" spans="1:28" x14ac:dyDescent="0.2">
      <c r="A2481" t="s">
        <v>633</v>
      </c>
      <c r="B2481">
        <v>2017</v>
      </c>
      <c r="C2481" t="s">
        <v>826</v>
      </c>
      <c r="D2481" t="s">
        <v>824</v>
      </c>
      <c r="E2481" t="s">
        <v>48</v>
      </c>
      <c r="F2481" t="s">
        <v>532</v>
      </c>
      <c r="G2481">
        <v>78.066044000000005</v>
      </c>
      <c r="H2481">
        <v>12.608806</v>
      </c>
      <c r="J2481" s="2" t="s">
        <v>5</v>
      </c>
      <c r="K2481" t="s">
        <v>143</v>
      </c>
      <c r="L2481" t="s">
        <v>143</v>
      </c>
      <c r="M2481" t="s">
        <v>553</v>
      </c>
      <c r="N2481" t="s">
        <v>85</v>
      </c>
      <c r="O2481" s="6" t="s">
        <v>363</v>
      </c>
      <c r="P2481" t="s">
        <v>147</v>
      </c>
      <c r="Q2481">
        <v>18</v>
      </c>
      <c r="R2481" t="s">
        <v>213</v>
      </c>
      <c r="S2481" s="2" t="s">
        <v>27</v>
      </c>
      <c r="T2481">
        <v>4</v>
      </c>
      <c r="U2481">
        <v>7.57</v>
      </c>
      <c r="V2481">
        <v>1354</v>
      </c>
      <c r="W2481" t="s">
        <v>28</v>
      </c>
      <c r="X2481">
        <v>0.15870000000000001</v>
      </c>
      <c r="Y2481">
        <f>0.1792-X2481</f>
        <v>2.049999999999999E-2</v>
      </c>
      <c r="AA2481" s="6"/>
      <c r="AB2481" s="6"/>
    </row>
    <row r="2482" spans="1:28" x14ac:dyDescent="0.2">
      <c r="A2482" t="s">
        <v>633</v>
      </c>
      <c r="B2482">
        <v>2017</v>
      </c>
      <c r="C2482" t="s">
        <v>826</v>
      </c>
      <c r="D2482" t="s">
        <v>824</v>
      </c>
      <c r="E2482" t="s">
        <v>48</v>
      </c>
      <c r="F2482" t="s">
        <v>532</v>
      </c>
      <c r="G2482">
        <v>78.066044000000005</v>
      </c>
      <c r="H2482">
        <v>12.608806</v>
      </c>
      <c r="J2482" s="2" t="s">
        <v>14</v>
      </c>
      <c r="K2482" t="s">
        <v>143</v>
      </c>
      <c r="L2482" t="s">
        <v>143</v>
      </c>
      <c r="M2482" t="s">
        <v>553</v>
      </c>
      <c r="N2482" t="s">
        <v>85</v>
      </c>
      <c r="O2482" s="6" t="s">
        <v>363</v>
      </c>
      <c r="P2482" t="s">
        <v>147</v>
      </c>
      <c r="Q2482">
        <v>18</v>
      </c>
      <c r="R2482" t="s">
        <v>213</v>
      </c>
      <c r="S2482" s="2" t="s">
        <v>13</v>
      </c>
      <c r="T2482">
        <v>4</v>
      </c>
      <c r="U2482" t="s">
        <v>28</v>
      </c>
      <c r="V2482" t="s">
        <v>28</v>
      </c>
      <c r="W2482">
        <v>10</v>
      </c>
      <c r="X2482">
        <v>0.20899999999999999</v>
      </c>
      <c r="Y2482">
        <f>0.244-X2482</f>
        <v>3.5000000000000003E-2</v>
      </c>
      <c r="AA2482" s="6"/>
      <c r="AB2482" s="6"/>
    </row>
    <row r="2483" spans="1:28" x14ac:dyDescent="0.2">
      <c r="A2483" t="s">
        <v>633</v>
      </c>
      <c r="B2483">
        <v>2017</v>
      </c>
      <c r="C2483" t="s">
        <v>826</v>
      </c>
      <c r="D2483" t="s">
        <v>824</v>
      </c>
      <c r="E2483" t="s">
        <v>48</v>
      </c>
      <c r="F2483" t="s">
        <v>532</v>
      </c>
      <c r="G2483">
        <v>78.066044000000005</v>
      </c>
      <c r="H2483">
        <v>12.608806</v>
      </c>
      <c r="J2483" s="2" t="s">
        <v>16</v>
      </c>
      <c r="K2483" t="s">
        <v>143</v>
      </c>
      <c r="L2483" t="s">
        <v>143</v>
      </c>
      <c r="M2483" t="s">
        <v>553</v>
      </c>
      <c r="N2483" t="s">
        <v>85</v>
      </c>
      <c r="O2483" s="6" t="s">
        <v>363</v>
      </c>
      <c r="P2483" t="s">
        <v>147</v>
      </c>
      <c r="Q2483">
        <v>18</v>
      </c>
      <c r="R2483" t="s">
        <v>213</v>
      </c>
      <c r="S2483" t="s">
        <v>15</v>
      </c>
      <c r="T2483">
        <v>4</v>
      </c>
      <c r="U2483">
        <v>7.89</v>
      </c>
      <c r="V2483">
        <v>683</v>
      </c>
      <c r="W2483">
        <v>10</v>
      </c>
      <c r="X2483">
        <v>0.17660000000000001</v>
      </c>
      <c r="Y2483">
        <f>0.1997-X2483</f>
        <v>2.3099999999999982E-2</v>
      </c>
      <c r="AA2483" s="6"/>
      <c r="AB2483" s="6"/>
    </row>
    <row r="2484" spans="1:28" x14ac:dyDescent="0.2">
      <c r="A2484" t="s">
        <v>633</v>
      </c>
      <c r="B2484">
        <v>2017</v>
      </c>
      <c r="C2484" t="s">
        <v>826</v>
      </c>
      <c r="D2484" t="s">
        <v>824</v>
      </c>
      <c r="E2484" t="s">
        <v>48</v>
      </c>
      <c r="F2484" t="s">
        <v>532</v>
      </c>
      <c r="G2484">
        <v>78.066044000000005</v>
      </c>
      <c r="H2484">
        <v>12.608806</v>
      </c>
      <c r="J2484" s="2" t="s">
        <v>16</v>
      </c>
      <c r="K2484" t="s">
        <v>143</v>
      </c>
      <c r="L2484" t="s">
        <v>143</v>
      </c>
      <c r="M2484" t="s">
        <v>553</v>
      </c>
      <c r="N2484" t="s">
        <v>85</v>
      </c>
      <c r="O2484" s="6" t="s">
        <v>363</v>
      </c>
      <c r="P2484" t="s">
        <v>147</v>
      </c>
      <c r="Q2484">
        <v>18</v>
      </c>
      <c r="R2484" t="s">
        <v>213</v>
      </c>
      <c r="S2484" s="2" t="s">
        <v>37</v>
      </c>
      <c r="T2484">
        <v>4</v>
      </c>
      <c r="U2484">
        <v>7.58</v>
      </c>
      <c r="V2484">
        <v>1456</v>
      </c>
      <c r="W2484">
        <v>10</v>
      </c>
      <c r="X2484">
        <v>0.1673</v>
      </c>
      <c r="Y2484">
        <f>0.1772-X2484</f>
        <v>9.8999999999999921E-3</v>
      </c>
      <c r="AA2484" s="6"/>
      <c r="AB2484" s="6"/>
    </row>
    <row r="2485" spans="1:28" x14ac:dyDescent="0.2">
      <c r="A2485" t="s">
        <v>633</v>
      </c>
      <c r="B2485">
        <v>2017</v>
      </c>
      <c r="C2485" t="s">
        <v>826</v>
      </c>
      <c r="D2485" t="s">
        <v>824</v>
      </c>
      <c r="E2485" t="s">
        <v>48</v>
      </c>
      <c r="F2485" t="s">
        <v>307</v>
      </c>
      <c r="G2485">
        <v>54.183827999999998</v>
      </c>
      <c r="H2485">
        <v>7.8726450000000003</v>
      </c>
      <c r="J2485" s="2" t="s">
        <v>7</v>
      </c>
      <c r="K2485" t="s">
        <v>143</v>
      </c>
      <c r="L2485" t="s">
        <v>143</v>
      </c>
      <c r="M2485" t="s">
        <v>553</v>
      </c>
      <c r="N2485" t="s">
        <v>85</v>
      </c>
      <c r="O2485" s="6" t="s">
        <v>363</v>
      </c>
      <c r="P2485" t="s">
        <v>147</v>
      </c>
      <c r="Q2485">
        <v>18</v>
      </c>
      <c r="R2485" t="s">
        <v>213</v>
      </c>
      <c r="S2485" s="2" t="s">
        <v>7</v>
      </c>
      <c r="T2485">
        <v>4</v>
      </c>
      <c r="U2485">
        <v>8.06</v>
      </c>
      <c r="V2485">
        <v>423</v>
      </c>
      <c r="W2485">
        <v>10</v>
      </c>
      <c r="X2485">
        <v>0.23280000000000001</v>
      </c>
      <c r="Y2485">
        <f>0.2434-X2485</f>
        <v>1.0599999999999998E-2</v>
      </c>
      <c r="AA2485" s="6"/>
      <c r="AB2485" s="6"/>
    </row>
    <row r="2486" spans="1:28" x14ac:dyDescent="0.2">
      <c r="A2486" t="s">
        <v>633</v>
      </c>
      <c r="B2486">
        <v>2017</v>
      </c>
      <c r="C2486" t="s">
        <v>826</v>
      </c>
      <c r="D2486" t="s">
        <v>824</v>
      </c>
      <c r="E2486" t="s">
        <v>48</v>
      </c>
      <c r="F2486" t="s">
        <v>307</v>
      </c>
      <c r="G2486">
        <v>54.183827999999998</v>
      </c>
      <c r="H2486">
        <v>7.8726450000000003</v>
      </c>
      <c r="J2486" s="2" t="s">
        <v>5</v>
      </c>
      <c r="K2486" t="s">
        <v>143</v>
      </c>
      <c r="L2486" t="s">
        <v>143</v>
      </c>
      <c r="M2486" t="s">
        <v>553</v>
      </c>
      <c r="N2486" t="s">
        <v>85</v>
      </c>
      <c r="O2486" s="6" t="s">
        <v>363</v>
      </c>
      <c r="P2486" t="s">
        <v>147</v>
      </c>
      <c r="Q2486">
        <v>18</v>
      </c>
      <c r="R2486" t="s">
        <v>213</v>
      </c>
      <c r="S2486" s="2" t="s">
        <v>9</v>
      </c>
      <c r="T2486">
        <v>4</v>
      </c>
      <c r="U2486">
        <v>7.82</v>
      </c>
      <c r="V2486">
        <v>769</v>
      </c>
      <c r="W2486" t="s">
        <v>28</v>
      </c>
      <c r="X2486">
        <v>0.21890000000000001</v>
      </c>
      <c r="Y2486">
        <f>0.2421-X2486</f>
        <v>2.3199999999999998E-2</v>
      </c>
      <c r="AA2486" s="6"/>
      <c r="AB2486" s="6"/>
    </row>
    <row r="2487" spans="1:28" x14ac:dyDescent="0.2">
      <c r="A2487" t="s">
        <v>633</v>
      </c>
      <c r="B2487">
        <v>2017</v>
      </c>
      <c r="C2487" t="s">
        <v>826</v>
      </c>
      <c r="D2487" t="s">
        <v>824</v>
      </c>
      <c r="E2487" t="s">
        <v>48</v>
      </c>
      <c r="F2487" t="s">
        <v>307</v>
      </c>
      <c r="G2487">
        <v>54.183827999999998</v>
      </c>
      <c r="H2487">
        <v>7.8726450000000003</v>
      </c>
      <c r="J2487" s="2" t="s">
        <v>5</v>
      </c>
      <c r="K2487" t="s">
        <v>143</v>
      </c>
      <c r="L2487" t="s">
        <v>143</v>
      </c>
      <c r="M2487" t="s">
        <v>553</v>
      </c>
      <c r="N2487" t="s">
        <v>85</v>
      </c>
      <c r="O2487" s="6" t="s">
        <v>363</v>
      </c>
      <c r="P2487" t="s">
        <v>147</v>
      </c>
      <c r="Q2487">
        <v>18</v>
      </c>
      <c r="R2487" t="s">
        <v>213</v>
      </c>
      <c r="S2487" s="2" t="s">
        <v>27</v>
      </c>
      <c r="T2487">
        <v>4</v>
      </c>
      <c r="U2487">
        <v>7.56</v>
      </c>
      <c r="V2487">
        <v>1437</v>
      </c>
      <c r="W2487" t="s">
        <v>28</v>
      </c>
      <c r="X2487">
        <v>0.2044</v>
      </c>
      <c r="Y2487">
        <f>0.2315-X2487</f>
        <v>2.7100000000000013E-2</v>
      </c>
      <c r="AA2487" s="6"/>
      <c r="AB2487" s="6"/>
    </row>
    <row r="2488" spans="1:28" x14ac:dyDescent="0.2">
      <c r="A2488" t="s">
        <v>633</v>
      </c>
      <c r="B2488">
        <v>2017</v>
      </c>
      <c r="C2488" t="s">
        <v>826</v>
      </c>
      <c r="D2488" t="s">
        <v>824</v>
      </c>
      <c r="E2488" t="s">
        <v>48</v>
      </c>
      <c r="F2488" t="s">
        <v>307</v>
      </c>
      <c r="G2488">
        <v>54.183827999999998</v>
      </c>
      <c r="H2488">
        <v>7.8726450000000003</v>
      </c>
      <c r="J2488" s="2" t="s">
        <v>14</v>
      </c>
      <c r="K2488" t="s">
        <v>143</v>
      </c>
      <c r="L2488" t="s">
        <v>143</v>
      </c>
      <c r="M2488" t="s">
        <v>553</v>
      </c>
      <c r="N2488" t="s">
        <v>85</v>
      </c>
      <c r="O2488" s="6" t="s">
        <v>363</v>
      </c>
      <c r="P2488" t="s">
        <v>147</v>
      </c>
      <c r="Q2488">
        <v>18</v>
      </c>
      <c r="R2488" t="s">
        <v>213</v>
      </c>
      <c r="S2488" s="2" t="s">
        <v>13</v>
      </c>
      <c r="T2488">
        <v>4</v>
      </c>
      <c r="U2488" t="s">
        <v>28</v>
      </c>
      <c r="V2488" t="s">
        <v>28</v>
      </c>
      <c r="W2488">
        <v>17</v>
      </c>
      <c r="X2488">
        <v>0.35780000000000001</v>
      </c>
      <c r="Y2488">
        <f>0.4008-X2488</f>
        <v>4.2999999999999983E-2</v>
      </c>
      <c r="AA2488" s="6"/>
      <c r="AB2488" s="6"/>
    </row>
    <row r="2489" spans="1:28" x14ac:dyDescent="0.2">
      <c r="A2489" t="s">
        <v>633</v>
      </c>
      <c r="B2489">
        <v>2017</v>
      </c>
      <c r="C2489" t="s">
        <v>826</v>
      </c>
      <c r="D2489" t="s">
        <v>824</v>
      </c>
      <c r="E2489" t="s">
        <v>48</v>
      </c>
      <c r="F2489" t="s">
        <v>307</v>
      </c>
      <c r="G2489">
        <v>54.183827999999998</v>
      </c>
      <c r="H2489">
        <v>7.8726450000000003</v>
      </c>
      <c r="J2489" s="2" t="s">
        <v>16</v>
      </c>
      <c r="K2489" t="s">
        <v>143</v>
      </c>
      <c r="L2489" t="s">
        <v>143</v>
      </c>
      <c r="M2489" t="s">
        <v>553</v>
      </c>
      <c r="N2489" t="s">
        <v>85</v>
      </c>
      <c r="O2489" s="6" t="s">
        <v>363</v>
      </c>
      <c r="P2489" t="s">
        <v>147</v>
      </c>
      <c r="Q2489">
        <v>18</v>
      </c>
      <c r="R2489" t="s">
        <v>213</v>
      </c>
      <c r="S2489" t="s">
        <v>15</v>
      </c>
      <c r="T2489">
        <v>4</v>
      </c>
      <c r="U2489">
        <v>7.82</v>
      </c>
      <c r="V2489">
        <v>783</v>
      </c>
      <c r="W2489">
        <v>17</v>
      </c>
      <c r="X2489">
        <v>0.34460000000000002</v>
      </c>
      <c r="Y2489">
        <f>0.375-X2489</f>
        <v>3.0399999999999983E-2</v>
      </c>
      <c r="AA2489" s="6"/>
      <c r="AB2489" s="6"/>
    </row>
    <row r="2490" spans="1:28" x14ac:dyDescent="0.2">
      <c r="A2490" t="s">
        <v>633</v>
      </c>
      <c r="B2490">
        <v>2017</v>
      </c>
      <c r="C2490" t="s">
        <v>826</v>
      </c>
      <c r="D2490" t="s">
        <v>824</v>
      </c>
      <c r="E2490" t="s">
        <v>48</v>
      </c>
      <c r="F2490" t="s">
        <v>307</v>
      </c>
      <c r="G2490">
        <v>54.183827999999998</v>
      </c>
      <c r="H2490">
        <v>7.8726450000000003</v>
      </c>
      <c r="J2490" s="2" t="s">
        <v>16</v>
      </c>
      <c r="K2490" t="s">
        <v>143</v>
      </c>
      <c r="L2490" t="s">
        <v>143</v>
      </c>
      <c r="M2490" t="s">
        <v>553</v>
      </c>
      <c r="N2490" t="s">
        <v>85</v>
      </c>
      <c r="O2490" s="6" t="s">
        <v>363</v>
      </c>
      <c r="P2490" t="s">
        <v>147</v>
      </c>
      <c r="Q2490">
        <v>18</v>
      </c>
      <c r="R2490" t="s">
        <v>213</v>
      </c>
      <c r="S2490" s="2" t="s">
        <v>37</v>
      </c>
      <c r="T2490">
        <v>4</v>
      </c>
      <c r="U2490">
        <v>7.56</v>
      </c>
      <c r="V2490">
        <v>1505</v>
      </c>
      <c r="W2490">
        <v>17</v>
      </c>
      <c r="X2490">
        <v>0.29499999999999998</v>
      </c>
      <c r="Y2490">
        <f>0.3148-X2490</f>
        <v>1.980000000000004E-2</v>
      </c>
      <c r="AA2490" s="6"/>
      <c r="AB2490" s="6"/>
    </row>
    <row r="2491" spans="1:28" x14ac:dyDescent="0.2">
      <c r="A2491" t="s">
        <v>633</v>
      </c>
      <c r="B2491">
        <v>2017</v>
      </c>
      <c r="C2491" t="s">
        <v>826</v>
      </c>
      <c r="D2491" t="s">
        <v>824</v>
      </c>
      <c r="E2491" t="s">
        <v>48</v>
      </c>
      <c r="F2491" t="s">
        <v>532</v>
      </c>
      <c r="G2491">
        <v>78.066044000000005</v>
      </c>
      <c r="H2491">
        <v>12.608806</v>
      </c>
      <c r="J2491" s="2" t="s">
        <v>7</v>
      </c>
      <c r="K2491" t="s">
        <v>143</v>
      </c>
      <c r="L2491" t="s">
        <v>143</v>
      </c>
      <c r="M2491" t="s">
        <v>553</v>
      </c>
      <c r="N2491" t="s">
        <v>85</v>
      </c>
      <c r="O2491" s="6" t="s">
        <v>364</v>
      </c>
      <c r="P2491" t="s">
        <v>28</v>
      </c>
      <c r="Q2491">
        <v>18</v>
      </c>
      <c r="R2491" t="s">
        <v>213</v>
      </c>
      <c r="S2491" s="2" t="s">
        <v>7</v>
      </c>
      <c r="T2491">
        <v>4</v>
      </c>
      <c r="U2491">
        <v>8.07</v>
      </c>
      <c r="V2491">
        <v>402</v>
      </c>
      <c r="W2491">
        <v>4</v>
      </c>
      <c r="X2491">
        <v>0.31159999999999999</v>
      </c>
      <c r="Y2491">
        <f>0.3258-X2491</f>
        <v>1.419999999999999E-2</v>
      </c>
      <c r="AA2491" s="6"/>
      <c r="AB2491" s="6"/>
    </row>
    <row r="2492" spans="1:28" x14ac:dyDescent="0.2">
      <c r="A2492" t="s">
        <v>633</v>
      </c>
      <c r="B2492">
        <v>2017</v>
      </c>
      <c r="C2492" t="s">
        <v>826</v>
      </c>
      <c r="D2492" t="s">
        <v>824</v>
      </c>
      <c r="E2492" t="s">
        <v>48</v>
      </c>
      <c r="F2492" t="s">
        <v>532</v>
      </c>
      <c r="G2492">
        <v>78.066044000000005</v>
      </c>
      <c r="H2492">
        <v>12.608806</v>
      </c>
      <c r="J2492" s="2" t="s">
        <v>5</v>
      </c>
      <c r="K2492" t="s">
        <v>143</v>
      </c>
      <c r="L2492" t="s">
        <v>143</v>
      </c>
      <c r="M2492" t="s">
        <v>553</v>
      </c>
      <c r="N2492" t="s">
        <v>85</v>
      </c>
      <c r="O2492" s="6" t="s">
        <v>364</v>
      </c>
      <c r="P2492" t="s">
        <v>28</v>
      </c>
      <c r="Q2492">
        <v>18</v>
      </c>
      <c r="R2492" t="s">
        <v>213</v>
      </c>
      <c r="S2492" s="2" t="s">
        <v>9</v>
      </c>
      <c r="T2492">
        <v>4</v>
      </c>
      <c r="U2492">
        <v>7.88</v>
      </c>
      <c r="V2492">
        <v>644</v>
      </c>
      <c r="W2492" t="s">
        <v>28</v>
      </c>
      <c r="X2492">
        <v>0.31740000000000002</v>
      </c>
      <c r="Y2492">
        <f>0.3668-X2492</f>
        <v>4.9399999999999999E-2</v>
      </c>
      <c r="AA2492" s="6"/>
      <c r="AB2492" s="6"/>
    </row>
    <row r="2493" spans="1:28" x14ac:dyDescent="0.2">
      <c r="A2493" t="s">
        <v>633</v>
      </c>
      <c r="B2493">
        <v>2017</v>
      </c>
      <c r="C2493" t="s">
        <v>826</v>
      </c>
      <c r="D2493" t="s">
        <v>824</v>
      </c>
      <c r="E2493" t="s">
        <v>48</v>
      </c>
      <c r="F2493" t="s">
        <v>532</v>
      </c>
      <c r="G2493">
        <v>78.066044000000005</v>
      </c>
      <c r="H2493">
        <v>12.608806</v>
      </c>
      <c r="J2493" s="2" t="s">
        <v>5</v>
      </c>
      <c r="K2493" t="s">
        <v>143</v>
      </c>
      <c r="L2493" t="s">
        <v>143</v>
      </c>
      <c r="M2493" t="s">
        <v>553</v>
      </c>
      <c r="N2493" t="s">
        <v>85</v>
      </c>
      <c r="O2493" s="6" t="s">
        <v>364</v>
      </c>
      <c r="P2493" t="s">
        <v>28</v>
      </c>
      <c r="Q2493">
        <v>18</v>
      </c>
      <c r="R2493" t="s">
        <v>213</v>
      </c>
      <c r="S2493" s="2" t="s">
        <v>27</v>
      </c>
      <c r="T2493">
        <v>4</v>
      </c>
      <c r="U2493">
        <v>7.57</v>
      </c>
      <c r="V2493">
        <v>1354</v>
      </c>
      <c r="W2493" t="s">
        <v>28</v>
      </c>
      <c r="X2493">
        <v>0.29580000000000001</v>
      </c>
      <c r="Y2493">
        <f>0.3268-X2493</f>
        <v>3.0999999999999972E-2</v>
      </c>
      <c r="AA2493" s="6"/>
      <c r="AB2493" s="6"/>
    </row>
    <row r="2494" spans="1:28" x14ac:dyDescent="0.2">
      <c r="A2494" t="s">
        <v>633</v>
      </c>
      <c r="B2494">
        <v>2017</v>
      </c>
      <c r="C2494" t="s">
        <v>826</v>
      </c>
      <c r="D2494" t="s">
        <v>824</v>
      </c>
      <c r="E2494" t="s">
        <v>48</v>
      </c>
      <c r="F2494" t="s">
        <v>532</v>
      </c>
      <c r="G2494">
        <v>78.066044000000005</v>
      </c>
      <c r="H2494">
        <v>12.608806</v>
      </c>
      <c r="J2494" s="2" t="s">
        <v>14</v>
      </c>
      <c r="K2494" t="s">
        <v>143</v>
      </c>
      <c r="L2494" t="s">
        <v>143</v>
      </c>
      <c r="M2494" t="s">
        <v>553</v>
      </c>
      <c r="N2494" t="s">
        <v>85</v>
      </c>
      <c r="O2494" s="6" t="s">
        <v>364</v>
      </c>
      <c r="P2494" t="s">
        <v>28</v>
      </c>
      <c r="Q2494">
        <v>18</v>
      </c>
      <c r="R2494" t="s">
        <v>213</v>
      </c>
      <c r="S2494" s="2" t="s">
        <v>13</v>
      </c>
      <c r="T2494">
        <v>4</v>
      </c>
      <c r="U2494" t="s">
        <v>28</v>
      </c>
      <c r="V2494" t="s">
        <v>28</v>
      </c>
      <c r="W2494">
        <v>10</v>
      </c>
      <c r="X2494">
        <v>0.22470000000000001</v>
      </c>
      <c r="Y2494">
        <f>0.2547-X2494</f>
        <v>2.9999999999999971E-2</v>
      </c>
      <c r="AA2494" s="6"/>
      <c r="AB2494" s="6"/>
    </row>
    <row r="2495" spans="1:28" x14ac:dyDescent="0.2">
      <c r="A2495" t="s">
        <v>633</v>
      </c>
      <c r="B2495">
        <v>2017</v>
      </c>
      <c r="C2495" t="s">
        <v>826</v>
      </c>
      <c r="D2495" t="s">
        <v>824</v>
      </c>
      <c r="E2495" t="s">
        <v>48</v>
      </c>
      <c r="F2495" t="s">
        <v>532</v>
      </c>
      <c r="G2495">
        <v>78.066044000000005</v>
      </c>
      <c r="H2495">
        <v>12.608806</v>
      </c>
      <c r="J2495" s="2" t="s">
        <v>16</v>
      </c>
      <c r="K2495" t="s">
        <v>143</v>
      </c>
      <c r="L2495" t="s">
        <v>143</v>
      </c>
      <c r="M2495" t="s">
        <v>553</v>
      </c>
      <c r="N2495" t="s">
        <v>85</v>
      </c>
      <c r="O2495" s="6" t="s">
        <v>364</v>
      </c>
      <c r="P2495" t="s">
        <v>28</v>
      </c>
      <c r="Q2495">
        <v>18</v>
      </c>
      <c r="R2495" t="s">
        <v>213</v>
      </c>
      <c r="S2495" t="s">
        <v>15</v>
      </c>
      <c r="T2495">
        <v>4</v>
      </c>
      <c r="U2495">
        <v>7.89</v>
      </c>
      <c r="V2495">
        <v>683</v>
      </c>
      <c r="W2495">
        <v>10</v>
      </c>
      <c r="X2495">
        <v>0.23530000000000001</v>
      </c>
      <c r="Y2495">
        <f>0.2689-X2495</f>
        <v>3.3599999999999963E-2</v>
      </c>
      <c r="AA2495" s="6"/>
      <c r="AB2495" s="6"/>
    </row>
    <row r="2496" spans="1:28" x14ac:dyDescent="0.2">
      <c r="A2496" t="s">
        <v>633</v>
      </c>
      <c r="B2496">
        <v>2017</v>
      </c>
      <c r="C2496" t="s">
        <v>826</v>
      </c>
      <c r="D2496" t="s">
        <v>824</v>
      </c>
      <c r="E2496" t="s">
        <v>48</v>
      </c>
      <c r="F2496" t="s">
        <v>532</v>
      </c>
      <c r="G2496">
        <v>78.066044000000005</v>
      </c>
      <c r="H2496">
        <v>12.608806</v>
      </c>
      <c r="J2496" s="2" t="s">
        <v>16</v>
      </c>
      <c r="K2496" t="s">
        <v>143</v>
      </c>
      <c r="L2496" t="s">
        <v>143</v>
      </c>
      <c r="M2496" t="s">
        <v>553</v>
      </c>
      <c r="N2496" t="s">
        <v>85</v>
      </c>
      <c r="O2496" s="6" t="s">
        <v>364</v>
      </c>
      <c r="P2496" t="s">
        <v>28</v>
      </c>
      <c r="Q2496">
        <v>18</v>
      </c>
      <c r="R2496" t="s">
        <v>213</v>
      </c>
      <c r="S2496" s="2" t="s">
        <v>37</v>
      </c>
      <c r="T2496">
        <v>4</v>
      </c>
      <c r="U2496">
        <v>7.58</v>
      </c>
      <c r="V2496">
        <v>1456</v>
      </c>
      <c r="W2496">
        <v>10</v>
      </c>
      <c r="X2496">
        <v>0.19109999999999999</v>
      </c>
      <c r="Y2496">
        <f>0.2389-X2496</f>
        <v>4.7800000000000009E-2</v>
      </c>
      <c r="AA2496" s="6"/>
      <c r="AB2496" s="6"/>
    </row>
    <row r="2497" spans="1:28" x14ac:dyDescent="0.2">
      <c r="A2497" t="s">
        <v>633</v>
      </c>
      <c r="B2497">
        <v>2017</v>
      </c>
      <c r="C2497" t="s">
        <v>826</v>
      </c>
      <c r="D2497" t="s">
        <v>824</v>
      </c>
      <c r="E2497" t="s">
        <v>48</v>
      </c>
      <c r="F2497" t="s">
        <v>307</v>
      </c>
      <c r="G2497">
        <v>54.183827999999998</v>
      </c>
      <c r="H2497">
        <v>7.8726450000000003</v>
      </c>
      <c r="J2497" s="2" t="s">
        <v>7</v>
      </c>
      <c r="K2497" t="s">
        <v>143</v>
      </c>
      <c r="L2497" t="s">
        <v>143</v>
      </c>
      <c r="M2497" t="s">
        <v>553</v>
      </c>
      <c r="N2497" t="s">
        <v>85</v>
      </c>
      <c r="O2497" s="6" t="s">
        <v>364</v>
      </c>
      <c r="P2497" t="s">
        <v>28</v>
      </c>
      <c r="Q2497">
        <v>18</v>
      </c>
      <c r="R2497" t="s">
        <v>213</v>
      </c>
      <c r="S2497" s="2" t="s">
        <v>7</v>
      </c>
      <c r="T2497">
        <v>4</v>
      </c>
      <c r="U2497">
        <v>8.06</v>
      </c>
      <c r="V2497">
        <v>423</v>
      </c>
      <c r="W2497">
        <v>10</v>
      </c>
      <c r="X2497">
        <v>0.21629999999999999</v>
      </c>
      <c r="Y2497">
        <f>0.2626-X2497</f>
        <v>4.6300000000000008E-2</v>
      </c>
      <c r="AA2497" s="6"/>
      <c r="AB2497" s="6"/>
    </row>
    <row r="2498" spans="1:28" x14ac:dyDescent="0.2">
      <c r="A2498" t="s">
        <v>633</v>
      </c>
      <c r="B2498">
        <v>2017</v>
      </c>
      <c r="C2498" t="s">
        <v>826</v>
      </c>
      <c r="D2498" t="s">
        <v>824</v>
      </c>
      <c r="E2498" t="s">
        <v>48</v>
      </c>
      <c r="F2498" t="s">
        <v>307</v>
      </c>
      <c r="G2498">
        <v>54.183827999999998</v>
      </c>
      <c r="H2498">
        <v>7.8726450000000003</v>
      </c>
      <c r="J2498" s="2" t="s">
        <v>5</v>
      </c>
      <c r="K2498" t="s">
        <v>143</v>
      </c>
      <c r="L2498" t="s">
        <v>143</v>
      </c>
      <c r="M2498" t="s">
        <v>553</v>
      </c>
      <c r="N2498" t="s">
        <v>85</v>
      </c>
      <c r="O2498" s="6" t="s">
        <v>364</v>
      </c>
      <c r="P2498" t="s">
        <v>28</v>
      </c>
      <c r="Q2498">
        <v>18</v>
      </c>
      <c r="R2498" t="s">
        <v>213</v>
      </c>
      <c r="S2498" s="2" t="s">
        <v>9</v>
      </c>
      <c r="T2498">
        <v>4</v>
      </c>
      <c r="U2498">
        <v>7.82</v>
      </c>
      <c r="V2498">
        <v>769</v>
      </c>
      <c r="W2498" t="s">
        <v>28</v>
      </c>
      <c r="X2498">
        <v>0.2142</v>
      </c>
      <c r="Y2498">
        <f>0.2968-X2498</f>
        <v>8.2600000000000007E-2</v>
      </c>
      <c r="AA2498" s="6"/>
      <c r="AB2498" s="6"/>
    </row>
    <row r="2499" spans="1:28" x14ac:dyDescent="0.2">
      <c r="A2499" t="s">
        <v>633</v>
      </c>
      <c r="B2499">
        <v>2017</v>
      </c>
      <c r="C2499" t="s">
        <v>826</v>
      </c>
      <c r="D2499" t="s">
        <v>824</v>
      </c>
      <c r="E2499" t="s">
        <v>48</v>
      </c>
      <c r="F2499" t="s">
        <v>307</v>
      </c>
      <c r="G2499">
        <v>54.183827999999998</v>
      </c>
      <c r="H2499">
        <v>7.8726450000000003</v>
      </c>
      <c r="J2499" s="2" t="s">
        <v>5</v>
      </c>
      <c r="K2499" t="s">
        <v>143</v>
      </c>
      <c r="L2499" t="s">
        <v>143</v>
      </c>
      <c r="M2499" t="s">
        <v>553</v>
      </c>
      <c r="N2499" t="s">
        <v>85</v>
      </c>
      <c r="O2499" s="6" t="s">
        <v>364</v>
      </c>
      <c r="P2499" t="s">
        <v>28</v>
      </c>
      <c r="Q2499">
        <v>18</v>
      </c>
      <c r="R2499" t="s">
        <v>213</v>
      </c>
      <c r="S2499" s="2" t="s">
        <v>27</v>
      </c>
      <c r="T2499">
        <v>4</v>
      </c>
      <c r="U2499">
        <v>7.56</v>
      </c>
      <c r="V2499">
        <v>1437</v>
      </c>
      <c r="W2499" t="s">
        <v>28</v>
      </c>
      <c r="X2499">
        <v>0.18110000000000001</v>
      </c>
      <c r="Y2499">
        <f>0.2237-X2499</f>
        <v>4.2599999999999999E-2</v>
      </c>
      <c r="AA2499" s="6"/>
      <c r="AB2499" s="6"/>
    </row>
    <row r="2500" spans="1:28" x14ac:dyDescent="0.2">
      <c r="A2500" t="s">
        <v>633</v>
      </c>
      <c r="B2500">
        <v>2017</v>
      </c>
      <c r="C2500" t="s">
        <v>826</v>
      </c>
      <c r="D2500" t="s">
        <v>824</v>
      </c>
      <c r="E2500" t="s">
        <v>48</v>
      </c>
      <c r="F2500" t="s">
        <v>307</v>
      </c>
      <c r="G2500">
        <v>54.183827999999998</v>
      </c>
      <c r="H2500">
        <v>7.8726450000000003</v>
      </c>
      <c r="J2500" s="2" t="s">
        <v>14</v>
      </c>
      <c r="K2500" t="s">
        <v>143</v>
      </c>
      <c r="L2500" t="s">
        <v>143</v>
      </c>
      <c r="M2500" t="s">
        <v>553</v>
      </c>
      <c r="N2500" t="s">
        <v>85</v>
      </c>
      <c r="O2500" s="6" t="s">
        <v>364</v>
      </c>
      <c r="P2500" t="s">
        <v>28</v>
      </c>
      <c r="Q2500">
        <v>18</v>
      </c>
      <c r="R2500" t="s">
        <v>213</v>
      </c>
      <c r="S2500" s="2" t="s">
        <v>13</v>
      </c>
      <c r="T2500">
        <v>4</v>
      </c>
      <c r="U2500" t="s">
        <v>28</v>
      </c>
      <c r="V2500" t="s">
        <v>28</v>
      </c>
      <c r="W2500">
        <v>17</v>
      </c>
      <c r="X2500">
        <v>9.7900000000000001E-2</v>
      </c>
      <c r="Y2500">
        <f>0.1274-X2500</f>
        <v>2.9500000000000012E-2</v>
      </c>
      <c r="AA2500" s="6"/>
      <c r="AB2500" s="6"/>
    </row>
    <row r="2501" spans="1:28" x14ac:dyDescent="0.2">
      <c r="A2501" t="s">
        <v>633</v>
      </c>
      <c r="B2501">
        <v>2017</v>
      </c>
      <c r="C2501" t="s">
        <v>826</v>
      </c>
      <c r="D2501" t="s">
        <v>824</v>
      </c>
      <c r="E2501" t="s">
        <v>48</v>
      </c>
      <c r="F2501" t="s">
        <v>307</v>
      </c>
      <c r="G2501">
        <v>54.183827999999998</v>
      </c>
      <c r="H2501">
        <v>7.8726450000000003</v>
      </c>
      <c r="J2501" s="2" t="s">
        <v>16</v>
      </c>
      <c r="K2501" t="s">
        <v>143</v>
      </c>
      <c r="L2501" t="s">
        <v>143</v>
      </c>
      <c r="M2501" t="s">
        <v>553</v>
      </c>
      <c r="N2501" t="s">
        <v>85</v>
      </c>
      <c r="O2501" s="6" t="s">
        <v>364</v>
      </c>
      <c r="P2501" t="s">
        <v>28</v>
      </c>
      <c r="Q2501">
        <v>18</v>
      </c>
      <c r="R2501" t="s">
        <v>213</v>
      </c>
      <c r="S2501" t="s">
        <v>15</v>
      </c>
      <c r="T2501">
        <v>4</v>
      </c>
      <c r="U2501">
        <v>7.82</v>
      </c>
      <c r="V2501">
        <v>783</v>
      </c>
      <c r="W2501">
        <v>17</v>
      </c>
      <c r="X2501">
        <v>9.7900000000000001E-2</v>
      </c>
      <c r="Y2501">
        <f>0.1374-X2501</f>
        <v>3.9499999999999993E-2</v>
      </c>
      <c r="AA2501" s="6"/>
      <c r="AB2501" s="6"/>
    </row>
    <row r="2502" spans="1:28" x14ac:dyDescent="0.2">
      <c r="A2502" t="s">
        <v>633</v>
      </c>
      <c r="B2502">
        <v>2017</v>
      </c>
      <c r="C2502" t="s">
        <v>826</v>
      </c>
      <c r="D2502" t="s">
        <v>824</v>
      </c>
      <c r="E2502" t="s">
        <v>48</v>
      </c>
      <c r="F2502" t="s">
        <v>307</v>
      </c>
      <c r="G2502">
        <v>54.183827999999998</v>
      </c>
      <c r="H2502">
        <v>7.8726450000000003</v>
      </c>
      <c r="J2502" s="2" t="s">
        <v>16</v>
      </c>
      <c r="K2502" t="s">
        <v>143</v>
      </c>
      <c r="L2502" t="s">
        <v>143</v>
      </c>
      <c r="M2502" t="s">
        <v>553</v>
      </c>
      <c r="N2502" t="s">
        <v>85</v>
      </c>
      <c r="O2502" s="6" t="s">
        <v>364</v>
      </c>
      <c r="P2502" t="s">
        <v>28</v>
      </c>
      <c r="Q2502">
        <v>18</v>
      </c>
      <c r="R2502" t="s">
        <v>213</v>
      </c>
      <c r="S2502" s="2" t="s">
        <v>37</v>
      </c>
      <c r="T2502">
        <v>4</v>
      </c>
      <c r="U2502">
        <v>7.56</v>
      </c>
      <c r="V2502">
        <v>1505</v>
      </c>
      <c r="W2502">
        <v>17</v>
      </c>
      <c r="X2502">
        <v>8.4199999999999997E-2</v>
      </c>
      <c r="Y2502">
        <f>0.1332-X2502</f>
        <v>4.9000000000000016E-2</v>
      </c>
      <c r="AA2502" s="6"/>
      <c r="AB2502" s="6"/>
    </row>
    <row r="2503" spans="1:28" x14ac:dyDescent="0.2">
      <c r="A2503" t="s">
        <v>633</v>
      </c>
      <c r="B2503">
        <v>2017</v>
      </c>
      <c r="C2503" t="s">
        <v>826</v>
      </c>
      <c r="D2503" t="s">
        <v>824</v>
      </c>
      <c r="E2503" t="s">
        <v>48</v>
      </c>
      <c r="F2503" t="s">
        <v>532</v>
      </c>
      <c r="G2503">
        <v>78.066044000000005</v>
      </c>
      <c r="H2503">
        <v>12.608806</v>
      </c>
      <c r="J2503" s="2" t="s">
        <v>7</v>
      </c>
      <c r="K2503" t="s">
        <v>143</v>
      </c>
      <c r="L2503" t="s">
        <v>143</v>
      </c>
      <c r="M2503" t="s">
        <v>553</v>
      </c>
      <c r="N2503" t="s">
        <v>85</v>
      </c>
      <c r="O2503" s="6" t="s">
        <v>365</v>
      </c>
      <c r="P2503" t="s">
        <v>349</v>
      </c>
      <c r="Q2503">
        <v>18</v>
      </c>
      <c r="R2503" t="s">
        <v>213</v>
      </c>
      <c r="S2503" s="2" t="s">
        <v>7</v>
      </c>
      <c r="T2503">
        <v>4</v>
      </c>
      <c r="U2503">
        <v>8.07</v>
      </c>
      <c r="V2503">
        <v>402</v>
      </c>
      <c r="W2503">
        <v>4</v>
      </c>
      <c r="X2503">
        <v>4.4900000000000002E-2</v>
      </c>
      <c r="Y2503">
        <f>0.04909-X2503</f>
        <v>4.1899999999999993E-3</v>
      </c>
      <c r="AA2503" s="6"/>
      <c r="AB2503" s="6"/>
    </row>
    <row r="2504" spans="1:28" x14ac:dyDescent="0.2">
      <c r="A2504" t="s">
        <v>633</v>
      </c>
      <c r="B2504">
        <v>2017</v>
      </c>
      <c r="C2504" t="s">
        <v>826</v>
      </c>
      <c r="D2504" t="s">
        <v>824</v>
      </c>
      <c r="E2504" t="s">
        <v>48</v>
      </c>
      <c r="F2504" t="s">
        <v>532</v>
      </c>
      <c r="G2504">
        <v>78.066044000000005</v>
      </c>
      <c r="H2504">
        <v>12.608806</v>
      </c>
      <c r="J2504" s="2" t="s">
        <v>5</v>
      </c>
      <c r="K2504" t="s">
        <v>143</v>
      </c>
      <c r="L2504" t="s">
        <v>143</v>
      </c>
      <c r="M2504" t="s">
        <v>553</v>
      </c>
      <c r="N2504" t="s">
        <v>85</v>
      </c>
      <c r="O2504" s="6" t="s">
        <v>365</v>
      </c>
      <c r="P2504" t="s">
        <v>349</v>
      </c>
      <c r="Q2504">
        <v>18</v>
      </c>
      <c r="R2504" t="s">
        <v>213</v>
      </c>
      <c r="S2504" s="2" t="s">
        <v>9</v>
      </c>
      <c r="T2504">
        <v>4</v>
      </c>
      <c r="U2504">
        <v>7.88</v>
      </c>
      <c r="V2504">
        <v>644</v>
      </c>
      <c r="W2504" t="s">
        <v>28</v>
      </c>
      <c r="X2504">
        <v>4.6989999999999997E-2</v>
      </c>
      <c r="Y2504">
        <f>0.04895-X2504</f>
        <v>1.9600000000000034E-3</v>
      </c>
      <c r="AA2504" s="6"/>
      <c r="AB2504" s="6"/>
    </row>
    <row r="2505" spans="1:28" x14ac:dyDescent="0.2">
      <c r="A2505" t="s">
        <v>633</v>
      </c>
      <c r="B2505">
        <v>2017</v>
      </c>
      <c r="C2505" t="s">
        <v>826</v>
      </c>
      <c r="D2505" t="s">
        <v>824</v>
      </c>
      <c r="E2505" t="s">
        <v>48</v>
      </c>
      <c r="F2505" t="s">
        <v>532</v>
      </c>
      <c r="G2505">
        <v>78.066044000000005</v>
      </c>
      <c r="H2505">
        <v>12.608806</v>
      </c>
      <c r="J2505" s="2" t="s">
        <v>5</v>
      </c>
      <c r="K2505" t="s">
        <v>143</v>
      </c>
      <c r="L2505" t="s">
        <v>143</v>
      </c>
      <c r="M2505" t="s">
        <v>553</v>
      </c>
      <c r="N2505" t="s">
        <v>85</v>
      </c>
      <c r="O2505" s="6" t="s">
        <v>365</v>
      </c>
      <c r="P2505" t="s">
        <v>349</v>
      </c>
      <c r="Q2505">
        <v>18</v>
      </c>
      <c r="R2505" t="s">
        <v>213</v>
      </c>
      <c r="S2505" s="2" t="s">
        <v>27</v>
      </c>
      <c r="T2505">
        <v>4</v>
      </c>
      <c r="U2505">
        <v>7.57</v>
      </c>
      <c r="V2505">
        <v>1354</v>
      </c>
      <c r="W2505" t="s">
        <v>28</v>
      </c>
      <c r="X2505">
        <v>4.5030000000000001E-2</v>
      </c>
      <c r="Y2505">
        <f>0.05119-X2505</f>
        <v>6.1599999999999988E-3</v>
      </c>
      <c r="AA2505" s="6"/>
      <c r="AB2505" s="6"/>
    </row>
    <row r="2506" spans="1:28" x14ac:dyDescent="0.2">
      <c r="A2506" t="s">
        <v>633</v>
      </c>
      <c r="B2506">
        <v>2017</v>
      </c>
      <c r="C2506" t="s">
        <v>826</v>
      </c>
      <c r="D2506" t="s">
        <v>824</v>
      </c>
      <c r="E2506" t="s">
        <v>48</v>
      </c>
      <c r="F2506" t="s">
        <v>532</v>
      </c>
      <c r="G2506">
        <v>78.066044000000005</v>
      </c>
      <c r="H2506">
        <v>12.608806</v>
      </c>
      <c r="J2506" s="2" t="s">
        <v>14</v>
      </c>
      <c r="K2506" t="s">
        <v>143</v>
      </c>
      <c r="L2506" t="s">
        <v>143</v>
      </c>
      <c r="M2506" t="s">
        <v>553</v>
      </c>
      <c r="N2506" t="s">
        <v>85</v>
      </c>
      <c r="O2506" s="6" t="s">
        <v>365</v>
      </c>
      <c r="P2506" t="s">
        <v>349</v>
      </c>
      <c r="Q2506">
        <v>18</v>
      </c>
      <c r="R2506" t="s">
        <v>213</v>
      </c>
      <c r="S2506" s="2" t="s">
        <v>13</v>
      </c>
      <c r="T2506">
        <v>4</v>
      </c>
      <c r="U2506" t="s">
        <v>28</v>
      </c>
      <c r="V2506" t="s">
        <v>28</v>
      </c>
      <c r="W2506">
        <v>10</v>
      </c>
      <c r="X2506">
        <v>5.203E-2</v>
      </c>
      <c r="Y2506">
        <f>0.05538-X2506</f>
        <v>3.3499999999999988E-3</v>
      </c>
      <c r="AA2506" s="6"/>
      <c r="AB2506" s="6"/>
    </row>
    <row r="2507" spans="1:28" x14ac:dyDescent="0.2">
      <c r="A2507" t="s">
        <v>633</v>
      </c>
      <c r="B2507">
        <v>2017</v>
      </c>
      <c r="C2507" t="s">
        <v>826</v>
      </c>
      <c r="D2507" t="s">
        <v>824</v>
      </c>
      <c r="E2507" t="s">
        <v>48</v>
      </c>
      <c r="F2507" t="s">
        <v>532</v>
      </c>
      <c r="G2507">
        <v>78.066044000000005</v>
      </c>
      <c r="H2507">
        <v>12.608806</v>
      </c>
      <c r="J2507" s="2" t="s">
        <v>16</v>
      </c>
      <c r="K2507" t="s">
        <v>143</v>
      </c>
      <c r="L2507" t="s">
        <v>143</v>
      </c>
      <c r="M2507" t="s">
        <v>553</v>
      </c>
      <c r="N2507" t="s">
        <v>85</v>
      </c>
      <c r="O2507" s="6" t="s">
        <v>365</v>
      </c>
      <c r="P2507" t="s">
        <v>349</v>
      </c>
      <c r="Q2507">
        <v>18</v>
      </c>
      <c r="R2507" t="s">
        <v>213</v>
      </c>
      <c r="S2507" t="s">
        <v>15</v>
      </c>
      <c r="T2507">
        <v>4</v>
      </c>
      <c r="U2507">
        <v>7.89</v>
      </c>
      <c r="V2507">
        <v>683</v>
      </c>
      <c r="W2507">
        <v>10</v>
      </c>
      <c r="X2507">
        <v>5.1049999999999998E-2</v>
      </c>
      <c r="Y2507">
        <f>0.05441-X2507</f>
        <v>3.3600000000000019E-3</v>
      </c>
      <c r="AA2507" s="6"/>
      <c r="AB2507" s="6"/>
    </row>
    <row r="2508" spans="1:28" x14ac:dyDescent="0.2">
      <c r="A2508" t="s">
        <v>633</v>
      </c>
      <c r="B2508">
        <v>2017</v>
      </c>
      <c r="C2508" t="s">
        <v>826</v>
      </c>
      <c r="D2508" t="s">
        <v>824</v>
      </c>
      <c r="E2508" t="s">
        <v>48</v>
      </c>
      <c r="F2508" t="s">
        <v>532</v>
      </c>
      <c r="G2508">
        <v>78.066044000000005</v>
      </c>
      <c r="H2508">
        <v>12.608806</v>
      </c>
      <c r="J2508" s="2" t="s">
        <v>16</v>
      </c>
      <c r="K2508" t="s">
        <v>143</v>
      </c>
      <c r="L2508" t="s">
        <v>143</v>
      </c>
      <c r="M2508" t="s">
        <v>553</v>
      </c>
      <c r="N2508" t="s">
        <v>85</v>
      </c>
      <c r="O2508" s="6" t="s">
        <v>365</v>
      </c>
      <c r="P2508" t="s">
        <v>349</v>
      </c>
      <c r="Q2508">
        <v>18</v>
      </c>
      <c r="R2508" t="s">
        <v>213</v>
      </c>
      <c r="S2508" s="2" t="s">
        <v>37</v>
      </c>
      <c r="T2508">
        <v>4</v>
      </c>
      <c r="U2508">
        <v>7.58</v>
      </c>
      <c r="V2508">
        <v>1456</v>
      </c>
      <c r="W2508">
        <v>10</v>
      </c>
      <c r="X2508">
        <v>5.3010000000000002E-2</v>
      </c>
      <c r="Y2508">
        <f>0.05678-X2508</f>
        <v>3.7699999999999956E-3</v>
      </c>
      <c r="AA2508" s="6"/>
      <c r="AB2508" s="6"/>
    </row>
    <row r="2509" spans="1:28" x14ac:dyDescent="0.2">
      <c r="A2509" t="s">
        <v>633</v>
      </c>
      <c r="B2509">
        <v>2017</v>
      </c>
      <c r="C2509" t="s">
        <v>826</v>
      </c>
      <c r="D2509" t="s">
        <v>824</v>
      </c>
      <c r="E2509" t="s">
        <v>48</v>
      </c>
      <c r="F2509" t="s">
        <v>307</v>
      </c>
      <c r="G2509">
        <v>54.183827999999998</v>
      </c>
      <c r="H2509">
        <v>7.8726450000000003</v>
      </c>
      <c r="J2509" s="2" t="s">
        <v>7</v>
      </c>
      <c r="K2509" t="s">
        <v>143</v>
      </c>
      <c r="L2509" t="s">
        <v>143</v>
      </c>
      <c r="M2509" t="s">
        <v>553</v>
      </c>
      <c r="N2509" t="s">
        <v>85</v>
      </c>
      <c r="O2509" s="6" t="s">
        <v>365</v>
      </c>
      <c r="P2509" t="s">
        <v>349</v>
      </c>
      <c r="Q2509">
        <v>18</v>
      </c>
      <c r="R2509" t="s">
        <v>213</v>
      </c>
      <c r="S2509" s="2" t="s">
        <v>7</v>
      </c>
      <c r="T2509">
        <v>4</v>
      </c>
      <c r="U2509">
        <v>8.06</v>
      </c>
      <c r="V2509">
        <v>423</v>
      </c>
      <c r="W2509">
        <v>10</v>
      </c>
      <c r="X2509">
        <v>6.9930000000000006E-2</v>
      </c>
      <c r="Y2509">
        <f>0.07804-X2509</f>
        <v>8.1099999999999922E-3</v>
      </c>
      <c r="AA2509" s="6"/>
      <c r="AB2509" s="6"/>
    </row>
    <row r="2510" spans="1:28" x14ac:dyDescent="0.2">
      <c r="A2510" t="s">
        <v>633</v>
      </c>
      <c r="B2510">
        <v>2017</v>
      </c>
      <c r="C2510" t="s">
        <v>826</v>
      </c>
      <c r="D2510" t="s">
        <v>824</v>
      </c>
      <c r="E2510" t="s">
        <v>48</v>
      </c>
      <c r="F2510" t="s">
        <v>307</v>
      </c>
      <c r="G2510">
        <v>54.183827999999998</v>
      </c>
      <c r="H2510">
        <v>7.8726450000000003</v>
      </c>
      <c r="J2510" s="2" t="s">
        <v>5</v>
      </c>
      <c r="K2510" t="s">
        <v>143</v>
      </c>
      <c r="L2510" t="s">
        <v>143</v>
      </c>
      <c r="M2510" t="s">
        <v>553</v>
      </c>
      <c r="N2510" t="s">
        <v>85</v>
      </c>
      <c r="O2510" s="6" t="s">
        <v>365</v>
      </c>
      <c r="P2510" t="s">
        <v>349</v>
      </c>
      <c r="Q2510">
        <v>18</v>
      </c>
      <c r="R2510" t="s">
        <v>213</v>
      </c>
      <c r="S2510" s="2" t="s">
        <v>9</v>
      </c>
      <c r="T2510">
        <v>4</v>
      </c>
      <c r="U2510">
        <v>7.82</v>
      </c>
      <c r="V2510">
        <v>769</v>
      </c>
      <c r="W2510" t="s">
        <v>28</v>
      </c>
      <c r="X2510">
        <v>7.2029999999999997E-2</v>
      </c>
      <c r="Y2510">
        <f>0.07776-X2510</f>
        <v>5.729999999999999E-3</v>
      </c>
      <c r="AA2510" s="6"/>
      <c r="AB2510" s="6"/>
    </row>
    <row r="2511" spans="1:28" x14ac:dyDescent="0.2">
      <c r="A2511" t="s">
        <v>633</v>
      </c>
      <c r="B2511">
        <v>2017</v>
      </c>
      <c r="C2511" t="s">
        <v>826</v>
      </c>
      <c r="D2511" t="s">
        <v>824</v>
      </c>
      <c r="E2511" t="s">
        <v>48</v>
      </c>
      <c r="F2511" t="s">
        <v>307</v>
      </c>
      <c r="G2511">
        <v>54.183827999999998</v>
      </c>
      <c r="H2511">
        <v>7.8726450000000003</v>
      </c>
      <c r="J2511" s="2" t="s">
        <v>5</v>
      </c>
      <c r="K2511" t="s">
        <v>143</v>
      </c>
      <c r="L2511" t="s">
        <v>143</v>
      </c>
      <c r="M2511" t="s">
        <v>553</v>
      </c>
      <c r="N2511" t="s">
        <v>85</v>
      </c>
      <c r="O2511" s="6" t="s">
        <v>365</v>
      </c>
      <c r="P2511" t="s">
        <v>349</v>
      </c>
      <c r="Q2511">
        <v>18</v>
      </c>
      <c r="R2511" t="s">
        <v>213</v>
      </c>
      <c r="S2511" s="2" t="s">
        <v>27</v>
      </c>
      <c r="T2511">
        <v>4</v>
      </c>
      <c r="U2511">
        <v>7.56</v>
      </c>
      <c r="V2511">
        <v>1437</v>
      </c>
      <c r="W2511" t="s">
        <v>28</v>
      </c>
      <c r="X2511">
        <v>8.5029999999999994E-2</v>
      </c>
      <c r="Y2511">
        <f>0.09007-X2511</f>
        <v>5.0400000000000028E-3</v>
      </c>
      <c r="AA2511" s="6"/>
      <c r="AB2511" s="6"/>
    </row>
    <row r="2512" spans="1:28" x14ac:dyDescent="0.2">
      <c r="A2512" t="s">
        <v>633</v>
      </c>
      <c r="B2512">
        <v>2017</v>
      </c>
      <c r="C2512" t="s">
        <v>826</v>
      </c>
      <c r="D2512" t="s">
        <v>824</v>
      </c>
      <c r="E2512" t="s">
        <v>48</v>
      </c>
      <c r="F2512" t="s">
        <v>307</v>
      </c>
      <c r="G2512">
        <v>54.183827999999998</v>
      </c>
      <c r="H2512">
        <v>7.8726450000000003</v>
      </c>
      <c r="J2512" s="2" t="s">
        <v>14</v>
      </c>
      <c r="K2512" t="s">
        <v>143</v>
      </c>
      <c r="L2512" t="s">
        <v>143</v>
      </c>
      <c r="M2512" t="s">
        <v>553</v>
      </c>
      <c r="N2512" t="s">
        <v>85</v>
      </c>
      <c r="O2512" s="6" t="s">
        <v>365</v>
      </c>
      <c r="P2512" t="s">
        <v>349</v>
      </c>
      <c r="Q2512">
        <v>18</v>
      </c>
      <c r="R2512" t="s">
        <v>213</v>
      </c>
      <c r="S2512" s="2" t="s">
        <v>13</v>
      </c>
      <c r="T2512">
        <v>4</v>
      </c>
      <c r="U2512" t="s">
        <v>28</v>
      </c>
      <c r="V2512" t="s">
        <v>28</v>
      </c>
      <c r="W2512">
        <v>17</v>
      </c>
      <c r="X2512">
        <v>8.9090000000000003E-2</v>
      </c>
      <c r="Y2512">
        <f>0.09301-X2512</f>
        <v>3.9199999999999929E-3</v>
      </c>
      <c r="AA2512" s="6"/>
      <c r="AB2512" s="6"/>
    </row>
    <row r="2513" spans="1:28" x14ac:dyDescent="0.2">
      <c r="A2513" t="s">
        <v>633</v>
      </c>
      <c r="B2513">
        <v>2017</v>
      </c>
      <c r="C2513" t="s">
        <v>826</v>
      </c>
      <c r="D2513" t="s">
        <v>824</v>
      </c>
      <c r="E2513" t="s">
        <v>48</v>
      </c>
      <c r="F2513" t="s">
        <v>307</v>
      </c>
      <c r="G2513">
        <v>54.183827999999998</v>
      </c>
      <c r="H2513">
        <v>7.8726450000000003</v>
      </c>
      <c r="J2513" s="2" t="s">
        <v>16</v>
      </c>
      <c r="K2513" t="s">
        <v>143</v>
      </c>
      <c r="L2513" t="s">
        <v>143</v>
      </c>
      <c r="M2513" t="s">
        <v>553</v>
      </c>
      <c r="N2513" t="s">
        <v>85</v>
      </c>
      <c r="O2513" s="6" t="s">
        <v>365</v>
      </c>
      <c r="P2513" t="s">
        <v>349</v>
      </c>
      <c r="Q2513">
        <v>18</v>
      </c>
      <c r="R2513" t="s">
        <v>213</v>
      </c>
      <c r="S2513" t="s">
        <v>15</v>
      </c>
      <c r="T2513">
        <v>4</v>
      </c>
      <c r="U2513">
        <v>7.82</v>
      </c>
      <c r="V2513">
        <v>783</v>
      </c>
      <c r="W2513">
        <v>17</v>
      </c>
      <c r="X2513">
        <v>8.294E-2</v>
      </c>
      <c r="Y2513">
        <f>0.08951-X2513</f>
        <v>6.5700000000000064E-3</v>
      </c>
      <c r="AA2513" s="6"/>
      <c r="AB2513" s="6"/>
    </row>
    <row r="2514" spans="1:28" x14ac:dyDescent="0.2">
      <c r="A2514" t="s">
        <v>633</v>
      </c>
      <c r="B2514">
        <v>2017</v>
      </c>
      <c r="C2514" t="s">
        <v>826</v>
      </c>
      <c r="D2514" t="s">
        <v>824</v>
      </c>
      <c r="E2514" t="s">
        <v>48</v>
      </c>
      <c r="F2514" t="s">
        <v>307</v>
      </c>
      <c r="G2514">
        <v>54.183827999999998</v>
      </c>
      <c r="H2514">
        <v>7.8726450000000003</v>
      </c>
      <c r="J2514" s="2" t="s">
        <v>16</v>
      </c>
      <c r="K2514" t="s">
        <v>143</v>
      </c>
      <c r="L2514" t="s">
        <v>143</v>
      </c>
      <c r="M2514" t="s">
        <v>553</v>
      </c>
      <c r="N2514" t="s">
        <v>85</v>
      </c>
      <c r="O2514" s="6" t="s">
        <v>365</v>
      </c>
      <c r="P2514" t="s">
        <v>349</v>
      </c>
      <c r="Q2514">
        <v>18</v>
      </c>
      <c r="R2514" t="s">
        <v>213</v>
      </c>
      <c r="S2514" s="2" t="s">
        <v>37</v>
      </c>
      <c r="T2514">
        <v>4</v>
      </c>
      <c r="U2514">
        <v>7.56</v>
      </c>
      <c r="V2514">
        <v>1505</v>
      </c>
      <c r="W2514">
        <v>17</v>
      </c>
      <c r="X2514">
        <v>7.7899999999999997E-2</v>
      </c>
      <c r="Y2514">
        <f>0.08056-X2514</f>
        <v>2.6600000000000096E-3</v>
      </c>
      <c r="AA2514" s="6"/>
      <c r="AB2514" s="6"/>
    </row>
    <row r="2515" spans="1:28" x14ac:dyDescent="0.2">
      <c r="A2515" t="s">
        <v>633</v>
      </c>
      <c r="B2515">
        <v>2017</v>
      </c>
      <c r="C2515" t="s">
        <v>826</v>
      </c>
      <c r="D2515" t="s">
        <v>824</v>
      </c>
      <c r="E2515" t="s">
        <v>48</v>
      </c>
      <c r="F2515" t="s">
        <v>532</v>
      </c>
      <c r="G2515">
        <v>78.066044000000005</v>
      </c>
      <c r="H2515">
        <v>12.608806</v>
      </c>
      <c r="J2515" s="2" t="s">
        <v>7</v>
      </c>
      <c r="K2515" t="s">
        <v>143</v>
      </c>
      <c r="L2515" t="s">
        <v>143</v>
      </c>
      <c r="M2515" t="s">
        <v>553</v>
      </c>
      <c r="N2515" t="s">
        <v>85</v>
      </c>
      <c r="O2515" s="6" t="s">
        <v>367</v>
      </c>
      <c r="P2515" t="s">
        <v>349</v>
      </c>
      <c r="Q2515">
        <v>18</v>
      </c>
      <c r="R2515" t="s">
        <v>213</v>
      </c>
      <c r="S2515" s="2" t="s">
        <v>7</v>
      </c>
      <c r="T2515">
        <v>4</v>
      </c>
      <c r="U2515">
        <v>8.07</v>
      </c>
      <c r="V2515">
        <v>402</v>
      </c>
      <c r="W2515">
        <v>4</v>
      </c>
      <c r="X2515">
        <v>1.295E-2</v>
      </c>
      <c r="Y2515">
        <f>0.01663-X2515</f>
        <v>3.6799999999999992E-3</v>
      </c>
      <c r="AA2515" s="6"/>
      <c r="AB2515" s="6"/>
    </row>
    <row r="2516" spans="1:28" x14ac:dyDescent="0.2">
      <c r="A2516" t="s">
        <v>633</v>
      </c>
      <c r="B2516">
        <v>2017</v>
      </c>
      <c r="C2516" t="s">
        <v>826</v>
      </c>
      <c r="D2516" t="s">
        <v>824</v>
      </c>
      <c r="E2516" t="s">
        <v>48</v>
      </c>
      <c r="F2516" t="s">
        <v>532</v>
      </c>
      <c r="G2516">
        <v>78.066044000000005</v>
      </c>
      <c r="H2516">
        <v>12.608806</v>
      </c>
      <c r="J2516" s="2" t="s">
        <v>5</v>
      </c>
      <c r="K2516" t="s">
        <v>143</v>
      </c>
      <c r="L2516" t="s">
        <v>143</v>
      </c>
      <c r="M2516" t="s">
        <v>553</v>
      </c>
      <c r="N2516" t="s">
        <v>85</v>
      </c>
      <c r="O2516" s="6" t="s">
        <v>367</v>
      </c>
      <c r="P2516" t="s">
        <v>349</v>
      </c>
      <c r="Q2516">
        <v>18</v>
      </c>
      <c r="R2516" t="s">
        <v>213</v>
      </c>
      <c r="S2516" s="2" t="s">
        <v>9</v>
      </c>
      <c r="T2516">
        <v>4</v>
      </c>
      <c r="U2516">
        <v>7.88</v>
      </c>
      <c r="V2516">
        <v>644</v>
      </c>
      <c r="W2516" t="s">
        <v>28</v>
      </c>
      <c r="X2516">
        <v>1.2030000000000001E-2</v>
      </c>
      <c r="Y2516">
        <f>0.01592-X2516</f>
        <v>3.8899999999999994E-3</v>
      </c>
      <c r="AA2516" s="6"/>
      <c r="AB2516" s="6"/>
    </row>
    <row r="2517" spans="1:28" x14ac:dyDescent="0.2">
      <c r="A2517" t="s">
        <v>633</v>
      </c>
      <c r="B2517">
        <v>2017</v>
      </c>
      <c r="C2517" t="s">
        <v>826</v>
      </c>
      <c r="D2517" t="s">
        <v>824</v>
      </c>
      <c r="E2517" t="s">
        <v>48</v>
      </c>
      <c r="F2517" t="s">
        <v>532</v>
      </c>
      <c r="G2517">
        <v>78.066044000000005</v>
      </c>
      <c r="H2517">
        <v>12.608806</v>
      </c>
      <c r="J2517" s="2" t="s">
        <v>5</v>
      </c>
      <c r="K2517" t="s">
        <v>143</v>
      </c>
      <c r="L2517" t="s">
        <v>143</v>
      </c>
      <c r="M2517" t="s">
        <v>553</v>
      </c>
      <c r="N2517" t="s">
        <v>85</v>
      </c>
      <c r="O2517" s="6" t="s">
        <v>367</v>
      </c>
      <c r="P2517" t="s">
        <v>349</v>
      </c>
      <c r="Q2517">
        <v>18</v>
      </c>
      <c r="R2517" t="s">
        <v>213</v>
      </c>
      <c r="S2517" s="2" t="s">
        <v>27</v>
      </c>
      <c r="T2517">
        <v>4</v>
      </c>
      <c r="U2517">
        <v>7.57</v>
      </c>
      <c r="V2517">
        <v>1354</v>
      </c>
      <c r="W2517" t="s">
        <v>28</v>
      </c>
      <c r="X2517">
        <v>1.001E-2</v>
      </c>
      <c r="Y2517">
        <f>0.0158-X2517</f>
        <v>5.7900000000000017E-3</v>
      </c>
      <c r="AA2517" s="6"/>
      <c r="AB2517" s="6"/>
    </row>
    <row r="2518" spans="1:28" x14ac:dyDescent="0.2">
      <c r="A2518" t="s">
        <v>633</v>
      </c>
      <c r="B2518">
        <v>2017</v>
      </c>
      <c r="C2518" t="s">
        <v>826</v>
      </c>
      <c r="D2518" t="s">
        <v>824</v>
      </c>
      <c r="E2518" t="s">
        <v>48</v>
      </c>
      <c r="F2518" t="s">
        <v>532</v>
      </c>
      <c r="G2518">
        <v>78.066044000000005</v>
      </c>
      <c r="H2518">
        <v>12.608806</v>
      </c>
      <c r="J2518" s="2" t="s">
        <v>14</v>
      </c>
      <c r="K2518" t="s">
        <v>143</v>
      </c>
      <c r="L2518" t="s">
        <v>143</v>
      </c>
      <c r="M2518" t="s">
        <v>553</v>
      </c>
      <c r="N2518" t="s">
        <v>85</v>
      </c>
      <c r="O2518" s="6" t="s">
        <v>367</v>
      </c>
      <c r="P2518" t="s">
        <v>349</v>
      </c>
      <c r="Q2518">
        <v>18</v>
      </c>
      <c r="R2518" t="s">
        <v>213</v>
      </c>
      <c r="S2518" s="2" t="s">
        <v>13</v>
      </c>
      <c r="T2518">
        <v>4</v>
      </c>
      <c r="U2518" t="s">
        <v>28</v>
      </c>
      <c r="V2518" t="s">
        <v>28</v>
      </c>
      <c r="W2518">
        <v>10</v>
      </c>
      <c r="X2518">
        <v>1.797E-2</v>
      </c>
      <c r="Y2518">
        <f>0.02053-X2518</f>
        <v>2.5599999999999998E-3</v>
      </c>
      <c r="AA2518" s="6"/>
      <c r="AB2518" s="6"/>
    </row>
    <row r="2519" spans="1:28" x14ac:dyDescent="0.2">
      <c r="A2519" t="s">
        <v>633</v>
      </c>
      <c r="B2519">
        <v>2017</v>
      </c>
      <c r="C2519" t="s">
        <v>826</v>
      </c>
      <c r="D2519" t="s">
        <v>824</v>
      </c>
      <c r="E2519" t="s">
        <v>48</v>
      </c>
      <c r="F2519" t="s">
        <v>532</v>
      </c>
      <c r="G2519">
        <v>78.066044000000005</v>
      </c>
      <c r="H2519">
        <v>12.608806</v>
      </c>
      <c r="J2519" s="2" t="s">
        <v>16</v>
      </c>
      <c r="K2519" t="s">
        <v>143</v>
      </c>
      <c r="L2519" t="s">
        <v>143</v>
      </c>
      <c r="M2519" t="s">
        <v>553</v>
      </c>
      <c r="N2519" t="s">
        <v>85</v>
      </c>
      <c r="O2519" s="6" t="s">
        <v>367</v>
      </c>
      <c r="P2519" t="s">
        <v>349</v>
      </c>
      <c r="Q2519">
        <v>18</v>
      </c>
      <c r="R2519" t="s">
        <v>213</v>
      </c>
      <c r="S2519" t="s">
        <v>15</v>
      </c>
      <c r="T2519">
        <v>4</v>
      </c>
      <c r="U2519">
        <v>7.89</v>
      </c>
      <c r="V2519">
        <v>683</v>
      </c>
      <c r="W2519">
        <v>10</v>
      </c>
      <c r="X2519">
        <v>2.103E-2</v>
      </c>
      <c r="Y2519">
        <f>0.02619-X2519</f>
        <v>5.1600000000000014E-3</v>
      </c>
      <c r="AA2519" s="6"/>
      <c r="AB2519" s="6"/>
    </row>
    <row r="2520" spans="1:28" x14ac:dyDescent="0.2">
      <c r="A2520" t="s">
        <v>633</v>
      </c>
      <c r="B2520">
        <v>2017</v>
      </c>
      <c r="C2520" t="s">
        <v>826</v>
      </c>
      <c r="D2520" t="s">
        <v>824</v>
      </c>
      <c r="E2520" t="s">
        <v>48</v>
      </c>
      <c r="F2520" t="s">
        <v>532</v>
      </c>
      <c r="G2520">
        <v>78.066044000000005</v>
      </c>
      <c r="H2520">
        <v>12.608806</v>
      </c>
      <c r="J2520" s="2" t="s">
        <v>16</v>
      </c>
      <c r="K2520" t="s">
        <v>143</v>
      </c>
      <c r="L2520" t="s">
        <v>143</v>
      </c>
      <c r="M2520" t="s">
        <v>553</v>
      </c>
      <c r="N2520" t="s">
        <v>85</v>
      </c>
      <c r="O2520" s="6" t="s">
        <v>367</v>
      </c>
      <c r="P2520" t="s">
        <v>349</v>
      </c>
      <c r="Q2520">
        <v>18</v>
      </c>
      <c r="R2520" t="s">
        <v>213</v>
      </c>
      <c r="S2520" s="2" t="s">
        <v>37</v>
      </c>
      <c r="T2520">
        <v>4</v>
      </c>
      <c r="U2520">
        <v>7.58</v>
      </c>
      <c r="V2520">
        <v>1456</v>
      </c>
      <c r="W2520">
        <v>10</v>
      </c>
      <c r="X2520">
        <v>2.0029999999999999E-2</v>
      </c>
      <c r="Y2520">
        <f>0.02351-X2520</f>
        <v>3.4800000000000005E-3</v>
      </c>
      <c r="AA2520" s="6"/>
      <c r="AB2520" s="6"/>
    </row>
    <row r="2521" spans="1:28" x14ac:dyDescent="0.2">
      <c r="A2521" t="s">
        <v>633</v>
      </c>
      <c r="B2521">
        <v>2017</v>
      </c>
      <c r="C2521" t="s">
        <v>826</v>
      </c>
      <c r="D2521" t="s">
        <v>824</v>
      </c>
      <c r="E2521" t="s">
        <v>48</v>
      </c>
      <c r="F2521" t="s">
        <v>307</v>
      </c>
      <c r="G2521">
        <v>54.183827999999998</v>
      </c>
      <c r="H2521">
        <v>7.8726450000000003</v>
      </c>
      <c r="J2521" s="2" t="s">
        <v>7</v>
      </c>
      <c r="K2521" t="s">
        <v>143</v>
      </c>
      <c r="L2521" t="s">
        <v>143</v>
      </c>
      <c r="M2521" t="s">
        <v>553</v>
      </c>
      <c r="N2521" t="s">
        <v>85</v>
      </c>
      <c r="O2521" s="6" t="s">
        <v>367</v>
      </c>
      <c r="P2521" t="s">
        <v>349</v>
      </c>
      <c r="Q2521">
        <v>18</v>
      </c>
      <c r="R2521" t="s">
        <v>213</v>
      </c>
      <c r="S2521" s="2" t="s">
        <v>7</v>
      </c>
      <c r="T2521">
        <v>4</v>
      </c>
      <c r="U2521">
        <v>8.06</v>
      </c>
      <c r="V2521">
        <v>423</v>
      </c>
      <c r="W2521">
        <v>10</v>
      </c>
      <c r="X2521">
        <v>1.102E-2</v>
      </c>
      <c r="Y2521">
        <f>0.01341-X2521</f>
        <v>2.3899999999999998E-3</v>
      </c>
      <c r="AA2521" s="6"/>
      <c r="AB2521" s="6"/>
    </row>
    <row r="2522" spans="1:28" x14ac:dyDescent="0.2">
      <c r="A2522" t="s">
        <v>633</v>
      </c>
      <c r="B2522">
        <v>2017</v>
      </c>
      <c r="C2522" t="s">
        <v>826</v>
      </c>
      <c r="D2522" t="s">
        <v>824</v>
      </c>
      <c r="E2522" t="s">
        <v>48</v>
      </c>
      <c r="F2522" t="s">
        <v>307</v>
      </c>
      <c r="G2522">
        <v>54.183827999999998</v>
      </c>
      <c r="H2522">
        <v>7.8726450000000003</v>
      </c>
      <c r="J2522" s="2" t="s">
        <v>5</v>
      </c>
      <c r="K2522" t="s">
        <v>143</v>
      </c>
      <c r="L2522" t="s">
        <v>143</v>
      </c>
      <c r="M2522" t="s">
        <v>553</v>
      </c>
      <c r="N2522" t="s">
        <v>85</v>
      </c>
      <c r="O2522" s="6" t="s">
        <v>367</v>
      </c>
      <c r="P2522" t="s">
        <v>349</v>
      </c>
      <c r="Q2522">
        <v>18</v>
      </c>
      <c r="R2522" t="s">
        <v>213</v>
      </c>
      <c r="S2522" s="2" t="s">
        <v>9</v>
      </c>
      <c r="T2522">
        <v>4</v>
      </c>
      <c r="U2522">
        <v>7.82</v>
      </c>
      <c r="V2522">
        <v>769</v>
      </c>
      <c r="W2522" t="s">
        <v>28</v>
      </c>
      <c r="X2522">
        <v>1.2030000000000001E-2</v>
      </c>
      <c r="Y2522">
        <f>0.01471-X2522</f>
        <v>2.6800000000000001E-3</v>
      </c>
      <c r="AA2522" s="6"/>
      <c r="AB2522" s="6"/>
    </row>
    <row r="2523" spans="1:28" x14ac:dyDescent="0.2">
      <c r="A2523" t="s">
        <v>633</v>
      </c>
      <c r="B2523">
        <v>2017</v>
      </c>
      <c r="C2523" t="s">
        <v>826</v>
      </c>
      <c r="D2523" t="s">
        <v>824</v>
      </c>
      <c r="E2523" t="s">
        <v>48</v>
      </c>
      <c r="F2523" t="s">
        <v>307</v>
      </c>
      <c r="G2523">
        <v>54.183827999999998</v>
      </c>
      <c r="H2523">
        <v>7.8726450000000003</v>
      </c>
      <c r="J2523" s="2" t="s">
        <v>5</v>
      </c>
      <c r="K2523" t="s">
        <v>143</v>
      </c>
      <c r="L2523" t="s">
        <v>143</v>
      </c>
      <c r="M2523" t="s">
        <v>553</v>
      </c>
      <c r="N2523" t="s">
        <v>85</v>
      </c>
      <c r="O2523" s="6" t="s">
        <v>367</v>
      </c>
      <c r="P2523" t="s">
        <v>349</v>
      </c>
      <c r="Q2523">
        <v>18</v>
      </c>
      <c r="R2523" t="s">
        <v>213</v>
      </c>
      <c r="S2523" s="2" t="s">
        <v>27</v>
      </c>
      <c r="T2523">
        <v>4</v>
      </c>
      <c r="U2523">
        <v>7.56</v>
      </c>
      <c r="V2523">
        <v>1437</v>
      </c>
      <c r="W2523" t="s">
        <v>28</v>
      </c>
      <c r="X2523">
        <v>1.102E-2</v>
      </c>
      <c r="Y2523">
        <f>0.01441-X2523</f>
        <v>3.3899999999999989E-3</v>
      </c>
      <c r="AA2523" s="6"/>
      <c r="AB2523" s="6"/>
    </row>
    <row r="2524" spans="1:28" x14ac:dyDescent="0.2">
      <c r="A2524" t="s">
        <v>633</v>
      </c>
      <c r="B2524">
        <v>2017</v>
      </c>
      <c r="C2524" t="s">
        <v>826</v>
      </c>
      <c r="D2524" t="s">
        <v>824</v>
      </c>
      <c r="E2524" t="s">
        <v>48</v>
      </c>
      <c r="F2524" t="s">
        <v>307</v>
      </c>
      <c r="G2524">
        <v>54.183827999999998</v>
      </c>
      <c r="H2524">
        <v>7.8726450000000003</v>
      </c>
      <c r="J2524" s="2" t="s">
        <v>14</v>
      </c>
      <c r="K2524" t="s">
        <v>143</v>
      </c>
      <c r="L2524" t="s">
        <v>143</v>
      </c>
      <c r="M2524" t="s">
        <v>553</v>
      </c>
      <c r="N2524" t="s">
        <v>85</v>
      </c>
      <c r="O2524" s="6" t="s">
        <v>367</v>
      </c>
      <c r="P2524" t="s">
        <v>349</v>
      </c>
      <c r="Q2524">
        <v>18</v>
      </c>
      <c r="R2524" t="s">
        <v>213</v>
      </c>
      <c r="S2524" s="2" t="s">
        <v>13</v>
      </c>
      <c r="T2524">
        <v>4</v>
      </c>
      <c r="U2524" t="s">
        <v>28</v>
      </c>
      <c r="V2524" t="s">
        <v>28</v>
      </c>
      <c r="W2524">
        <v>17</v>
      </c>
      <c r="X2524">
        <v>1.6969999999999999E-2</v>
      </c>
      <c r="Y2524">
        <f>0.01927-X2524</f>
        <v>2.3E-3</v>
      </c>
      <c r="AA2524" s="6"/>
      <c r="AB2524" s="6"/>
    </row>
    <row r="2525" spans="1:28" x14ac:dyDescent="0.2">
      <c r="A2525" t="s">
        <v>633</v>
      </c>
      <c r="B2525">
        <v>2017</v>
      </c>
      <c r="C2525" t="s">
        <v>826</v>
      </c>
      <c r="D2525" t="s">
        <v>824</v>
      </c>
      <c r="E2525" t="s">
        <v>48</v>
      </c>
      <c r="F2525" t="s">
        <v>307</v>
      </c>
      <c r="G2525">
        <v>54.183827999999998</v>
      </c>
      <c r="H2525">
        <v>7.8726450000000003</v>
      </c>
      <c r="J2525" s="2" t="s">
        <v>16</v>
      </c>
      <c r="K2525" t="s">
        <v>143</v>
      </c>
      <c r="L2525" t="s">
        <v>143</v>
      </c>
      <c r="M2525" t="s">
        <v>553</v>
      </c>
      <c r="N2525" t="s">
        <v>85</v>
      </c>
      <c r="O2525" s="6" t="s">
        <v>367</v>
      </c>
      <c r="P2525" t="s">
        <v>349</v>
      </c>
      <c r="Q2525">
        <v>18</v>
      </c>
      <c r="R2525" t="s">
        <v>213</v>
      </c>
      <c r="S2525" t="s">
        <v>15</v>
      </c>
      <c r="T2525">
        <v>4</v>
      </c>
      <c r="U2525">
        <v>7.82</v>
      </c>
      <c r="V2525">
        <v>783</v>
      </c>
      <c r="W2525">
        <v>17</v>
      </c>
      <c r="X2525">
        <v>1.7010000000000001E-2</v>
      </c>
      <c r="Y2525">
        <f>0.02208-X2525</f>
        <v>5.0699999999999981E-3</v>
      </c>
      <c r="AA2525" s="6"/>
      <c r="AB2525" s="6"/>
    </row>
    <row r="2526" spans="1:28" x14ac:dyDescent="0.2">
      <c r="A2526" t="s">
        <v>633</v>
      </c>
      <c r="B2526">
        <v>2017</v>
      </c>
      <c r="C2526" t="s">
        <v>826</v>
      </c>
      <c r="D2526" t="s">
        <v>824</v>
      </c>
      <c r="E2526" t="s">
        <v>48</v>
      </c>
      <c r="F2526" t="s">
        <v>307</v>
      </c>
      <c r="G2526">
        <v>54.183827999999998</v>
      </c>
      <c r="H2526">
        <v>7.8726450000000003</v>
      </c>
      <c r="J2526" s="2" t="s">
        <v>16</v>
      </c>
      <c r="K2526" t="s">
        <v>143</v>
      </c>
      <c r="L2526" t="s">
        <v>143</v>
      </c>
      <c r="M2526" t="s">
        <v>553</v>
      </c>
      <c r="N2526" t="s">
        <v>85</v>
      </c>
      <c r="O2526" s="6" t="s">
        <v>367</v>
      </c>
      <c r="P2526" t="s">
        <v>349</v>
      </c>
      <c r="Q2526">
        <v>18</v>
      </c>
      <c r="R2526" t="s">
        <v>213</v>
      </c>
      <c r="S2526" s="2" t="s">
        <v>37</v>
      </c>
      <c r="T2526">
        <v>4</v>
      </c>
      <c r="U2526">
        <v>7.56</v>
      </c>
      <c r="V2526">
        <v>1505</v>
      </c>
      <c r="W2526">
        <v>17</v>
      </c>
      <c r="X2526">
        <v>1.7010000000000001E-2</v>
      </c>
      <c r="Y2526">
        <f>0.02108-X2526</f>
        <v>4.0700000000000007E-3</v>
      </c>
      <c r="AA2526" s="6"/>
      <c r="AB2526" s="6"/>
    </row>
    <row r="2527" spans="1:28" x14ac:dyDescent="0.2">
      <c r="A2527" t="s">
        <v>633</v>
      </c>
      <c r="B2527">
        <v>2017</v>
      </c>
      <c r="C2527" t="s">
        <v>826</v>
      </c>
      <c r="D2527" t="s">
        <v>824</v>
      </c>
      <c r="E2527" t="s">
        <v>48</v>
      </c>
      <c r="F2527" t="s">
        <v>532</v>
      </c>
      <c r="G2527">
        <v>78.066044000000005</v>
      </c>
      <c r="H2527">
        <v>12.608806</v>
      </c>
      <c r="J2527" s="2" t="s">
        <v>7</v>
      </c>
      <c r="K2527" t="s">
        <v>143</v>
      </c>
      <c r="L2527" t="s">
        <v>143</v>
      </c>
      <c r="M2527" t="s">
        <v>553</v>
      </c>
      <c r="N2527" t="s">
        <v>85</v>
      </c>
      <c r="O2527" s="6" t="s">
        <v>366</v>
      </c>
      <c r="P2527" t="s">
        <v>349</v>
      </c>
      <c r="Q2527">
        <v>18</v>
      </c>
      <c r="R2527" t="s">
        <v>213</v>
      </c>
      <c r="S2527" s="2" t="s">
        <v>7</v>
      </c>
      <c r="T2527">
        <v>4</v>
      </c>
      <c r="U2527">
        <v>8.07</v>
      </c>
      <c r="V2527">
        <v>402</v>
      </c>
      <c r="W2527">
        <v>4</v>
      </c>
      <c r="X2527">
        <v>1.7989999999999999E-2</v>
      </c>
      <c r="Y2527">
        <f>0.02042-X2527</f>
        <v>2.4300000000000016E-3</v>
      </c>
      <c r="AA2527" s="6"/>
      <c r="AB2527" s="6"/>
    </row>
    <row r="2528" spans="1:28" x14ac:dyDescent="0.2">
      <c r="A2528" t="s">
        <v>633</v>
      </c>
      <c r="B2528">
        <v>2017</v>
      </c>
      <c r="C2528" t="s">
        <v>826</v>
      </c>
      <c r="D2528" t="s">
        <v>824</v>
      </c>
      <c r="E2528" t="s">
        <v>48</v>
      </c>
      <c r="F2528" t="s">
        <v>532</v>
      </c>
      <c r="G2528">
        <v>78.066044000000005</v>
      </c>
      <c r="H2528">
        <v>12.608806</v>
      </c>
      <c r="J2528" s="2" t="s">
        <v>5</v>
      </c>
      <c r="K2528" t="s">
        <v>143</v>
      </c>
      <c r="L2528" t="s">
        <v>143</v>
      </c>
      <c r="M2528" t="s">
        <v>553</v>
      </c>
      <c r="N2528" t="s">
        <v>85</v>
      </c>
      <c r="O2528" s="6" t="s">
        <v>366</v>
      </c>
      <c r="P2528" t="s">
        <v>349</v>
      </c>
      <c r="Q2528">
        <v>18</v>
      </c>
      <c r="R2528" t="s">
        <v>213</v>
      </c>
      <c r="S2528" s="2" t="s">
        <v>9</v>
      </c>
      <c r="T2528">
        <v>4</v>
      </c>
      <c r="U2528">
        <v>7.88</v>
      </c>
      <c r="V2528">
        <v>644</v>
      </c>
      <c r="W2528" t="s">
        <v>28</v>
      </c>
      <c r="X2528">
        <v>0.02</v>
      </c>
      <c r="Y2528">
        <f>0.02469-X2528</f>
        <v>4.6899999999999997E-3</v>
      </c>
      <c r="AA2528" s="6"/>
      <c r="AB2528" s="6"/>
    </row>
    <row r="2529" spans="1:28" x14ac:dyDescent="0.2">
      <c r="A2529" t="s">
        <v>633</v>
      </c>
      <c r="B2529">
        <v>2017</v>
      </c>
      <c r="C2529" t="s">
        <v>826</v>
      </c>
      <c r="D2529" t="s">
        <v>824</v>
      </c>
      <c r="E2529" t="s">
        <v>48</v>
      </c>
      <c r="F2529" t="s">
        <v>532</v>
      </c>
      <c r="G2529">
        <v>78.066044000000005</v>
      </c>
      <c r="H2529">
        <v>12.608806</v>
      </c>
      <c r="J2529" s="2" t="s">
        <v>5</v>
      </c>
      <c r="K2529" t="s">
        <v>143</v>
      </c>
      <c r="L2529" t="s">
        <v>143</v>
      </c>
      <c r="M2529" t="s">
        <v>553</v>
      </c>
      <c r="N2529" t="s">
        <v>85</v>
      </c>
      <c r="O2529" s="6" t="s">
        <v>366</v>
      </c>
      <c r="P2529" t="s">
        <v>349</v>
      </c>
      <c r="Q2529">
        <v>18</v>
      </c>
      <c r="R2529" t="s">
        <v>213</v>
      </c>
      <c r="S2529" s="2" t="s">
        <v>27</v>
      </c>
      <c r="T2529">
        <v>4</v>
      </c>
      <c r="U2529">
        <v>7.57</v>
      </c>
      <c r="V2529">
        <v>1354</v>
      </c>
      <c r="W2529" t="s">
        <v>28</v>
      </c>
      <c r="X2529">
        <v>1.502E-2</v>
      </c>
      <c r="Y2529">
        <f>0.01695-X2529</f>
        <v>1.9299999999999994E-3</v>
      </c>
      <c r="AA2529" s="6"/>
      <c r="AB2529" s="6"/>
    </row>
    <row r="2530" spans="1:28" x14ac:dyDescent="0.2">
      <c r="A2530" t="s">
        <v>633</v>
      </c>
      <c r="B2530">
        <v>2017</v>
      </c>
      <c r="C2530" t="s">
        <v>826</v>
      </c>
      <c r="D2530" t="s">
        <v>824</v>
      </c>
      <c r="E2530" t="s">
        <v>48</v>
      </c>
      <c r="F2530" t="s">
        <v>532</v>
      </c>
      <c r="G2530">
        <v>78.066044000000005</v>
      </c>
      <c r="H2530">
        <v>12.608806</v>
      </c>
      <c r="J2530" s="2" t="s">
        <v>14</v>
      </c>
      <c r="K2530" t="s">
        <v>143</v>
      </c>
      <c r="L2530" t="s">
        <v>143</v>
      </c>
      <c r="M2530" t="s">
        <v>553</v>
      </c>
      <c r="N2530" t="s">
        <v>85</v>
      </c>
      <c r="O2530" s="6" t="s">
        <v>366</v>
      </c>
      <c r="P2530" t="s">
        <v>349</v>
      </c>
      <c r="Q2530">
        <v>18</v>
      </c>
      <c r="R2530" t="s">
        <v>213</v>
      </c>
      <c r="S2530" s="2" t="s">
        <v>13</v>
      </c>
      <c r="T2530">
        <v>4</v>
      </c>
      <c r="U2530" t="s">
        <v>28</v>
      </c>
      <c r="V2530" t="s">
        <v>28</v>
      </c>
      <c r="W2530">
        <v>10</v>
      </c>
      <c r="X2530">
        <v>1.2970000000000001E-2</v>
      </c>
      <c r="Y2530">
        <f>0.01431-X2530</f>
        <v>1.3399999999999992E-3</v>
      </c>
      <c r="AA2530" s="6"/>
      <c r="AB2530" s="6"/>
    </row>
    <row r="2531" spans="1:28" x14ac:dyDescent="0.2">
      <c r="A2531" t="s">
        <v>633</v>
      </c>
      <c r="B2531">
        <v>2017</v>
      </c>
      <c r="C2531" t="s">
        <v>826</v>
      </c>
      <c r="D2531" t="s">
        <v>824</v>
      </c>
      <c r="E2531" t="s">
        <v>48</v>
      </c>
      <c r="F2531" t="s">
        <v>532</v>
      </c>
      <c r="G2531">
        <v>78.066044000000005</v>
      </c>
      <c r="H2531">
        <v>12.608806</v>
      </c>
      <c r="J2531" s="2" t="s">
        <v>16</v>
      </c>
      <c r="K2531" t="s">
        <v>143</v>
      </c>
      <c r="L2531" t="s">
        <v>143</v>
      </c>
      <c r="M2531" t="s">
        <v>553</v>
      </c>
      <c r="N2531" t="s">
        <v>85</v>
      </c>
      <c r="O2531" s="6" t="s">
        <v>366</v>
      </c>
      <c r="P2531" t="s">
        <v>349</v>
      </c>
      <c r="Q2531">
        <v>18</v>
      </c>
      <c r="R2531" t="s">
        <v>213</v>
      </c>
      <c r="S2531" t="s">
        <v>15</v>
      </c>
      <c r="T2531">
        <v>4</v>
      </c>
      <c r="U2531">
        <v>7.89</v>
      </c>
      <c r="V2531">
        <v>683</v>
      </c>
      <c r="W2531">
        <v>10</v>
      </c>
      <c r="X2531">
        <v>1.2970000000000001E-2</v>
      </c>
      <c r="Y2531">
        <f>0.01531-X2531</f>
        <v>2.3400000000000001E-3</v>
      </c>
      <c r="AA2531" s="6"/>
      <c r="AB2531" s="6"/>
    </row>
    <row r="2532" spans="1:28" x14ac:dyDescent="0.2">
      <c r="A2532" t="s">
        <v>633</v>
      </c>
      <c r="B2532">
        <v>2017</v>
      </c>
      <c r="C2532" t="s">
        <v>826</v>
      </c>
      <c r="D2532" t="s">
        <v>824</v>
      </c>
      <c r="E2532" t="s">
        <v>48</v>
      </c>
      <c r="F2532" t="s">
        <v>532</v>
      </c>
      <c r="G2532">
        <v>78.066044000000005</v>
      </c>
      <c r="H2532">
        <v>12.608806</v>
      </c>
      <c r="J2532" s="2" t="s">
        <v>16</v>
      </c>
      <c r="K2532" t="s">
        <v>143</v>
      </c>
      <c r="L2532" t="s">
        <v>143</v>
      </c>
      <c r="M2532" t="s">
        <v>553</v>
      </c>
      <c r="N2532" t="s">
        <v>85</v>
      </c>
      <c r="O2532" s="6" t="s">
        <v>366</v>
      </c>
      <c r="P2532" t="s">
        <v>349</v>
      </c>
      <c r="Q2532">
        <v>18</v>
      </c>
      <c r="R2532" t="s">
        <v>213</v>
      </c>
      <c r="S2532" s="2" t="s">
        <v>37</v>
      </c>
      <c r="T2532">
        <v>4</v>
      </c>
      <c r="U2532">
        <v>7.58</v>
      </c>
      <c r="V2532">
        <v>1456</v>
      </c>
      <c r="W2532">
        <v>10</v>
      </c>
      <c r="X2532">
        <v>0.01</v>
      </c>
      <c r="Y2532">
        <f>0.01414-X2532</f>
        <v>4.1399999999999996E-3</v>
      </c>
      <c r="AA2532" s="6"/>
      <c r="AB2532" s="6"/>
    </row>
    <row r="2533" spans="1:28" x14ac:dyDescent="0.2">
      <c r="A2533" t="s">
        <v>633</v>
      </c>
      <c r="B2533">
        <v>2017</v>
      </c>
      <c r="C2533" t="s">
        <v>826</v>
      </c>
      <c r="D2533" t="s">
        <v>824</v>
      </c>
      <c r="E2533" t="s">
        <v>48</v>
      </c>
      <c r="F2533" t="s">
        <v>307</v>
      </c>
      <c r="G2533">
        <v>54.183827999999998</v>
      </c>
      <c r="H2533">
        <v>7.8726450000000003</v>
      </c>
      <c r="J2533" s="2" t="s">
        <v>7</v>
      </c>
      <c r="K2533" t="s">
        <v>143</v>
      </c>
      <c r="L2533" t="s">
        <v>143</v>
      </c>
      <c r="M2533" t="s">
        <v>553</v>
      </c>
      <c r="N2533" t="s">
        <v>85</v>
      </c>
      <c r="O2533" s="6" t="s">
        <v>366</v>
      </c>
      <c r="P2533" t="s">
        <v>349</v>
      </c>
      <c r="Q2533">
        <v>18</v>
      </c>
      <c r="R2533" t="s">
        <v>213</v>
      </c>
      <c r="S2533" s="2" t="s">
        <v>7</v>
      </c>
      <c r="T2533">
        <v>4</v>
      </c>
      <c r="U2533">
        <v>8.06</v>
      </c>
      <c r="V2533">
        <v>423</v>
      </c>
      <c r="W2533">
        <v>10</v>
      </c>
      <c r="X2533">
        <v>1.502E-2</v>
      </c>
      <c r="Y2533">
        <f>0.02033-X2533</f>
        <v>5.3100000000000005E-3</v>
      </c>
      <c r="AA2533" s="6"/>
      <c r="AB2533" s="6"/>
    </row>
    <row r="2534" spans="1:28" x14ac:dyDescent="0.2">
      <c r="A2534" t="s">
        <v>633</v>
      </c>
      <c r="B2534">
        <v>2017</v>
      </c>
      <c r="C2534" t="s">
        <v>826</v>
      </c>
      <c r="D2534" t="s">
        <v>824</v>
      </c>
      <c r="E2534" t="s">
        <v>48</v>
      </c>
      <c r="F2534" t="s">
        <v>307</v>
      </c>
      <c r="G2534">
        <v>54.183827999999998</v>
      </c>
      <c r="H2534">
        <v>7.8726450000000003</v>
      </c>
      <c r="J2534" s="2" t="s">
        <v>5</v>
      </c>
      <c r="K2534" t="s">
        <v>143</v>
      </c>
      <c r="L2534" t="s">
        <v>143</v>
      </c>
      <c r="M2534" t="s">
        <v>553</v>
      </c>
      <c r="N2534" t="s">
        <v>85</v>
      </c>
      <c r="O2534" s="6" t="s">
        <v>366</v>
      </c>
      <c r="P2534" t="s">
        <v>349</v>
      </c>
      <c r="Q2534">
        <v>18</v>
      </c>
      <c r="R2534" t="s">
        <v>213</v>
      </c>
      <c r="S2534" s="2" t="s">
        <v>9</v>
      </c>
      <c r="T2534">
        <v>4</v>
      </c>
      <c r="U2534">
        <v>7.82</v>
      </c>
      <c r="V2534">
        <v>769</v>
      </c>
      <c r="W2534" t="s">
        <v>28</v>
      </c>
      <c r="X2534">
        <v>1.502E-2</v>
      </c>
      <c r="Y2534">
        <f>0.02347-X2534</f>
        <v>8.4500000000000009E-3</v>
      </c>
      <c r="AA2534" s="6"/>
      <c r="AB2534" s="6"/>
    </row>
    <row r="2535" spans="1:28" x14ac:dyDescent="0.2">
      <c r="A2535" t="s">
        <v>633</v>
      </c>
      <c r="B2535">
        <v>2017</v>
      </c>
      <c r="C2535" t="s">
        <v>826</v>
      </c>
      <c r="D2535" t="s">
        <v>824</v>
      </c>
      <c r="E2535" t="s">
        <v>48</v>
      </c>
      <c r="F2535" t="s">
        <v>307</v>
      </c>
      <c r="G2535">
        <v>54.183827999999998</v>
      </c>
      <c r="H2535">
        <v>7.8726450000000003</v>
      </c>
      <c r="J2535" s="2" t="s">
        <v>5</v>
      </c>
      <c r="K2535" t="s">
        <v>143</v>
      </c>
      <c r="L2535" t="s">
        <v>143</v>
      </c>
      <c r="M2535" t="s">
        <v>553</v>
      </c>
      <c r="N2535" t="s">
        <v>85</v>
      </c>
      <c r="O2535" s="6" t="s">
        <v>366</v>
      </c>
      <c r="P2535" t="s">
        <v>349</v>
      </c>
      <c r="Q2535">
        <v>18</v>
      </c>
      <c r="R2535" t="s">
        <v>213</v>
      </c>
      <c r="S2535" s="2" t="s">
        <v>27</v>
      </c>
      <c r="T2535">
        <v>4</v>
      </c>
      <c r="U2535">
        <v>7.56</v>
      </c>
      <c r="V2535">
        <v>1437</v>
      </c>
      <c r="W2535" t="s">
        <v>28</v>
      </c>
      <c r="X2535">
        <v>1.2970000000000001E-2</v>
      </c>
      <c r="Y2535">
        <f>0.01879-X2535</f>
        <v>5.8200000000000005E-3</v>
      </c>
      <c r="AA2535" s="6"/>
      <c r="AB2535" s="6"/>
    </row>
    <row r="2536" spans="1:28" x14ac:dyDescent="0.2">
      <c r="A2536" t="s">
        <v>633</v>
      </c>
      <c r="B2536">
        <v>2017</v>
      </c>
      <c r="C2536" t="s">
        <v>826</v>
      </c>
      <c r="D2536" t="s">
        <v>824</v>
      </c>
      <c r="E2536" t="s">
        <v>48</v>
      </c>
      <c r="F2536" t="s">
        <v>307</v>
      </c>
      <c r="G2536">
        <v>54.183827999999998</v>
      </c>
      <c r="H2536">
        <v>7.8726450000000003</v>
      </c>
      <c r="J2536" s="2" t="s">
        <v>14</v>
      </c>
      <c r="K2536" t="s">
        <v>143</v>
      </c>
      <c r="L2536" t="s">
        <v>143</v>
      </c>
      <c r="M2536" t="s">
        <v>553</v>
      </c>
      <c r="N2536" t="s">
        <v>85</v>
      </c>
      <c r="O2536" s="6" t="s">
        <v>366</v>
      </c>
      <c r="P2536" t="s">
        <v>349</v>
      </c>
      <c r="Q2536">
        <v>18</v>
      </c>
      <c r="R2536" t="s">
        <v>213</v>
      </c>
      <c r="S2536" s="2" t="s">
        <v>13</v>
      </c>
      <c r="T2536">
        <v>4</v>
      </c>
      <c r="U2536" t="s">
        <v>28</v>
      </c>
      <c r="V2536" t="s">
        <v>28</v>
      </c>
      <c r="W2536">
        <v>17</v>
      </c>
      <c r="X2536">
        <v>4.9800000000000001E-3</v>
      </c>
      <c r="Y2536">
        <f>0.00674-X2536</f>
        <v>1.7600000000000003E-3</v>
      </c>
      <c r="AA2536" s="6"/>
      <c r="AB2536" s="6"/>
    </row>
    <row r="2537" spans="1:28" x14ac:dyDescent="0.2">
      <c r="A2537" t="s">
        <v>633</v>
      </c>
      <c r="B2537">
        <v>2017</v>
      </c>
      <c r="C2537" t="s">
        <v>826</v>
      </c>
      <c r="D2537" t="s">
        <v>824</v>
      </c>
      <c r="E2537" t="s">
        <v>48</v>
      </c>
      <c r="F2537" t="s">
        <v>307</v>
      </c>
      <c r="G2537">
        <v>54.183827999999998</v>
      </c>
      <c r="H2537">
        <v>7.8726450000000003</v>
      </c>
      <c r="J2537" s="2" t="s">
        <v>16</v>
      </c>
      <c r="K2537" t="s">
        <v>143</v>
      </c>
      <c r="L2537" t="s">
        <v>143</v>
      </c>
      <c r="M2537" t="s">
        <v>553</v>
      </c>
      <c r="N2537" t="s">
        <v>85</v>
      </c>
      <c r="O2537" s="6" t="s">
        <v>366</v>
      </c>
      <c r="P2537" t="s">
        <v>349</v>
      </c>
      <c r="Q2537">
        <v>18</v>
      </c>
      <c r="R2537" t="s">
        <v>213</v>
      </c>
      <c r="S2537" t="s">
        <v>15</v>
      </c>
      <c r="T2537">
        <v>4</v>
      </c>
      <c r="U2537">
        <v>7.82</v>
      </c>
      <c r="V2537">
        <v>783</v>
      </c>
      <c r="W2537">
        <v>17</v>
      </c>
      <c r="X2537">
        <v>4.9800000000000001E-3</v>
      </c>
      <c r="Y2537">
        <f>0.00728-X2537</f>
        <v>2.3E-3</v>
      </c>
      <c r="AA2537" s="6"/>
      <c r="AB2537" s="6"/>
    </row>
    <row r="2538" spans="1:28" x14ac:dyDescent="0.2">
      <c r="A2538" t="s">
        <v>633</v>
      </c>
      <c r="B2538">
        <v>2017</v>
      </c>
      <c r="C2538" t="s">
        <v>826</v>
      </c>
      <c r="D2538" t="s">
        <v>824</v>
      </c>
      <c r="E2538" t="s">
        <v>48</v>
      </c>
      <c r="F2538" t="s">
        <v>307</v>
      </c>
      <c r="G2538">
        <v>54.183827999999998</v>
      </c>
      <c r="H2538">
        <v>7.8726450000000003</v>
      </c>
      <c r="J2538" s="2" t="s">
        <v>16</v>
      </c>
      <c r="K2538" t="s">
        <v>143</v>
      </c>
      <c r="L2538" t="s">
        <v>143</v>
      </c>
      <c r="M2538" t="s">
        <v>553</v>
      </c>
      <c r="N2538" t="s">
        <v>85</v>
      </c>
      <c r="O2538" s="6" t="s">
        <v>366</v>
      </c>
      <c r="P2538" t="s">
        <v>349</v>
      </c>
      <c r="Q2538">
        <v>18</v>
      </c>
      <c r="R2538" t="s">
        <v>213</v>
      </c>
      <c r="S2538" s="2" t="s">
        <v>37</v>
      </c>
      <c r="T2538">
        <v>4</v>
      </c>
      <c r="U2538">
        <v>7.56</v>
      </c>
      <c r="V2538">
        <v>1505</v>
      </c>
      <c r="W2538">
        <v>17</v>
      </c>
      <c r="X2538">
        <v>4.0600000000000002E-3</v>
      </c>
      <c r="Y2538">
        <f>0.0069-X2538</f>
        <v>2.8399999999999996E-3</v>
      </c>
      <c r="AA2538" s="6"/>
      <c r="AB2538" s="6"/>
    </row>
    <row r="2539" spans="1:28" x14ac:dyDescent="0.2">
      <c r="A2539" t="s">
        <v>633</v>
      </c>
      <c r="B2539">
        <v>2017</v>
      </c>
      <c r="C2539" t="s">
        <v>826</v>
      </c>
      <c r="D2539" t="s">
        <v>824</v>
      </c>
      <c r="E2539" t="s">
        <v>48</v>
      </c>
      <c r="F2539" t="s">
        <v>532</v>
      </c>
      <c r="G2539">
        <v>78.066044000000005</v>
      </c>
      <c r="H2539">
        <v>12.608806</v>
      </c>
      <c r="J2539" s="2" t="s">
        <v>7</v>
      </c>
      <c r="K2539" t="s">
        <v>143</v>
      </c>
      <c r="L2539" t="s">
        <v>143</v>
      </c>
      <c r="M2539" t="s">
        <v>553</v>
      </c>
      <c r="N2539" t="s">
        <v>85</v>
      </c>
      <c r="O2539" s="6" t="s">
        <v>368</v>
      </c>
      <c r="P2539" t="s">
        <v>349</v>
      </c>
      <c r="Q2539">
        <v>18</v>
      </c>
      <c r="R2539" t="s">
        <v>213</v>
      </c>
      <c r="S2539" s="2" t="s">
        <v>7</v>
      </c>
      <c r="T2539">
        <v>4</v>
      </c>
      <c r="U2539">
        <v>8.07</v>
      </c>
      <c r="V2539">
        <v>402</v>
      </c>
      <c r="W2539">
        <v>4</v>
      </c>
      <c r="X2539">
        <v>0.08</v>
      </c>
      <c r="Y2539">
        <f>0.0857-X2539</f>
        <v>5.6999999999999967E-3</v>
      </c>
      <c r="AA2539" s="6"/>
      <c r="AB2539" s="6"/>
    </row>
    <row r="2540" spans="1:28" x14ac:dyDescent="0.2">
      <c r="A2540" t="s">
        <v>633</v>
      </c>
      <c r="B2540">
        <v>2017</v>
      </c>
      <c r="C2540" t="s">
        <v>826</v>
      </c>
      <c r="D2540" t="s">
        <v>824</v>
      </c>
      <c r="E2540" t="s">
        <v>48</v>
      </c>
      <c r="F2540" t="s">
        <v>532</v>
      </c>
      <c r="G2540">
        <v>78.066044000000005</v>
      </c>
      <c r="H2540">
        <v>12.608806</v>
      </c>
      <c r="J2540" s="2" t="s">
        <v>5</v>
      </c>
      <c r="K2540" t="s">
        <v>143</v>
      </c>
      <c r="L2540" t="s">
        <v>143</v>
      </c>
      <c r="M2540" t="s">
        <v>553</v>
      </c>
      <c r="N2540" t="s">
        <v>85</v>
      </c>
      <c r="O2540" s="6" t="s">
        <v>368</v>
      </c>
      <c r="P2540" t="s">
        <v>349</v>
      </c>
      <c r="Q2540">
        <v>18</v>
      </c>
      <c r="R2540" t="s">
        <v>213</v>
      </c>
      <c r="S2540" s="2" t="s">
        <v>9</v>
      </c>
      <c r="T2540">
        <v>4</v>
      </c>
      <c r="U2540">
        <v>7.88</v>
      </c>
      <c r="V2540">
        <v>644</v>
      </c>
      <c r="W2540" t="s">
        <v>28</v>
      </c>
      <c r="X2540">
        <v>8.4000000000000005E-2</v>
      </c>
      <c r="Y2540">
        <f>0.0914-X2540</f>
        <v>7.3999999999999899E-3</v>
      </c>
      <c r="AA2540" s="6"/>
      <c r="AB2540" s="6"/>
    </row>
    <row r="2541" spans="1:28" x14ac:dyDescent="0.2">
      <c r="A2541" t="s">
        <v>633</v>
      </c>
      <c r="B2541">
        <v>2017</v>
      </c>
      <c r="C2541" t="s">
        <v>826</v>
      </c>
      <c r="D2541" t="s">
        <v>824</v>
      </c>
      <c r="E2541" t="s">
        <v>48</v>
      </c>
      <c r="F2541" t="s">
        <v>532</v>
      </c>
      <c r="G2541">
        <v>78.066044000000005</v>
      </c>
      <c r="H2541">
        <v>12.608806</v>
      </c>
      <c r="J2541" s="2" t="s">
        <v>5</v>
      </c>
      <c r="K2541" t="s">
        <v>143</v>
      </c>
      <c r="L2541" t="s">
        <v>143</v>
      </c>
      <c r="M2541" t="s">
        <v>553</v>
      </c>
      <c r="N2541" t="s">
        <v>85</v>
      </c>
      <c r="O2541" s="6" t="s">
        <v>368</v>
      </c>
      <c r="P2541" t="s">
        <v>349</v>
      </c>
      <c r="Q2541">
        <v>18</v>
      </c>
      <c r="R2541" t="s">
        <v>213</v>
      </c>
      <c r="S2541" s="2" t="s">
        <v>27</v>
      </c>
      <c r="T2541">
        <v>4</v>
      </c>
      <c r="U2541">
        <v>7.57</v>
      </c>
      <c r="V2541">
        <v>1354</v>
      </c>
      <c r="W2541" t="s">
        <v>28</v>
      </c>
      <c r="X2541">
        <v>7.7100000000000002E-2</v>
      </c>
      <c r="Y2541">
        <f>0.0847-X2541</f>
        <v>7.5999999999999956E-3</v>
      </c>
      <c r="AA2541" s="6"/>
      <c r="AB2541" s="6"/>
    </row>
    <row r="2542" spans="1:28" x14ac:dyDescent="0.2">
      <c r="A2542" t="s">
        <v>633</v>
      </c>
      <c r="B2542">
        <v>2017</v>
      </c>
      <c r="C2542" t="s">
        <v>826</v>
      </c>
      <c r="D2542" t="s">
        <v>824</v>
      </c>
      <c r="E2542" t="s">
        <v>48</v>
      </c>
      <c r="F2542" t="s">
        <v>532</v>
      </c>
      <c r="G2542">
        <v>78.066044000000005</v>
      </c>
      <c r="H2542">
        <v>12.608806</v>
      </c>
      <c r="J2542" s="2" t="s">
        <v>14</v>
      </c>
      <c r="K2542" t="s">
        <v>143</v>
      </c>
      <c r="L2542" t="s">
        <v>143</v>
      </c>
      <c r="M2542" t="s">
        <v>553</v>
      </c>
      <c r="N2542" t="s">
        <v>85</v>
      </c>
      <c r="O2542" s="6" t="s">
        <v>368</v>
      </c>
      <c r="P2542" t="s">
        <v>349</v>
      </c>
      <c r="Q2542">
        <v>18</v>
      </c>
      <c r="R2542" t="s">
        <v>213</v>
      </c>
      <c r="S2542" s="2" t="s">
        <v>13</v>
      </c>
      <c r="T2542">
        <v>4</v>
      </c>
      <c r="U2542" t="s">
        <v>28</v>
      </c>
      <c r="V2542" t="s">
        <v>28</v>
      </c>
      <c r="W2542">
        <v>10</v>
      </c>
      <c r="X2542">
        <v>7.5800000000000006E-2</v>
      </c>
      <c r="Y2542">
        <f>0.0773-X2542</f>
        <v>1.4999999999999875E-3</v>
      </c>
      <c r="AA2542" s="6"/>
      <c r="AB2542" s="6"/>
    </row>
    <row r="2543" spans="1:28" x14ac:dyDescent="0.2">
      <c r="A2543" t="s">
        <v>633</v>
      </c>
      <c r="B2543">
        <v>2017</v>
      </c>
      <c r="C2543" t="s">
        <v>826</v>
      </c>
      <c r="D2543" t="s">
        <v>824</v>
      </c>
      <c r="E2543" t="s">
        <v>48</v>
      </c>
      <c r="F2543" t="s">
        <v>532</v>
      </c>
      <c r="G2543">
        <v>78.066044000000005</v>
      </c>
      <c r="H2543">
        <v>12.608806</v>
      </c>
      <c r="J2543" s="2" t="s">
        <v>16</v>
      </c>
      <c r="K2543" t="s">
        <v>143</v>
      </c>
      <c r="L2543" t="s">
        <v>143</v>
      </c>
      <c r="M2543" t="s">
        <v>553</v>
      </c>
      <c r="N2543" t="s">
        <v>85</v>
      </c>
      <c r="O2543" s="6" t="s">
        <v>368</v>
      </c>
      <c r="P2543" t="s">
        <v>349</v>
      </c>
      <c r="Q2543">
        <v>18</v>
      </c>
      <c r="R2543" t="s">
        <v>213</v>
      </c>
      <c r="S2543" t="s">
        <v>15</v>
      </c>
      <c r="T2543">
        <v>4</v>
      </c>
      <c r="U2543">
        <v>7.89</v>
      </c>
      <c r="V2543">
        <v>683</v>
      </c>
      <c r="W2543">
        <v>10</v>
      </c>
      <c r="X2543">
        <v>7.5800000000000006E-2</v>
      </c>
      <c r="Y2543">
        <f>0.08-X2543</f>
        <v>4.1999999999999954E-3</v>
      </c>
      <c r="AA2543" s="6"/>
      <c r="AB2543" s="6"/>
    </row>
    <row r="2544" spans="1:28" x14ac:dyDescent="0.2">
      <c r="A2544" t="s">
        <v>633</v>
      </c>
      <c r="B2544">
        <v>2017</v>
      </c>
      <c r="C2544" t="s">
        <v>826</v>
      </c>
      <c r="D2544" t="s">
        <v>824</v>
      </c>
      <c r="E2544" t="s">
        <v>48</v>
      </c>
      <c r="F2544" t="s">
        <v>532</v>
      </c>
      <c r="G2544">
        <v>78.066044000000005</v>
      </c>
      <c r="H2544">
        <v>12.608806</v>
      </c>
      <c r="J2544" s="2" t="s">
        <v>16</v>
      </c>
      <c r="K2544" t="s">
        <v>143</v>
      </c>
      <c r="L2544" t="s">
        <v>143</v>
      </c>
      <c r="M2544" t="s">
        <v>553</v>
      </c>
      <c r="N2544" t="s">
        <v>85</v>
      </c>
      <c r="O2544" s="6" t="s">
        <v>368</v>
      </c>
      <c r="P2544" t="s">
        <v>349</v>
      </c>
      <c r="Q2544">
        <v>18</v>
      </c>
      <c r="R2544" t="s">
        <v>213</v>
      </c>
      <c r="S2544" s="2" t="s">
        <v>37</v>
      </c>
      <c r="T2544">
        <v>4</v>
      </c>
      <c r="U2544">
        <v>7.58</v>
      </c>
      <c r="V2544">
        <v>1456</v>
      </c>
      <c r="W2544">
        <v>10</v>
      </c>
      <c r="X2544">
        <v>7.4200000000000002E-2</v>
      </c>
      <c r="Y2544">
        <f>0.0794-X2544</f>
        <v>5.1999999999999963E-3</v>
      </c>
      <c r="AA2544" s="6"/>
      <c r="AB2544" s="6"/>
    </row>
    <row r="2545" spans="1:28" x14ac:dyDescent="0.2">
      <c r="A2545" t="s">
        <v>633</v>
      </c>
      <c r="B2545">
        <v>2017</v>
      </c>
      <c r="C2545" t="s">
        <v>826</v>
      </c>
      <c r="D2545" t="s">
        <v>824</v>
      </c>
      <c r="E2545" t="s">
        <v>48</v>
      </c>
      <c r="F2545" t="s">
        <v>307</v>
      </c>
      <c r="G2545">
        <v>54.183827999999998</v>
      </c>
      <c r="H2545">
        <v>7.8726450000000003</v>
      </c>
      <c r="J2545" s="2" t="s">
        <v>7</v>
      </c>
      <c r="K2545" t="s">
        <v>143</v>
      </c>
      <c r="L2545" t="s">
        <v>143</v>
      </c>
      <c r="M2545" t="s">
        <v>553</v>
      </c>
      <c r="N2545" t="s">
        <v>85</v>
      </c>
      <c r="O2545" s="6" t="s">
        <v>368</v>
      </c>
      <c r="P2545" t="s">
        <v>349</v>
      </c>
      <c r="Q2545">
        <v>18</v>
      </c>
      <c r="R2545" t="s">
        <v>213</v>
      </c>
      <c r="S2545" s="2" t="s">
        <v>7</v>
      </c>
      <c r="T2545">
        <v>4</v>
      </c>
      <c r="U2545">
        <v>8.06</v>
      </c>
      <c r="V2545">
        <v>423</v>
      </c>
      <c r="W2545">
        <v>10</v>
      </c>
      <c r="X2545">
        <v>0.1021</v>
      </c>
      <c r="Y2545">
        <f>0.1109-X2545</f>
        <v>8.8000000000000023E-3</v>
      </c>
      <c r="AA2545" s="6"/>
      <c r="AB2545" s="6"/>
    </row>
    <row r="2546" spans="1:28" x14ac:dyDescent="0.2">
      <c r="A2546" t="s">
        <v>633</v>
      </c>
      <c r="B2546">
        <v>2017</v>
      </c>
      <c r="C2546" t="s">
        <v>826</v>
      </c>
      <c r="D2546" t="s">
        <v>824</v>
      </c>
      <c r="E2546" t="s">
        <v>48</v>
      </c>
      <c r="F2546" t="s">
        <v>307</v>
      </c>
      <c r="G2546">
        <v>54.183827999999998</v>
      </c>
      <c r="H2546">
        <v>7.8726450000000003</v>
      </c>
      <c r="J2546" s="2" t="s">
        <v>5</v>
      </c>
      <c r="K2546" t="s">
        <v>143</v>
      </c>
      <c r="L2546" t="s">
        <v>143</v>
      </c>
      <c r="M2546" t="s">
        <v>553</v>
      </c>
      <c r="N2546" t="s">
        <v>85</v>
      </c>
      <c r="O2546" s="6" t="s">
        <v>368</v>
      </c>
      <c r="P2546" t="s">
        <v>349</v>
      </c>
      <c r="Q2546">
        <v>18</v>
      </c>
      <c r="R2546" t="s">
        <v>213</v>
      </c>
      <c r="S2546" s="2" t="s">
        <v>9</v>
      </c>
      <c r="T2546">
        <v>4</v>
      </c>
      <c r="U2546">
        <v>7.82</v>
      </c>
      <c r="V2546">
        <v>769</v>
      </c>
      <c r="W2546" t="s">
        <v>28</v>
      </c>
      <c r="X2546">
        <v>0.1069</v>
      </c>
      <c r="Y2546">
        <f>0.1174-X2546</f>
        <v>1.0500000000000009E-2</v>
      </c>
      <c r="AA2546" s="6"/>
      <c r="AB2546" s="6"/>
    </row>
    <row r="2547" spans="1:28" x14ac:dyDescent="0.2">
      <c r="A2547" t="s">
        <v>633</v>
      </c>
      <c r="B2547">
        <v>2017</v>
      </c>
      <c r="C2547" t="s">
        <v>826</v>
      </c>
      <c r="D2547" t="s">
        <v>824</v>
      </c>
      <c r="E2547" t="s">
        <v>48</v>
      </c>
      <c r="F2547" t="s">
        <v>307</v>
      </c>
      <c r="G2547">
        <v>54.183827999999998</v>
      </c>
      <c r="H2547">
        <v>7.8726450000000003</v>
      </c>
      <c r="J2547" s="2" t="s">
        <v>5</v>
      </c>
      <c r="K2547" t="s">
        <v>143</v>
      </c>
      <c r="L2547" t="s">
        <v>143</v>
      </c>
      <c r="M2547" t="s">
        <v>553</v>
      </c>
      <c r="N2547" t="s">
        <v>85</v>
      </c>
      <c r="O2547" s="6" t="s">
        <v>368</v>
      </c>
      <c r="P2547" t="s">
        <v>349</v>
      </c>
      <c r="Q2547">
        <v>18</v>
      </c>
      <c r="R2547" t="s">
        <v>213</v>
      </c>
      <c r="S2547" s="2" t="s">
        <v>27</v>
      </c>
      <c r="T2547">
        <v>4</v>
      </c>
      <c r="U2547">
        <v>7.56</v>
      </c>
      <c r="V2547">
        <v>1437</v>
      </c>
      <c r="W2547" t="s">
        <v>28</v>
      </c>
      <c r="X2547">
        <v>0.1179</v>
      </c>
      <c r="Y2547">
        <f>0.1309-X2547</f>
        <v>1.2999999999999984E-2</v>
      </c>
      <c r="AA2547" s="6"/>
      <c r="AB2547" s="6"/>
    </row>
    <row r="2548" spans="1:28" x14ac:dyDescent="0.2">
      <c r="A2548" t="s">
        <v>633</v>
      </c>
      <c r="B2548">
        <v>2017</v>
      </c>
      <c r="C2548" t="s">
        <v>826</v>
      </c>
      <c r="D2548" t="s">
        <v>824</v>
      </c>
      <c r="E2548" t="s">
        <v>48</v>
      </c>
      <c r="F2548" t="s">
        <v>307</v>
      </c>
      <c r="G2548">
        <v>54.183827999999998</v>
      </c>
      <c r="H2548">
        <v>7.8726450000000003</v>
      </c>
      <c r="J2548" s="2" t="s">
        <v>14</v>
      </c>
      <c r="K2548" t="s">
        <v>143</v>
      </c>
      <c r="L2548" t="s">
        <v>143</v>
      </c>
      <c r="M2548" t="s">
        <v>553</v>
      </c>
      <c r="N2548" t="s">
        <v>85</v>
      </c>
      <c r="O2548" s="6" t="s">
        <v>368</v>
      </c>
      <c r="P2548" t="s">
        <v>349</v>
      </c>
      <c r="Q2548">
        <v>18</v>
      </c>
      <c r="R2548" t="s">
        <v>213</v>
      </c>
      <c r="S2548" s="2" t="s">
        <v>13</v>
      </c>
      <c r="T2548">
        <v>4</v>
      </c>
      <c r="U2548" t="s">
        <v>28</v>
      </c>
      <c r="V2548" t="s">
        <v>28</v>
      </c>
      <c r="W2548">
        <v>17</v>
      </c>
      <c r="X2548">
        <v>0.10589999999999999</v>
      </c>
      <c r="Y2548">
        <f>0.1086-X2548</f>
        <v>2.7000000000000079E-3</v>
      </c>
      <c r="AA2548" s="6"/>
      <c r="AB2548" s="6"/>
    </row>
    <row r="2549" spans="1:28" x14ac:dyDescent="0.2">
      <c r="A2549" t="s">
        <v>633</v>
      </c>
      <c r="B2549">
        <v>2017</v>
      </c>
      <c r="C2549" t="s">
        <v>826</v>
      </c>
      <c r="D2549" t="s">
        <v>824</v>
      </c>
      <c r="E2549" t="s">
        <v>48</v>
      </c>
      <c r="F2549" t="s">
        <v>307</v>
      </c>
      <c r="G2549">
        <v>54.183827999999998</v>
      </c>
      <c r="H2549">
        <v>7.8726450000000003</v>
      </c>
      <c r="J2549" s="2" t="s">
        <v>16</v>
      </c>
      <c r="K2549" t="s">
        <v>143</v>
      </c>
      <c r="L2549" t="s">
        <v>143</v>
      </c>
      <c r="M2549" t="s">
        <v>553</v>
      </c>
      <c r="N2549" t="s">
        <v>85</v>
      </c>
      <c r="O2549" s="6" t="s">
        <v>368</v>
      </c>
      <c r="P2549" t="s">
        <v>349</v>
      </c>
      <c r="Q2549">
        <v>18</v>
      </c>
      <c r="R2549" t="s">
        <v>213</v>
      </c>
      <c r="S2549" t="s">
        <v>15</v>
      </c>
      <c r="T2549">
        <v>4</v>
      </c>
      <c r="U2549">
        <v>7.82</v>
      </c>
      <c r="V2549">
        <v>783</v>
      </c>
      <c r="W2549">
        <v>17</v>
      </c>
      <c r="X2549">
        <v>0.1</v>
      </c>
      <c r="Y2549">
        <f>0.1042-X2549</f>
        <v>4.1999999999999954E-3</v>
      </c>
      <c r="AA2549" s="6"/>
      <c r="AB2549" s="6"/>
    </row>
    <row r="2550" spans="1:28" x14ac:dyDescent="0.2">
      <c r="A2550" t="s">
        <v>633</v>
      </c>
      <c r="B2550">
        <v>2017</v>
      </c>
      <c r="C2550" t="s">
        <v>826</v>
      </c>
      <c r="D2550" t="s">
        <v>824</v>
      </c>
      <c r="E2550" t="s">
        <v>48</v>
      </c>
      <c r="F2550" t="s">
        <v>307</v>
      </c>
      <c r="G2550">
        <v>54.183827999999998</v>
      </c>
      <c r="H2550">
        <v>7.8726450000000003</v>
      </c>
      <c r="J2550" s="2" t="s">
        <v>16</v>
      </c>
      <c r="K2550" t="s">
        <v>143</v>
      </c>
      <c r="L2550" t="s">
        <v>143</v>
      </c>
      <c r="M2550" t="s">
        <v>553</v>
      </c>
      <c r="N2550" t="s">
        <v>85</v>
      </c>
      <c r="O2550" s="6" t="s">
        <v>368</v>
      </c>
      <c r="P2550" t="s">
        <v>349</v>
      </c>
      <c r="Q2550">
        <v>18</v>
      </c>
      <c r="R2550" t="s">
        <v>213</v>
      </c>
      <c r="S2550" s="2" t="s">
        <v>37</v>
      </c>
      <c r="T2550">
        <v>4</v>
      </c>
      <c r="U2550">
        <v>7.56</v>
      </c>
      <c r="V2550">
        <v>1505</v>
      </c>
      <c r="W2550">
        <v>17</v>
      </c>
      <c r="X2550">
        <v>9.1999999999999998E-2</v>
      </c>
      <c r="Y2550">
        <f>0.1015-X2550</f>
        <v>9.5000000000000084E-3</v>
      </c>
      <c r="AA2550" s="6"/>
      <c r="AB2550" s="6"/>
    </row>
    <row r="2551" spans="1:28" x14ac:dyDescent="0.2">
      <c r="A2551" t="s">
        <v>633</v>
      </c>
      <c r="B2551">
        <v>2017</v>
      </c>
      <c r="C2551" t="s">
        <v>826</v>
      </c>
      <c r="D2551" t="s">
        <v>824</v>
      </c>
      <c r="E2551" t="s">
        <v>48</v>
      </c>
      <c r="F2551" t="s">
        <v>532</v>
      </c>
      <c r="G2551">
        <v>78.066044000000005</v>
      </c>
      <c r="H2551">
        <v>12.608806</v>
      </c>
      <c r="J2551" s="2" t="s">
        <v>7</v>
      </c>
      <c r="K2551" t="s">
        <v>143</v>
      </c>
      <c r="L2551" t="s">
        <v>143</v>
      </c>
      <c r="M2551" t="s">
        <v>726</v>
      </c>
      <c r="N2551" t="s">
        <v>85</v>
      </c>
      <c r="O2551" s="6" t="s">
        <v>84</v>
      </c>
      <c r="Q2551">
        <v>14</v>
      </c>
      <c r="R2551" t="s">
        <v>213</v>
      </c>
      <c r="S2551" s="2" t="s">
        <v>7</v>
      </c>
      <c r="T2551">
        <v>6</v>
      </c>
      <c r="U2551">
        <v>8.07</v>
      </c>
      <c r="V2551">
        <v>402</v>
      </c>
      <c r="W2551">
        <v>4</v>
      </c>
      <c r="X2551">
        <v>0.63229999999999997</v>
      </c>
      <c r="Y2551">
        <f>0.674-X2551</f>
        <v>4.170000000000007E-2</v>
      </c>
      <c r="AA2551" s="6"/>
      <c r="AB2551" s="6"/>
    </row>
    <row r="2552" spans="1:28" x14ac:dyDescent="0.2">
      <c r="A2552" t="s">
        <v>633</v>
      </c>
      <c r="B2552">
        <v>2017</v>
      </c>
      <c r="C2552" t="s">
        <v>826</v>
      </c>
      <c r="D2552" t="s">
        <v>824</v>
      </c>
      <c r="E2552" t="s">
        <v>48</v>
      </c>
      <c r="F2552" t="s">
        <v>532</v>
      </c>
      <c r="G2552">
        <v>78.066044000000005</v>
      </c>
      <c r="H2552">
        <v>12.608806</v>
      </c>
      <c r="J2552" s="2" t="s">
        <v>5</v>
      </c>
      <c r="K2552" t="s">
        <v>143</v>
      </c>
      <c r="L2552" t="s">
        <v>143</v>
      </c>
      <c r="M2552" t="s">
        <v>726</v>
      </c>
      <c r="N2552" t="s">
        <v>85</v>
      </c>
      <c r="O2552" s="6" t="s">
        <v>84</v>
      </c>
      <c r="Q2552">
        <v>14</v>
      </c>
      <c r="R2552" t="s">
        <v>213</v>
      </c>
      <c r="S2552" s="2" t="s">
        <v>9</v>
      </c>
      <c r="T2552">
        <v>6</v>
      </c>
      <c r="U2552">
        <v>7.88</v>
      </c>
      <c r="V2552">
        <v>644</v>
      </c>
      <c r="W2552" t="s">
        <v>28</v>
      </c>
      <c r="X2552">
        <v>0.67400000000000004</v>
      </c>
      <c r="Y2552">
        <f>0.7014-X2552</f>
        <v>2.739999999999998E-2</v>
      </c>
      <c r="AA2552" s="6"/>
      <c r="AB2552" s="6"/>
    </row>
    <row r="2553" spans="1:28" x14ac:dyDescent="0.2">
      <c r="A2553" t="s">
        <v>633</v>
      </c>
      <c r="B2553">
        <v>2017</v>
      </c>
      <c r="C2553" t="s">
        <v>826</v>
      </c>
      <c r="D2553" t="s">
        <v>824</v>
      </c>
      <c r="E2553" t="s">
        <v>48</v>
      </c>
      <c r="F2553" t="s">
        <v>532</v>
      </c>
      <c r="G2553">
        <v>78.066044000000005</v>
      </c>
      <c r="H2553">
        <v>12.608806</v>
      </c>
      <c r="J2553" s="2" t="s">
        <v>5</v>
      </c>
      <c r="K2553" t="s">
        <v>143</v>
      </c>
      <c r="L2553" t="s">
        <v>143</v>
      </c>
      <c r="M2553" t="s">
        <v>726</v>
      </c>
      <c r="N2553" t="s">
        <v>85</v>
      </c>
      <c r="O2553" s="6" t="s">
        <v>84</v>
      </c>
      <c r="Q2553">
        <v>14</v>
      </c>
      <c r="R2553" t="s">
        <v>213</v>
      </c>
      <c r="S2553" s="2" t="s">
        <v>27</v>
      </c>
      <c r="T2553">
        <v>6</v>
      </c>
      <c r="U2553">
        <v>7.57</v>
      </c>
      <c r="V2553">
        <v>1354</v>
      </c>
      <c r="W2553" t="s">
        <v>28</v>
      </c>
      <c r="X2553">
        <v>0.59260000000000002</v>
      </c>
      <c r="Y2553">
        <f>0.674-X2553</f>
        <v>8.1400000000000028E-2</v>
      </c>
      <c r="AA2553" s="6"/>
      <c r="AB2553" s="6"/>
    </row>
    <row r="2554" spans="1:28" x14ac:dyDescent="0.2">
      <c r="A2554" t="s">
        <v>633</v>
      </c>
      <c r="B2554">
        <v>2017</v>
      </c>
      <c r="C2554" t="s">
        <v>826</v>
      </c>
      <c r="D2554" t="s">
        <v>824</v>
      </c>
      <c r="E2554" t="s">
        <v>48</v>
      </c>
      <c r="F2554" t="s">
        <v>532</v>
      </c>
      <c r="G2554">
        <v>78.066044000000005</v>
      </c>
      <c r="H2554">
        <v>12.608806</v>
      </c>
      <c r="J2554" s="2" t="s">
        <v>14</v>
      </c>
      <c r="K2554" t="s">
        <v>143</v>
      </c>
      <c r="L2554" t="s">
        <v>143</v>
      </c>
      <c r="M2554" t="s">
        <v>726</v>
      </c>
      <c r="N2554" t="s">
        <v>85</v>
      </c>
      <c r="O2554" s="6" t="s">
        <v>84</v>
      </c>
      <c r="Q2554">
        <v>14</v>
      </c>
      <c r="R2554" t="s">
        <v>213</v>
      </c>
      <c r="S2554" s="2" t="s">
        <v>13</v>
      </c>
      <c r="T2554">
        <v>6</v>
      </c>
      <c r="U2554" t="s">
        <v>28</v>
      </c>
      <c r="V2554" t="s">
        <v>28</v>
      </c>
      <c r="W2554">
        <v>10</v>
      </c>
      <c r="X2554">
        <v>0.68010000000000004</v>
      </c>
      <c r="Y2554">
        <f>0.7197-X2554</f>
        <v>3.9599999999999969E-2</v>
      </c>
      <c r="AA2554" s="6"/>
      <c r="AB2554" s="6"/>
    </row>
    <row r="2555" spans="1:28" x14ac:dyDescent="0.2">
      <c r="A2555" t="s">
        <v>633</v>
      </c>
      <c r="B2555">
        <v>2017</v>
      </c>
      <c r="C2555" t="s">
        <v>826</v>
      </c>
      <c r="D2555" t="s">
        <v>824</v>
      </c>
      <c r="E2555" t="s">
        <v>48</v>
      </c>
      <c r="F2555" t="s">
        <v>532</v>
      </c>
      <c r="G2555">
        <v>78.066044000000005</v>
      </c>
      <c r="H2555">
        <v>12.608806</v>
      </c>
      <c r="J2555" s="2" t="s">
        <v>16</v>
      </c>
      <c r="K2555" t="s">
        <v>143</v>
      </c>
      <c r="L2555" t="s">
        <v>143</v>
      </c>
      <c r="M2555" t="s">
        <v>726</v>
      </c>
      <c r="N2555" t="s">
        <v>85</v>
      </c>
      <c r="O2555" s="6" t="s">
        <v>84</v>
      </c>
      <c r="Q2555">
        <v>14</v>
      </c>
      <c r="R2555" t="s">
        <v>213</v>
      </c>
      <c r="S2555" t="s">
        <v>15</v>
      </c>
      <c r="T2555">
        <v>6</v>
      </c>
      <c r="U2555">
        <v>7.89</v>
      </c>
      <c r="V2555">
        <v>683</v>
      </c>
      <c r="W2555">
        <v>10</v>
      </c>
      <c r="X2555">
        <v>0.69730000000000003</v>
      </c>
      <c r="Y2555">
        <f>0.7329-X2555</f>
        <v>3.5599999999999965E-2</v>
      </c>
      <c r="AA2555" s="6"/>
      <c r="AB2555" s="6"/>
    </row>
    <row r="2556" spans="1:28" x14ac:dyDescent="0.2">
      <c r="A2556" t="s">
        <v>633</v>
      </c>
      <c r="B2556">
        <v>2017</v>
      </c>
      <c r="C2556" t="s">
        <v>826</v>
      </c>
      <c r="D2556" t="s">
        <v>824</v>
      </c>
      <c r="E2556" t="s">
        <v>48</v>
      </c>
      <c r="F2556" t="s">
        <v>532</v>
      </c>
      <c r="G2556">
        <v>78.066044000000005</v>
      </c>
      <c r="H2556">
        <v>12.608806</v>
      </c>
      <c r="J2556" s="2" t="s">
        <v>16</v>
      </c>
      <c r="K2556" t="s">
        <v>143</v>
      </c>
      <c r="L2556" t="s">
        <v>143</v>
      </c>
      <c r="M2556" t="s">
        <v>726</v>
      </c>
      <c r="N2556" t="s">
        <v>85</v>
      </c>
      <c r="O2556" s="6" t="s">
        <v>84</v>
      </c>
      <c r="Q2556">
        <v>14</v>
      </c>
      <c r="R2556" t="s">
        <v>213</v>
      </c>
      <c r="S2556" s="2" t="s">
        <v>37</v>
      </c>
      <c r="T2556">
        <v>6</v>
      </c>
      <c r="U2556">
        <v>7.58</v>
      </c>
      <c r="V2556">
        <v>1456</v>
      </c>
      <c r="W2556">
        <v>10</v>
      </c>
      <c r="X2556">
        <v>0.66579999999999995</v>
      </c>
      <c r="Y2556">
        <f>0.7014-X2556</f>
        <v>3.5600000000000076E-2</v>
      </c>
      <c r="AA2556" s="6"/>
      <c r="AB2556" s="6"/>
    </row>
    <row r="2557" spans="1:28" x14ac:dyDescent="0.2">
      <c r="A2557" t="s">
        <v>633</v>
      </c>
      <c r="B2557">
        <v>2017</v>
      </c>
      <c r="C2557" t="s">
        <v>826</v>
      </c>
      <c r="D2557" t="s">
        <v>824</v>
      </c>
      <c r="E2557" t="s">
        <v>48</v>
      </c>
      <c r="F2557" t="s">
        <v>307</v>
      </c>
      <c r="G2557">
        <v>54.183827999999998</v>
      </c>
      <c r="H2557">
        <v>7.8726450000000003</v>
      </c>
      <c r="J2557" s="2" t="s">
        <v>7</v>
      </c>
      <c r="K2557" t="s">
        <v>143</v>
      </c>
      <c r="L2557" t="s">
        <v>143</v>
      </c>
      <c r="M2557" t="s">
        <v>726</v>
      </c>
      <c r="N2557" t="s">
        <v>85</v>
      </c>
      <c r="O2557" s="6" t="s">
        <v>84</v>
      </c>
      <c r="Q2557">
        <v>14</v>
      </c>
      <c r="R2557" t="s">
        <v>213</v>
      </c>
      <c r="S2557" s="2" t="s">
        <v>7</v>
      </c>
      <c r="T2557">
        <v>6</v>
      </c>
      <c r="U2557">
        <v>8.06</v>
      </c>
      <c r="V2557">
        <v>423</v>
      </c>
      <c r="W2557">
        <v>10</v>
      </c>
      <c r="X2557">
        <v>0.69020000000000004</v>
      </c>
      <c r="Y2557">
        <f>0.7126-X2557</f>
        <v>2.2399999999999975E-2</v>
      </c>
      <c r="AA2557" s="6"/>
      <c r="AB2557" s="6"/>
    </row>
    <row r="2558" spans="1:28" x14ac:dyDescent="0.2">
      <c r="A2558" t="s">
        <v>633</v>
      </c>
      <c r="B2558">
        <v>2017</v>
      </c>
      <c r="C2558" t="s">
        <v>826</v>
      </c>
      <c r="D2558" t="s">
        <v>824</v>
      </c>
      <c r="E2558" t="s">
        <v>48</v>
      </c>
      <c r="F2558" t="s">
        <v>307</v>
      </c>
      <c r="G2558">
        <v>54.183827999999998</v>
      </c>
      <c r="H2558">
        <v>7.8726450000000003</v>
      </c>
      <c r="J2558" s="2" t="s">
        <v>5</v>
      </c>
      <c r="K2558" t="s">
        <v>143</v>
      </c>
      <c r="L2558" t="s">
        <v>143</v>
      </c>
      <c r="M2558" t="s">
        <v>726</v>
      </c>
      <c r="N2558" t="s">
        <v>85</v>
      </c>
      <c r="O2558" s="6" t="s">
        <v>84</v>
      </c>
      <c r="Q2558">
        <v>14</v>
      </c>
      <c r="R2558" t="s">
        <v>213</v>
      </c>
      <c r="S2558" s="2" t="s">
        <v>9</v>
      </c>
      <c r="T2558">
        <v>6</v>
      </c>
      <c r="U2558">
        <v>7.82</v>
      </c>
      <c r="V2558">
        <v>769</v>
      </c>
      <c r="W2558" t="s">
        <v>28</v>
      </c>
      <c r="X2558">
        <v>0.66679999999999995</v>
      </c>
      <c r="Y2558">
        <f>0.736-X2558</f>
        <v>6.9200000000000039E-2</v>
      </c>
      <c r="AA2558" s="6"/>
      <c r="AB2558" s="6"/>
    </row>
    <row r="2559" spans="1:28" x14ac:dyDescent="0.2">
      <c r="A2559" t="s">
        <v>633</v>
      </c>
      <c r="B2559">
        <v>2017</v>
      </c>
      <c r="C2559" t="s">
        <v>826</v>
      </c>
      <c r="D2559" t="s">
        <v>824</v>
      </c>
      <c r="E2559" t="s">
        <v>48</v>
      </c>
      <c r="F2559" t="s">
        <v>307</v>
      </c>
      <c r="G2559">
        <v>54.183827999999998</v>
      </c>
      <c r="H2559">
        <v>7.8726450000000003</v>
      </c>
      <c r="J2559" s="2" t="s">
        <v>5</v>
      </c>
      <c r="K2559" t="s">
        <v>143</v>
      </c>
      <c r="L2559" t="s">
        <v>143</v>
      </c>
      <c r="M2559" t="s">
        <v>726</v>
      </c>
      <c r="N2559" t="s">
        <v>85</v>
      </c>
      <c r="O2559" s="6" t="s">
        <v>84</v>
      </c>
      <c r="Q2559">
        <v>14</v>
      </c>
      <c r="R2559" t="s">
        <v>213</v>
      </c>
      <c r="S2559" s="2" t="s">
        <v>27</v>
      </c>
      <c r="T2559">
        <v>6</v>
      </c>
      <c r="U2559">
        <v>7.56</v>
      </c>
      <c r="V2559">
        <v>1437</v>
      </c>
      <c r="W2559" t="s">
        <v>28</v>
      </c>
      <c r="X2559">
        <v>0.66379999999999995</v>
      </c>
      <c r="Y2559">
        <f>0.7014-X2559</f>
        <v>3.7600000000000078E-2</v>
      </c>
      <c r="AA2559" s="6"/>
      <c r="AB2559" s="6"/>
    </row>
    <row r="2560" spans="1:28" x14ac:dyDescent="0.2">
      <c r="A2560" t="s">
        <v>633</v>
      </c>
      <c r="B2560">
        <v>2017</v>
      </c>
      <c r="C2560" t="s">
        <v>826</v>
      </c>
      <c r="D2560" t="s">
        <v>824</v>
      </c>
      <c r="E2560" t="s">
        <v>48</v>
      </c>
      <c r="F2560" t="s">
        <v>307</v>
      </c>
      <c r="G2560">
        <v>54.183827999999998</v>
      </c>
      <c r="H2560">
        <v>7.8726450000000003</v>
      </c>
      <c r="J2560" s="2" t="s">
        <v>14</v>
      </c>
      <c r="K2560" t="s">
        <v>143</v>
      </c>
      <c r="L2560" t="s">
        <v>143</v>
      </c>
      <c r="M2560" t="s">
        <v>726</v>
      </c>
      <c r="N2560" t="s">
        <v>85</v>
      </c>
      <c r="O2560" s="6" t="s">
        <v>84</v>
      </c>
      <c r="Q2560">
        <v>14</v>
      </c>
      <c r="R2560" t="s">
        <v>213</v>
      </c>
      <c r="S2560" s="2" t="s">
        <v>13</v>
      </c>
      <c r="T2560">
        <v>6</v>
      </c>
      <c r="U2560" t="s">
        <v>28</v>
      </c>
      <c r="V2560" t="s">
        <v>28</v>
      </c>
      <c r="W2560">
        <v>17</v>
      </c>
      <c r="X2560">
        <v>0.70950000000000002</v>
      </c>
      <c r="Y2560">
        <f>0.7278-X2560</f>
        <v>1.8299999999999983E-2</v>
      </c>
      <c r="AA2560" s="6"/>
      <c r="AB2560" s="6"/>
    </row>
    <row r="2561" spans="1:28" x14ac:dyDescent="0.2">
      <c r="A2561" t="s">
        <v>633</v>
      </c>
      <c r="B2561">
        <v>2017</v>
      </c>
      <c r="C2561" t="s">
        <v>826</v>
      </c>
      <c r="D2561" t="s">
        <v>824</v>
      </c>
      <c r="E2561" t="s">
        <v>48</v>
      </c>
      <c r="F2561" t="s">
        <v>307</v>
      </c>
      <c r="G2561">
        <v>54.183827999999998</v>
      </c>
      <c r="H2561">
        <v>7.8726450000000003</v>
      </c>
      <c r="J2561" s="2" t="s">
        <v>16</v>
      </c>
      <c r="K2561" t="s">
        <v>143</v>
      </c>
      <c r="L2561" t="s">
        <v>143</v>
      </c>
      <c r="M2561" t="s">
        <v>726</v>
      </c>
      <c r="N2561" t="s">
        <v>85</v>
      </c>
      <c r="O2561" s="6" t="s">
        <v>84</v>
      </c>
      <c r="Q2561">
        <v>14</v>
      </c>
      <c r="R2561" t="s">
        <v>213</v>
      </c>
      <c r="S2561" t="s">
        <v>15</v>
      </c>
      <c r="T2561">
        <v>6</v>
      </c>
      <c r="U2561">
        <v>7.82</v>
      </c>
      <c r="V2561">
        <v>783</v>
      </c>
      <c r="W2561">
        <v>17</v>
      </c>
      <c r="X2561">
        <v>0.68610000000000004</v>
      </c>
      <c r="Y2561">
        <f>0.7207-X2561</f>
        <v>3.4599999999999964E-2</v>
      </c>
      <c r="AA2561" s="6"/>
      <c r="AB2561" s="6"/>
    </row>
    <row r="2562" spans="1:28" x14ac:dyDescent="0.2">
      <c r="A2562" t="s">
        <v>633</v>
      </c>
      <c r="B2562">
        <v>2017</v>
      </c>
      <c r="C2562" t="s">
        <v>826</v>
      </c>
      <c r="D2562" t="s">
        <v>824</v>
      </c>
      <c r="E2562" t="s">
        <v>48</v>
      </c>
      <c r="F2562" t="s">
        <v>307</v>
      </c>
      <c r="G2562">
        <v>54.183827999999998</v>
      </c>
      <c r="H2562">
        <v>7.8726450000000003</v>
      </c>
      <c r="J2562" s="2" t="s">
        <v>16</v>
      </c>
      <c r="K2562" t="s">
        <v>143</v>
      </c>
      <c r="L2562" t="s">
        <v>143</v>
      </c>
      <c r="M2562" t="s">
        <v>726</v>
      </c>
      <c r="N2562" t="s">
        <v>85</v>
      </c>
      <c r="O2562" s="6" t="s">
        <v>84</v>
      </c>
      <c r="Q2562">
        <v>14</v>
      </c>
      <c r="R2562" t="s">
        <v>213</v>
      </c>
      <c r="S2562" s="2" t="s">
        <v>37</v>
      </c>
      <c r="T2562">
        <v>6</v>
      </c>
      <c r="U2562">
        <v>7.56</v>
      </c>
      <c r="V2562">
        <v>1505</v>
      </c>
      <c r="W2562">
        <v>17</v>
      </c>
      <c r="X2562">
        <v>0.69830000000000003</v>
      </c>
      <c r="Y2562">
        <f>0.7207-X2562</f>
        <v>2.2399999999999975E-2</v>
      </c>
      <c r="AA2562" s="6"/>
      <c r="AB2562" s="6"/>
    </row>
    <row r="2563" spans="1:28" x14ac:dyDescent="0.2">
      <c r="A2563" t="s">
        <v>633</v>
      </c>
      <c r="B2563">
        <v>2017</v>
      </c>
      <c r="C2563" t="s">
        <v>826</v>
      </c>
      <c r="D2563" t="s">
        <v>824</v>
      </c>
      <c r="E2563" t="s">
        <v>48</v>
      </c>
      <c r="F2563" t="s">
        <v>532</v>
      </c>
      <c r="G2563">
        <v>78.066044000000005</v>
      </c>
      <c r="H2563">
        <v>12.608806</v>
      </c>
      <c r="J2563" s="2" t="s">
        <v>7</v>
      </c>
      <c r="K2563" t="s">
        <v>143</v>
      </c>
      <c r="L2563" t="s">
        <v>143</v>
      </c>
      <c r="M2563" t="s">
        <v>73</v>
      </c>
      <c r="N2563" t="s">
        <v>85</v>
      </c>
      <c r="O2563" s="6" t="s">
        <v>146</v>
      </c>
      <c r="P2563" t="s">
        <v>78</v>
      </c>
      <c r="Q2563">
        <v>15</v>
      </c>
      <c r="R2563" t="s">
        <v>213</v>
      </c>
      <c r="S2563" s="2" t="s">
        <v>7</v>
      </c>
      <c r="T2563">
        <v>4</v>
      </c>
      <c r="U2563">
        <v>8.07</v>
      </c>
      <c r="V2563">
        <v>402</v>
      </c>
      <c r="W2563">
        <v>4</v>
      </c>
      <c r="X2563">
        <v>226.3</v>
      </c>
      <c r="Y2563">
        <f>279.9-X2563</f>
        <v>53.599999999999966</v>
      </c>
      <c r="AA2563" s="6"/>
      <c r="AB2563" s="6"/>
    </row>
    <row r="2564" spans="1:28" x14ac:dyDescent="0.2">
      <c r="A2564" t="s">
        <v>633</v>
      </c>
      <c r="B2564">
        <v>2017</v>
      </c>
      <c r="C2564" t="s">
        <v>826</v>
      </c>
      <c r="D2564" t="s">
        <v>824</v>
      </c>
      <c r="E2564" t="s">
        <v>48</v>
      </c>
      <c r="F2564" t="s">
        <v>532</v>
      </c>
      <c r="G2564">
        <v>78.066044000000005</v>
      </c>
      <c r="H2564">
        <v>12.608806</v>
      </c>
      <c r="J2564" s="2" t="s">
        <v>5</v>
      </c>
      <c r="K2564" t="s">
        <v>143</v>
      </c>
      <c r="L2564" t="s">
        <v>143</v>
      </c>
      <c r="M2564" t="s">
        <v>73</v>
      </c>
      <c r="N2564" t="s">
        <v>85</v>
      </c>
      <c r="O2564" s="6" t="s">
        <v>146</v>
      </c>
      <c r="P2564" t="s">
        <v>78</v>
      </c>
      <c r="Q2564">
        <v>15</v>
      </c>
      <c r="R2564" t="s">
        <v>213</v>
      </c>
      <c r="S2564" s="2" t="s">
        <v>9</v>
      </c>
      <c r="T2564">
        <v>4</v>
      </c>
      <c r="U2564">
        <v>7.88</v>
      </c>
      <c r="V2564">
        <v>644</v>
      </c>
      <c r="W2564" t="s">
        <v>28</v>
      </c>
      <c r="X2564">
        <v>311.7</v>
      </c>
      <c r="Y2564">
        <f>357.8-X2564</f>
        <v>46.100000000000023</v>
      </c>
      <c r="AA2564" s="6"/>
      <c r="AB2564" s="6"/>
    </row>
    <row r="2565" spans="1:28" x14ac:dyDescent="0.2">
      <c r="A2565" t="s">
        <v>633</v>
      </c>
      <c r="B2565">
        <v>2017</v>
      </c>
      <c r="C2565" t="s">
        <v>826</v>
      </c>
      <c r="D2565" t="s">
        <v>824</v>
      </c>
      <c r="E2565" t="s">
        <v>48</v>
      </c>
      <c r="F2565" t="s">
        <v>532</v>
      </c>
      <c r="G2565">
        <v>78.066044000000005</v>
      </c>
      <c r="H2565">
        <v>12.608806</v>
      </c>
      <c r="J2565" s="2" t="s">
        <v>5</v>
      </c>
      <c r="K2565" t="s">
        <v>143</v>
      </c>
      <c r="L2565" t="s">
        <v>143</v>
      </c>
      <c r="M2565" t="s">
        <v>73</v>
      </c>
      <c r="N2565" t="s">
        <v>85</v>
      </c>
      <c r="O2565" s="6" t="s">
        <v>146</v>
      </c>
      <c r="P2565" t="s">
        <v>78</v>
      </c>
      <c r="Q2565">
        <v>15</v>
      </c>
      <c r="R2565" t="s">
        <v>213</v>
      </c>
      <c r="S2565" s="2" t="s">
        <v>27</v>
      </c>
      <c r="T2565">
        <v>4</v>
      </c>
      <c r="U2565">
        <v>7.57</v>
      </c>
      <c r="V2565">
        <v>1354</v>
      </c>
      <c r="W2565" t="s">
        <v>28</v>
      </c>
      <c r="X2565">
        <v>267.3</v>
      </c>
      <c r="Y2565">
        <f>333.5-X2565</f>
        <v>66.199999999999989</v>
      </c>
      <c r="AA2565" s="6"/>
      <c r="AB2565" s="6"/>
    </row>
    <row r="2566" spans="1:28" x14ac:dyDescent="0.2">
      <c r="A2566" t="s">
        <v>633</v>
      </c>
      <c r="B2566">
        <v>2017</v>
      </c>
      <c r="C2566" t="s">
        <v>826</v>
      </c>
      <c r="D2566" t="s">
        <v>824</v>
      </c>
      <c r="E2566" t="s">
        <v>48</v>
      </c>
      <c r="F2566" t="s">
        <v>532</v>
      </c>
      <c r="G2566">
        <v>78.066044000000005</v>
      </c>
      <c r="H2566">
        <v>12.608806</v>
      </c>
      <c r="J2566" s="2" t="s">
        <v>14</v>
      </c>
      <c r="K2566" t="s">
        <v>143</v>
      </c>
      <c r="L2566" t="s">
        <v>143</v>
      </c>
      <c r="M2566" t="s">
        <v>73</v>
      </c>
      <c r="N2566" t="s">
        <v>85</v>
      </c>
      <c r="O2566" s="6" t="s">
        <v>146</v>
      </c>
      <c r="P2566" t="s">
        <v>78</v>
      </c>
      <c r="Q2566">
        <v>15</v>
      </c>
      <c r="R2566" t="s">
        <v>213</v>
      </c>
      <c r="S2566" s="2" t="s">
        <v>13</v>
      </c>
      <c r="T2566">
        <v>4</v>
      </c>
      <c r="U2566" t="s">
        <v>28</v>
      </c>
      <c r="V2566" t="s">
        <v>28</v>
      </c>
      <c r="W2566">
        <v>10</v>
      </c>
      <c r="X2566">
        <v>414</v>
      </c>
      <c r="Y2566">
        <f>493.6-X2566</f>
        <v>79.600000000000023</v>
      </c>
      <c r="AA2566" s="6"/>
      <c r="AB2566" s="6"/>
    </row>
    <row r="2567" spans="1:28" x14ac:dyDescent="0.2">
      <c r="A2567" t="s">
        <v>633</v>
      </c>
      <c r="B2567">
        <v>2017</v>
      </c>
      <c r="C2567" t="s">
        <v>826</v>
      </c>
      <c r="D2567" t="s">
        <v>824</v>
      </c>
      <c r="E2567" t="s">
        <v>48</v>
      </c>
      <c r="F2567" t="s">
        <v>532</v>
      </c>
      <c r="G2567">
        <v>78.066044000000005</v>
      </c>
      <c r="H2567">
        <v>12.608806</v>
      </c>
      <c r="J2567" s="2" t="s">
        <v>16</v>
      </c>
      <c r="K2567" t="s">
        <v>143</v>
      </c>
      <c r="L2567" t="s">
        <v>143</v>
      </c>
      <c r="M2567" t="s">
        <v>73</v>
      </c>
      <c r="N2567" t="s">
        <v>85</v>
      </c>
      <c r="O2567" s="6" t="s">
        <v>146</v>
      </c>
      <c r="P2567" t="s">
        <v>78</v>
      </c>
      <c r="Q2567">
        <v>15</v>
      </c>
      <c r="R2567" t="s">
        <v>213</v>
      </c>
      <c r="S2567" t="s">
        <v>15</v>
      </c>
      <c r="T2567">
        <v>4</v>
      </c>
      <c r="U2567">
        <v>7.89</v>
      </c>
      <c r="V2567">
        <v>683</v>
      </c>
      <c r="W2567">
        <v>10</v>
      </c>
      <c r="X2567">
        <v>390.5</v>
      </c>
      <c r="Y2567">
        <f>472.6-X2567</f>
        <v>82.100000000000023</v>
      </c>
      <c r="AA2567" s="6"/>
      <c r="AB2567" s="6"/>
    </row>
    <row r="2568" spans="1:28" x14ac:dyDescent="0.2">
      <c r="A2568" t="s">
        <v>633</v>
      </c>
      <c r="B2568">
        <v>2017</v>
      </c>
      <c r="C2568" t="s">
        <v>826</v>
      </c>
      <c r="D2568" t="s">
        <v>824</v>
      </c>
      <c r="E2568" t="s">
        <v>48</v>
      </c>
      <c r="F2568" t="s">
        <v>532</v>
      </c>
      <c r="G2568">
        <v>78.066044000000005</v>
      </c>
      <c r="H2568">
        <v>12.608806</v>
      </c>
      <c r="J2568" s="2" t="s">
        <v>16</v>
      </c>
      <c r="K2568" t="s">
        <v>143</v>
      </c>
      <c r="L2568" t="s">
        <v>143</v>
      </c>
      <c r="M2568" t="s">
        <v>73</v>
      </c>
      <c r="N2568" t="s">
        <v>85</v>
      </c>
      <c r="O2568" s="6" t="s">
        <v>146</v>
      </c>
      <c r="P2568" t="s">
        <v>78</v>
      </c>
      <c r="Q2568">
        <v>15</v>
      </c>
      <c r="R2568" t="s">
        <v>213</v>
      </c>
      <c r="S2568" s="2" t="s">
        <v>37</v>
      </c>
      <c r="T2568">
        <v>4</v>
      </c>
      <c r="U2568">
        <v>7.58</v>
      </c>
      <c r="V2568">
        <v>1456</v>
      </c>
      <c r="W2568">
        <v>10</v>
      </c>
      <c r="X2568">
        <v>328.5</v>
      </c>
      <c r="Y2568">
        <f>424-X2568</f>
        <v>95.5</v>
      </c>
      <c r="AA2568" s="6"/>
      <c r="AB2568" s="6"/>
    </row>
    <row r="2569" spans="1:28" x14ac:dyDescent="0.2">
      <c r="A2569" t="s">
        <v>633</v>
      </c>
      <c r="B2569">
        <v>2017</v>
      </c>
      <c r="C2569" t="s">
        <v>826</v>
      </c>
      <c r="D2569" t="s">
        <v>824</v>
      </c>
      <c r="E2569" t="s">
        <v>48</v>
      </c>
      <c r="F2569" t="s">
        <v>307</v>
      </c>
      <c r="G2569">
        <v>54.183827999999998</v>
      </c>
      <c r="H2569">
        <v>7.8726450000000003</v>
      </c>
      <c r="J2569" s="2" t="s">
        <v>7</v>
      </c>
      <c r="K2569" t="s">
        <v>143</v>
      </c>
      <c r="L2569" t="s">
        <v>143</v>
      </c>
      <c r="M2569" t="s">
        <v>73</v>
      </c>
      <c r="N2569" t="s">
        <v>85</v>
      </c>
      <c r="O2569" s="6" t="s">
        <v>146</v>
      </c>
      <c r="P2569" t="s">
        <v>78</v>
      </c>
      <c r="Q2569">
        <v>15</v>
      </c>
      <c r="R2569" t="s">
        <v>213</v>
      </c>
      <c r="S2569" s="2" t="s">
        <v>7</v>
      </c>
      <c r="T2569">
        <v>4</v>
      </c>
      <c r="U2569">
        <v>8.06</v>
      </c>
      <c r="V2569">
        <v>423</v>
      </c>
      <c r="W2569">
        <v>10</v>
      </c>
      <c r="X2569">
        <v>155.9</v>
      </c>
      <c r="Y2569">
        <f>223.7-X2569</f>
        <v>67.799999999999983</v>
      </c>
      <c r="AA2569" s="6"/>
      <c r="AB2569" s="6"/>
    </row>
    <row r="2570" spans="1:28" x14ac:dyDescent="0.2">
      <c r="A2570" t="s">
        <v>633</v>
      </c>
      <c r="B2570">
        <v>2017</v>
      </c>
      <c r="C2570" t="s">
        <v>826</v>
      </c>
      <c r="D2570" t="s">
        <v>824</v>
      </c>
      <c r="E2570" t="s">
        <v>48</v>
      </c>
      <c r="F2570" t="s">
        <v>307</v>
      </c>
      <c r="G2570">
        <v>54.183827999999998</v>
      </c>
      <c r="H2570">
        <v>7.8726450000000003</v>
      </c>
      <c r="J2570" s="2" t="s">
        <v>5</v>
      </c>
      <c r="K2570" t="s">
        <v>143</v>
      </c>
      <c r="L2570" t="s">
        <v>143</v>
      </c>
      <c r="M2570" t="s">
        <v>73</v>
      </c>
      <c r="N2570" t="s">
        <v>85</v>
      </c>
      <c r="O2570" s="6" t="s">
        <v>146</v>
      </c>
      <c r="P2570" t="s">
        <v>78</v>
      </c>
      <c r="Q2570">
        <v>15</v>
      </c>
      <c r="R2570" t="s">
        <v>213</v>
      </c>
      <c r="S2570" s="2" t="s">
        <v>9</v>
      </c>
      <c r="T2570">
        <v>4</v>
      </c>
      <c r="U2570">
        <v>7.82</v>
      </c>
      <c r="V2570">
        <v>769</v>
      </c>
      <c r="W2570" t="s">
        <v>28</v>
      </c>
      <c r="X2570">
        <v>183.5</v>
      </c>
      <c r="Y2570">
        <f>226.3-X2570</f>
        <v>42.800000000000011</v>
      </c>
      <c r="AA2570" s="6"/>
      <c r="AB2570" s="6"/>
    </row>
    <row r="2571" spans="1:28" x14ac:dyDescent="0.2">
      <c r="A2571" t="s">
        <v>633</v>
      </c>
      <c r="B2571">
        <v>2017</v>
      </c>
      <c r="C2571" t="s">
        <v>826</v>
      </c>
      <c r="D2571" t="s">
        <v>824</v>
      </c>
      <c r="E2571" t="s">
        <v>48</v>
      </c>
      <c r="F2571" t="s">
        <v>307</v>
      </c>
      <c r="G2571">
        <v>54.183827999999998</v>
      </c>
      <c r="H2571">
        <v>7.8726450000000003</v>
      </c>
      <c r="J2571" s="2" t="s">
        <v>5</v>
      </c>
      <c r="K2571" t="s">
        <v>143</v>
      </c>
      <c r="L2571" t="s">
        <v>143</v>
      </c>
      <c r="M2571" t="s">
        <v>73</v>
      </c>
      <c r="N2571" t="s">
        <v>85</v>
      </c>
      <c r="O2571" s="6" t="s">
        <v>146</v>
      </c>
      <c r="P2571" t="s">
        <v>78</v>
      </c>
      <c r="Q2571">
        <v>15</v>
      </c>
      <c r="R2571" t="s">
        <v>213</v>
      </c>
      <c r="S2571" s="2" t="s">
        <v>27</v>
      </c>
      <c r="T2571">
        <v>4</v>
      </c>
      <c r="U2571">
        <v>7.56</v>
      </c>
      <c r="V2571">
        <v>1437</v>
      </c>
      <c r="W2571" t="s">
        <v>28</v>
      </c>
      <c r="X2571">
        <v>178.5</v>
      </c>
      <c r="Y2571">
        <f>213.7-X2571</f>
        <v>35.199999999999989</v>
      </c>
      <c r="AA2571" s="6"/>
      <c r="AB2571" s="6"/>
    </row>
    <row r="2572" spans="1:28" x14ac:dyDescent="0.2">
      <c r="A2572" t="s">
        <v>633</v>
      </c>
      <c r="B2572">
        <v>2017</v>
      </c>
      <c r="C2572" t="s">
        <v>826</v>
      </c>
      <c r="D2572" t="s">
        <v>824</v>
      </c>
      <c r="E2572" t="s">
        <v>48</v>
      </c>
      <c r="F2572" t="s">
        <v>307</v>
      </c>
      <c r="G2572">
        <v>54.183827999999998</v>
      </c>
      <c r="H2572">
        <v>7.8726450000000003</v>
      </c>
      <c r="J2572" s="2" t="s">
        <v>14</v>
      </c>
      <c r="K2572" t="s">
        <v>143</v>
      </c>
      <c r="L2572" t="s">
        <v>143</v>
      </c>
      <c r="M2572" t="s">
        <v>73</v>
      </c>
      <c r="N2572" t="s">
        <v>85</v>
      </c>
      <c r="O2572" s="6" t="s">
        <v>146</v>
      </c>
      <c r="P2572" t="s">
        <v>78</v>
      </c>
      <c r="Q2572">
        <v>15</v>
      </c>
      <c r="R2572" t="s">
        <v>213</v>
      </c>
      <c r="S2572" s="2" t="s">
        <v>13</v>
      </c>
      <c r="T2572">
        <v>4</v>
      </c>
      <c r="U2572" t="s">
        <v>28</v>
      </c>
      <c r="V2572" t="s">
        <v>28</v>
      </c>
      <c r="W2572">
        <v>17</v>
      </c>
      <c r="X2572">
        <v>310.10000000000002</v>
      </c>
      <c r="Y2572">
        <f>380.4-X2572</f>
        <v>70.299999999999955</v>
      </c>
      <c r="AA2572" s="6"/>
      <c r="AB2572" s="6"/>
    </row>
    <row r="2573" spans="1:28" x14ac:dyDescent="0.2">
      <c r="A2573" t="s">
        <v>633</v>
      </c>
      <c r="B2573">
        <v>2017</v>
      </c>
      <c r="C2573" t="s">
        <v>826</v>
      </c>
      <c r="D2573" t="s">
        <v>824</v>
      </c>
      <c r="E2573" t="s">
        <v>48</v>
      </c>
      <c r="F2573" t="s">
        <v>307</v>
      </c>
      <c r="G2573">
        <v>54.183827999999998</v>
      </c>
      <c r="H2573">
        <v>7.8726450000000003</v>
      </c>
      <c r="J2573" s="2" t="s">
        <v>16</v>
      </c>
      <c r="K2573" t="s">
        <v>143</v>
      </c>
      <c r="L2573" t="s">
        <v>143</v>
      </c>
      <c r="M2573" t="s">
        <v>73</v>
      </c>
      <c r="N2573" t="s">
        <v>85</v>
      </c>
      <c r="O2573" s="6" t="s">
        <v>146</v>
      </c>
      <c r="P2573" t="s">
        <v>78</v>
      </c>
      <c r="Q2573">
        <v>15</v>
      </c>
      <c r="R2573" t="s">
        <v>213</v>
      </c>
      <c r="S2573" t="s">
        <v>15</v>
      </c>
      <c r="T2573">
        <v>4</v>
      </c>
      <c r="U2573">
        <v>7.82</v>
      </c>
      <c r="V2573">
        <v>783</v>
      </c>
      <c r="W2573">
        <v>17</v>
      </c>
      <c r="X2573">
        <v>289.10000000000002</v>
      </c>
      <c r="Y2573">
        <f>376.3-X2573</f>
        <v>87.199999999999989</v>
      </c>
      <c r="AA2573" s="6"/>
      <c r="AB2573" s="6"/>
    </row>
    <row r="2574" spans="1:28" x14ac:dyDescent="0.2">
      <c r="A2574" t="s">
        <v>633</v>
      </c>
      <c r="B2574">
        <v>2017</v>
      </c>
      <c r="C2574" t="s">
        <v>826</v>
      </c>
      <c r="D2574" t="s">
        <v>824</v>
      </c>
      <c r="E2574" t="s">
        <v>48</v>
      </c>
      <c r="F2574" t="s">
        <v>307</v>
      </c>
      <c r="G2574">
        <v>54.183827999999998</v>
      </c>
      <c r="H2574">
        <v>7.8726450000000003</v>
      </c>
      <c r="J2574" s="2" t="s">
        <v>16</v>
      </c>
      <c r="K2574" t="s">
        <v>143</v>
      </c>
      <c r="L2574" t="s">
        <v>143</v>
      </c>
      <c r="M2574" t="s">
        <v>73</v>
      </c>
      <c r="N2574" t="s">
        <v>85</v>
      </c>
      <c r="O2574" s="6" t="s">
        <v>146</v>
      </c>
      <c r="P2574" t="s">
        <v>78</v>
      </c>
      <c r="Q2574">
        <v>15</v>
      </c>
      <c r="R2574" t="s">
        <v>213</v>
      </c>
      <c r="S2574" s="2" t="s">
        <v>37</v>
      </c>
      <c r="T2574">
        <v>4</v>
      </c>
      <c r="U2574">
        <v>7.56</v>
      </c>
      <c r="V2574">
        <v>1505</v>
      </c>
      <c r="W2574">
        <v>17</v>
      </c>
      <c r="X2574">
        <v>312.60000000000002</v>
      </c>
      <c r="Y2574">
        <f>376.3-X2574</f>
        <v>63.699999999999989</v>
      </c>
      <c r="AA2574" s="6"/>
      <c r="AB2574" s="6"/>
    </row>
    <row r="2575" spans="1:28" x14ac:dyDescent="0.2">
      <c r="A2575" t="s">
        <v>633</v>
      </c>
      <c r="B2575">
        <v>2017</v>
      </c>
      <c r="C2575" t="s">
        <v>826</v>
      </c>
      <c r="D2575" t="s">
        <v>824</v>
      </c>
      <c r="E2575" t="s">
        <v>48</v>
      </c>
      <c r="F2575" t="s">
        <v>532</v>
      </c>
      <c r="G2575">
        <v>78.066044000000005</v>
      </c>
      <c r="H2575">
        <v>12.608806</v>
      </c>
      <c r="J2575" s="2" t="s">
        <v>7</v>
      </c>
      <c r="K2575" t="s">
        <v>143</v>
      </c>
      <c r="L2575" t="s">
        <v>143</v>
      </c>
      <c r="M2575" s="6" t="s">
        <v>664</v>
      </c>
      <c r="N2575" t="s">
        <v>85</v>
      </c>
      <c r="O2575" s="6" t="s">
        <v>844</v>
      </c>
      <c r="P2575" t="s">
        <v>147</v>
      </c>
      <c r="Q2575">
        <v>18</v>
      </c>
      <c r="R2575" t="s">
        <v>213</v>
      </c>
      <c r="S2575" s="2" t="s">
        <v>7</v>
      </c>
      <c r="T2575">
        <v>5</v>
      </c>
      <c r="U2575">
        <v>8.07</v>
      </c>
      <c r="V2575">
        <v>402</v>
      </c>
      <c r="W2575">
        <v>4</v>
      </c>
      <c r="X2575">
        <v>31.98</v>
      </c>
      <c r="Y2575">
        <f>34.73-X2575</f>
        <v>2.7499999999999964</v>
      </c>
      <c r="AA2575" s="6"/>
      <c r="AB2575" s="6"/>
    </row>
    <row r="2576" spans="1:28" x14ac:dyDescent="0.2">
      <c r="A2576" t="s">
        <v>633</v>
      </c>
      <c r="B2576">
        <v>2017</v>
      </c>
      <c r="C2576" t="s">
        <v>826</v>
      </c>
      <c r="D2576" t="s">
        <v>824</v>
      </c>
      <c r="E2576" t="s">
        <v>48</v>
      </c>
      <c r="F2576" t="s">
        <v>532</v>
      </c>
      <c r="G2576">
        <v>78.066044000000005</v>
      </c>
      <c r="H2576">
        <v>12.608806</v>
      </c>
      <c r="J2576" s="2" t="s">
        <v>5</v>
      </c>
      <c r="K2576" t="s">
        <v>143</v>
      </c>
      <c r="L2576" t="s">
        <v>143</v>
      </c>
      <c r="M2576" s="6" t="s">
        <v>664</v>
      </c>
      <c r="N2576" t="s">
        <v>85</v>
      </c>
      <c r="O2576" s="6" t="s">
        <v>844</v>
      </c>
      <c r="P2576" t="s">
        <v>147</v>
      </c>
      <c r="Q2576">
        <v>18</v>
      </c>
      <c r="R2576" t="s">
        <v>213</v>
      </c>
      <c r="S2576" s="2" t="s">
        <v>9</v>
      </c>
      <c r="T2576">
        <v>5</v>
      </c>
      <c r="U2576">
        <v>7.88</v>
      </c>
      <c r="V2576">
        <v>644</v>
      </c>
      <c r="W2576" t="s">
        <v>28</v>
      </c>
      <c r="X2576">
        <v>36.53</v>
      </c>
      <c r="Y2576">
        <f>40.66-X2576</f>
        <v>4.1299999999999955</v>
      </c>
      <c r="AA2576" s="6"/>
      <c r="AB2576" s="6"/>
    </row>
    <row r="2577" spans="1:28" x14ac:dyDescent="0.2">
      <c r="A2577" t="s">
        <v>633</v>
      </c>
      <c r="B2577">
        <v>2017</v>
      </c>
      <c r="C2577" t="s">
        <v>826</v>
      </c>
      <c r="D2577" t="s">
        <v>824</v>
      </c>
      <c r="E2577" t="s">
        <v>48</v>
      </c>
      <c r="F2577" t="s">
        <v>532</v>
      </c>
      <c r="G2577">
        <v>78.066044000000005</v>
      </c>
      <c r="H2577">
        <v>12.608806</v>
      </c>
      <c r="J2577" s="2" t="s">
        <v>5</v>
      </c>
      <c r="K2577" t="s">
        <v>143</v>
      </c>
      <c r="L2577" t="s">
        <v>143</v>
      </c>
      <c r="M2577" s="6" t="s">
        <v>664</v>
      </c>
      <c r="N2577" t="s">
        <v>85</v>
      </c>
      <c r="O2577" s="6" t="s">
        <v>844</v>
      </c>
      <c r="P2577" t="s">
        <v>147</v>
      </c>
      <c r="Q2577">
        <v>18</v>
      </c>
      <c r="R2577" t="s">
        <v>213</v>
      </c>
      <c r="S2577" s="2" t="s">
        <v>27</v>
      </c>
      <c r="T2577">
        <v>5</v>
      </c>
      <c r="U2577">
        <v>7.57</v>
      </c>
      <c r="V2577">
        <v>1354</v>
      </c>
      <c r="W2577" t="s">
        <v>28</v>
      </c>
      <c r="X2577">
        <v>33.090000000000003</v>
      </c>
      <c r="Y2577">
        <f>38.34-X2577</f>
        <v>5.25</v>
      </c>
      <c r="AA2577" s="6"/>
      <c r="AB2577" s="6"/>
    </row>
    <row r="2578" spans="1:28" x14ac:dyDescent="0.2">
      <c r="A2578" t="s">
        <v>633</v>
      </c>
      <c r="B2578">
        <v>2017</v>
      </c>
      <c r="C2578" t="s">
        <v>826</v>
      </c>
      <c r="D2578" t="s">
        <v>824</v>
      </c>
      <c r="E2578" t="s">
        <v>48</v>
      </c>
      <c r="F2578" t="s">
        <v>532</v>
      </c>
      <c r="G2578">
        <v>78.066044000000005</v>
      </c>
      <c r="H2578">
        <v>12.608806</v>
      </c>
      <c r="J2578" s="2" t="s">
        <v>14</v>
      </c>
      <c r="K2578" t="s">
        <v>143</v>
      </c>
      <c r="L2578" t="s">
        <v>143</v>
      </c>
      <c r="M2578" s="6" t="s">
        <v>664</v>
      </c>
      <c r="N2578" t="s">
        <v>85</v>
      </c>
      <c r="O2578" s="6" t="s">
        <v>844</v>
      </c>
      <c r="P2578" t="s">
        <v>147</v>
      </c>
      <c r="Q2578">
        <v>18</v>
      </c>
      <c r="R2578" t="s">
        <v>213</v>
      </c>
      <c r="S2578" s="2" t="s">
        <v>13</v>
      </c>
      <c r="T2578">
        <v>5</v>
      </c>
      <c r="U2578" t="s">
        <v>28</v>
      </c>
      <c r="V2578" t="s">
        <v>28</v>
      </c>
      <c r="W2578">
        <v>10</v>
      </c>
      <c r="X2578">
        <v>21.83</v>
      </c>
      <c r="Y2578">
        <f>24.15-X2578</f>
        <v>2.3200000000000003</v>
      </c>
      <c r="AA2578" s="6"/>
      <c r="AB2578" s="6"/>
    </row>
    <row r="2579" spans="1:28" x14ac:dyDescent="0.2">
      <c r="A2579" t="s">
        <v>633</v>
      </c>
      <c r="B2579">
        <v>2017</v>
      </c>
      <c r="C2579" t="s">
        <v>826</v>
      </c>
      <c r="D2579" t="s">
        <v>824</v>
      </c>
      <c r="E2579" t="s">
        <v>48</v>
      </c>
      <c r="F2579" t="s">
        <v>532</v>
      </c>
      <c r="G2579">
        <v>78.066044000000005</v>
      </c>
      <c r="H2579">
        <v>12.608806</v>
      </c>
      <c r="J2579" s="2" t="s">
        <v>16</v>
      </c>
      <c r="K2579" t="s">
        <v>143</v>
      </c>
      <c r="L2579" t="s">
        <v>143</v>
      </c>
      <c r="M2579" s="6" t="s">
        <v>664</v>
      </c>
      <c r="N2579" t="s">
        <v>85</v>
      </c>
      <c r="O2579" s="6" t="s">
        <v>844</v>
      </c>
      <c r="P2579" t="s">
        <v>147</v>
      </c>
      <c r="Q2579">
        <v>18</v>
      </c>
      <c r="R2579" t="s">
        <v>213</v>
      </c>
      <c r="S2579" t="s">
        <v>15</v>
      </c>
      <c r="T2579">
        <v>5</v>
      </c>
      <c r="U2579">
        <v>7.89</v>
      </c>
      <c r="V2579">
        <v>683</v>
      </c>
      <c r="W2579">
        <v>10</v>
      </c>
      <c r="X2579">
        <v>29.66</v>
      </c>
      <c r="Y2579">
        <f>37.82-X2579</f>
        <v>8.16</v>
      </c>
      <c r="AA2579" s="6"/>
      <c r="AB2579" s="6"/>
    </row>
    <row r="2580" spans="1:28" x14ac:dyDescent="0.2">
      <c r="A2580" t="s">
        <v>633</v>
      </c>
      <c r="B2580">
        <v>2017</v>
      </c>
      <c r="C2580" t="s">
        <v>826</v>
      </c>
      <c r="D2580" t="s">
        <v>824</v>
      </c>
      <c r="E2580" t="s">
        <v>48</v>
      </c>
      <c r="F2580" t="s">
        <v>532</v>
      </c>
      <c r="G2580">
        <v>78.066044000000005</v>
      </c>
      <c r="H2580">
        <v>12.608806</v>
      </c>
      <c r="J2580" s="2" t="s">
        <v>16</v>
      </c>
      <c r="K2580" t="s">
        <v>143</v>
      </c>
      <c r="L2580" t="s">
        <v>143</v>
      </c>
      <c r="M2580" s="6" t="s">
        <v>664</v>
      </c>
      <c r="N2580" t="s">
        <v>85</v>
      </c>
      <c r="O2580" s="6" t="s">
        <v>844</v>
      </c>
      <c r="P2580" t="s">
        <v>147</v>
      </c>
      <c r="Q2580">
        <v>18</v>
      </c>
      <c r="R2580" t="s">
        <v>213</v>
      </c>
      <c r="S2580" s="2" t="s">
        <v>37</v>
      </c>
      <c r="T2580">
        <v>5</v>
      </c>
      <c r="U2580">
        <v>7.58</v>
      </c>
      <c r="V2580">
        <v>1456</v>
      </c>
      <c r="W2580">
        <v>10</v>
      </c>
      <c r="X2580">
        <v>23.38</v>
      </c>
      <c r="Y2580">
        <f>25.96-X2580</f>
        <v>2.5800000000000018</v>
      </c>
      <c r="AA2580" s="6"/>
      <c r="AB2580" s="6"/>
    </row>
    <row r="2581" spans="1:28" x14ac:dyDescent="0.2">
      <c r="A2581" t="s">
        <v>633</v>
      </c>
      <c r="B2581">
        <v>2017</v>
      </c>
      <c r="C2581" t="s">
        <v>826</v>
      </c>
      <c r="D2581" t="s">
        <v>824</v>
      </c>
      <c r="E2581" t="s">
        <v>48</v>
      </c>
      <c r="F2581" t="s">
        <v>307</v>
      </c>
      <c r="G2581">
        <v>54.183827999999998</v>
      </c>
      <c r="H2581">
        <v>7.8726450000000003</v>
      </c>
      <c r="J2581" s="2" t="s">
        <v>7</v>
      </c>
      <c r="K2581" t="s">
        <v>143</v>
      </c>
      <c r="L2581" t="s">
        <v>143</v>
      </c>
      <c r="M2581" s="6" t="s">
        <v>664</v>
      </c>
      <c r="N2581" t="s">
        <v>85</v>
      </c>
      <c r="O2581" s="6" t="s">
        <v>844</v>
      </c>
      <c r="P2581" t="s">
        <v>147</v>
      </c>
      <c r="Q2581">
        <v>18</v>
      </c>
      <c r="R2581" t="s">
        <v>213</v>
      </c>
      <c r="S2581" s="2" t="s">
        <v>7</v>
      </c>
      <c r="T2581">
        <v>5</v>
      </c>
      <c r="U2581">
        <v>8.06</v>
      </c>
      <c r="V2581">
        <v>423</v>
      </c>
      <c r="W2581">
        <v>10</v>
      </c>
      <c r="X2581">
        <v>41.86</v>
      </c>
      <c r="Y2581">
        <f>53.72-X2581</f>
        <v>11.86</v>
      </c>
      <c r="AA2581" s="6"/>
      <c r="AB2581" s="6"/>
    </row>
    <row r="2582" spans="1:28" x14ac:dyDescent="0.2">
      <c r="A2582" t="s">
        <v>633</v>
      </c>
      <c r="B2582">
        <v>2017</v>
      </c>
      <c r="C2582" t="s">
        <v>826</v>
      </c>
      <c r="D2582" t="s">
        <v>824</v>
      </c>
      <c r="E2582" t="s">
        <v>48</v>
      </c>
      <c r="F2582" t="s">
        <v>307</v>
      </c>
      <c r="G2582">
        <v>54.183827999999998</v>
      </c>
      <c r="H2582">
        <v>7.8726450000000003</v>
      </c>
      <c r="J2582" s="2" t="s">
        <v>5</v>
      </c>
      <c r="K2582" t="s">
        <v>143</v>
      </c>
      <c r="L2582" t="s">
        <v>143</v>
      </c>
      <c r="M2582" s="6" t="s">
        <v>664</v>
      </c>
      <c r="N2582" t="s">
        <v>85</v>
      </c>
      <c r="O2582" s="6" t="s">
        <v>844</v>
      </c>
      <c r="P2582" t="s">
        <v>147</v>
      </c>
      <c r="Q2582">
        <v>18</v>
      </c>
      <c r="R2582" t="s">
        <v>213</v>
      </c>
      <c r="S2582" s="2" t="s">
        <v>9</v>
      </c>
      <c r="T2582">
        <v>5</v>
      </c>
      <c r="U2582">
        <v>7.82</v>
      </c>
      <c r="V2582">
        <v>769</v>
      </c>
      <c r="W2582" t="s">
        <v>28</v>
      </c>
      <c r="X2582">
        <v>29.4</v>
      </c>
      <c r="Y2582">
        <f>38.94-X2582</f>
        <v>9.5399999999999991</v>
      </c>
      <c r="AA2582" s="6"/>
      <c r="AB2582" s="6"/>
    </row>
    <row r="2583" spans="1:28" x14ac:dyDescent="0.2">
      <c r="A2583" t="s">
        <v>633</v>
      </c>
      <c r="B2583">
        <v>2017</v>
      </c>
      <c r="C2583" t="s">
        <v>826</v>
      </c>
      <c r="D2583" t="s">
        <v>824</v>
      </c>
      <c r="E2583" t="s">
        <v>48</v>
      </c>
      <c r="F2583" t="s">
        <v>307</v>
      </c>
      <c r="G2583">
        <v>54.183827999999998</v>
      </c>
      <c r="H2583">
        <v>7.8726450000000003</v>
      </c>
      <c r="J2583" s="2" t="s">
        <v>5</v>
      </c>
      <c r="K2583" t="s">
        <v>143</v>
      </c>
      <c r="L2583" t="s">
        <v>143</v>
      </c>
      <c r="M2583" s="6" t="s">
        <v>664</v>
      </c>
      <c r="N2583" t="s">
        <v>85</v>
      </c>
      <c r="O2583" s="6" t="s">
        <v>844</v>
      </c>
      <c r="P2583" t="s">
        <v>147</v>
      </c>
      <c r="Q2583">
        <v>18</v>
      </c>
      <c r="R2583" t="s">
        <v>213</v>
      </c>
      <c r="S2583" s="2" t="s">
        <v>27</v>
      </c>
      <c r="T2583">
        <v>5</v>
      </c>
      <c r="U2583">
        <v>7.56</v>
      </c>
      <c r="V2583">
        <v>1437</v>
      </c>
      <c r="W2583" t="s">
        <v>28</v>
      </c>
      <c r="X2583">
        <v>30</v>
      </c>
      <c r="Y2583">
        <f>41.17-X2583</f>
        <v>11.170000000000002</v>
      </c>
      <c r="AA2583" s="6"/>
      <c r="AB2583" s="6"/>
    </row>
    <row r="2584" spans="1:28" x14ac:dyDescent="0.2">
      <c r="A2584" t="s">
        <v>633</v>
      </c>
      <c r="B2584">
        <v>2017</v>
      </c>
      <c r="C2584" t="s">
        <v>826</v>
      </c>
      <c r="D2584" t="s">
        <v>824</v>
      </c>
      <c r="E2584" t="s">
        <v>48</v>
      </c>
      <c r="F2584" t="s">
        <v>307</v>
      </c>
      <c r="G2584">
        <v>54.183827999999998</v>
      </c>
      <c r="H2584">
        <v>7.8726450000000003</v>
      </c>
      <c r="J2584" s="2" t="s">
        <v>14</v>
      </c>
      <c r="K2584" t="s">
        <v>143</v>
      </c>
      <c r="L2584" t="s">
        <v>143</v>
      </c>
      <c r="M2584" s="6" t="s">
        <v>664</v>
      </c>
      <c r="N2584" t="s">
        <v>85</v>
      </c>
      <c r="O2584" s="6" t="s">
        <v>844</v>
      </c>
      <c r="P2584" t="s">
        <v>147</v>
      </c>
      <c r="Q2584">
        <v>18</v>
      </c>
      <c r="R2584" t="s">
        <v>213</v>
      </c>
      <c r="S2584" s="2" t="s">
        <v>13</v>
      </c>
      <c r="T2584">
        <v>5</v>
      </c>
      <c r="U2584" t="s">
        <v>28</v>
      </c>
      <c r="V2584" t="s">
        <v>28</v>
      </c>
      <c r="W2584">
        <v>17</v>
      </c>
      <c r="X2584">
        <v>29.14</v>
      </c>
      <c r="Y2584">
        <f>33.78-X2584</f>
        <v>4.6400000000000006</v>
      </c>
      <c r="AA2584" s="6"/>
      <c r="AB2584" s="6"/>
    </row>
    <row r="2585" spans="1:28" x14ac:dyDescent="0.2">
      <c r="A2585" t="s">
        <v>633</v>
      </c>
      <c r="B2585">
        <v>2017</v>
      </c>
      <c r="C2585" t="s">
        <v>826</v>
      </c>
      <c r="D2585" t="s">
        <v>824</v>
      </c>
      <c r="E2585" t="s">
        <v>48</v>
      </c>
      <c r="F2585" t="s">
        <v>307</v>
      </c>
      <c r="G2585">
        <v>54.183827999999998</v>
      </c>
      <c r="H2585">
        <v>7.8726450000000003</v>
      </c>
      <c r="J2585" s="2" t="s">
        <v>16</v>
      </c>
      <c r="K2585" t="s">
        <v>143</v>
      </c>
      <c r="L2585" t="s">
        <v>143</v>
      </c>
      <c r="M2585" s="6" t="s">
        <v>664</v>
      </c>
      <c r="N2585" t="s">
        <v>85</v>
      </c>
      <c r="O2585" s="6" t="s">
        <v>844</v>
      </c>
      <c r="P2585" t="s">
        <v>147</v>
      </c>
      <c r="Q2585">
        <v>18</v>
      </c>
      <c r="R2585" t="s">
        <v>213</v>
      </c>
      <c r="S2585" t="s">
        <v>15</v>
      </c>
      <c r="T2585">
        <v>5</v>
      </c>
      <c r="U2585">
        <v>7.82</v>
      </c>
      <c r="V2585">
        <v>783</v>
      </c>
      <c r="W2585">
        <v>17</v>
      </c>
      <c r="X2585">
        <v>21.83</v>
      </c>
      <c r="Y2585">
        <f>27.77-X2585</f>
        <v>5.9400000000000013</v>
      </c>
      <c r="AA2585" s="6"/>
      <c r="AB2585" s="6"/>
    </row>
    <row r="2586" spans="1:28" x14ac:dyDescent="0.2">
      <c r="A2586" t="s">
        <v>633</v>
      </c>
      <c r="B2586">
        <v>2017</v>
      </c>
      <c r="C2586" t="s">
        <v>826</v>
      </c>
      <c r="D2586" t="s">
        <v>824</v>
      </c>
      <c r="E2586" t="s">
        <v>48</v>
      </c>
      <c r="F2586" t="s">
        <v>307</v>
      </c>
      <c r="G2586">
        <v>54.183827999999998</v>
      </c>
      <c r="H2586">
        <v>7.8726450000000003</v>
      </c>
      <c r="J2586" s="2" t="s">
        <v>16</v>
      </c>
      <c r="K2586" t="s">
        <v>143</v>
      </c>
      <c r="L2586" t="s">
        <v>143</v>
      </c>
      <c r="M2586" s="6" t="s">
        <v>664</v>
      </c>
      <c r="N2586" t="s">
        <v>85</v>
      </c>
      <c r="O2586" s="6" t="s">
        <v>844</v>
      </c>
      <c r="P2586" t="s">
        <v>147</v>
      </c>
      <c r="Q2586">
        <v>18</v>
      </c>
      <c r="R2586" t="s">
        <v>213</v>
      </c>
      <c r="S2586" s="2" t="s">
        <v>37</v>
      </c>
      <c r="T2586">
        <v>5</v>
      </c>
      <c r="U2586">
        <v>7.56</v>
      </c>
      <c r="V2586">
        <v>1505</v>
      </c>
      <c r="W2586">
        <v>17</v>
      </c>
      <c r="X2586">
        <v>18.309999999999999</v>
      </c>
      <c r="Y2586">
        <f>22.01-X2586</f>
        <v>3.7000000000000028</v>
      </c>
      <c r="AA2586" s="6"/>
      <c r="AB2586" s="6"/>
    </row>
    <row r="2587" spans="1:28" x14ac:dyDescent="0.2">
      <c r="A2587" t="s">
        <v>633</v>
      </c>
      <c r="B2587">
        <v>2017</v>
      </c>
      <c r="C2587" t="s">
        <v>826</v>
      </c>
      <c r="D2587" t="s">
        <v>824</v>
      </c>
      <c r="E2587" t="s">
        <v>48</v>
      </c>
      <c r="F2587" t="s">
        <v>532</v>
      </c>
      <c r="G2587">
        <v>78.066044000000005</v>
      </c>
      <c r="H2587">
        <v>12.608806</v>
      </c>
      <c r="J2587" s="2" t="s">
        <v>7</v>
      </c>
      <c r="K2587" t="s">
        <v>143</v>
      </c>
      <c r="L2587" t="s">
        <v>143</v>
      </c>
      <c r="M2587" t="s">
        <v>553</v>
      </c>
      <c r="N2587" t="s">
        <v>85</v>
      </c>
      <c r="O2587" s="6" t="s">
        <v>369</v>
      </c>
      <c r="P2587" t="s">
        <v>370</v>
      </c>
      <c r="Q2587">
        <v>18</v>
      </c>
      <c r="R2587" t="s">
        <v>213</v>
      </c>
      <c r="S2587" s="2" t="s">
        <v>7</v>
      </c>
      <c r="T2587">
        <v>5</v>
      </c>
      <c r="U2587">
        <v>8.07</v>
      </c>
      <c r="V2587">
        <v>402</v>
      </c>
      <c r="W2587">
        <v>4</v>
      </c>
      <c r="X2587">
        <v>0.96</v>
      </c>
      <c r="Y2587">
        <f>1.188-X2587</f>
        <v>0.22799999999999998</v>
      </c>
      <c r="AA2587" s="6"/>
      <c r="AB2587" s="6"/>
    </row>
    <row r="2588" spans="1:28" x14ac:dyDescent="0.2">
      <c r="A2588" t="s">
        <v>633</v>
      </c>
      <c r="B2588">
        <v>2017</v>
      </c>
      <c r="C2588" t="s">
        <v>826</v>
      </c>
      <c r="D2588" t="s">
        <v>824</v>
      </c>
      <c r="E2588" t="s">
        <v>48</v>
      </c>
      <c r="F2588" t="s">
        <v>532</v>
      </c>
      <c r="G2588">
        <v>78.066044000000005</v>
      </c>
      <c r="H2588">
        <v>12.608806</v>
      </c>
      <c r="J2588" s="2" t="s">
        <v>5</v>
      </c>
      <c r="K2588" t="s">
        <v>143</v>
      </c>
      <c r="L2588" t="s">
        <v>143</v>
      </c>
      <c r="M2588" t="s">
        <v>553</v>
      </c>
      <c r="N2588" t="s">
        <v>85</v>
      </c>
      <c r="O2588" s="6" t="s">
        <v>369</v>
      </c>
      <c r="P2588" t="s">
        <v>370</v>
      </c>
      <c r="Q2588">
        <v>18</v>
      </c>
      <c r="R2588" t="s">
        <v>213</v>
      </c>
      <c r="S2588" s="2" t="s">
        <v>9</v>
      </c>
      <c r="T2588">
        <v>5</v>
      </c>
      <c r="U2588">
        <v>7.88</v>
      </c>
      <c r="V2588">
        <v>644</v>
      </c>
      <c r="W2588" t="s">
        <v>28</v>
      </c>
      <c r="X2588">
        <v>1.2849999999999999</v>
      </c>
      <c r="Y2588">
        <f>1.664-X2588</f>
        <v>0.379</v>
      </c>
      <c r="AA2588" s="6"/>
      <c r="AB2588" s="6"/>
    </row>
    <row r="2589" spans="1:28" x14ac:dyDescent="0.2">
      <c r="A2589" t="s">
        <v>633</v>
      </c>
      <c r="B2589">
        <v>2017</v>
      </c>
      <c r="C2589" t="s">
        <v>826</v>
      </c>
      <c r="D2589" t="s">
        <v>824</v>
      </c>
      <c r="E2589" t="s">
        <v>48</v>
      </c>
      <c r="F2589" t="s">
        <v>532</v>
      </c>
      <c r="G2589">
        <v>78.066044000000005</v>
      </c>
      <c r="H2589">
        <v>12.608806</v>
      </c>
      <c r="J2589" s="2" t="s">
        <v>5</v>
      </c>
      <c r="K2589" t="s">
        <v>143</v>
      </c>
      <c r="L2589" t="s">
        <v>143</v>
      </c>
      <c r="M2589" t="s">
        <v>553</v>
      </c>
      <c r="N2589" t="s">
        <v>85</v>
      </c>
      <c r="O2589" s="6" t="s">
        <v>369</v>
      </c>
      <c r="P2589" t="s">
        <v>370</v>
      </c>
      <c r="Q2589">
        <v>18</v>
      </c>
      <c r="R2589" t="s">
        <v>213</v>
      </c>
      <c r="S2589" s="2" t="s">
        <v>27</v>
      </c>
      <c r="T2589">
        <v>5</v>
      </c>
      <c r="U2589">
        <v>7.57</v>
      </c>
      <c r="V2589">
        <v>1354</v>
      </c>
      <c r="W2589" t="s">
        <v>28</v>
      </c>
      <c r="X2589">
        <v>1.2509999999999999</v>
      </c>
      <c r="Y2589">
        <f>1.567-X2589</f>
        <v>0.31600000000000006</v>
      </c>
      <c r="AA2589" s="6"/>
      <c r="AB2589" s="6"/>
    </row>
    <row r="2590" spans="1:28" x14ac:dyDescent="0.2">
      <c r="A2590" t="s">
        <v>633</v>
      </c>
      <c r="B2590">
        <v>2017</v>
      </c>
      <c r="C2590" t="s">
        <v>826</v>
      </c>
      <c r="D2590" t="s">
        <v>824</v>
      </c>
      <c r="E2590" t="s">
        <v>48</v>
      </c>
      <c r="F2590" t="s">
        <v>532</v>
      </c>
      <c r="G2590">
        <v>78.066044000000005</v>
      </c>
      <c r="H2590">
        <v>12.608806</v>
      </c>
      <c r="J2590" s="2" t="s">
        <v>14</v>
      </c>
      <c r="K2590" t="s">
        <v>143</v>
      </c>
      <c r="L2590" t="s">
        <v>143</v>
      </c>
      <c r="M2590" t="s">
        <v>553</v>
      </c>
      <c r="N2590" t="s">
        <v>85</v>
      </c>
      <c r="O2590" s="6" t="s">
        <v>369</v>
      </c>
      <c r="P2590" t="s">
        <v>370</v>
      </c>
      <c r="Q2590">
        <v>18</v>
      </c>
      <c r="R2590" t="s">
        <v>213</v>
      </c>
      <c r="S2590" s="2" t="s">
        <v>13</v>
      </c>
      <c r="T2590">
        <v>5</v>
      </c>
      <c r="U2590" t="s">
        <v>28</v>
      </c>
      <c r="V2590" t="s">
        <v>28</v>
      </c>
      <c r="W2590">
        <v>10</v>
      </c>
      <c r="X2590">
        <v>1.33</v>
      </c>
      <c r="Y2590">
        <f>1.766-X2590</f>
        <v>0.43599999999999994</v>
      </c>
      <c r="AA2590" s="6"/>
      <c r="AB2590" s="6"/>
    </row>
    <row r="2591" spans="1:28" x14ac:dyDescent="0.2">
      <c r="A2591" t="s">
        <v>633</v>
      </c>
      <c r="B2591">
        <v>2017</v>
      </c>
      <c r="C2591" t="s">
        <v>826</v>
      </c>
      <c r="D2591" t="s">
        <v>824</v>
      </c>
      <c r="E2591" t="s">
        <v>48</v>
      </c>
      <c r="F2591" t="s">
        <v>532</v>
      </c>
      <c r="G2591">
        <v>78.066044000000005</v>
      </c>
      <c r="H2591">
        <v>12.608806</v>
      </c>
      <c r="J2591" s="2" t="s">
        <v>16</v>
      </c>
      <c r="K2591" t="s">
        <v>143</v>
      </c>
      <c r="L2591" t="s">
        <v>143</v>
      </c>
      <c r="M2591" t="s">
        <v>553</v>
      </c>
      <c r="N2591" t="s">
        <v>85</v>
      </c>
      <c r="O2591" s="6" t="s">
        <v>369</v>
      </c>
      <c r="P2591" t="s">
        <v>370</v>
      </c>
      <c r="Q2591">
        <v>18</v>
      </c>
      <c r="R2591" t="s">
        <v>213</v>
      </c>
      <c r="S2591" t="s">
        <v>15</v>
      </c>
      <c r="T2591">
        <v>5</v>
      </c>
      <c r="U2591">
        <v>7.89</v>
      </c>
      <c r="V2591">
        <v>683</v>
      </c>
      <c r="W2591">
        <v>10</v>
      </c>
      <c r="X2591">
        <v>1.0629999999999999</v>
      </c>
      <c r="Y2591">
        <f>1.214-X2591</f>
        <v>0.15100000000000002</v>
      </c>
      <c r="AA2591" s="6"/>
      <c r="AB2591" s="6"/>
    </row>
    <row r="2592" spans="1:28" x14ac:dyDescent="0.2">
      <c r="A2592" t="s">
        <v>633</v>
      </c>
      <c r="B2592">
        <v>2017</v>
      </c>
      <c r="C2592" t="s">
        <v>826</v>
      </c>
      <c r="D2592" t="s">
        <v>824</v>
      </c>
      <c r="E2592" t="s">
        <v>48</v>
      </c>
      <c r="F2592" t="s">
        <v>532</v>
      </c>
      <c r="G2592">
        <v>78.066044000000005</v>
      </c>
      <c r="H2592">
        <v>12.608806</v>
      </c>
      <c r="J2592" s="2" t="s">
        <v>16</v>
      </c>
      <c r="K2592" t="s">
        <v>143</v>
      </c>
      <c r="L2592" t="s">
        <v>143</v>
      </c>
      <c r="M2592" t="s">
        <v>553</v>
      </c>
      <c r="N2592" t="s">
        <v>85</v>
      </c>
      <c r="O2592" s="6" t="s">
        <v>369</v>
      </c>
      <c r="P2592" t="s">
        <v>370</v>
      </c>
      <c r="Q2592">
        <v>18</v>
      </c>
      <c r="R2592" t="s">
        <v>213</v>
      </c>
      <c r="S2592" s="2" t="s">
        <v>37</v>
      </c>
      <c r="T2592">
        <v>5</v>
      </c>
      <c r="U2592">
        <v>7.58</v>
      </c>
      <c r="V2592">
        <v>1456</v>
      </c>
      <c r="W2592">
        <v>10</v>
      </c>
      <c r="X2592">
        <v>1.091</v>
      </c>
      <c r="Y2592">
        <f>1.467-X2592</f>
        <v>0.37600000000000011</v>
      </c>
      <c r="AA2592" s="6"/>
      <c r="AB2592" s="6"/>
    </row>
    <row r="2593" spans="1:28" x14ac:dyDescent="0.2">
      <c r="A2593" t="s">
        <v>633</v>
      </c>
      <c r="B2593">
        <v>2017</v>
      </c>
      <c r="C2593" t="s">
        <v>826</v>
      </c>
      <c r="D2593" t="s">
        <v>824</v>
      </c>
      <c r="E2593" t="s">
        <v>48</v>
      </c>
      <c r="F2593" t="s">
        <v>307</v>
      </c>
      <c r="G2593">
        <v>54.183827999999998</v>
      </c>
      <c r="H2593">
        <v>7.8726450000000003</v>
      </c>
      <c r="J2593" s="2" t="s">
        <v>7</v>
      </c>
      <c r="K2593" t="s">
        <v>143</v>
      </c>
      <c r="L2593" t="s">
        <v>143</v>
      </c>
      <c r="M2593" t="s">
        <v>553</v>
      </c>
      <c r="N2593" t="s">
        <v>85</v>
      </c>
      <c r="O2593" s="6" t="s">
        <v>369</v>
      </c>
      <c r="P2593" t="s">
        <v>370</v>
      </c>
      <c r="Q2593">
        <v>18</v>
      </c>
      <c r="R2593" t="s">
        <v>213</v>
      </c>
      <c r="S2593" s="2" t="s">
        <v>7</v>
      </c>
      <c r="T2593">
        <v>5</v>
      </c>
      <c r="U2593">
        <v>8.06</v>
      </c>
      <c r="V2593">
        <v>423</v>
      </c>
      <c r="W2593">
        <v>10</v>
      </c>
      <c r="X2593">
        <v>0.92</v>
      </c>
      <c r="Y2593">
        <f>1.219-X2593</f>
        <v>0.29900000000000004</v>
      </c>
      <c r="AA2593" s="6"/>
      <c r="AB2593" s="6"/>
    </row>
    <row r="2594" spans="1:28" x14ac:dyDescent="0.2">
      <c r="A2594" t="s">
        <v>633</v>
      </c>
      <c r="B2594">
        <v>2017</v>
      </c>
      <c r="C2594" t="s">
        <v>826</v>
      </c>
      <c r="D2594" t="s">
        <v>824</v>
      </c>
      <c r="E2594" t="s">
        <v>48</v>
      </c>
      <c r="F2594" t="s">
        <v>307</v>
      </c>
      <c r="G2594">
        <v>54.183827999999998</v>
      </c>
      <c r="H2594">
        <v>7.8726450000000003</v>
      </c>
      <c r="J2594" s="2" t="s">
        <v>5</v>
      </c>
      <c r="K2594" t="s">
        <v>143</v>
      </c>
      <c r="L2594" t="s">
        <v>143</v>
      </c>
      <c r="M2594" t="s">
        <v>553</v>
      </c>
      <c r="N2594" t="s">
        <v>85</v>
      </c>
      <c r="O2594" s="6" t="s">
        <v>369</v>
      </c>
      <c r="P2594" t="s">
        <v>370</v>
      </c>
      <c r="Q2594">
        <v>18</v>
      </c>
      <c r="R2594" t="s">
        <v>213</v>
      </c>
      <c r="S2594" s="2" t="s">
        <v>9</v>
      </c>
      <c r="T2594">
        <v>5</v>
      </c>
      <c r="U2594">
        <v>7.82</v>
      </c>
      <c r="V2594">
        <v>769</v>
      </c>
      <c r="W2594" t="s">
        <v>28</v>
      </c>
      <c r="X2594">
        <v>0.53</v>
      </c>
      <c r="Y2594">
        <f>0.803-X2594</f>
        <v>0.27300000000000002</v>
      </c>
      <c r="AA2594" s="6"/>
      <c r="AB2594" s="6"/>
    </row>
    <row r="2595" spans="1:28" x14ac:dyDescent="0.2">
      <c r="A2595" t="s">
        <v>633</v>
      </c>
      <c r="B2595">
        <v>2017</v>
      </c>
      <c r="C2595" t="s">
        <v>826</v>
      </c>
      <c r="D2595" t="s">
        <v>824</v>
      </c>
      <c r="E2595" t="s">
        <v>48</v>
      </c>
      <c r="F2595" t="s">
        <v>307</v>
      </c>
      <c r="G2595">
        <v>54.183827999999998</v>
      </c>
      <c r="H2595">
        <v>7.8726450000000003</v>
      </c>
      <c r="J2595" s="2" t="s">
        <v>5</v>
      </c>
      <c r="K2595" t="s">
        <v>143</v>
      </c>
      <c r="L2595" t="s">
        <v>143</v>
      </c>
      <c r="M2595" t="s">
        <v>553</v>
      </c>
      <c r="N2595" t="s">
        <v>85</v>
      </c>
      <c r="O2595" s="6" t="s">
        <v>369</v>
      </c>
      <c r="P2595" t="s">
        <v>370</v>
      </c>
      <c r="Q2595">
        <v>18</v>
      </c>
      <c r="R2595" t="s">
        <v>213</v>
      </c>
      <c r="S2595" s="2" t="s">
        <v>27</v>
      </c>
      <c r="T2595">
        <v>5</v>
      </c>
      <c r="U2595">
        <v>7.56</v>
      </c>
      <c r="V2595">
        <v>1437</v>
      </c>
      <c r="W2595" t="s">
        <v>28</v>
      </c>
      <c r="X2595">
        <v>0.41299999999999998</v>
      </c>
      <c r="Y2595">
        <f>0.598-X2595</f>
        <v>0.185</v>
      </c>
      <c r="AA2595" s="6"/>
      <c r="AB2595" s="6"/>
    </row>
    <row r="2596" spans="1:28" x14ac:dyDescent="0.2">
      <c r="A2596" t="s">
        <v>633</v>
      </c>
      <c r="B2596">
        <v>2017</v>
      </c>
      <c r="C2596" t="s">
        <v>826</v>
      </c>
      <c r="D2596" t="s">
        <v>824</v>
      </c>
      <c r="E2596" t="s">
        <v>48</v>
      </c>
      <c r="F2596" t="s">
        <v>307</v>
      </c>
      <c r="G2596">
        <v>54.183827999999998</v>
      </c>
      <c r="H2596">
        <v>7.8726450000000003</v>
      </c>
      <c r="J2596" s="2" t="s">
        <v>14</v>
      </c>
      <c r="K2596" t="s">
        <v>143</v>
      </c>
      <c r="L2596" t="s">
        <v>143</v>
      </c>
      <c r="M2596" t="s">
        <v>553</v>
      </c>
      <c r="N2596" t="s">
        <v>85</v>
      </c>
      <c r="O2596" s="6" t="s">
        <v>369</v>
      </c>
      <c r="P2596" t="s">
        <v>370</v>
      </c>
      <c r="Q2596">
        <v>18</v>
      </c>
      <c r="R2596" t="s">
        <v>213</v>
      </c>
      <c r="S2596" s="2" t="s">
        <v>13</v>
      </c>
      <c r="T2596">
        <v>5</v>
      </c>
      <c r="U2596" t="s">
        <v>28</v>
      </c>
      <c r="V2596" t="s">
        <v>28</v>
      </c>
      <c r="W2596">
        <v>17</v>
      </c>
      <c r="X2596">
        <v>1.0029999999999999</v>
      </c>
      <c r="Y2596">
        <f>1.39-X2596</f>
        <v>0.38700000000000001</v>
      </c>
      <c r="AA2596" s="6"/>
      <c r="AB2596" s="6"/>
    </row>
    <row r="2597" spans="1:28" x14ac:dyDescent="0.2">
      <c r="A2597" t="s">
        <v>633</v>
      </c>
      <c r="B2597">
        <v>2017</v>
      </c>
      <c r="C2597" t="s">
        <v>826</v>
      </c>
      <c r="D2597" t="s">
        <v>824</v>
      </c>
      <c r="E2597" t="s">
        <v>48</v>
      </c>
      <c r="F2597" t="s">
        <v>307</v>
      </c>
      <c r="G2597">
        <v>54.183827999999998</v>
      </c>
      <c r="H2597">
        <v>7.8726450000000003</v>
      </c>
      <c r="J2597" s="2" t="s">
        <v>16</v>
      </c>
      <c r="K2597" t="s">
        <v>143</v>
      </c>
      <c r="L2597" t="s">
        <v>143</v>
      </c>
      <c r="M2597" t="s">
        <v>553</v>
      </c>
      <c r="N2597" t="s">
        <v>85</v>
      </c>
      <c r="O2597" s="6" t="s">
        <v>369</v>
      </c>
      <c r="P2597" t="s">
        <v>370</v>
      </c>
      <c r="Q2597">
        <v>18</v>
      </c>
      <c r="R2597" t="s">
        <v>213</v>
      </c>
      <c r="S2597" t="s">
        <v>15</v>
      </c>
      <c r="T2597">
        <v>5</v>
      </c>
      <c r="U2597">
        <v>7.82</v>
      </c>
      <c r="V2597">
        <v>783</v>
      </c>
      <c r="W2597">
        <v>17</v>
      </c>
      <c r="X2597">
        <v>0.79800000000000004</v>
      </c>
      <c r="Y2597">
        <f>1.009-X2597</f>
        <v>0.21099999999999985</v>
      </c>
      <c r="AA2597" s="6"/>
      <c r="AB2597" s="6"/>
    </row>
    <row r="2598" spans="1:28" x14ac:dyDescent="0.2">
      <c r="A2598" t="s">
        <v>633</v>
      </c>
      <c r="B2598">
        <v>2017</v>
      </c>
      <c r="C2598" t="s">
        <v>826</v>
      </c>
      <c r="D2598" t="s">
        <v>824</v>
      </c>
      <c r="E2598" t="s">
        <v>48</v>
      </c>
      <c r="F2598" t="s">
        <v>307</v>
      </c>
      <c r="G2598">
        <v>54.183827999999998</v>
      </c>
      <c r="H2598">
        <v>7.8726450000000003</v>
      </c>
      <c r="J2598" s="2" t="s">
        <v>16</v>
      </c>
      <c r="K2598" t="s">
        <v>143</v>
      </c>
      <c r="L2598" t="s">
        <v>143</v>
      </c>
      <c r="M2598" t="s">
        <v>553</v>
      </c>
      <c r="N2598" t="s">
        <v>85</v>
      </c>
      <c r="O2598" s="6" t="s">
        <v>369</v>
      </c>
      <c r="P2598" t="s">
        <v>370</v>
      </c>
      <c r="Q2598">
        <v>18</v>
      </c>
      <c r="R2598" t="s">
        <v>213</v>
      </c>
      <c r="S2598" s="2" t="s">
        <v>37</v>
      </c>
      <c r="T2598">
        <v>5</v>
      </c>
      <c r="U2598">
        <v>7.56</v>
      </c>
      <c r="V2598">
        <v>1505</v>
      </c>
      <c r="W2598">
        <v>17</v>
      </c>
      <c r="X2598">
        <v>0.56999999999999995</v>
      </c>
      <c r="Y2598">
        <f>0.86-X2598</f>
        <v>0.29000000000000004</v>
      </c>
      <c r="AA2598" s="6"/>
      <c r="AB2598" s="6"/>
    </row>
    <row r="2599" spans="1:28" x14ac:dyDescent="0.2">
      <c r="A2599" t="s">
        <v>633</v>
      </c>
      <c r="B2599">
        <v>2017</v>
      </c>
      <c r="C2599" t="s">
        <v>826</v>
      </c>
      <c r="D2599" t="s">
        <v>824</v>
      </c>
      <c r="E2599" t="s">
        <v>48</v>
      </c>
      <c r="F2599" t="s">
        <v>532</v>
      </c>
      <c r="G2599">
        <v>78.066044000000005</v>
      </c>
      <c r="H2599">
        <v>12.608806</v>
      </c>
      <c r="J2599" s="2" t="s">
        <v>7</v>
      </c>
      <c r="K2599" t="s">
        <v>143</v>
      </c>
      <c r="L2599" t="s">
        <v>143</v>
      </c>
      <c r="M2599" t="s">
        <v>638</v>
      </c>
      <c r="N2599" t="s">
        <v>85</v>
      </c>
      <c r="O2599" s="6" t="s">
        <v>371</v>
      </c>
      <c r="Q2599">
        <v>18</v>
      </c>
      <c r="R2599" t="s">
        <v>213</v>
      </c>
      <c r="S2599" s="2" t="s">
        <v>7</v>
      </c>
      <c r="T2599">
        <v>4</v>
      </c>
      <c r="U2599">
        <v>8.07</v>
      </c>
      <c r="V2599">
        <v>402</v>
      </c>
      <c r="W2599">
        <v>4</v>
      </c>
      <c r="X2599">
        <v>7.05</v>
      </c>
      <c r="Y2599">
        <f>8.69-X2599</f>
        <v>1.6399999999999997</v>
      </c>
      <c r="AA2599" s="6"/>
      <c r="AB2599" s="6"/>
    </row>
    <row r="2600" spans="1:28" x14ac:dyDescent="0.2">
      <c r="A2600" t="s">
        <v>633</v>
      </c>
      <c r="B2600">
        <v>2017</v>
      </c>
      <c r="C2600" t="s">
        <v>826</v>
      </c>
      <c r="D2600" t="s">
        <v>824</v>
      </c>
      <c r="E2600" t="s">
        <v>48</v>
      </c>
      <c r="F2600" t="s">
        <v>532</v>
      </c>
      <c r="G2600">
        <v>78.066044000000005</v>
      </c>
      <c r="H2600">
        <v>12.608806</v>
      </c>
      <c r="J2600" s="2" t="s">
        <v>5</v>
      </c>
      <c r="K2600" t="s">
        <v>143</v>
      </c>
      <c r="L2600" t="s">
        <v>143</v>
      </c>
      <c r="M2600" t="s">
        <v>638</v>
      </c>
      <c r="N2600" t="s">
        <v>85</v>
      </c>
      <c r="O2600" s="6" t="s">
        <v>371</v>
      </c>
      <c r="Q2600">
        <v>18</v>
      </c>
      <c r="R2600" t="s">
        <v>213</v>
      </c>
      <c r="S2600" s="2" t="s">
        <v>9</v>
      </c>
      <c r="T2600">
        <v>4</v>
      </c>
      <c r="U2600">
        <v>7.88</v>
      </c>
      <c r="V2600">
        <v>644</v>
      </c>
      <c r="W2600" t="s">
        <v>28</v>
      </c>
      <c r="X2600">
        <v>7.38</v>
      </c>
      <c r="Y2600">
        <f>8.47-X2600</f>
        <v>1.0900000000000007</v>
      </c>
      <c r="AA2600" s="6"/>
      <c r="AB2600" s="6"/>
    </row>
    <row r="2601" spans="1:28" x14ac:dyDescent="0.2">
      <c r="A2601" t="s">
        <v>633</v>
      </c>
      <c r="B2601">
        <v>2017</v>
      </c>
      <c r="C2601" t="s">
        <v>826</v>
      </c>
      <c r="D2601" t="s">
        <v>824</v>
      </c>
      <c r="E2601" t="s">
        <v>48</v>
      </c>
      <c r="F2601" t="s">
        <v>532</v>
      </c>
      <c r="G2601">
        <v>78.066044000000005</v>
      </c>
      <c r="H2601">
        <v>12.608806</v>
      </c>
      <c r="J2601" s="2" t="s">
        <v>5</v>
      </c>
      <c r="K2601" t="s">
        <v>143</v>
      </c>
      <c r="L2601" t="s">
        <v>143</v>
      </c>
      <c r="M2601" t="s">
        <v>638</v>
      </c>
      <c r="N2601" t="s">
        <v>85</v>
      </c>
      <c r="O2601" s="6" t="s">
        <v>371</v>
      </c>
      <c r="Q2601">
        <v>18</v>
      </c>
      <c r="R2601" t="s">
        <v>213</v>
      </c>
      <c r="S2601" s="2" t="s">
        <v>27</v>
      </c>
      <c r="T2601">
        <v>4</v>
      </c>
      <c r="U2601">
        <v>7.57</v>
      </c>
      <c r="V2601">
        <v>1354</v>
      </c>
      <c r="W2601" t="s">
        <v>28</v>
      </c>
      <c r="X2601">
        <v>12.69</v>
      </c>
      <c r="Y2601">
        <f>16.31-X2601</f>
        <v>3.6199999999999992</v>
      </c>
      <c r="AA2601" s="6"/>
      <c r="AB2601" s="6"/>
    </row>
    <row r="2602" spans="1:28" x14ac:dyDescent="0.2">
      <c r="A2602" t="s">
        <v>633</v>
      </c>
      <c r="B2602">
        <v>2017</v>
      </c>
      <c r="C2602" t="s">
        <v>826</v>
      </c>
      <c r="D2602" t="s">
        <v>824</v>
      </c>
      <c r="E2602" t="s">
        <v>48</v>
      </c>
      <c r="F2602" t="s">
        <v>532</v>
      </c>
      <c r="G2602">
        <v>78.066044000000005</v>
      </c>
      <c r="H2602">
        <v>12.608806</v>
      </c>
      <c r="J2602" s="2" t="s">
        <v>14</v>
      </c>
      <c r="K2602" t="s">
        <v>143</v>
      </c>
      <c r="L2602" t="s">
        <v>143</v>
      </c>
      <c r="M2602" t="s">
        <v>638</v>
      </c>
      <c r="N2602" t="s">
        <v>85</v>
      </c>
      <c r="O2602" s="6" t="s">
        <v>371</v>
      </c>
      <c r="Q2602">
        <v>18</v>
      </c>
      <c r="R2602" t="s">
        <v>213</v>
      </c>
      <c r="S2602" s="2" t="s">
        <v>13</v>
      </c>
      <c r="T2602">
        <v>4</v>
      </c>
      <c r="U2602" t="s">
        <v>28</v>
      </c>
      <c r="V2602" t="s">
        <v>28</v>
      </c>
      <c r="W2602">
        <v>10</v>
      </c>
      <c r="X2602">
        <v>6.67</v>
      </c>
      <c r="Y2602">
        <f>8.92-X2602</f>
        <v>2.25</v>
      </c>
      <c r="AA2602" s="6"/>
      <c r="AB2602" s="6"/>
    </row>
    <row r="2603" spans="1:28" x14ac:dyDescent="0.2">
      <c r="A2603" t="s">
        <v>633</v>
      </c>
      <c r="B2603">
        <v>2017</v>
      </c>
      <c r="C2603" t="s">
        <v>826</v>
      </c>
      <c r="D2603" t="s">
        <v>824</v>
      </c>
      <c r="E2603" t="s">
        <v>48</v>
      </c>
      <c r="F2603" t="s">
        <v>532</v>
      </c>
      <c r="G2603">
        <v>78.066044000000005</v>
      </c>
      <c r="H2603">
        <v>12.608806</v>
      </c>
      <c r="J2603" s="2" t="s">
        <v>16</v>
      </c>
      <c r="K2603" t="s">
        <v>143</v>
      </c>
      <c r="L2603" t="s">
        <v>143</v>
      </c>
      <c r="M2603" t="s">
        <v>638</v>
      </c>
      <c r="N2603" t="s">
        <v>85</v>
      </c>
      <c r="O2603" s="6" t="s">
        <v>371</v>
      </c>
      <c r="Q2603">
        <v>18</v>
      </c>
      <c r="R2603" t="s">
        <v>213</v>
      </c>
      <c r="S2603" t="s">
        <v>15</v>
      </c>
      <c r="T2603">
        <v>4</v>
      </c>
      <c r="U2603">
        <v>7.89</v>
      </c>
      <c r="V2603">
        <v>683</v>
      </c>
      <c r="W2603">
        <v>10</v>
      </c>
      <c r="X2603">
        <v>8.76</v>
      </c>
      <c r="Y2603">
        <f>10.22-X2603</f>
        <v>1.4600000000000009</v>
      </c>
      <c r="AA2603" s="6"/>
      <c r="AB2603" s="6"/>
    </row>
    <row r="2604" spans="1:28" x14ac:dyDescent="0.2">
      <c r="A2604" t="s">
        <v>633</v>
      </c>
      <c r="B2604">
        <v>2017</v>
      </c>
      <c r="C2604" t="s">
        <v>826</v>
      </c>
      <c r="D2604" t="s">
        <v>824</v>
      </c>
      <c r="E2604" t="s">
        <v>48</v>
      </c>
      <c r="F2604" t="s">
        <v>532</v>
      </c>
      <c r="G2604">
        <v>78.066044000000005</v>
      </c>
      <c r="H2604">
        <v>12.608806</v>
      </c>
      <c r="J2604" s="2" t="s">
        <v>16</v>
      </c>
      <c r="K2604" t="s">
        <v>143</v>
      </c>
      <c r="L2604" t="s">
        <v>143</v>
      </c>
      <c r="M2604" t="s">
        <v>638</v>
      </c>
      <c r="N2604" t="s">
        <v>85</v>
      </c>
      <c r="O2604" s="6" t="s">
        <v>371</v>
      </c>
      <c r="Q2604">
        <v>18</v>
      </c>
      <c r="R2604" t="s">
        <v>213</v>
      </c>
      <c r="S2604" s="2" t="s">
        <v>37</v>
      </c>
      <c r="T2604">
        <v>4</v>
      </c>
      <c r="U2604">
        <v>7.58</v>
      </c>
      <c r="V2604">
        <v>1456</v>
      </c>
      <c r="W2604">
        <v>10</v>
      </c>
      <c r="X2604">
        <v>13.09</v>
      </c>
      <c r="Y2604">
        <f>14.79-X2604</f>
        <v>1.6999999999999993</v>
      </c>
      <c r="AA2604" s="6"/>
      <c r="AB2604" s="6"/>
    </row>
    <row r="2605" spans="1:28" x14ac:dyDescent="0.2">
      <c r="A2605" t="s">
        <v>633</v>
      </c>
      <c r="B2605">
        <v>2017</v>
      </c>
      <c r="C2605" t="s">
        <v>826</v>
      </c>
      <c r="D2605" t="s">
        <v>824</v>
      </c>
      <c r="E2605" t="s">
        <v>48</v>
      </c>
      <c r="F2605" t="s">
        <v>307</v>
      </c>
      <c r="G2605">
        <v>54.183827999999998</v>
      </c>
      <c r="H2605">
        <v>7.8726450000000003</v>
      </c>
      <c r="J2605" s="2" t="s">
        <v>7</v>
      </c>
      <c r="K2605" t="s">
        <v>143</v>
      </c>
      <c r="L2605" t="s">
        <v>143</v>
      </c>
      <c r="M2605" t="s">
        <v>638</v>
      </c>
      <c r="N2605" t="s">
        <v>85</v>
      </c>
      <c r="O2605" s="6" t="s">
        <v>371</v>
      </c>
      <c r="Q2605">
        <v>18</v>
      </c>
      <c r="R2605" t="s">
        <v>213</v>
      </c>
      <c r="S2605" s="2" t="s">
        <v>7</v>
      </c>
      <c r="T2605">
        <v>4</v>
      </c>
      <c r="U2605">
        <v>8.06</v>
      </c>
      <c r="V2605">
        <v>423</v>
      </c>
      <c r="W2605">
        <v>10</v>
      </c>
      <c r="X2605">
        <v>4.26</v>
      </c>
      <c r="Y2605">
        <f>6.06-X2605</f>
        <v>1.7999999999999998</v>
      </c>
      <c r="AA2605" s="6"/>
      <c r="AB2605" s="6"/>
    </row>
    <row r="2606" spans="1:28" x14ac:dyDescent="0.2">
      <c r="A2606" t="s">
        <v>633</v>
      </c>
      <c r="B2606">
        <v>2017</v>
      </c>
      <c r="C2606" t="s">
        <v>826</v>
      </c>
      <c r="D2606" t="s">
        <v>824</v>
      </c>
      <c r="E2606" t="s">
        <v>48</v>
      </c>
      <c r="F2606" t="s">
        <v>307</v>
      </c>
      <c r="G2606">
        <v>54.183827999999998</v>
      </c>
      <c r="H2606">
        <v>7.8726450000000003</v>
      </c>
      <c r="J2606" s="2" t="s">
        <v>5</v>
      </c>
      <c r="K2606" t="s">
        <v>143</v>
      </c>
      <c r="L2606" t="s">
        <v>143</v>
      </c>
      <c r="M2606" t="s">
        <v>638</v>
      </c>
      <c r="N2606" t="s">
        <v>85</v>
      </c>
      <c r="O2606" s="6" t="s">
        <v>371</v>
      </c>
      <c r="Q2606">
        <v>18</v>
      </c>
      <c r="R2606" t="s">
        <v>213</v>
      </c>
      <c r="S2606" s="2" t="s">
        <v>9</v>
      </c>
      <c r="T2606">
        <v>4</v>
      </c>
      <c r="U2606">
        <v>7.82</v>
      </c>
      <c r="V2606">
        <v>769</v>
      </c>
      <c r="W2606" t="s">
        <v>28</v>
      </c>
      <c r="X2606">
        <v>6.3</v>
      </c>
      <c r="Y2606">
        <f>8.71-X2606</f>
        <v>2.410000000000001</v>
      </c>
      <c r="AA2606" s="6"/>
      <c r="AB2606" s="6"/>
    </row>
    <row r="2607" spans="1:28" x14ac:dyDescent="0.2">
      <c r="A2607" t="s">
        <v>633</v>
      </c>
      <c r="B2607">
        <v>2017</v>
      </c>
      <c r="C2607" t="s">
        <v>826</v>
      </c>
      <c r="D2607" t="s">
        <v>824</v>
      </c>
      <c r="E2607" t="s">
        <v>48</v>
      </c>
      <c r="F2607" t="s">
        <v>307</v>
      </c>
      <c r="G2607">
        <v>54.183827999999998</v>
      </c>
      <c r="H2607">
        <v>7.8726450000000003</v>
      </c>
      <c r="J2607" s="2" t="s">
        <v>5</v>
      </c>
      <c r="K2607" t="s">
        <v>143</v>
      </c>
      <c r="L2607" t="s">
        <v>143</v>
      </c>
      <c r="M2607" t="s">
        <v>638</v>
      </c>
      <c r="N2607" t="s">
        <v>85</v>
      </c>
      <c r="O2607" s="6" t="s">
        <v>371</v>
      </c>
      <c r="Q2607">
        <v>18</v>
      </c>
      <c r="R2607" t="s">
        <v>213</v>
      </c>
      <c r="S2607" s="2" t="s">
        <v>27</v>
      </c>
      <c r="T2607">
        <v>4</v>
      </c>
      <c r="U2607">
        <v>7.56</v>
      </c>
      <c r="V2607">
        <v>1437</v>
      </c>
      <c r="W2607" t="s">
        <v>28</v>
      </c>
      <c r="X2607">
        <v>10.6</v>
      </c>
      <c r="Y2607">
        <f>11.53-X2607</f>
        <v>0.92999999999999972</v>
      </c>
      <c r="AA2607" s="6"/>
      <c r="AB2607" s="6"/>
    </row>
    <row r="2608" spans="1:28" x14ac:dyDescent="0.2">
      <c r="A2608" t="s">
        <v>633</v>
      </c>
      <c r="B2608">
        <v>2017</v>
      </c>
      <c r="C2608" t="s">
        <v>826</v>
      </c>
      <c r="D2608" t="s">
        <v>824</v>
      </c>
      <c r="E2608" t="s">
        <v>48</v>
      </c>
      <c r="F2608" t="s">
        <v>307</v>
      </c>
      <c r="G2608">
        <v>54.183827999999998</v>
      </c>
      <c r="H2608">
        <v>7.8726450000000003</v>
      </c>
      <c r="J2608" s="2" t="s">
        <v>14</v>
      </c>
      <c r="K2608" t="s">
        <v>143</v>
      </c>
      <c r="L2608" t="s">
        <v>143</v>
      </c>
      <c r="M2608" t="s">
        <v>638</v>
      </c>
      <c r="N2608" t="s">
        <v>85</v>
      </c>
      <c r="O2608" s="6" t="s">
        <v>371</v>
      </c>
      <c r="Q2608">
        <v>18</v>
      </c>
      <c r="R2608" t="s">
        <v>213</v>
      </c>
      <c r="S2608" s="2" t="s">
        <v>13</v>
      </c>
      <c r="T2608">
        <v>4</v>
      </c>
      <c r="U2608" t="s">
        <v>28</v>
      </c>
      <c r="V2608" t="s">
        <v>28</v>
      </c>
      <c r="W2608">
        <v>17</v>
      </c>
      <c r="X2608">
        <v>10.41</v>
      </c>
      <c r="Y2608">
        <f>12.45-X2608</f>
        <v>2.0399999999999991</v>
      </c>
      <c r="AA2608" s="6"/>
      <c r="AB2608" s="6"/>
    </row>
    <row r="2609" spans="1:28" x14ac:dyDescent="0.2">
      <c r="A2609" t="s">
        <v>633</v>
      </c>
      <c r="B2609">
        <v>2017</v>
      </c>
      <c r="C2609" t="s">
        <v>826</v>
      </c>
      <c r="D2609" t="s">
        <v>824</v>
      </c>
      <c r="E2609" t="s">
        <v>48</v>
      </c>
      <c r="F2609" t="s">
        <v>307</v>
      </c>
      <c r="G2609">
        <v>54.183827999999998</v>
      </c>
      <c r="H2609">
        <v>7.8726450000000003</v>
      </c>
      <c r="J2609" s="2" t="s">
        <v>16</v>
      </c>
      <c r="K2609" t="s">
        <v>143</v>
      </c>
      <c r="L2609" t="s">
        <v>143</v>
      </c>
      <c r="M2609" t="s">
        <v>638</v>
      </c>
      <c r="N2609" t="s">
        <v>85</v>
      </c>
      <c r="O2609" s="6" t="s">
        <v>371</v>
      </c>
      <c r="Q2609">
        <v>18</v>
      </c>
      <c r="R2609" t="s">
        <v>213</v>
      </c>
      <c r="S2609" t="s">
        <v>15</v>
      </c>
      <c r="T2609">
        <v>4</v>
      </c>
      <c r="U2609">
        <v>7.82</v>
      </c>
      <c r="V2609">
        <v>783</v>
      </c>
      <c r="W2609">
        <v>17</v>
      </c>
      <c r="X2609">
        <v>12.54</v>
      </c>
      <c r="Y2609">
        <f>13.4-X2609</f>
        <v>0.86000000000000121</v>
      </c>
      <c r="AA2609" s="6"/>
      <c r="AB2609" s="6"/>
    </row>
    <row r="2610" spans="1:28" x14ac:dyDescent="0.2">
      <c r="A2610" t="s">
        <v>633</v>
      </c>
      <c r="B2610">
        <v>2017</v>
      </c>
      <c r="C2610" t="s">
        <v>826</v>
      </c>
      <c r="D2610" t="s">
        <v>824</v>
      </c>
      <c r="E2610" t="s">
        <v>48</v>
      </c>
      <c r="F2610" t="s">
        <v>307</v>
      </c>
      <c r="G2610">
        <v>54.183827999999998</v>
      </c>
      <c r="H2610">
        <v>7.8726450000000003</v>
      </c>
      <c r="J2610" s="2" t="s">
        <v>16</v>
      </c>
      <c r="K2610" t="s">
        <v>143</v>
      </c>
      <c r="L2610" t="s">
        <v>143</v>
      </c>
      <c r="M2610" t="s">
        <v>638</v>
      </c>
      <c r="N2610" t="s">
        <v>85</v>
      </c>
      <c r="O2610" s="6" t="s">
        <v>371</v>
      </c>
      <c r="Q2610">
        <v>18</v>
      </c>
      <c r="R2610" t="s">
        <v>213</v>
      </c>
      <c r="S2610" s="2" t="s">
        <v>37</v>
      </c>
      <c r="T2610">
        <v>4</v>
      </c>
      <c r="U2610">
        <v>7.56</v>
      </c>
      <c r="V2610">
        <v>1505</v>
      </c>
      <c r="W2610">
        <v>17</v>
      </c>
      <c r="X2610">
        <v>15.74</v>
      </c>
      <c r="Y2610">
        <f>16.95-X2610</f>
        <v>1.2099999999999991</v>
      </c>
      <c r="AA2610" s="6"/>
      <c r="AB2610" s="6"/>
    </row>
    <row r="2611" spans="1:28" x14ac:dyDescent="0.2">
      <c r="A2611" t="s">
        <v>633</v>
      </c>
      <c r="B2611">
        <v>2017</v>
      </c>
      <c r="C2611" t="s">
        <v>826</v>
      </c>
      <c r="D2611" t="s">
        <v>824</v>
      </c>
      <c r="E2611" t="s">
        <v>48</v>
      </c>
      <c r="F2611" t="s">
        <v>532</v>
      </c>
      <c r="G2611">
        <v>78.066044000000005</v>
      </c>
      <c r="H2611">
        <v>12.608806</v>
      </c>
      <c r="J2611" s="2" t="s">
        <v>7</v>
      </c>
      <c r="K2611" t="s">
        <v>143</v>
      </c>
      <c r="L2611" t="s">
        <v>143</v>
      </c>
      <c r="M2611" t="s">
        <v>26</v>
      </c>
      <c r="N2611" t="s">
        <v>85</v>
      </c>
      <c r="O2611" t="s">
        <v>839</v>
      </c>
      <c r="P2611" t="s">
        <v>72</v>
      </c>
      <c r="Q2611">
        <v>18</v>
      </c>
      <c r="R2611" t="s">
        <v>213</v>
      </c>
      <c r="S2611" s="2" t="s">
        <v>7</v>
      </c>
      <c r="T2611">
        <v>6</v>
      </c>
      <c r="U2611">
        <v>8.07</v>
      </c>
      <c r="V2611">
        <v>402</v>
      </c>
      <c r="W2611">
        <v>4</v>
      </c>
      <c r="X2611">
        <v>6.68</v>
      </c>
      <c r="Y2611">
        <f>7.15-X2611</f>
        <v>0.47000000000000064</v>
      </c>
      <c r="AA2611" s="6"/>
      <c r="AB2611" s="6"/>
    </row>
    <row r="2612" spans="1:28" x14ac:dyDescent="0.2">
      <c r="A2612" t="s">
        <v>633</v>
      </c>
      <c r="B2612">
        <v>2017</v>
      </c>
      <c r="C2612" t="s">
        <v>826</v>
      </c>
      <c r="D2612" t="s">
        <v>824</v>
      </c>
      <c r="E2612" t="s">
        <v>48</v>
      </c>
      <c r="F2612" t="s">
        <v>532</v>
      </c>
      <c r="G2612">
        <v>78.066044000000005</v>
      </c>
      <c r="H2612">
        <v>12.608806</v>
      </c>
      <c r="J2612" s="2" t="s">
        <v>5</v>
      </c>
      <c r="K2612" t="s">
        <v>143</v>
      </c>
      <c r="L2612" t="s">
        <v>143</v>
      </c>
      <c r="M2612" t="s">
        <v>26</v>
      </c>
      <c r="N2612" t="s">
        <v>85</v>
      </c>
      <c r="O2612" t="s">
        <v>839</v>
      </c>
      <c r="P2612" t="s">
        <v>72</v>
      </c>
      <c r="Q2612">
        <v>18</v>
      </c>
      <c r="R2612" t="s">
        <v>213</v>
      </c>
      <c r="S2612" s="2" t="s">
        <v>9</v>
      </c>
      <c r="T2612">
        <v>6</v>
      </c>
      <c r="U2612">
        <v>7.88</v>
      </c>
      <c r="V2612">
        <v>644</v>
      </c>
      <c r="W2612" t="s">
        <v>28</v>
      </c>
      <c r="X2612">
        <v>7.62</v>
      </c>
      <c r="Y2612">
        <f>8.62-X2612</f>
        <v>0.99999999999999911</v>
      </c>
      <c r="AA2612" s="6"/>
      <c r="AB2612" s="6"/>
    </row>
    <row r="2613" spans="1:28" x14ac:dyDescent="0.2">
      <c r="A2613" t="s">
        <v>633</v>
      </c>
      <c r="B2613">
        <v>2017</v>
      </c>
      <c r="C2613" t="s">
        <v>826</v>
      </c>
      <c r="D2613" t="s">
        <v>824</v>
      </c>
      <c r="E2613" t="s">
        <v>48</v>
      </c>
      <c r="F2613" t="s">
        <v>532</v>
      </c>
      <c r="G2613">
        <v>78.066044000000005</v>
      </c>
      <c r="H2613">
        <v>12.608806</v>
      </c>
      <c r="J2613" s="2" t="s">
        <v>5</v>
      </c>
      <c r="K2613" t="s">
        <v>143</v>
      </c>
      <c r="L2613" t="s">
        <v>143</v>
      </c>
      <c r="M2613" t="s">
        <v>26</v>
      </c>
      <c r="N2613" t="s">
        <v>85</v>
      </c>
      <c r="O2613" t="s">
        <v>839</v>
      </c>
      <c r="P2613" t="s">
        <v>72</v>
      </c>
      <c r="Q2613">
        <v>18</v>
      </c>
      <c r="R2613" t="s">
        <v>213</v>
      </c>
      <c r="S2613" s="2" t="s">
        <v>27</v>
      </c>
      <c r="T2613">
        <v>6</v>
      </c>
      <c r="U2613">
        <v>7.57</v>
      </c>
      <c r="V2613">
        <v>1354</v>
      </c>
      <c r="W2613" t="s">
        <v>28</v>
      </c>
      <c r="X2613">
        <v>8.01</v>
      </c>
      <c r="Y2613">
        <f>8.97-X2613</f>
        <v>0.96000000000000085</v>
      </c>
      <c r="AA2613" s="6"/>
      <c r="AB2613" s="6"/>
    </row>
    <row r="2614" spans="1:28" x14ac:dyDescent="0.2">
      <c r="A2614" t="s">
        <v>633</v>
      </c>
      <c r="B2614">
        <v>2017</v>
      </c>
      <c r="C2614" t="s">
        <v>826</v>
      </c>
      <c r="D2614" t="s">
        <v>824</v>
      </c>
      <c r="E2614" t="s">
        <v>48</v>
      </c>
      <c r="F2614" t="s">
        <v>532</v>
      </c>
      <c r="G2614">
        <v>78.066044000000005</v>
      </c>
      <c r="H2614">
        <v>12.608806</v>
      </c>
      <c r="J2614" s="2" t="s">
        <v>14</v>
      </c>
      <c r="K2614" t="s">
        <v>143</v>
      </c>
      <c r="L2614" t="s">
        <v>143</v>
      </c>
      <c r="M2614" t="s">
        <v>26</v>
      </c>
      <c r="N2614" t="s">
        <v>85</v>
      </c>
      <c r="O2614" t="s">
        <v>839</v>
      </c>
      <c r="P2614" t="s">
        <v>72</v>
      </c>
      <c r="Q2614">
        <v>18</v>
      </c>
      <c r="R2614" t="s">
        <v>213</v>
      </c>
      <c r="S2614" s="2" t="s">
        <v>13</v>
      </c>
      <c r="T2614">
        <v>6</v>
      </c>
      <c r="U2614" t="s">
        <v>28</v>
      </c>
      <c r="V2614" t="s">
        <v>28</v>
      </c>
      <c r="W2614">
        <v>10</v>
      </c>
      <c r="X2614">
        <v>10.5</v>
      </c>
      <c r="Y2614">
        <f>11.3-X2614</f>
        <v>0.80000000000000071</v>
      </c>
      <c r="AA2614" s="6"/>
      <c r="AB2614" s="6"/>
    </row>
    <row r="2615" spans="1:28" x14ac:dyDescent="0.2">
      <c r="A2615" t="s">
        <v>633</v>
      </c>
      <c r="B2615">
        <v>2017</v>
      </c>
      <c r="C2615" t="s">
        <v>826</v>
      </c>
      <c r="D2615" t="s">
        <v>824</v>
      </c>
      <c r="E2615" t="s">
        <v>48</v>
      </c>
      <c r="F2615" t="s">
        <v>532</v>
      </c>
      <c r="G2615">
        <v>78.066044000000005</v>
      </c>
      <c r="H2615">
        <v>12.608806</v>
      </c>
      <c r="J2615" s="2" t="s">
        <v>16</v>
      </c>
      <c r="K2615" t="s">
        <v>143</v>
      </c>
      <c r="L2615" t="s">
        <v>143</v>
      </c>
      <c r="M2615" t="s">
        <v>26</v>
      </c>
      <c r="N2615" t="s">
        <v>85</v>
      </c>
      <c r="O2615" t="s">
        <v>839</v>
      </c>
      <c r="P2615" t="s">
        <v>72</v>
      </c>
      <c r="Q2615">
        <v>18</v>
      </c>
      <c r="R2615" t="s">
        <v>213</v>
      </c>
      <c r="S2615" t="s">
        <v>15</v>
      </c>
      <c r="T2615">
        <v>6</v>
      </c>
      <c r="U2615">
        <v>7.89</v>
      </c>
      <c r="V2615">
        <v>683</v>
      </c>
      <c r="W2615">
        <v>10</v>
      </c>
      <c r="X2615">
        <v>11.97</v>
      </c>
      <c r="Y2615">
        <f>13.45-X2615</f>
        <v>1.4799999999999986</v>
      </c>
      <c r="AA2615" s="6"/>
      <c r="AB2615" s="6"/>
    </row>
    <row r="2616" spans="1:28" x14ac:dyDescent="0.2">
      <c r="A2616" t="s">
        <v>633</v>
      </c>
      <c r="B2616">
        <v>2017</v>
      </c>
      <c r="C2616" t="s">
        <v>826</v>
      </c>
      <c r="D2616" t="s">
        <v>824</v>
      </c>
      <c r="E2616" t="s">
        <v>48</v>
      </c>
      <c r="F2616" t="s">
        <v>532</v>
      </c>
      <c r="G2616">
        <v>78.066044000000005</v>
      </c>
      <c r="H2616">
        <v>12.608806</v>
      </c>
      <c r="J2616" s="2" t="s">
        <v>16</v>
      </c>
      <c r="K2616" t="s">
        <v>143</v>
      </c>
      <c r="L2616" t="s">
        <v>143</v>
      </c>
      <c r="M2616" t="s">
        <v>26</v>
      </c>
      <c r="N2616" t="s">
        <v>85</v>
      </c>
      <c r="O2616" t="s">
        <v>839</v>
      </c>
      <c r="P2616" t="s">
        <v>72</v>
      </c>
      <c r="Q2616">
        <v>18</v>
      </c>
      <c r="R2616" t="s">
        <v>213</v>
      </c>
      <c r="S2616" s="2" t="s">
        <v>37</v>
      </c>
      <c r="T2616">
        <v>6</v>
      </c>
      <c r="U2616">
        <v>7.58</v>
      </c>
      <c r="V2616">
        <v>1456</v>
      </c>
      <c r="W2616">
        <v>10</v>
      </c>
      <c r="X2616">
        <v>10.92</v>
      </c>
      <c r="Y2616">
        <f>11.84-X2616</f>
        <v>0.91999999999999993</v>
      </c>
      <c r="AA2616" s="6"/>
      <c r="AB2616" s="6"/>
    </row>
    <row r="2617" spans="1:28" x14ac:dyDescent="0.2">
      <c r="A2617" t="s">
        <v>633</v>
      </c>
      <c r="B2617">
        <v>2017</v>
      </c>
      <c r="C2617" t="s">
        <v>826</v>
      </c>
      <c r="D2617" t="s">
        <v>824</v>
      </c>
      <c r="E2617" t="s">
        <v>48</v>
      </c>
      <c r="F2617" t="s">
        <v>307</v>
      </c>
      <c r="G2617">
        <v>54.183827999999998</v>
      </c>
      <c r="H2617">
        <v>7.8726450000000003</v>
      </c>
      <c r="J2617" s="2" t="s">
        <v>7</v>
      </c>
      <c r="K2617" t="s">
        <v>143</v>
      </c>
      <c r="L2617" t="s">
        <v>143</v>
      </c>
      <c r="M2617" t="s">
        <v>26</v>
      </c>
      <c r="N2617" t="s">
        <v>85</v>
      </c>
      <c r="O2617" t="s">
        <v>839</v>
      </c>
      <c r="P2617" t="s">
        <v>72</v>
      </c>
      <c r="Q2617">
        <v>18</v>
      </c>
      <c r="R2617" t="s">
        <v>213</v>
      </c>
      <c r="S2617" s="2" t="s">
        <v>7</v>
      </c>
      <c r="T2617">
        <v>6</v>
      </c>
      <c r="U2617">
        <v>8.06</v>
      </c>
      <c r="V2617">
        <v>423</v>
      </c>
      <c r="W2617">
        <v>10</v>
      </c>
      <c r="X2617">
        <v>12.47</v>
      </c>
      <c r="Y2617">
        <f>13.92-X2617</f>
        <v>1.4499999999999993</v>
      </c>
      <c r="AA2617" s="6"/>
      <c r="AB2617" s="6"/>
    </row>
    <row r="2618" spans="1:28" x14ac:dyDescent="0.2">
      <c r="A2618" t="s">
        <v>633</v>
      </c>
      <c r="B2618">
        <v>2017</v>
      </c>
      <c r="C2618" t="s">
        <v>826</v>
      </c>
      <c r="D2618" t="s">
        <v>824</v>
      </c>
      <c r="E2618" t="s">
        <v>48</v>
      </c>
      <c r="F2618" t="s">
        <v>307</v>
      </c>
      <c r="G2618">
        <v>54.183827999999998</v>
      </c>
      <c r="H2618">
        <v>7.8726450000000003</v>
      </c>
      <c r="J2618" s="2" t="s">
        <v>5</v>
      </c>
      <c r="K2618" t="s">
        <v>143</v>
      </c>
      <c r="L2618" t="s">
        <v>143</v>
      </c>
      <c r="M2618" t="s">
        <v>26</v>
      </c>
      <c r="N2618" t="s">
        <v>85</v>
      </c>
      <c r="O2618" t="s">
        <v>839</v>
      </c>
      <c r="P2618" t="s">
        <v>72</v>
      </c>
      <c r="Q2618">
        <v>18</v>
      </c>
      <c r="R2618" t="s">
        <v>213</v>
      </c>
      <c r="S2618" s="2" t="s">
        <v>9</v>
      </c>
      <c r="T2618">
        <v>6</v>
      </c>
      <c r="U2618">
        <v>7.82</v>
      </c>
      <c r="V2618">
        <v>769</v>
      </c>
      <c r="W2618" t="s">
        <v>28</v>
      </c>
      <c r="X2618">
        <v>12.7</v>
      </c>
      <c r="Y2618">
        <f>13.55-X2618</f>
        <v>0.85000000000000142</v>
      </c>
      <c r="AA2618" s="6"/>
      <c r="AB2618" s="6"/>
    </row>
    <row r="2619" spans="1:28" x14ac:dyDescent="0.2">
      <c r="A2619" t="s">
        <v>633</v>
      </c>
      <c r="B2619">
        <v>2017</v>
      </c>
      <c r="C2619" t="s">
        <v>826</v>
      </c>
      <c r="D2619" t="s">
        <v>824</v>
      </c>
      <c r="E2619" t="s">
        <v>48</v>
      </c>
      <c r="F2619" t="s">
        <v>307</v>
      </c>
      <c r="G2619">
        <v>54.183827999999998</v>
      </c>
      <c r="H2619">
        <v>7.8726450000000003</v>
      </c>
      <c r="J2619" s="2" t="s">
        <v>5</v>
      </c>
      <c r="K2619" t="s">
        <v>143</v>
      </c>
      <c r="L2619" t="s">
        <v>143</v>
      </c>
      <c r="M2619" t="s">
        <v>26</v>
      </c>
      <c r="N2619" t="s">
        <v>85</v>
      </c>
      <c r="O2619" t="s">
        <v>839</v>
      </c>
      <c r="P2619" t="s">
        <v>72</v>
      </c>
      <c r="Q2619">
        <v>18</v>
      </c>
      <c r="R2619" t="s">
        <v>213</v>
      </c>
      <c r="S2619" s="2" t="s">
        <v>27</v>
      </c>
      <c r="T2619">
        <v>6</v>
      </c>
      <c r="U2619">
        <v>7.56</v>
      </c>
      <c r="V2619">
        <v>1437</v>
      </c>
      <c r="W2619" t="s">
        <v>28</v>
      </c>
      <c r="X2619">
        <v>12.56</v>
      </c>
      <c r="Y2619">
        <f>13.29-X2619</f>
        <v>0.72999999999999865</v>
      </c>
      <c r="AA2619" s="6"/>
      <c r="AB2619" s="6"/>
    </row>
    <row r="2620" spans="1:28" x14ac:dyDescent="0.2">
      <c r="A2620" t="s">
        <v>633</v>
      </c>
      <c r="B2620">
        <v>2017</v>
      </c>
      <c r="C2620" t="s">
        <v>826</v>
      </c>
      <c r="D2620" t="s">
        <v>824</v>
      </c>
      <c r="E2620" t="s">
        <v>48</v>
      </c>
      <c r="F2620" t="s">
        <v>307</v>
      </c>
      <c r="G2620">
        <v>54.183827999999998</v>
      </c>
      <c r="H2620">
        <v>7.8726450000000003</v>
      </c>
      <c r="J2620" s="2" t="s">
        <v>14</v>
      </c>
      <c r="K2620" t="s">
        <v>143</v>
      </c>
      <c r="L2620" t="s">
        <v>143</v>
      </c>
      <c r="M2620" t="s">
        <v>26</v>
      </c>
      <c r="N2620" t="s">
        <v>85</v>
      </c>
      <c r="O2620" t="s">
        <v>839</v>
      </c>
      <c r="P2620" t="s">
        <v>72</v>
      </c>
      <c r="Q2620">
        <v>18</v>
      </c>
      <c r="R2620" t="s">
        <v>213</v>
      </c>
      <c r="S2620" s="2" t="s">
        <v>13</v>
      </c>
      <c r="T2620">
        <v>6</v>
      </c>
      <c r="U2620" t="s">
        <v>28</v>
      </c>
      <c r="V2620" t="s">
        <v>28</v>
      </c>
      <c r="W2620">
        <v>17</v>
      </c>
      <c r="X2620">
        <v>12.47</v>
      </c>
      <c r="Y2620">
        <f>13.34-X2620</f>
        <v>0.86999999999999922</v>
      </c>
      <c r="AA2620" s="6"/>
      <c r="AB2620" s="6"/>
    </row>
    <row r="2621" spans="1:28" x14ac:dyDescent="0.2">
      <c r="A2621" t="s">
        <v>633</v>
      </c>
      <c r="B2621">
        <v>2017</v>
      </c>
      <c r="C2621" t="s">
        <v>826</v>
      </c>
      <c r="D2621" t="s">
        <v>824</v>
      </c>
      <c r="E2621" t="s">
        <v>48</v>
      </c>
      <c r="F2621" t="s">
        <v>307</v>
      </c>
      <c r="G2621">
        <v>54.183827999999998</v>
      </c>
      <c r="H2621">
        <v>7.8726450000000003</v>
      </c>
      <c r="J2621" s="2" t="s">
        <v>16</v>
      </c>
      <c r="K2621" t="s">
        <v>143</v>
      </c>
      <c r="L2621" t="s">
        <v>143</v>
      </c>
      <c r="M2621" t="s">
        <v>26</v>
      </c>
      <c r="N2621" t="s">
        <v>85</v>
      </c>
      <c r="O2621" t="s">
        <v>839</v>
      </c>
      <c r="P2621" t="s">
        <v>72</v>
      </c>
      <c r="Q2621">
        <v>18</v>
      </c>
      <c r="R2621" t="s">
        <v>213</v>
      </c>
      <c r="S2621" t="s">
        <v>15</v>
      </c>
      <c r="T2621">
        <v>6</v>
      </c>
      <c r="U2621">
        <v>7.82</v>
      </c>
      <c r="V2621">
        <v>783</v>
      </c>
      <c r="W2621">
        <v>17</v>
      </c>
      <c r="X2621">
        <v>13.27</v>
      </c>
      <c r="Y2621">
        <f>13.87-X2621</f>
        <v>0.59999999999999964</v>
      </c>
      <c r="AA2621" s="6"/>
      <c r="AB2621" s="6"/>
    </row>
    <row r="2622" spans="1:28" x14ac:dyDescent="0.2">
      <c r="A2622" t="s">
        <v>633</v>
      </c>
      <c r="B2622">
        <v>2017</v>
      </c>
      <c r="C2622" t="s">
        <v>826</v>
      </c>
      <c r="D2622" t="s">
        <v>824</v>
      </c>
      <c r="E2622" t="s">
        <v>48</v>
      </c>
      <c r="F2622" t="s">
        <v>307</v>
      </c>
      <c r="G2622">
        <v>54.183827999999998</v>
      </c>
      <c r="H2622">
        <v>7.8726450000000003</v>
      </c>
      <c r="J2622" s="2" t="s">
        <v>16</v>
      </c>
      <c r="K2622" t="s">
        <v>143</v>
      </c>
      <c r="L2622" t="s">
        <v>143</v>
      </c>
      <c r="M2622" t="s">
        <v>26</v>
      </c>
      <c r="N2622" t="s">
        <v>85</v>
      </c>
      <c r="O2622" t="s">
        <v>839</v>
      </c>
      <c r="P2622" t="s">
        <v>72</v>
      </c>
      <c r="Q2622">
        <v>18</v>
      </c>
      <c r="R2622" t="s">
        <v>213</v>
      </c>
      <c r="S2622" s="2" t="s">
        <v>37</v>
      </c>
      <c r="T2622">
        <v>6</v>
      </c>
      <c r="U2622">
        <v>7.56</v>
      </c>
      <c r="V2622">
        <v>1505</v>
      </c>
      <c r="W2622">
        <v>17</v>
      </c>
      <c r="X2622">
        <v>13.38</v>
      </c>
      <c r="Y2622">
        <f>14.2-X2622</f>
        <v>0.81999999999999851</v>
      </c>
      <c r="AA2622" s="6"/>
      <c r="AB2622" s="6"/>
    </row>
    <row r="2623" spans="1:28" x14ac:dyDescent="0.2">
      <c r="A2623" t="s">
        <v>634</v>
      </c>
      <c r="B2623">
        <v>2018</v>
      </c>
      <c r="C2623" t="s">
        <v>811</v>
      </c>
      <c r="D2623" t="s">
        <v>818</v>
      </c>
      <c r="E2623" t="s">
        <v>372</v>
      </c>
      <c r="F2623" t="s">
        <v>373</v>
      </c>
      <c r="G2623">
        <v>-30.283332999999999</v>
      </c>
      <c r="H2623">
        <v>-71.599999999999994</v>
      </c>
      <c r="I2623" t="s">
        <v>766</v>
      </c>
      <c r="J2623" s="2" t="s">
        <v>7</v>
      </c>
      <c r="K2623" t="s">
        <v>92</v>
      </c>
      <c r="L2623" t="s">
        <v>300</v>
      </c>
      <c r="M2623" t="s">
        <v>727</v>
      </c>
      <c r="N2623" t="s">
        <v>85</v>
      </c>
      <c r="O2623" s="6" t="s">
        <v>71</v>
      </c>
      <c r="P2623" t="s">
        <v>70</v>
      </c>
      <c r="Q2623">
        <v>3</v>
      </c>
      <c r="R2623" t="s">
        <v>213</v>
      </c>
      <c r="S2623" s="2" t="s">
        <v>7</v>
      </c>
      <c r="T2623">
        <v>3</v>
      </c>
      <c r="U2623">
        <v>7.86</v>
      </c>
      <c r="V2623">
        <v>458.13</v>
      </c>
      <c r="W2623">
        <v>15.77</v>
      </c>
      <c r="X2623">
        <v>75.97</v>
      </c>
      <c r="Y2623" s="6">
        <f t="shared" ref="Y2623:Y2646" si="52">Z2623*SQRT(T2623)</f>
        <v>1.2297560733739166</v>
      </c>
      <c r="Z2623">
        <f>76.68-X2623</f>
        <v>0.71000000000000796</v>
      </c>
      <c r="AA2623" s="6"/>
      <c r="AB2623" s="6"/>
    </row>
    <row r="2624" spans="1:28" x14ac:dyDescent="0.2">
      <c r="A2624" t="s">
        <v>634</v>
      </c>
      <c r="B2624">
        <v>2018</v>
      </c>
      <c r="C2624" t="s">
        <v>811</v>
      </c>
      <c r="D2624" t="s">
        <v>818</v>
      </c>
      <c r="E2624" t="s">
        <v>372</v>
      </c>
      <c r="F2624" t="s">
        <v>373</v>
      </c>
      <c r="G2624">
        <v>-30.283332999999999</v>
      </c>
      <c r="H2624">
        <v>-71.599999999999994</v>
      </c>
      <c r="I2624" t="s">
        <v>766</v>
      </c>
      <c r="J2624" s="2" t="s">
        <v>5</v>
      </c>
      <c r="K2624" t="s">
        <v>92</v>
      </c>
      <c r="L2624" t="s">
        <v>300</v>
      </c>
      <c r="M2624" t="s">
        <v>727</v>
      </c>
      <c r="N2624" t="s">
        <v>85</v>
      </c>
      <c r="O2624" s="6" t="s">
        <v>71</v>
      </c>
      <c r="P2624" t="s">
        <v>70</v>
      </c>
      <c r="Q2624">
        <v>3</v>
      </c>
      <c r="R2624" t="s">
        <v>213</v>
      </c>
      <c r="S2624" s="2" t="s">
        <v>9</v>
      </c>
      <c r="T2624">
        <v>3</v>
      </c>
      <c r="U2624">
        <v>7.45</v>
      </c>
      <c r="V2624">
        <v>1372.15</v>
      </c>
      <c r="W2624" t="s">
        <v>28</v>
      </c>
      <c r="X2624">
        <v>67.349999999999994</v>
      </c>
      <c r="Y2624" s="6">
        <f t="shared" si="52"/>
        <v>1.4722431864335603</v>
      </c>
      <c r="Z2624">
        <f>68.2-X2624</f>
        <v>0.85000000000000853</v>
      </c>
      <c r="AA2624" s="6"/>
      <c r="AB2624" s="6"/>
    </row>
    <row r="2625" spans="1:28" x14ac:dyDescent="0.2">
      <c r="A2625" t="s">
        <v>634</v>
      </c>
      <c r="B2625">
        <v>2018</v>
      </c>
      <c r="C2625" t="s">
        <v>811</v>
      </c>
      <c r="D2625" t="s">
        <v>818</v>
      </c>
      <c r="E2625" t="s">
        <v>372</v>
      </c>
      <c r="F2625" t="s">
        <v>373</v>
      </c>
      <c r="G2625">
        <v>-30.283332999999999</v>
      </c>
      <c r="H2625">
        <v>-71.599999999999994</v>
      </c>
      <c r="I2625" t="s">
        <v>766</v>
      </c>
      <c r="J2625" s="2" t="s">
        <v>14</v>
      </c>
      <c r="K2625" t="s">
        <v>92</v>
      </c>
      <c r="L2625" t="s">
        <v>300</v>
      </c>
      <c r="M2625" t="s">
        <v>727</v>
      </c>
      <c r="N2625" t="s">
        <v>85</v>
      </c>
      <c r="O2625" s="6" t="s">
        <v>71</v>
      </c>
      <c r="P2625" t="s">
        <v>70</v>
      </c>
      <c r="Q2625">
        <v>3</v>
      </c>
      <c r="R2625" t="s">
        <v>213</v>
      </c>
      <c r="S2625" s="2" t="s">
        <v>27</v>
      </c>
      <c r="T2625">
        <v>3</v>
      </c>
      <c r="U2625" t="s">
        <v>28</v>
      </c>
      <c r="V2625" t="s">
        <v>28</v>
      </c>
      <c r="W2625">
        <v>18.510000000000002</v>
      </c>
      <c r="X2625">
        <v>61.23</v>
      </c>
      <c r="Y2625" s="6">
        <f t="shared" si="52"/>
        <v>1.4895636945092456</v>
      </c>
      <c r="Z2625">
        <f>62.09-X2625</f>
        <v>0.86000000000000654</v>
      </c>
      <c r="AA2625" s="6"/>
      <c r="AB2625" s="6"/>
    </row>
    <row r="2626" spans="1:28" x14ac:dyDescent="0.2">
      <c r="A2626" t="s">
        <v>634</v>
      </c>
      <c r="B2626">
        <v>2018</v>
      </c>
      <c r="C2626" t="s">
        <v>811</v>
      </c>
      <c r="D2626" t="s">
        <v>818</v>
      </c>
      <c r="E2626" t="s">
        <v>372</v>
      </c>
      <c r="F2626" t="s">
        <v>373</v>
      </c>
      <c r="G2626">
        <v>-30.283332999999999</v>
      </c>
      <c r="H2626">
        <v>-71.599999999999994</v>
      </c>
      <c r="I2626" t="s">
        <v>766</v>
      </c>
      <c r="J2626" s="2" t="s">
        <v>16</v>
      </c>
      <c r="K2626" t="s">
        <v>92</v>
      </c>
      <c r="L2626" t="s">
        <v>300</v>
      </c>
      <c r="M2626" t="s">
        <v>727</v>
      </c>
      <c r="N2626" t="s">
        <v>85</v>
      </c>
      <c r="O2626" s="6" t="s">
        <v>71</v>
      </c>
      <c r="P2626" t="s">
        <v>70</v>
      </c>
      <c r="Q2626">
        <v>3</v>
      </c>
      <c r="R2626" t="s">
        <v>213</v>
      </c>
      <c r="S2626" s="2" t="s">
        <v>13</v>
      </c>
      <c r="T2626">
        <v>3</v>
      </c>
      <c r="U2626">
        <v>7.52</v>
      </c>
      <c r="V2626">
        <v>2446.86</v>
      </c>
      <c r="W2626">
        <v>18.89</v>
      </c>
      <c r="X2626">
        <v>60.09</v>
      </c>
      <c r="Y2626" s="6">
        <f t="shared" si="52"/>
        <v>1.9745379206285087</v>
      </c>
      <c r="Z2626">
        <f>61.23-X2626</f>
        <v>1.1399999999999935</v>
      </c>
      <c r="AA2626" s="6"/>
      <c r="AB2626" s="6"/>
    </row>
    <row r="2627" spans="1:28" x14ac:dyDescent="0.2">
      <c r="A2627" t="s">
        <v>634</v>
      </c>
      <c r="B2627">
        <v>2018</v>
      </c>
      <c r="C2627" t="s">
        <v>811</v>
      </c>
      <c r="D2627" t="s">
        <v>818</v>
      </c>
      <c r="E2627" t="s">
        <v>372</v>
      </c>
      <c r="F2627" t="s">
        <v>373</v>
      </c>
      <c r="G2627">
        <v>-30.283332999999999</v>
      </c>
      <c r="H2627">
        <v>-71.599999999999994</v>
      </c>
      <c r="I2627" t="s">
        <v>766</v>
      </c>
      <c r="J2627" s="2" t="s">
        <v>7</v>
      </c>
      <c r="K2627" t="s">
        <v>3</v>
      </c>
      <c r="L2627" t="s">
        <v>3</v>
      </c>
      <c r="M2627" t="s">
        <v>727</v>
      </c>
      <c r="N2627" t="s">
        <v>85</v>
      </c>
      <c r="O2627" s="6" t="s">
        <v>42</v>
      </c>
      <c r="P2627" t="s">
        <v>743</v>
      </c>
      <c r="Q2627">
        <v>14</v>
      </c>
      <c r="R2627" t="s">
        <v>213</v>
      </c>
      <c r="S2627" s="2" t="s">
        <v>7</v>
      </c>
      <c r="T2627">
        <v>3</v>
      </c>
      <c r="U2627">
        <v>7.86</v>
      </c>
      <c r="V2627">
        <v>458.13</v>
      </c>
      <c r="W2627">
        <v>15.77</v>
      </c>
      <c r="X2627">
        <v>0.5121</v>
      </c>
      <c r="Y2627" s="6">
        <f t="shared" si="52"/>
        <v>3.3774990747593041E-2</v>
      </c>
      <c r="Z2627">
        <f>0.5316-X2627</f>
        <v>1.9499999999999962E-2</v>
      </c>
      <c r="AA2627" s="6"/>
      <c r="AB2627" s="6"/>
    </row>
    <row r="2628" spans="1:28" x14ac:dyDescent="0.2">
      <c r="A2628" t="s">
        <v>634</v>
      </c>
      <c r="B2628">
        <v>2018</v>
      </c>
      <c r="C2628" t="s">
        <v>811</v>
      </c>
      <c r="D2628" t="s">
        <v>818</v>
      </c>
      <c r="E2628" t="s">
        <v>372</v>
      </c>
      <c r="F2628" t="s">
        <v>373</v>
      </c>
      <c r="G2628">
        <v>-30.283332999999999</v>
      </c>
      <c r="H2628">
        <v>-71.599999999999994</v>
      </c>
      <c r="I2628" t="s">
        <v>766</v>
      </c>
      <c r="J2628" s="2" t="s">
        <v>5</v>
      </c>
      <c r="K2628" t="s">
        <v>3</v>
      </c>
      <c r="L2628" t="s">
        <v>3</v>
      </c>
      <c r="M2628" t="s">
        <v>727</v>
      </c>
      <c r="N2628" t="s">
        <v>85</v>
      </c>
      <c r="O2628" s="6" t="s">
        <v>42</v>
      </c>
      <c r="P2628" t="s">
        <v>743</v>
      </c>
      <c r="Q2628">
        <v>14</v>
      </c>
      <c r="R2628" t="s">
        <v>213</v>
      </c>
      <c r="S2628" s="2" t="s">
        <v>9</v>
      </c>
      <c r="T2628">
        <v>3</v>
      </c>
      <c r="U2628">
        <v>7.45</v>
      </c>
      <c r="V2628">
        <v>1372.15</v>
      </c>
      <c r="W2628" t="s">
        <v>28</v>
      </c>
      <c r="X2628">
        <v>0.49480000000000002</v>
      </c>
      <c r="Y2628" s="6">
        <f t="shared" si="52"/>
        <v>3.4814221232134443E-2</v>
      </c>
      <c r="Z2628">
        <f>0.5149-X2628</f>
        <v>2.0100000000000007E-2</v>
      </c>
      <c r="AA2628" s="6"/>
      <c r="AB2628" s="6"/>
    </row>
    <row r="2629" spans="1:28" x14ac:dyDescent="0.2">
      <c r="A2629" t="s">
        <v>634</v>
      </c>
      <c r="B2629">
        <v>2018</v>
      </c>
      <c r="C2629" t="s">
        <v>811</v>
      </c>
      <c r="D2629" t="s">
        <v>818</v>
      </c>
      <c r="E2629" t="s">
        <v>372</v>
      </c>
      <c r="F2629" t="s">
        <v>373</v>
      </c>
      <c r="G2629">
        <v>-30.283332999999999</v>
      </c>
      <c r="H2629">
        <v>-71.599999999999994</v>
      </c>
      <c r="I2629" t="s">
        <v>766</v>
      </c>
      <c r="J2629" s="2" t="s">
        <v>14</v>
      </c>
      <c r="K2629" t="s">
        <v>3</v>
      </c>
      <c r="L2629" t="s">
        <v>3</v>
      </c>
      <c r="M2629" t="s">
        <v>727</v>
      </c>
      <c r="N2629" t="s">
        <v>85</v>
      </c>
      <c r="O2629" s="6" t="s">
        <v>42</v>
      </c>
      <c r="P2629" t="s">
        <v>743</v>
      </c>
      <c r="Q2629">
        <v>14</v>
      </c>
      <c r="R2629" t="s">
        <v>213</v>
      </c>
      <c r="S2629" s="2" t="s">
        <v>27</v>
      </c>
      <c r="T2629">
        <v>3</v>
      </c>
      <c r="U2629" t="s">
        <v>28</v>
      </c>
      <c r="V2629" t="s">
        <v>28</v>
      </c>
      <c r="W2629">
        <v>18.510000000000002</v>
      </c>
      <c r="X2629">
        <v>0.50690000000000002</v>
      </c>
      <c r="Y2629" s="6">
        <f t="shared" si="52"/>
        <v>5.6811266488259071E-2</v>
      </c>
      <c r="Z2629">
        <f>0.5397-X2629</f>
        <v>3.279999999999994E-2</v>
      </c>
      <c r="AA2629" s="6"/>
      <c r="AB2629" s="6"/>
    </row>
    <row r="2630" spans="1:28" x14ac:dyDescent="0.2">
      <c r="A2630" t="s">
        <v>634</v>
      </c>
      <c r="B2630">
        <v>2018</v>
      </c>
      <c r="C2630" t="s">
        <v>811</v>
      </c>
      <c r="D2630" t="s">
        <v>818</v>
      </c>
      <c r="E2630" t="s">
        <v>372</v>
      </c>
      <c r="F2630" t="s">
        <v>373</v>
      </c>
      <c r="G2630">
        <v>-30.283332999999999</v>
      </c>
      <c r="H2630">
        <v>-71.599999999999994</v>
      </c>
      <c r="I2630" t="s">
        <v>766</v>
      </c>
      <c r="J2630" s="2" t="s">
        <v>16</v>
      </c>
      <c r="K2630" t="s">
        <v>3</v>
      </c>
      <c r="L2630" t="s">
        <v>3</v>
      </c>
      <c r="M2630" t="s">
        <v>727</v>
      </c>
      <c r="N2630" t="s">
        <v>85</v>
      </c>
      <c r="O2630" s="6" t="s">
        <v>42</v>
      </c>
      <c r="P2630" t="s">
        <v>743</v>
      </c>
      <c r="Q2630">
        <v>14</v>
      </c>
      <c r="R2630" t="s">
        <v>213</v>
      </c>
      <c r="S2630" s="2" t="s">
        <v>13</v>
      </c>
      <c r="T2630">
        <v>3</v>
      </c>
      <c r="U2630">
        <v>7.52</v>
      </c>
      <c r="V2630">
        <v>2446.86</v>
      </c>
      <c r="W2630">
        <v>18.89</v>
      </c>
      <c r="X2630">
        <v>0.49080000000000001</v>
      </c>
      <c r="Y2630" s="6">
        <f t="shared" si="52"/>
        <v>5.6811266488259071E-2</v>
      </c>
      <c r="Z2630">
        <f>0.5236-X2630</f>
        <v>3.279999999999994E-2</v>
      </c>
      <c r="AA2630" s="6"/>
      <c r="AB2630" s="6"/>
    </row>
    <row r="2631" spans="1:28" x14ac:dyDescent="0.2">
      <c r="A2631" t="s">
        <v>634</v>
      </c>
      <c r="B2631">
        <v>2018</v>
      </c>
      <c r="C2631" t="s">
        <v>811</v>
      </c>
      <c r="D2631" t="s">
        <v>818</v>
      </c>
      <c r="E2631" t="s">
        <v>372</v>
      </c>
      <c r="F2631" t="s">
        <v>373</v>
      </c>
      <c r="G2631">
        <v>-30.283332999999999</v>
      </c>
      <c r="H2631">
        <v>-71.599999999999994</v>
      </c>
      <c r="I2631" t="s">
        <v>766</v>
      </c>
      <c r="J2631" s="2" t="s">
        <v>7</v>
      </c>
      <c r="K2631" t="s">
        <v>40</v>
      </c>
      <c r="L2631" t="s">
        <v>3</v>
      </c>
      <c r="M2631" t="s">
        <v>26</v>
      </c>
      <c r="N2631" t="s">
        <v>85</v>
      </c>
      <c r="O2631" s="6" t="s">
        <v>462</v>
      </c>
      <c r="P2631" t="s">
        <v>113</v>
      </c>
      <c r="Q2631">
        <v>17</v>
      </c>
      <c r="R2631" t="s">
        <v>213</v>
      </c>
      <c r="S2631" s="2" t="s">
        <v>7</v>
      </c>
      <c r="T2631">
        <v>3</v>
      </c>
      <c r="U2631">
        <v>7.86</v>
      </c>
      <c r="V2631">
        <v>458.13</v>
      </c>
      <c r="W2631">
        <v>15.77</v>
      </c>
      <c r="X2631">
        <v>7.7409999999999997</v>
      </c>
      <c r="Y2631" s="6">
        <f t="shared" si="52"/>
        <v>1.4531906275502886</v>
      </c>
      <c r="Z2631">
        <f>8.58-X2631</f>
        <v>0.83900000000000041</v>
      </c>
      <c r="AA2631" s="6"/>
      <c r="AB2631" s="6"/>
    </row>
    <row r="2632" spans="1:28" x14ac:dyDescent="0.2">
      <c r="A2632" t="s">
        <v>634</v>
      </c>
      <c r="B2632">
        <v>2018</v>
      </c>
      <c r="C2632" t="s">
        <v>811</v>
      </c>
      <c r="D2632" t="s">
        <v>818</v>
      </c>
      <c r="E2632" t="s">
        <v>372</v>
      </c>
      <c r="F2632" t="s">
        <v>373</v>
      </c>
      <c r="G2632">
        <v>-30.283332999999999</v>
      </c>
      <c r="H2632">
        <v>-71.599999999999994</v>
      </c>
      <c r="I2632" t="s">
        <v>766</v>
      </c>
      <c r="J2632" s="2" t="s">
        <v>5</v>
      </c>
      <c r="K2632" t="s">
        <v>40</v>
      </c>
      <c r="L2632" t="s">
        <v>3</v>
      </c>
      <c r="M2632" t="s">
        <v>26</v>
      </c>
      <c r="N2632" t="s">
        <v>85</v>
      </c>
      <c r="O2632" s="6" t="s">
        <v>462</v>
      </c>
      <c r="P2632" t="s">
        <v>113</v>
      </c>
      <c r="Q2632">
        <v>17</v>
      </c>
      <c r="R2632" t="s">
        <v>213</v>
      </c>
      <c r="S2632" s="2" t="s">
        <v>9</v>
      </c>
      <c r="T2632">
        <v>3</v>
      </c>
      <c r="U2632">
        <v>7.45</v>
      </c>
      <c r="V2632">
        <v>1372.15</v>
      </c>
      <c r="W2632" t="s">
        <v>28</v>
      </c>
      <c r="X2632">
        <v>5.9290000000000003</v>
      </c>
      <c r="Y2632" s="6">
        <f t="shared" si="52"/>
        <v>0.97514460466127739</v>
      </c>
      <c r="Z2632">
        <f>6.492-X2632</f>
        <v>0.56299999999999972</v>
      </c>
      <c r="AA2632" s="6"/>
      <c r="AB2632" s="6"/>
    </row>
    <row r="2633" spans="1:28" x14ac:dyDescent="0.2">
      <c r="A2633" t="s">
        <v>634</v>
      </c>
      <c r="B2633">
        <v>2018</v>
      </c>
      <c r="C2633" t="s">
        <v>811</v>
      </c>
      <c r="D2633" t="s">
        <v>818</v>
      </c>
      <c r="E2633" t="s">
        <v>372</v>
      </c>
      <c r="F2633" t="s">
        <v>373</v>
      </c>
      <c r="G2633">
        <v>-30.283332999999999</v>
      </c>
      <c r="H2633">
        <v>-71.599999999999994</v>
      </c>
      <c r="I2633" t="s">
        <v>766</v>
      </c>
      <c r="J2633" s="2" t="s">
        <v>14</v>
      </c>
      <c r="K2633" t="s">
        <v>40</v>
      </c>
      <c r="L2633" t="s">
        <v>3</v>
      </c>
      <c r="M2633" t="s">
        <v>26</v>
      </c>
      <c r="N2633" t="s">
        <v>85</v>
      </c>
      <c r="O2633" s="6" t="s">
        <v>462</v>
      </c>
      <c r="P2633" t="s">
        <v>113</v>
      </c>
      <c r="Q2633">
        <v>17</v>
      </c>
      <c r="R2633" t="s">
        <v>213</v>
      </c>
      <c r="S2633" s="2" t="s">
        <v>27</v>
      </c>
      <c r="T2633">
        <v>3</v>
      </c>
      <c r="U2633" t="s">
        <v>28</v>
      </c>
      <c r="V2633" t="s">
        <v>28</v>
      </c>
      <c r="W2633">
        <v>18.510000000000002</v>
      </c>
      <c r="X2633">
        <v>6.4630000000000001</v>
      </c>
      <c r="Y2633" s="6">
        <f t="shared" si="52"/>
        <v>0.95782409658558898</v>
      </c>
      <c r="Z2633">
        <f>7.016-X2633</f>
        <v>0.55299999999999994</v>
      </c>
      <c r="AA2633" s="6"/>
      <c r="AB2633" s="6"/>
    </row>
    <row r="2634" spans="1:28" x14ac:dyDescent="0.2">
      <c r="A2634" t="s">
        <v>634</v>
      </c>
      <c r="B2634">
        <v>2018</v>
      </c>
      <c r="C2634" t="s">
        <v>811</v>
      </c>
      <c r="D2634" t="s">
        <v>818</v>
      </c>
      <c r="E2634" t="s">
        <v>372</v>
      </c>
      <c r="F2634" t="s">
        <v>373</v>
      </c>
      <c r="G2634">
        <v>-30.283332999999999</v>
      </c>
      <c r="H2634">
        <v>-71.599999999999994</v>
      </c>
      <c r="I2634" t="s">
        <v>766</v>
      </c>
      <c r="J2634" s="2" t="s">
        <v>16</v>
      </c>
      <c r="K2634" t="s">
        <v>40</v>
      </c>
      <c r="L2634" t="s">
        <v>3</v>
      </c>
      <c r="M2634" t="s">
        <v>26</v>
      </c>
      <c r="N2634" t="s">
        <v>85</v>
      </c>
      <c r="O2634" s="6" t="s">
        <v>462</v>
      </c>
      <c r="P2634" t="s">
        <v>113</v>
      </c>
      <c r="Q2634">
        <v>17</v>
      </c>
      <c r="R2634" t="s">
        <v>213</v>
      </c>
      <c r="S2634" s="2" t="s">
        <v>13</v>
      </c>
      <c r="T2634">
        <v>3</v>
      </c>
      <c r="U2634">
        <v>7.52</v>
      </c>
      <c r="V2634">
        <v>2446.86</v>
      </c>
      <c r="W2634">
        <v>18.89</v>
      </c>
      <c r="X2634">
        <v>6.9020000000000001</v>
      </c>
      <c r="Y2634" s="6">
        <f t="shared" si="52"/>
        <v>2.0957814771583414</v>
      </c>
      <c r="Z2634">
        <f>8.112-X2634</f>
        <v>1.21</v>
      </c>
      <c r="AA2634" s="6"/>
      <c r="AB2634" s="6"/>
    </row>
    <row r="2635" spans="1:28" x14ac:dyDescent="0.2">
      <c r="A2635" t="s">
        <v>634</v>
      </c>
      <c r="B2635">
        <v>2018</v>
      </c>
      <c r="C2635" t="s">
        <v>811</v>
      </c>
      <c r="D2635" t="s">
        <v>818</v>
      </c>
      <c r="E2635" t="s">
        <v>372</v>
      </c>
      <c r="F2635" t="s">
        <v>373</v>
      </c>
      <c r="G2635">
        <v>-30.283332999999999</v>
      </c>
      <c r="H2635">
        <v>-71.599999999999994</v>
      </c>
      <c r="I2635" t="s">
        <v>766</v>
      </c>
      <c r="J2635" s="2" t="s">
        <v>7</v>
      </c>
      <c r="K2635" t="s">
        <v>41</v>
      </c>
      <c r="L2635" t="s">
        <v>3</v>
      </c>
      <c r="M2635" t="s">
        <v>26</v>
      </c>
      <c r="N2635" t="s">
        <v>85</v>
      </c>
      <c r="O2635" s="6" t="s">
        <v>462</v>
      </c>
      <c r="P2635" t="s">
        <v>113</v>
      </c>
      <c r="Q2635">
        <v>17</v>
      </c>
      <c r="R2635" t="s">
        <v>213</v>
      </c>
      <c r="S2635" s="2" t="s">
        <v>7</v>
      </c>
      <c r="T2635">
        <v>3</v>
      </c>
      <c r="U2635">
        <v>7.86</v>
      </c>
      <c r="V2635">
        <v>458.13</v>
      </c>
      <c r="W2635">
        <v>15.77</v>
      </c>
      <c r="X2635">
        <v>12.47</v>
      </c>
      <c r="Y2635" s="6">
        <f t="shared" si="52"/>
        <v>2.1650635094610964</v>
      </c>
      <c r="Z2635">
        <f>13.72-X2635</f>
        <v>1.25</v>
      </c>
      <c r="AA2635" s="6"/>
      <c r="AB2635" s="6"/>
    </row>
    <row r="2636" spans="1:28" x14ac:dyDescent="0.2">
      <c r="A2636" t="s">
        <v>634</v>
      </c>
      <c r="B2636">
        <v>2018</v>
      </c>
      <c r="C2636" t="s">
        <v>811</v>
      </c>
      <c r="D2636" t="s">
        <v>818</v>
      </c>
      <c r="E2636" t="s">
        <v>372</v>
      </c>
      <c r="F2636" t="s">
        <v>373</v>
      </c>
      <c r="G2636">
        <v>-30.283332999999999</v>
      </c>
      <c r="H2636">
        <v>-71.599999999999994</v>
      </c>
      <c r="I2636" t="s">
        <v>766</v>
      </c>
      <c r="J2636" s="2" t="s">
        <v>5</v>
      </c>
      <c r="K2636" t="s">
        <v>41</v>
      </c>
      <c r="L2636" t="s">
        <v>3</v>
      </c>
      <c r="M2636" t="s">
        <v>26</v>
      </c>
      <c r="N2636" t="s">
        <v>85</v>
      </c>
      <c r="O2636" s="6" t="s">
        <v>462</v>
      </c>
      <c r="P2636" t="s">
        <v>113</v>
      </c>
      <c r="Q2636">
        <v>17</v>
      </c>
      <c r="R2636" t="s">
        <v>213</v>
      </c>
      <c r="S2636" s="2" t="s">
        <v>9</v>
      </c>
      <c r="T2636">
        <v>3</v>
      </c>
      <c r="U2636">
        <v>7.45</v>
      </c>
      <c r="V2636">
        <v>1372.15</v>
      </c>
      <c r="W2636" t="s">
        <v>28</v>
      </c>
      <c r="X2636">
        <v>13.98</v>
      </c>
      <c r="Y2636" s="6">
        <f t="shared" si="52"/>
        <v>1.7840123317959424</v>
      </c>
      <c r="Z2636">
        <f>15.01-X2636</f>
        <v>1.0299999999999994</v>
      </c>
      <c r="AA2636" s="6"/>
      <c r="AB2636" s="6"/>
    </row>
    <row r="2637" spans="1:28" x14ac:dyDescent="0.2">
      <c r="A2637" t="s">
        <v>634</v>
      </c>
      <c r="B2637">
        <v>2018</v>
      </c>
      <c r="C2637" t="s">
        <v>811</v>
      </c>
      <c r="D2637" t="s">
        <v>818</v>
      </c>
      <c r="E2637" t="s">
        <v>372</v>
      </c>
      <c r="F2637" t="s">
        <v>373</v>
      </c>
      <c r="G2637">
        <v>-30.283332999999999</v>
      </c>
      <c r="H2637">
        <v>-71.599999999999994</v>
      </c>
      <c r="I2637" t="s">
        <v>766</v>
      </c>
      <c r="J2637" s="2" t="s">
        <v>14</v>
      </c>
      <c r="K2637" t="s">
        <v>41</v>
      </c>
      <c r="L2637" t="s">
        <v>3</v>
      </c>
      <c r="M2637" t="s">
        <v>26</v>
      </c>
      <c r="N2637" t="s">
        <v>85</v>
      </c>
      <c r="O2637" s="6" t="s">
        <v>462</v>
      </c>
      <c r="P2637" t="s">
        <v>113</v>
      </c>
      <c r="Q2637">
        <v>17</v>
      </c>
      <c r="R2637" t="s">
        <v>213</v>
      </c>
      <c r="S2637" s="2" t="s">
        <v>27</v>
      </c>
      <c r="T2637">
        <v>3</v>
      </c>
      <c r="U2637" t="s">
        <v>28</v>
      </c>
      <c r="V2637" t="s">
        <v>28</v>
      </c>
      <c r="W2637">
        <v>18.510000000000002</v>
      </c>
      <c r="X2637">
        <v>6.15</v>
      </c>
      <c r="Y2637" s="6">
        <f t="shared" si="52"/>
        <v>1.4202816622064782</v>
      </c>
      <c r="Z2637">
        <f>6.97-X2637</f>
        <v>0.8199999999999994</v>
      </c>
      <c r="AA2637" s="6"/>
      <c r="AB2637" s="6"/>
    </row>
    <row r="2638" spans="1:28" x14ac:dyDescent="0.2">
      <c r="A2638" t="s">
        <v>634</v>
      </c>
      <c r="B2638">
        <v>2018</v>
      </c>
      <c r="C2638" t="s">
        <v>811</v>
      </c>
      <c r="D2638" t="s">
        <v>818</v>
      </c>
      <c r="E2638" t="s">
        <v>372</v>
      </c>
      <c r="F2638" t="s">
        <v>373</v>
      </c>
      <c r="G2638">
        <v>-30.283332999999999</v>
      </c>
      <c r="H2638">
        <v>-71.599999999999994</v>
      </c>
      <c r="I2638" t="s">
        <v>766</v>
      </c>
      <c r="J2638" s="2" t="s">
        <v>16</v>
      </c>
      <c r="K2638" t="s">
        <v>41</v>
      </c>
      <c r="L2638" t="s">
        <v>3</v>
      </c>
      <c r="M2638" t="s">
        <v>26</v>
      </c>
      <c r="N2638" t="s">
        <v>85</v>
      </c>
      <c r="O2638" s="6" t="s">
        <v>462</v>
      </c>
      <c r="P2638" t="s">
        <v>113</v>
      </c>
      <c r="Q2638">
        <v>17</v>
      </c>
      <c r="R2638" t="s">
        <v>213</v>
      </c>
      <c r="S2638" s="2" t="s">
        <v>13</v>
      </c>
      <c r="T2638">
        <v>3</v>
      </c>
      <c r="U2638">
        <v>7.52</v>
      </c>
      <c r="V2638">
        <v>2446.86</v>
      </c>
      <c r="W2638">
        <v>18.89</v>
      </c>
      <c r="X2638">
        <v>5.25</v>
      </c>
      <c r="Y2638" s="6">
        <f t="shared" si="52"/>
        <v>1.1258330249197708</v>
      </c>
      <c r="Z2638">
        <f>5.9-X2638</f>
        <v>0.65000000000000036</v>
      </c>
      <c r="AA2638" s="6"/>
      <c r="AB2638" s="6"/>
    </row>
    <row r="2639" spans="1:28" x14ac:dyDescent="0.2">
      <c r="A2639" t="s">
        <v>634</v>
      </c>
      <c r="B2639">
        <v>2018</v>
      </c>
      <c r="C2639" t="s">
        <v>811</v>
      </c>
      <c r="D2639" t="s">
        <v>818</v>
      </c>
      <c r="E2639" t="s">
        <v>372</v>
      </c>
      <c r="F2639" t="s">
        <v>373</v>
      </c>
      <c r="G2639">
        <v>-30.283332999999999</v>
      </c>
      <c r="H2639">
        <v>-71.599999999999994</v>
      </c>
      <c r="I2639" t="s">
        <v>766</v>
      </c>
      <c r="J2639" s="2" t="s">
        <v>7</v>
      </c>
      <c r="K2639" t="s">
        <v>41</v>
      </c>
      <c r="L2639" t="s">
        <v>3</v>
      </c>
      <c r="M2639" t="s">
        <v>727</v>
      </c>
      <c r="N2639" t="s">
        <v>85</v>
      </c>
      <c r="O2639" t="s">
        <v>142</v>
      </c>
      <c r="P2639" t="s">
        <v>70</v>
      </c>
      <c r="Q2639">
        <v>30</v>
      </c>
      <c r="R2639" t="s">
        <v>213</v>
      </c>
      <c r="S2639" s="2" t="s">
        <v>7</v>
      </c>
      <c r="T2639">
        <v>3</v>
      </c>
      <c r="U2639">
        <v>7.86</v>
      </c>
      <c r="V2639">
        <v>458.13</v>
      </c>
      <c r="W2639">
        <v>15.77</v>
      </c>
      <c r="X2639">
        <v>75.12</v>
      </c>
      <c r="Y2639" s="6">
        <f t="shared" si="52"/>
        <v>4.9363448015712903</v>
      </c>
      <c r="Z2639">
        <f>77.97-X2639</f>
        <v>2.8499999999999943</v>
      </c>
      <c r="AA2639" s="6"/>
      <c r="AB2639" s="6"/>
    </row>
    <row r="2640" spans="1:28" x14ac:dyDescent="0.2">
      <c r="A2640" t="s">
        <v>634</v>
      </c>
      <c r="B2640">
        <v>2018</v>
      </c>
      <c r="C2640" t="s">
        <v>811</v>
      </c>
      <c r="D2640" t="s">
        <v>818</v>
      </c>
      <c r="E2640" t="s">
        <v>372</v>
      </c>
      <c r="F2640" t="s">
        <v>373</v>
      </c>
      <c r="G2640">
        <v>-30.283332999999999</v>
      </c>
      <c r="H2640">
        <v>-71.599999999999994</v>
      </c>
      <c r="I2640" t="s">
        <v>766</v>
      </c>
      <c r="J2640" s="2" t="s">
        <v>5</v>
      </c>
      <c r="K2640" t="s">
        <v>41</v>
      </c>
      <c r="L2640" t="s">
        <v>3</v>
      </c>
      <c r="M2640" t="s">
        <v>727</v>
      </c>
      <c r="N2640" t="s">
        <v>85</v>
      </c>
      <c r="O2640" t="s">
        <v>142</v>
      </c>
      <c r="P2640" t="s">
        <v>70</v>
      </c>
      <c r="Q2640">
        <v>30</v>
      </c>
      <c r="R2640" t="s">
        <v>213</v>
      </c>
      <c r="S2640" s="2" t="s">
        <v>9</v>
      </c>
      <c r="T2640">
        <v>3</v>
      </c>
      <c r="U2640">
        <v>7.45</v>
      </c>
      <c r="V2640">
        <v>1372.15</v>
      </c>
      <c r="W2640" t="s">
        <v>28</v>
      </c>
      <c r="X2640">
        <v>71.319999999999993</v>
      </c>
      <c r="Y2640" s="6">
        <f t="shared" si="52"/>
        <v>2.632717227504711</v>
      </c>
      <c r="Z2640">
        <f>72.84-X2640</f>
        <v>1.5200000000000102</v>
      </c>
      <c r="AA2640" s="6"/>
      <c r="AB2640" s="6"/>
    </row>
    <row r="2641" spans="1:28" x14ac:dyDescent="0.2">
      <c r="A2641" t="s">
        <v>634</v>
      </c>
      <c r="B2641">
        <v>2018</v>
      </c>
      <c r="C2641" t="s">
        <v>811</v>
      </c>
      <c r="D2641" t="s">
        <v>818</v>
      </c>
      <c r="E2641" t="s">
        <v>372</v>
      </c>
      <c r="F2641" t="s">
        <v>373</v>
      </c>
      <c r="G2641">
        <v>-30.283332999999999</v>
      </c>
      <c r="H2641">
        <v>-71.599999999999994</v>
      </c>
      <c r="I2641" t="s">
        <v>766</v>
      </c>
      <c r="J2641" s="2" t="s">
        <v>14</v>
      </c>
      <c r="K2641" t="s">
        <v>41</v>
      </c>
      <c r="L2641" t="s">
        <v>3</v>
      </c>
      <c r="M2641" t="s">
        <v>727</v>
      </c>
      <c r="N2641" t="s">
        <v>85</v>
      </c>
      <c r="O2641" t="s">
        <v>142</v>
      </c>
      <c r="P2641" t="s">
        <v>70</v>
      </c>
      <c r="Q2641">
        <v>30</v>
      </c>
      <c r="R2641" t="s">
        <v>213</v>
      </c>
      <c r="S2641" s="2" t="s">
        <v>27</v>
      </c>
      <c r="T2641">
        <v>3</v>
      </c>
      <c r="U2641" t="s">
        <v>28</v>
      </c>
      <c r="V2641" t="s">
        <v>28</v>
      </c>
      <c r="W2641">
        <v>18.510000000000002</v>
      </c>
      <c r="X2641">
        <v>30.77</v>
      </c>
      <c r="Y2641" s="6">
        <f t="shared" si="52"/>
        <v>7.5690620290759947</v>
      </c>
      <c r="Z2641">
        <f>35.14-X2641</f>
        <v>4.370000000000001</v>
      </c>
      <c r="AA2641" s="6"/>
      <c r="AB2641" s="6"/>
    </row>
    <row r="2642" spans="1:28" x14ac:dyDescent="0.2">
      <c r="A2642" t="s">
        <v>634</v>
      </c>
      <c r="B2642">
        <v>2018</v>
      </c>
      <c r="C2642" t="s">
        <v>811</v>
      </c>
      <c r="D2642" t="s">
        <v>818</v>
      </c>
      <c r="E2642" t="s">
        <v>372</v>
      </c>
      <c r="F2642" t="s">
        <v>373</v>
      </c>
      <c r="G2642">
        <v>-30.283332999999999</v>
      </c>
      <c r="H2642">
        <v>-71.599999999999994</v>
      </c>
      <c r="I2642" t="s">
        <v>766</v>
      </c>
      <c r="J2642" s="2" t="s">
        <v>16</v>
      </c>
      <c r="K2642" t="s">
        <v>41</v>
      </c>
      <c r="L2642" t="s">
        <v>3</v>
      </c>
      <c r="M2642" t="s">
        <v>727</v>
      </c>
      <c r="N2642" t="s">
        <v>85</v>
      </c>
      <c r="O2642" t="s">
        <v>142</v>
      </c>
      <c r="P2642" t="s">
        <v>70</v>
      </c>
      <c r="Q2642">
        <v>30</v>
      </c>
      <c r="R2642" t="s">
        <v>213</v>
      </c>
      <c r="S2642" s="2" t="s">
        <v>13</v>
      </c>
      <c r="T2642">
        <v>3</v>
      </c>
      <c r="U2642">
        <v>7.52</v>
      </c>
      <c r="V2642">
        <v>2446.86</v>
      </c>
      <c r="W2642">
        <v>18.89</v>
      </c>
      <c r="X2642">
        <v>29.34</v>
      </c>
      <c r="Y2642" s="6">
        <f t="shared" si="52"/>
        <v>5.5945241084474739</v>
      </c>
      <c r="Z2642">
        <f>32.57-X2642</f>
        <v>3.2300000000000004</v>
      </c>
      <c r="AA2642" s="6"/>
      <c r="AB2642" s="6"/>
    </row>
    <row r="2643" spans="1:28" x14ac:dyDescent="0.2">
      <c r="A2643" t="s">
        <v>634</v>
      </c>
      <c r="B2643">
        <v>2018</v>
      </c>
      <c r="C2643" t="s">
        <v>811</v>
      </c>
      <c r="D2643" t="s">
        <v>818</v>
      </c>
      <c r="E2643" t="s">
        <v>372</v>
      </c>
      <c r="F2643" t="s">
        <v>373</v>
      </c>
      <c r="G2643">
        <v>-30.283332999999999</v>
      </c>
      <c r="H2643">
        <v>-71.599999999999994</v>
      </c>
      <c r="I2643" t="s">
        <v>766</v>
      </c>
      <c r="J2643" s="2" t="s">
        <v>7</v>
      </c>
      <c r="K2643" t="s">
        <v>41</v>
      </c>
      <c r="L2643" t="s">
        <v>3</v>
      </c>
      <c r="M2643" t="s">
        <v>727</v>
      </c>
      <c r="N2643" t="s">
        <v>85</v>
      </c>
      <c r="O2643" s="6" t="s">
        <v>374</v>
      </c>
      <c r="P2643" t="s">
        <v>70</v>
      </c>
      <c r="Q2643">
        <v>35</v>
      </c>
      <c r="R2643" t="s">
        <v>213</v>
      </c>
      <c r="S2643" s="2" t="s">
        <v>7</v>
      </c>
      <c r="T2643">
        <v>3</v>
      </c>
      <c r="U2643">
        <v>7.86</v>
      </c>
      <c r="V2643">
        <v>458.13</v>
      </c>
      <c r="W2643">
        <v>15.77</v>
      </c>
      <c r="X2643">
        <v>33.93</v>
      </c>
      <c r="Y2643" s="6">
        <f t="shared" si="52"/>
        <v>7.5517415210003032</v>
      </c>
      <c r="Z2643">
        <f>38.29-X2643</f>
        <v>4.3599999999999994</v>
      </c>
      <c r="AA2643" s="6"/>
      <c r="AB2643" s="6"/>
    </row>
    <row r="2644" spans="1:28" x14ac:dyDescent="0.2">
      <c r="A2644" t="s">
        <v>634</v>
      </c>
      <c r="B2644">
        <v>2018</v>
      </c>
      <c r="C2644" t="s">
        <v>811</v>
      </c>
      <c r="D2644" t="s">
        <v>818</v>
      </c>
      <c r="E2644" t="s">
        <v>372</v>
      </c>
      <c r="F2644" t="s">
        <v>373</v>
      </c>
      <c r="G2644">
        <v>-30.283332999999999</v>
      </c>
      <c r="H2644">
        <v>-71.599999999999994</v>
      </c>
      <c r="I2644" t="s">
        <v>766</v>
      </c>
      <c r="J2644" s="2" t="s">
        <v>5</v>
      </c>
      <c r="K2644" t="s">
        <v>41</v>
      </c>
      <c r="L2644" t="s">
        <v>3</v>
      </c>
      <c r="M2644" t="s">
        <v>727</v>
      </c>
      <c r="N2644" t="s">
        <v>85</v>
      </c>
      <c r="O2644" s="6" t="s">
        <v>374</v>
      </c>
      <c r="P2644" t="s">
        <v>70</v>
      </c>
      <c r="Q2644">
        <v>35</v>
      </c>
      <c r="R2644" t="s">
        <v>213</v>
      </c>
      <c r="S2644" s="2" t="s">
        <v>9</v>
      </c>
      <c r="T2644">
        <v>3</v>
      </c>
      <c r="U2644">
        <v>7.45</v>
      </c>
      <c r="V2644">
        <v>1372.15</v>
      </c>
      <c r="W2644" t="s">
        <v>28</v>
      </c>
      <c r="X2644">
        <v>42.84</v>
      </c>
      <c r="Y2644" s="6">
        <f t="shared" si="52"/>
        <v>8.8681001347526465</v>
      </c>
      <c r="Z2644">
        <f>47.96-X2644</f>
        <v>5.1199999999999974</v>
      </c>
      <c r="AA2644" s="6"/>
      <c r="AB2644" s="6"/>
    </row>
    <row r="2645" spans="1:28" x14ac:dyDescent="0.2">
      <c r="A2645" t="s">
        <v>634</v>
      </c>
      <c r="B2645">
        <v>2018</v>
      </c>
      <c r="C2645" t="s">
        <v>811</v>
      </c>
      <c r="D2645" t="s">
        <v>818</v>
      </c>
      <c r="E2645" t="s">
        <v>372</v>
      </c>
      <c r="F2645" t="s">
        <v>373</v>
      </c>
      <c r="G2645">
        <v>-30.283332999999999</v>
      </c>
      <c r="H2645">
        <v>-71.599999999999994</v>
      </c>
      <c r="I2645" t="s">
        <v>766</v>
      </c>
      <c r="J2645" s="2" t="s">
        <v>14</v>
      </c>
      <c r="K2645" t="s">
        <v>41</v>
      </c>
      <c r="L2645" t="s">
        <v>3</v>
      </c>
      <c r="M2645" t="s">
        <v>727</v>
      </c>
      <c r="N2645" t="s">
        <v>85</v>
      </c>
      <c r="O2645" s="6" t="s">
        <v>374</v>
      </c>
      <c r="P2645" t="s">
        <v>70</v>
      </c>
      <c r="Q2645">
        <v>35</v>
      </c>
      <c r="R2645" t="s">
        <v>213</v>
      </c>
      <c r="S2645" s="2" t="s">
        <v>27</v>
      </c>
      <c r="T2645">
        <v>3</v>
      </c>
      <c r="U2645" t="s">
        <v>28</v>
      </c>
      <c r="V2645" t="s">
        <v>28</v>
      </c>
      <c r="W2645">
        <v>18.510000000000002</v>
      </c>
      <c r="X2645">
        <v>4.08</v>
      </c>
      <c r="Y2645" s="6">
        <f t="shared" si="52"/>
        <v>5.5772036003717842</v>
      </c>
      <c r="Z2645">
        <f>7.3-X2645</f>
        <v>3.2199999999999998</v>
      </c>
      <c r="AA2645" s="6"/>
      <c r="AB2645" s="6"/>
    </row>
    <row r="2646" spans="1:28" x14ac:dyDescent="0.2">
      <c r="A2646" t="s">
        <v>634</v>
      </c>
      <c r="B2646">
        <v>2018</v>
      </c>
      <c r="C2646" t="s">
        <v>811</v>
      </c>
      <c r="D2646" t="s">
        <v>818</v>
      </c>
      <c r="E2646" t="s">
        <v>372</v>
      </c>
      <c r="F2646" t="s">
        <v>373</v>
      </c>
      <c r="G2646">
        <v>-30.283332999999999</v>
      </c>
      <c r="H2646">
        <v>-71.599999999999994</v>
      </c>
      <c r="I2646" t="s">
        <v>766</v>
      </c>
      <c r="J2646" s="2" t="s">
        <v>16</v>
      </c>
      <c r="K2646" t="s">
        <v>41</v>
      </c>
      <c r="L2646" t="s">
        <v>3</v>
      </c>
      <c r="M2646" t="s">
        <v>727</v>
      </c>
      <c r="N2646" t="s">
        <v>85</v>
      </c>
      <c r="O2646" s="6" t="s">
        <v>374</v>
      </c>
      <c r="P2646" t="s">
        <v>70</v>
      </c>
      <c r="Q2646">
        <v>35</v>
      </c>
      <c r="R2646" t="s">
        <v>213</v>
      </c>
      <c r="S2646" s="2" t="s">
        <v>13</v>
      </c>
      <c r="T2646">
        <v>3</v>
      </c>
      <c r="U2646">
        <v>7.52</v>
      </c>
      <c r="V2646">
        <v>2446.86</v>
      </c>
      <c r="W2646">
        <v>18.89</v>
      </c>
      <c r="X2646">
        <v>1.42</v>
      </c>
      <c r="Y2646" s="6">
        <f t="shared" si="52"/>
        <v>3.1176914536239795</v>
      </c>
      <c r="Z2646">
        <f>3.22-X2646</f>
        <v>1.8000000000000003</v>
      </c>
      <c r="AA2646" s="6"/>
      <c r="AB2646" s="6"/>
    </row>
    <row r="2647" spans="1:28" x14ac:dyDescent="0.2">
      <c r="A2647" t="s">
        <v>377</v>
      </c>
      <c r="B2647">
        <v>2003</v>
      </c>
      <c r="C2647" t="s">
        <v>807</v>
      </c>
      <c r="D2647" t="s">
        <v>825</v>
      </c>
      <c r="E2647" t="s">
        <v>35</v>
      </c>
      <c r="F2647" t="s">
        <v>375</v>
      </c>
      <c r="G2647">
        <v>34.246454999999997</v>
      </c>
      <c r="H2647">
        <v>136.847566</v>
      </c>
      <c r="I2647" t="s">
        <v>772</v>
      </c>
      <c r="J2647" s="2" t="s">
        <v>7</v>
      </c>
      <c r="K2647" t="s">
        <v>279</v>
      </c>
      <c r="L2647" t="s">
        <v>143</v>
      </c>
      <c r="M2647" t="s">
        <v>26</v>
      </c>
      <c r="N2647" t="s">
        <v>85</v>
      </c>
      <c r="O2647" s="6" t="s">
        <v>840</v>
      </c>
      <c r="P2647" t="s">
        <v>72</v>
      </c>
      <c r="Q2647">
        <v>8</v>
      </c>
      <c r="R2647" t="s">
        <v>213</v>
      </c>
      <c r="S2647" s="2" t="s">
        <v>7</v>
      </c>
      <c r="T2647">
        <v>5</v>
      </c>
      <c r="U2647" t="s">
        <v>28</v>
      </c>
      <c r="V2647" t="s">
        <v>28</v>
      </c>
      <c r="W2647">
        <v>20</v>
      </c>
      <c r="X2647">
        <v>25.86</v>
      </c>
      <c r="Y2647">
        <f t="shared" ref="Y2647:Y2673" si="53">SQRT(T2647) * (AB2647-AA2647)/3.92</f>
        <v>0.99254037776776494</v>
      </c>
      <c r="AA2647" s="6">
        <f>X2647-(AB2647-X2647)</f>
        <v>24.99</v>
      </c>
      <c r="AB2647" s="2">
        <v>26.73</v>
      </c>
    </row>
    <row r="2648" spans="1:28" x14ac:dyDescent="0.2">
      <c r="A2648" t="s">
        <v>377</v>
      </c>
      <c r="B2648">
        <v>2003</v>
      </c>
      <c r="C2648" t="s">
        <v>807</v>
      </c>
      <c r="D2648" t="s">
        <v>825</v>
      </c>
      <c r="E2648" t="s">
        <v>35</v>
      </c>
      <c r="F2648" t="s">
        <v>375</v>
      </c>
      <c r="G2648">
        <v>34.246454999999997</v>
      </c>
      <c r="H2648">
        <v>136.847566</v>
      </c>
      <c r="I2648" t="s">
        <v>772</v>
      </c>
      <c r="J2648" s="2" t="s">
        <v>14</v>
      </c>
      <c r="K2648" t="s">
        <v>279</v>
      </c>
      <c r="L2648" t="s">
        <v>143</v>
      </c>
      <c r="M2648" t="s">
        <v>26</v>
      </c>
      <c r="N2648" t="s">
        <v>85</v>
      </c>
      <c r="O2648" s="6" t="s">
        <v>840</v>
      </c>
      <c r="P2648" t="s">
        <v>72</v>
      </c>
      <c r="Q2648">
        <v>8</v>
      </c>
      <c r="R2648" t="s">
        <v>213</v>
      </c>
      <c r="S2648" s="2" t="s">
        <v>9</v>
      </c>
      <c r="T2648">
        <v>5</v>
      </c>
      <c r="U2648" t="s">
        <v>28</v>
      </c>
      <c r="V2648" t="s">
        <v>28</v>
      </c>
      <c r="W2648">
        <v>25</v>
      </c>
      <c r="X2648">
        <v>10.54</v>
      </c>
      <c r="Y2648">
        <f t="shared" si="53"/>
        <v>0.4905659338392413</v>
      </c>
      <c r="AA2648" s="6">
        <f>X2648-(AB2648-X2648)</f>
        <v>10.109999999999998</v>
      </c>
      <c r="AB2648">
        <v>10.97</v>
      </c>
    </row>
    <row r="2649" spans="1:28" x14ac:dyDescent="0.2">
      <c r="A2649" t="s">
        <v>377</v>
      </c>
      <c r="B2649">
        <v>2003</v>
      </c>
      <c r="C2649" t="s">
        <v>807</v>
      </c>
      <c r="D2649" t="s">
        <v>825</v>
      </c>
      <c r="E2649" t="s">
        <v>35</v>
      </c>
      <c r="F2649" t="s">
        <v>375</v>
      </c>
      <c r="G2649">
        <v>34.246454999999997</v>
      </c>
      <c r="H2649">
        <v>136.847566</v>
      </c>
      <c r="I2649" t="s">
        <v>772</v>
      </c>
      <c r="J2649" s="2" t="s">
        <v>14</v>
      </c>
      <c r="K2649" t="s">
        <v>279</v>
      </c>
      <c r="L2649" t="s">
        <v>143</v>
      </c>
      <c r="M2649" t="s">
        <v>26</v>
      </c>
      <c r="N2649" t="s">
        <v>85</v>
      </c>
      <c r="O2649" s="6" t="s">
        <v>840</v>
      </c>
      <c r="P2649" t="s">
        <v>72</v>
      </c>
      <c r="Q2649">
        <v>8</v>
      </c>
      <c r="R2649" t="s">
        <v>213</v>
      </c>
      <c r="S2649" s="2" t="s">
        <v>27</v>
      </c>
      <c r="T2649">
        <v>5</v>
      </c>
      <c r="U2649" t="s">
        <v>28</v>
      </c>
      <c r="V2649" t="s">
        <v>28</v>
      </c>
      <c r="W2649">
        <v>26</v>
      </c>
      <c r="X2649">
        <v>8.25</v>
      </c>
      <c r="Y2649">
        <f t="shared" si="53"/>
        <v>0.39929785312496208</v>
      </c>
      <c r="AA2649" s="6">
        <f t="shared" ref="AA2649:AA2673" si="54">X2649-(AB2649-X2649)</f>
        <v>7.9</v>
      </c>
      <c r="AB2649">
        <v>8.6</v>
      </c>
    </row>
    <row r="2650" spans="1:28" x14ac:dyDescent="0.2">
      <c r="A2650" t="s">
        <v>377</v>
      </c>
      <c r="B2650">
        <v>2003</v>
      </c>
      <c r="C2650" t="s">
        <v>807</v>
      </c>
      <c r="D2650" t="s">
        <v>825</v>
      </c>
      <c r="E2650" t="s">
        <v>35</v>
      </c>
      <c r="F2650" t="s">
        <v>375</v>
      </c>
      <c r="G2650">
        <v>34.246454999999997</v>
      </c>
      <c r="H2650">
        <v>136.847566</v>
      </c>
      <c r="I2650" t="s">
        <v>772</v>
      </c>
      <c r="J2650" s="2" t="s">
        <v>14</v>
      </c>
      <c r="K2650" t="s">
        <v>279</v>
      </c>
      <c r="L2650" t="s">
        <v>143</v>
      </c>
      <c r="M2650" t="s">
        <v>26</v>
      </c>
      <c r="N2650" t="s">
        <v>85</v>
      </c>
      <c r="O2650" s="6" t="s">
        <v>840</v>
      </c>
      <c r="P2650" t="s">
        <v>72</v>
      </c>
      <c r="Q2650">
        <v>8</v>
      </c>
      <c r="R2650" t="s">
        <v>213</v>
      </c>
      <c r="S2650" s="2" t="s">
        <v>13</v>
      </c>
      <c r="T2650">
        <v>5</v>
      </c>
      <c r="U2650" t="s">
        <v>28</v>
      </c>
      <c r="V2650" t="s">
        <v>28</v>
      </c>
      <c r="W2650">
        <v>27</v>
      </c>
      <c r="X2650">
        <v>4.8600000000000003</v>
      </c>
      <c r="Y2650">
        <f t="shared" si="53"/>
        <v>0.3422553026785391</v>
      </c>
      <c r="AA2650" s="6">
        <f t="shared" si="54"/>
        <v>4.5600000000000005</v>
      </c>
      <c r="AB2650">
        <v>5.16</v>
      </c>
    </row>
    <row r="2651" spans="1:28" x14ac:dyDescent="0.2">
      <c r="A2651" t="s">
        <v>377</v>
      </c>
      <c r="B2651">
        <v>2003</v>
      </c>
      <c r="C2651" t="s">
        <v>807</v>
      </c>
      <c r="D2651" t="s">
        <v>825</v>
      </c>
      <c r="E2651" t="s">
        <v>35</v>
      </c>
      <c r="F2651" t="s">
        <v>376</v>
      </c>
      <c r="G2651">
        <v>34.342719000000002</v>
      </c>
      <c r="H2651">
        <v>136.701066</v>
      </c>
      <c r="I2651" t="s">
        <v>772</v>
      </c>
      <c r="J2651" s="2" t="s">
        <v>7</v>
      </c>
      <c r="K2651" t="s">
        <v>279</v>
      </c>
      <c r="L2651" t="s">
        <v>143</v>
      </c>
      <c r="M2651" t="s">
        <v>26</v>
      </c>
      <c r="N2651" t="s">
        <v>85</v>
      </c>
      <c r="O2651" s="6" t="s">
        <v>840</v>
      </c>
      <c r="P2651" t="s">
        <v>72</v>
      </c>
      <c r="Q2651">
        <v>8</v>
      </c>
      <c r="R2651" t="s">
        <v>213</v>
      </c>
      <c r="S2651" s="2" t="s">
        <v>7</v>
      </c>
      <c r="T2651">
        <v>5</v>
      </c>
      <c r="U2651" t="s">
        <v>28</v>
      </c>
      <c r="V2651" t="s">
        <v>28</v>
      </c>
      <c r="W2651">
        <v>20</v>
      </c>
      <c r="X2651">
        <v>17.82</v>
      </c>
      <c r="Y2651">
        <f t="shared" si="53"/>
        <v>1.2891616400891635</v>
      </c>
      <c r="AA2651" s="6">
        <f t="shared" si="54"/>
        <v>16.690000000000001</v>
      </c>
      <c r="AB2651">
        <v>18.95</v>
      </c>
    </row>
    <row r="2652" spans="1:28" x14ac:dyDescent="0.2">
      <c r="A2652" t="s">
        <v>377</v>
      </c>
      <c r="B2652">
        <v>2003</v>
      </c>
      <c r="C2652" t="s">
        <v>807</v>
      </c>
      <c r="D2652" t="s">
        <v>825</v>
      </c>
      <c r="E2652" t="s">
        <v>35</v>
      </c>
      <c r="F2652" t="s">
        <v>376</v>
      </c>
      <c r="G2652">
        <v>34.342719000000002</v>
      </c>
      <c r="H2652">
        <v>136.701066</v>
      </c>
      <c r="I2652" t="s">
        <v>772</v>
      </c>
      <c r="J2652" s="2" t="s">
        <v>14</v>
      </c>
      <c r="K2652" t="s">
        <v>279</v>
      </c>
      <c r="L2652" t="s">
        <v>143</v>
      </c>
      <c r="M2652" t="s">
        <v>26</v>
      </c>
      <c r="N2652" t="s">
        <v>85</v>
      </c>
      <c r="O2652" s="6" t="s">
        <v>840</v>
      </c>
      <c r="P2652" t="s">
        <v>72</v>
      </c>
      <c r="Q2652">
        <v>8</v>
      </c>
      <c r="R2652" t="s">
        <v>213</v>
      </c>
      <c r="S2652" s="2" t="s">
        <v>9</v>
      </c>
      <c r="T2652">
        <v>5</v>
      </c>
      <c r="U2652" t="s">
        <v>28</v>
      </c>
      <c r="V2652" t="s">
        <v>28</v>
      </c>
      <c r="W2652">
        <v>25</v>
      </c>
      <c r="X2652">
        <v>5.61</v>
      </c>
      <c r="Y2652">
        <f t="shared" si="53"/>
        <v>0.8100042163392096</v>
      </c>
      <c r="AA2652" s="6">
        <f t="shared" si="54"/>
        <v>4.9000000000000004</v>
      </c>
      <c r="AB2652">
        <v>6.32</v>
      </c>
    </row>
    <row r="2653" spans="1:28" x14ac:dyDescent="0.2">
      <c r="A2653" t="s">
        <v>377</v>
      </c>
      <c r="B2653">
        <v>2003</v>
      </c>
      <c r="C2653" t="s">
        <v>807</v>
      </c>
      <c r="D2653" t="s">
        <v>825</v>
      </c>
      <c r="E2653" t="s">
        <v>35</v>
      </c>
      <c r="F2653" t="s">
        <v>376</v>
      </c>
      <c r="G2653">
        <v>34.342719000000002</v>
      </c>
      <c r="H2653">
        <v>136.701066</v>
      </c>
      <c r="I2653" t="s">
        <v>772</v>
      </c>
      <c r="J2653" s="2" t="s">
        <v>14</v>
      </c>
      <c r="K2653" t="s">
        <v>279</v>
      </c>
      <c r="L2653" t="s">
        <v>143</v>
      </c>
      <c r="M2653" t="s">
        <v>26</v>
      </c>
      <c r="N2653" t="s">
        <v>85</v>
      </c>
      <c r="O2653" s="6" t="s">
        <v>840</v>
      </c>
      <c r="P2653" t="s">
        <v>72</v>
      </c>
      <c r="Q2653">
        <v>8</v>
      </c>
      <c r="R2653" t="s">
        <v>213</v>
      </c>
      <c r="S2653" s="2" t="s">
        <v>27</v>
      </c>
      <c r="T2653">
        <v>5</v>
      </c>
      <c r="U2653" t="s">
        <v>28</v>
      </c>
      <c r="V2653" t="s">
        <v>28</v>
      </c>
      <c r="W2653">
        <v>26</v>
      </c>
      <c r="X2653">
        <v>3.61</v>
      </c>
      <c r="Y2653">
        <f t="shared" si="53"/>
        <v>2.293110527946213</v>
      </c>
      <c r="AA2653" s="6">
        <f t="shared" si="54"/>
        <v>1.5999999999999996</v>
      </c>
      <c r="AB2653">
        <v>5.62</v>
      </c>
    </row>
    <row r="2654" spans="1:28" x14ac:dyDescent="0.2">
      <c r="A2654" t="s">
        <v>378</v>
      </c>
      <c r="B2654">
        <v>2003</v>
      </c>
      <c r="C2654" t="s">
        <v>807</v>
      </c>
      <c r="D2654" t="s">
        <v>825</v>
      </c>
      <c r="E2654" t="s">
        <v>35</v>
      </c>
      <c r="F2654" t="s">
        <v>375</v>
      </c>
      <c r="G2654">
        <v>34.246454999999997</v>
      </c>
      <c r="H2654">
        <v>136.847566</v>
      </c>
      <c r="I2654" t="s">
        <v>772</v>
      </c>
      <c r="J2654" s="2" t="s">
        <v>7</v>
      </c>
      <c r="K2654" t="s">
        <v>40</v>
      </c>
      <c r="L2654" t="s">
        <v>3</v>
      </c>
      <c r="M2654" t="s">
        <v>26</v>
      </c>
      <c r="N2654" t="s">
        <v>85</v>
      </c>
      <c r="O2654" s="6" t="s">
        <v>840</v>
      </c>
      <c r="P2654" t="s">
        <v>72</v>
      </c>
      <c r="Q2654">
        <v>6</v>
      </c>
      <c r="R2654" t="s">
        <v>213</v>
      </c>
      <c r="S2654" s="2" t="s">
        <v>7</v>
      </c>
      <c r="T2654">
        <v>20</v>
      </c>
      <c r="U2654" t="s">
        <v>28</v>
      </c>
      <c r="V2654" t="s">
        <v>28</v>
      </c>
      <c r="W2654">
        <v>20</v>
      </c>
      <c r="X2654">
        <v>29.59</v>
      </c>
      <c r="Y2654">
        <f t="shared" si="53"/>
        <v>6.2290465087494153</v>
      </c>
      <c r="AA2654" s="6">
        <f t="shared" si="54"/>
        <v>26.86</v>
      </c>
      <c r="AB2654">
        <v>32.32</v>
      </c>
    </row>
    <row r="2655" spans="1:28" x14ac:dyDescent="0.2">
      <c r="A2655" t="s">
        <v>378</v>
      </c>
      <c r="B2655">
        <v>2003</v>
      </c>
      <c r="C2655" t="s">
        <v>807</v>
      </c>
      <c r="D2655" t="s">
        <v>825</v>
      </c>
      <c r="E2655" t="s">
        <v>35</v>
      </c>
      <c r="F2655" t="s">
        <v>375</v>
      </c>
      <c r="G2655">
        <v>34.246454999999997</v>
      </c>
      <c r="H2655">
        <v>136.847566</v>
      </c>
      <c r="I2655" t="s">
        <v>772</v>
      </c>
      <c r="J2655" s="2" t="s">
        <v>14</v>
      </c>
      <c r="K2655" t="s">
        <v>40</v>
      </c>
      <c r="L2655" t="s">
        <v>3</v>
      </c>
      <c r="M2655" t="s">
        <v>26</v>
      </c>
      <c r="N2655" t="s">
        <v>85</v>
      </c>
      <c r="O2655" s="6" t="s">
        <v>840</v>
      </c>
      <c r="P2655" t="s">
        <v>72</v>
      </c>
      <c r="Q2655">
        <v>6</v>
      </c>
      <c r="R2655" t="s">
        <v>213</v>
      </c>
      <c r="S2655" s="2" t="s">
        <v>9</v>
      </c>
      <c r="T2655">
        <v>20</v>
      </c>
      <c r="U2655" t="s">
        <v>28</v>
      </c>
      <c r="V2655" t="s">
        <v>28</v>
      </c>
      <c r="W2655">
        <v>25</v>
      </c>
      <c r="X2655">
        <v>21.75</v>
      </c>
      <c r="Y2655">
        <f t="shared" si="53"/>
        <v>9.7200505960705179</v>
      </c>
      <c r="AA2655" s="6">
        <f t="shared" si="54"/>
        <v>17.489999999999998</v>
      </c>
      <c r="AB2655">
        <v>26.01</v>
      </c>
    </row>
    <row r="2656" spans="1:28" x14ac:dyDescent="0.2">
      <c r="A2656" t="s">
        <v>378</v>
      </c>
      <c r="B2656">
        <v>2003</v>
      </c>
      <c r="C2656" t="s">
        <v>807</v>
      </c>
      <c r="D2656" t="s">
        <v>825</v>
      </c>
      <c r="E2656" t="s">
        <v>35</v>
      </c>
      <c r="F2656" t="s">
        <v>375</v>
      </c>
      <c r="G2656">
        <v>34.246454999999997</v>
      </c>
      <c r="H2656">
        <v>136.847566</v>
      </c>
      <c r="I2656" t="s">
        <v>772</v>
      </c>
      <c r="J2656" s="2" t="s">
        <v>14</v>
      </c>
      <c r="K2656" t="s">
        <v>40</v>
      </c>
      <c r="L2656" t="s">
        <v>3</v>
      </c>
      <c r="M2656" t="s">
        <v>26</v>
      </c>
      <c r="N2656" t="s">
        <v>85</v>
      </c>
      <c r="O2656" s="6" t="s">
        <v>840</v>
      </c>
      <c r="P2656" t="s">
        <v>72</v>
      </c>
      <c r="Q2656">
        <v>6</v>
      </c>
      <c r="R2656" t="s">
        <v>213</v>
      </c>
      <c r="S2656" s="2" t="s">
        <v>27</v>
      </c>
      <c r="T2656">
        <v>20</v>
      </c>
      <c r="U2656" t="s">
        <v>28</v>
      </c>
      <c r="V2656" t="s">
        <v>28</v>
      </c>
      <c r="W2656">
        <v>26</v>
      </c>
      <c r="X2656">
        <v>11.25</v>
      </c>
      <c r="Y2656">
        <f t="shared" si="53"/>
        <v>7.3242634773207422</v>
      </c>
      <c r="AA2656" s="6">
        <f t="shared" si="54"/>
        <v>8.0399999999999991</v>
      </c>
      <c r="AB2656">
        <v>14.46</v>
      </c>
    </row>
    <row r="2657" spans="1:28" x14ac:dyDescent="0.2">
      <c r="A2657" t="s">
        <v>378</v>
      </c>
      <c r="B2657">
        <v>2003</v>
      </c>
      <c r="C2657" t="s">
        <v>807</v>
      </c>
      <c r="D2657" t="s">
        <v>825</v>
      </c>
      <c r="E2657" t="s">
        <v>35</v>
      </c>
      <c r="F2657" t="s">
        <v>375</v>
      </c>
      <c r="G2657">
        <v>34.246454999999997</v>
      </c>
      <c r="H2657">
        <v>136.847566</v>
      </c>
      <c r="I2657" t="s">
        <v>772</v>
      </c>
      <c r="J2657" s="2" t="s">
        <v>14</v>
      </c>
      <c r="K2657" t="s">
        <v>40</v>
      </c>
      <c r="L2657" t="s">
        <v>3</v>
      </c>
      <c r="M2657" t="s">
        <v>26</v>
      </c>
      <c r="N2657" t="s">
        <v>85</v>
      </c>
      <c r="O2657" s="6" t="s">
        <v>840</v>
      </c>
      <c r="P2657" t="s">
        <v>72</v>
      </c>
      <c r="Q2657">
        <v>6</v>
      </c>
      <c r="R2657" t="s">
        <v>213</v>
      </c>
      <c r="S2657" s="2" t="s">
        <v>13</v>
      </c>
      <c r="T2657">
        <v>20</v>
      </c>
      <c r="U2657" t="s">
        <v>28</v>
      </c>
      <c r="V2657" t="s">
        <v>28</v>
      </c>
      <c r="W2657">
        <v>27</v>
      </c>
      <c r="X2657">
        <v>8.1999999999999993</v>
      </c>
      <c r="Y2657">
        <f t="shared" si="53"/>
        <v>5.9780592867851547</v>
      </c>
      <c r="AA2657" s="6">
        <f t="shared" si="54"/>
        <v>5.5799999999999983</v>
      </c>
      <c r="AB2657">
        <v>10.82</v>
      </c>
    </row>
    <row r="2658" spans="1:28" x14ac:dyDescent="0.2">
      <c r="A2658" t="s">
        <v>378</v>
      </c>
      <c r="B2658">
        <v>2003</v>
      </c>
      <c r="C2658" t="s">
        <v>807</v>
      </c>
      <c r="D2658" t="s">
        <v>825</v>
      </c>
      <c r="E2658" t="s">
        <v>35</v>
      </c>
      <c r="F2658" t="s">
        <v>375</v>
      </c>
      <c r="G2658">
        <v>34.246454999999997</v>
      </c>
      <c r="H2658">
        <v>136.847566</v>
      </c>
      <c r="I2658" t="s">
        <v>772</v>
      </c>
      <c r="J2658" s="2" t="s">
        <v>14</v>
      </c>
      <c r="K2658" t="s">
        <v>40</v>
      </c>
      <c r="L2658" t="s">
        <v>3</v>
      </c>
      <c r="M2658" t="s">
        <v>26</v>
      </c>
      <c r="N2658" t="s">
        <v>85</v>
      </c>
      <c r="O2658" s="6" t="s">
        <v>840</v>
      </c>
      <c r="P2658" t="s">
        <v>72</v>
      </c>
      <c r="Q2658">
        <v>6</v>
      </c>
      <c r="R2658" t="s">
        <v>213</v>
      </c>
      <c r="S2658" s="2" t="s">
        <v>15</v>
      </c>
      <c r="T2658">
        <v>20</v>
      </c>
      <c r="U2658" t="s">
        <v>28</v>
      </c>
      <c r="V2658" t="s">
        <v>28</v>
      </c>
      <c r="W2658">
        <v>28</v>
      </c>
      <c r="X2658">
        <v>1.27</v>
      </c>
      <c r="Y2658">
        <f t="shared" si="53"/>
        <v>11.773582412141751</v>
      </c>
      <c r="AA2658" s="6">
        <f t="shared" si="54"/>
        <v>-3.89</v>
      </c>
      <c r="AB2658">
        <v>6.43</v>
      </c>
    </row>
    <row r="2659" spans="1:28" x14ac:dyDescent="0.2">
      <c r="A2659" t="s">
        <v>378</v>
      </c>
      <c r="B2659">
        <v>2003</v>
      </c>
      <c r="C2659" t="s">
        <v>807</v>
      </c>
      <c r="D2659" t="s">
        <v>825</v>
      </c>
      <c r="E2659" t="s">
        <v>35</v>
      </c>
      <c r="F2659" t="s">
        <v>375</v>
      </c>
      <c r="G2659">
        <v>34.246454999999997</v>
      </c>
      <c r="H2659">
        <v>136.847566</v>
      </c>
      <c r="I2659" t="s">
        <v>772</v>
      </c>
      <c r="J2659" s="2" t="s">
        <v>7</v>
      </c>
      <c r="K2659" t="s">
        <v>41</v>
      </c>
      <c r="L2659" t="s">
        <v>3</v>
      </c>
      <c r="M2659" t="s">
        <v>26</v>
      </c>
      <c r="N2659" t="s">
        <v>85</v>
      </c>
      <c r="O2659" s="6" t="s">
        <v>840</v>
      </c>
      <c r="P2659" t="s">
        <v>72</v>
      </c>
      <c r="Q2659">
        <v>6</v>
      </c>
      <c r="R2659" t="s">
        <v>213</v>
      </c>
      <c r="S2659" s="2" t="s">
        <v>7</v>
      </c>
      <c r="T2659">
        <v>20</v>
      </c>
      <c r="U2659" t="s">
        <v>28</v>
      </c>
      <c r="V2659" t="s">
        <v>28</v>
      </c>
      <c r="W2659">
        <v>20</v>
      </c>
      <c r="X2659">
        <v>16.14</v>
      </c>
      <c r="Y2659">
        <f t="shared" si="53"/>
        <v>4.4949529751781458</v>
      </c>
      <c r="AA2659" s="6">
        <f t="shared" si="54"/>
        <v>14.170000000000002</v>
      </c>
      <c r="AB2659">
        <v>18.11</v>
      </c>
    </row>
    <row r="2660" spans="1:28" x14ac:dyDescent="0.2">
      <c r="A2660" t="s">
        <v>378</v>
      </c>
      <c r="B2660">
        <v>2003</v>
      </c>
      <c r="C2660" t="s">
        <v>807</v>
      </c>
      <c r="D2660" t="s">
        <v>825</v>
      </c>
      <c r="E2660" t="s">
        <v>35</v>
      </c>
      <c r="F2660" t="s">
        <v>375</v>
      </c>
      <c r="G2660">
        <v>34.246454999999997</v>
      </c>
      <c r="H2660">
        <v>136.847566</v>
      </c>
      <c r="I2660" t="s">
        <v>772</v>
      </c>
      <c r="J2660" s="2" t="s">
        <v>14</v>
      </c>
      <c r="K2660" t="s">
        <v>41</v>
      </c>
      <c r="L2660" t="s">
        <v>3</v>
      </c>
      <c r="M2660" t="s">
        <v>26</v>
      </c>
      <c r="N2660" t="s">
        <v>85</v>
      </c>
      <c r="O2660" s="6" t="s">
        <v>840</v>
      </c>
      <c r="P2660" t="s">
        <v>72</v>
      </c>
      <c r="Q2660">
        <v>6</v>
      </c>
      <c r="R2660" t="s">
        <v>213</v>
      </c>
      <c r="S2660" s="2" t="s">
        <v>9</v>
      </c>
      <c r="T2660">
        <v>20</v>
      </c>
      <c r="U2660" t="s">
        <v>28</v>
      </c>
      <c r="V2660" t="s">
        <v>28</v>
      </c>
      <c r="W2660">
        <v>25</v>
      </c>
      <c r="X2660">
        <v>16.14</v>
      </c>
      <c r="Y2660">
        <f t="shared" si="53"/>
        <v>1.9622637353569572</v>
      </c>
      <c r="AA2660" s="6">
        <f t="shared" si="54"/>
        <v>15.280000000000001</v>
      </c>
      <c r="AB2660">
        <v>17</v>
      </c>
    </row>
    <row r="2661" spans="1:28" x14ac:dyDescent="0.2">
      <c r="A2661" t="s">
        <v>378</v>
      </c>
      <c r="B2661">
        <v>2003</v>
      </c>
      <c r="C2661" t="s">
        <v>807</v>
      </c>
      <c r="D2661" t="s">
        <v>825</v>
      </c>
      <c r="E2661" t="s">
        <v>35</v>
      </c>
      <c r="F2661" t="s">
        <v>375</v>
      </c>
      <c r="G2661">
        <v>34.246454999999997</v>
      </c>
      <c r="H2661">
        <v>136.847566</v>
      </c>
      <c r="I2661" t="s">
        <v>772</v>
      </c>
      <c r="J2661" s="2" t="s">
        <v>14</v>
      </c>
      <c r="K2661" t="s">
        <v>41</v>
      </c>
      <c r="L2661" t="s">
        <v>3</v>
      </c>
      <c r="M2661" t="s">
        <v>26</v>
      </c>
      <c r="N2661" t="s">
        <v>85</v>
      </c>
      <c r="O2661" s="6" t="s">
        <v>840</v>
      </c>
      <c r="P2661" t="s">
        <v>72</v>
      </c>
      <c r="Q2661">
        <v>6</v>
      </c>
      <c r="R2661" t="s">
        <v>213</v>
      </c>
      <c r="S2661" s="2" t="s">
        <v>27</v>
      </c>
      <c r="T2661">
        <v>20</v>
      </c>
      <c r="U2661" t="s">
        <v>28</v>
      </c>
      <c r="V2661" t="s">
        <v>28</v>
      </c>
      <c r="W2661">
        <v>26</v>
      </c>
      <c r="X2661">
        <v>10.51</v>
      </c>
      <c r="Y2661">
        <f t="shared" si="53"/>
        <v>5.2250976208923685</v>
      </c>
      <c r="AA2661" s="6">
        <f t="shared" si="54"/>
        <v>8.2199999999999989</v>
      </c>
      <c r="AB2661">
        <v>12.8</v>
      </c>
    </row>
    <row r="2662" spans="1:28" x14ac:dyDescent="0.2">
      <c r="A2662" t="s">
        <v>378</v>
      </c>
      <c r="B2662">
        <v>2003</v>
      </c>
      <c r="C2662" t="s">
        <v>807</v>
      </c>
      <c r="D2662" t="s">
        <v>825</v>
      </c>
      <c r="E2662" t="s">
        <v>35</v>
      </c>
      <c r="F2662" t="s">
        <v>375</v>
      </c>
      <c r="G2662">
        <v>34.246454999999997</v>
      </c>
      <c r="H2662">
        <v>136.847566</v>
      </c>
      <c r="I2662" t="s">
        <v>772</v>
      </c>
      <c r="J2662" s="2" t="s">
        <v>14</v>
      </c>
      <c r="K2662" t="s">
        <v>41</v>
      </c>
      <c r="L2662" t="s">
        <v>3</v>
      </c>
      <c r="M2662" t="s">
        <v>26</v>
      </c>
      <c r="N2662" t="s">
        <v>85</v>
      </c>
      <c r="O2662" s="6" t="s">
        <v>840</v>
      </c>
      <c r="P2662" t="s">
        <v>72</v>
      </c>
      <c r="Q2662">
        <v>6</v>
      </c>
      <c r="R2662" t="s">
        <v>213</v>
      </c>
      <c r="S2662" s="2" t="s">
        <v>13</v>
      </c>
      <c r="T2662">
        <v>20</v>
      </c>
      <c r="U2662" t="s">
        <v>28</v>
      </c>
      <c r="V2662" t="s">
        <v>28</v>
      </c>
      <c r="W2662">
        <v>27</v>
      </c>
      <c r="X2662">
        <v>8.31</v>
      </c>
      <c r="Y2662">
        <f t="shared" si="53"/>
        <v>4.2439657532138853</v>
      </c>
      <c r="AA2662" s="6">
        <f t="shared" si="54"/>
        <v>6.4500000000000011</v>
      </c>
      <c r="AB2662">
        <v>10.17</v>
      </c>
    </row>
    <row r="2663" spans="1:28" x14ac:dyDescent="0.2">
      <c r="A2663" t="s">
        <v>378</v>
      </c>
      <c r="B2663">
        <v>2003</v>
      </c>
      <c r="C2663" t="s">
        <v>807</v>
      </c>
      <c r="D2663" t="s">
        <v>825</v>
      </c>
      <c r="E2663" t="s">
        <v>35</v>
      </c>
      <c r="F2663" t="s">
        <v>375</v>
      </c>
      <c r="G2663">
        <v>34.246454999999997</v>
      </c>
      <c r="H2663">
        <v>136.847566</v>
      </c>
      <c r="I2663" t="s">
        <v>772</v>
      </c>
      <c r="J2663" s="2" t="s">
        <v>14</v>
      </c>
      <c r="K2663" t="s">
        <v>41</v>
      </c>
      <c r="L2663" t="s">
        <v>3</v>
      </c>
      <c r="M2663" t="s">
        <v>26</v>
      </c>
      <c r="N2663" t="s">
        <v>85</v>
      </c>
      <c r="O2663" s="6" t="s">
        <v>840</v>
      </c>
      <c r="P2663" t="s">
        <v>72</v>
      </c>
      <c r="Q2663">
        <v>6</v>
      </c>
      <c r="R2663" t="s">
        <v>213</v>
      </c>
      <c r="S2663" s="2" t="s">
        <v>15</v>
      </c>
      <c r="T2663">
        <v>20</v>
      </c>
      <c r="U2663" t="s">
        <v>28</v>
      </c>
      <c r="V2663" t="s">
        <v>28</v>
      </c>
      <c r="W2663">
        <v>28</v>
      </c>
      <c r="X2663">
        <v>3.9</v>
      </c>
      <c r="Y2663">
        <f t="shared" si="53"/>
        <v>5.7955231253565991</v>
      </c>
      <c r="AA2663" s="6">
        <f t="shared" si="54"/>
        <v>1.3599999999999994</v>
      </c>
      <c r="AB2663">
        <v>6.44</v>
      </c>
    </row>
    <row r="2664" spans="1:28" x14ac:dyDescent="0.2">
      <c r="A2664" t="s">
        <v>378</v>
      </c>
      <c r="B2664">
        <v>2003</v>
      </c>
      <c r="C2664" t="s">
        <v>807</v>
      </c>
      <c r="D2664" t="s">
        <v>825</v>
      </c>
      <c r="E2664" t="s">
        <v>35</v>
      </c>
      <c r="F2664" t="s">
        <v>376</v>
      </c>
      <c r="G2664">
        <v>34.342719000000002</v>
      </c>
      <c r="H2664">
        <v>136.701066</v>
      </c>
      <c r="I2664" t="s">
        <v>772</v>
      </c>
      <c r="J2664" s="2" t="s">
        <v>7</v>
      </c>
      <c r="K2664" t="s">
        <v>40</v>
      </c>
      <c r="L2664" t="s">
        <v>3</v>
      </c>
      <c r="M2664" t="s">
        <v>26</v>
      </c>
      <c r="N2664" t="s">
        <v>85</v>
      </c>
      <c r="O2664" s="6" t="s">
        <v>840</v>
      </c>
      <c r="P2664" t="s">
        <v>72</v>
      </c>
      <c r="Q2664">
        <v>6</v>
      </c>
      <c r="R2664" t="s">
        <v>213</v>
      </c>
      <c r="S2664" s="2" t="s">
        <v>7</v>
      </c>
      <c r="T2664">
        <v>20</v>
      </c>
      <c r="U2664" t="s">
        <v>28</v>
      </c>
      <c r="V2664" t="s">
        <v>28</v>
      </c>
      <c r="W2664">
        <v>20</v>
      </c>
      <c r="X2664">
        <v>26.78</v>
      </c>
      <c r="Y2664">
        <f t="shared" si="53"/>
        <v>6.320314589463691</v>
      </c>
      <c r="AA2664" s="6">
        <f t="shared" si="54"/>
        <v>24.01</v>
      </c>
      <c r="AB2664">
        <v>29.55</v>
      </c>
    </row>
    <row r="2665" spans="1:28" x14ac:dyDescent="0.2">
      <c r="A2665" t="s">
        <v>378</v>
      </c>
      <c r="B2665">
        <v>2003</v>
      </c>
      <c r="C2665" t="s">
        <v>807</v>
      </c>
      <c r="D2665" t="s">
        <v>825</v>
      </c>
      <c r="E2665" t="s">
        <v>35</v>
      </c>
      <c r="F2665" t="s">
        <v>376</v>
      </c>
      <c r="G2665">
        <v>34.342719000000002</v>
      </c>
      <c r="H2665">
        <v>136.701066</v>
      </c>
      <c r="I2665" t="s">
        <v>772</v>
      </c>
      <c r="J2665" s="2" t="s">
        <v>14</v>
      </c>
      <c r="K2665" t="s">
        <v>40</v>
      </c>
      <c r="L2665" t="s">
        <v>3</v>
      </c>
      <c r="M2665" t="s">
        <v>26</v>
      </c>
      <c r="N2665" t="s">
        <v>85</v>
      </c>
      <c r="O2665" s="6" t="s">
        <v>840</v>
      </c>
      <c r="P2665" t="s">
        <v>72</v>
      </c>
      <c r="Q2665">
        <v>6</v>
      </c>
      <c r="R2665" t="s">
        <v>213</v>
      </c>
      <c r="S2665" s="2" t="s">
        <v>9</v>
      </c>
      <c r="T2665">
        <v>20</v>
      </c>
      <c r="U2665" t="s">
        <v>28</v>
      </c>
      <c r="V2665" t="s">
        <v>28</v>
      </c>
      <c r="W2665">
        <v>25</v>
      </c>
      <c r="X2665">
        <v>21.68</v>
      </c>
      <c r="Y2665">
        <f t="shared" si="53"/>
        <v>7.0960932755350461</v>
      </c>
      <c r="AA2665" s="6">
        <f t="shared" si="54"/>
        <v>18.57</v>
      </c>
      <c r="AB2665">
        <v>24.79</v>
      </c>
    </row>
    <row r="2666" spans="1:28" x14ac:dyDescent="0.2">
      <c r="A2666" t="s">
        <v>378</v>
      </c>
      <c r="B2666">
        <v>2003</v>
      </c>
      <c r="C2666" t="s">
        <v>807</v>
      </c>
      <c r="D2666" t="s">
        <v>825</v>
      </c>
      <c r="E2666" t="s">
        <v>35</v>
      </c>
      <c r="F2666" t="s">
        <v>376</v>
      </c>
      <c r="G2666">
        <v>34.342719000000002</v>
      </c>
      <c r="H2666">
        <v>136.701066</v>
      </c>
      <c r="I2666" t="s">
        <v>772</v>
      </c>
      <c r="J2666" s="2" t="s">
        <v>14</v>
      </c>
      <c r="K2666" t="s">
        <v>40</v>
      </c>
      <c r="L2666" t="s">
        <v>3</v>
      </c>
      <c r="M2666" t="s">
        <v>26</v>
      </c>
      <c r="N2666" t="s">
        <v>85</v>
      </c>
      <c r="O2666" s="6" t="s">
        <v>840</v>
      </c>
      <c r="P2666" t="s">
        <v>72</v>
      </c>
      <c r="Q2666">
        <v>6</v>
      </c>
      <c r="R2666" t="s">
        <v>213</v>
      </c>
      <c r="S2666" s="2" t="s">
        <v>27</v>
      </c>
      <c r="T2666">
        <v>20</v>
      </c>
      <c r="U2666" t="s">
        <v>28</v>
      </c>
      <c r="V2666" t="s">
        <v>28</v>
      </c>
      <c r="W2666">
        <v>26</v>
      </c>
      <c r="X2666">
        <v>19.100000000000001</v>
      </c>
      <c r="Y2666">
        <f t="shared" si="53"/>
        <v>5.2707316612495019</v>
      </c>
      <c r="AA2666" s="6">
        <f t="shared" si="54"/>
        <v>16.790000000000003</v>
      </c>
      <c r="AB2666">
        <v>21.41</v>
      </c>
    </row>
    <row r="2667" spans="1:28" x14ac:dyDescent="0.2">
      <c r="A2667" t="s">
        <v>378</v>
      </c>
      <c r="B2667">
        <v>2003</v>
      </c>
      <c r="C2667" t="s">
        <v>807</v>
      </c>
      <c r="D2667" t="s">
        <v>825</v>
      </c>
      <c r="E2667" t="s">
        <v>35</v>
      </c>
      <c r="F2667" t="s">
        <v>376</v>
      </c>
      <c r="G2667">
        <v>34.342719000000002</v>
      </c>
      <c r="H2667">
        <v>136.701066</v>
      </c>
      <c r="I2667" t="s">
        <v>772</v>
      </c>
      <c r="J2667" s="2" t="s">
        <v>14</v>
      </c>
      <c r="K2667" t="s">
        <v>40</v>
      </c>
      <c r="L2667" t="s">
        <v>3</v>
      </c>
      <c r="M2667" t="s">
        <v>26</v>
      </c>
      <c r="N2667" t="s">
        <v>85</v>
      </c>
      <c r="O2667" s="6" t="s">
        <v>840</v>
      </c>
      <c r="P2667" t="s">
        <v>72</v>
      </c>
      <c r="Q2667">
        <v>6</v>
      </c>
      <c r="R2667" t="s">
        <v>213</v>
      </c>
      <c r="S2667" s="2" t="s">
        <v>13</v>
      </c>
      <c r="T2667">
        <v>20</v>
      </c>
      <c r="U2667" t="s">
        <v>28</v>
      </c>
      <c r="V2667" t="s">
        <v>28</v>
      </c>
      <c r="W2667">
        <v>27</v>
      </c>
      <c r="X2667">
        <v>19.79</v>
      </c>
      <c r="Y2667">
        <f t="shared" si="53"/>
        <v>4.0842466119638994</v>
      </c>
      <c r="AA2667" s="6">
        <f t="shared" si="54"/>
        <v>18</v>
      </c>
      <c r="AB2667">
        <v>21.58</v>
      </c>
    </row>
    <row r="2668" spans="1:28" x14ac:dyDescent="0.2">
      <c r="A2668" t="s">
        <v>378</v>
      </c>
      <c r="B2668">
        <v>2003</v>
      </c>
      <c r="C2668" t="s">
        <v>807</v>
      </c>
      <c r="D2668" t="s">
        <v>825</v>
      </c>
      <c r="E2668" t="s">
        <v>35</v>
      </c>
      <c r="F2668" t="s">
        <v>376</v>
      </c>
      <c r="G2668">
        <v>34.342719000000002</v>
      </c>
      <c r="H2668">
        <v>136.701066</v>
      </c>
      <c r="I2668" t="s">
        <v>772</v>
      </c>
      <c r="J2668" s="2" t="s">
        <v>14</v>
      </c>
      <c r="K2668" t="s">
        <v>40</v>
      </c>
      <c r="L2668" t="s">
        <v>3</v>
      </c>
      <c r="M2668" t="s">
        <v>26</v>
      </c>
      <c r="N2668" t="s">
        <v>85</v>
      </c>
      <c r="O2668" s="6" t="s">
        <v>840</v>
      </c>
      <c r="P2668" t="s">
        <v>72</v>
      </c>
      <c r="Q2668">
        <v>6</v>
      </c>
      <c r="R2668" t="s">
        <v>213</v>
      </c>
      <c r="S2668" s="2" t="s">
        <v>15</v>
      </c>
      <c r="T2668">
        <v>20</v>
      </c>
      <c r="U2668" t="s">
        <v>28</v>
      </c>
      <c r="V2668" t="s">
        <v>28</v>
      </c>
      <c r="W2668">
        <v>28</v>
      </c>
      <c r="X2668">
        <v>11.22</v>
      </c>
      <c r="Y2668">
        <f t="shared" si="53"/>
        <v>3.7191742891067912</v>
      </c>
      <c r="AA2668" s="6">
        <f t="shared" si="54"/>
        <v>9.5900000000000016</v>
      </c>
      <c r="AB2668">
        <v>12.85</v>
      </c>
    </row>
    <row r="2669" spans="1:28" x14ac:dyDescent="0.2">
      <c r="A2669" t="s">
        <v>378</v>
      </c>
      <c r="B2669">
        <v>2003</v>
      </c>
      <c r="C2669" t="s">
        <v>807</v>
      </c>
      <c r="D2669" t="s">
        <v>825</v>
      </c>
      <c r="E2669" t="s">
        <v>35</v>
      </c>
      <c r="F2669" t="s">
        <v>376</v>
      </c>
      <c r="G2669">
        <v>34.342719000000002</v>
      </c>
      <c r="H2669">
        <v>136.701066</v>
      </c>
      <c r="I2669" t="s">
        <v>772</v>
      </c>
      <c r="J2669" s="2" t="s">
        <v>7</v>
      </c>
      <c r="K2669" t="s">
        <v>41</v>
      </c>
      <c r="L2669" t="s">
        <v>3</v>
      </c>
      <c r="M2669" t="s">
        <v>26</v>
      </c>
      <c r="N2669" t="s">
        <v>85</v>
      </c>
      <c r="O2669" s="6" t="s">
        <v>840</v>
      </c>
      <c r="P2669" t="s">
        <v>72</v>
      </c>
      <c r="Q2669">
        <v>6</v>
      </c>
      <c r="R2669" t="s">
        <v>213</v>
      </c>
      <c r="S2669" s="2" t="s">
        <v>7</v>
      </c>
      <c r="T2669">
        <v>20</v>
      </c>
      <c r="U2669" t="s">
        <v>28</v>
      </c>
      <c r="V2669" t="s">
        <v>28</v>
      </c>
      <c r="W2669">
        <v>20</v>
      </c>
      <c r="X2669">
        <v>16.329999999999998</v>
      </c>
      <c r="Y2669">
        <f t="shared" si="53"/>
        <v>5.9096082262494525</v>
      </c>
      <c r="AA2669" s="6">
        <f t="shared" si="54"/>
        <v>13.739999999999995</v>
      </c>
      <c r="AB2669">
        <v>18.920000000000002</v>
      </c>
    </row>
    <row r="2670" spans="1:28" x14ac:dyDescent="0.2">
      <c r="A2670" t="s">
        <v>378</v>
      </c>
      <c r="B2670">
        <v>2003</v>
      </c>
      <c r="C2670" t="s">
        <v>807</v>
      </c>
      <c r="D2670" t="s">
        <v>825</v>
      </c>
      <c r="E2670" t="s">
        <v>35</v>
      </c>
      <c r="F2670" t="s">
        <v>376</v>
      </c>
      <c r="G2670">
        <v>34.342719000000002</v>
      </c>
      <c r="H2670">
        <v>136.701066</v>
      </c>
      <c r="I2670" t="s">
        <v>772</v>
      </c>
      <c r="J2670" s="2" t="s">
        <v>14</v>
      </c>
      <c r="K2670" t="s">
        <v>41</v>
      </c>
      <c r="L2670" t="s">
        <v>3</v>
      </c>
      <c r="M2670" t="s">
        <v>26</v>
      </c>
      <c r="N2670" t="s">
        <v>85</v>
      </c>
      <c r="O2670" s="6" t="s">
        <v>840</v>
      </c>
      <c r="P2670" t="s">
        <v>72</v>
      </c>
      <c r="Q2670">
        <v>6</v>
      </c>
      <c r="R2670" t="s">
        <v>213</v>
      </c>
      <c r="S2670" s="2" t="s">
        <v>9</v>
      </c>
      <c r="T2670">
        <v>20</v>
      </c>
      <c r="U2670" t="s">
        <v>28</v>
      </c>
      <c r="V2670" t="s">
        <v>28</v>
      </c>
      <c r="W2670">
        <v>25</v>
      </c>
      <c r="X2670">
        <v>17.88</v>
      </c>
      <c r="Y2670">
        <f t="shared" si="53"/>
        <v>3.7419913092853641</v>
      </c>
      <c r="AA2670" s="6">
        <f t="shared" si="54"/>
        <v>16.239999999999998</v>
      </c>
      <c r="AB2670">
        <v>19.52</v>
      </c>
    </row>
    <row r="2671" spans="1:28" x14ac:dyDescent="0.2">
      <c r="A2671" t="s">
        <v>378</v>
      </c>
      <c r="B2671">
        <v>2003</v>
      </c>
      <c r="C2671" t="s">
        <v>807</v>
      </c>
      <c r="D2671" t="s">
        <v>825</v>
      </c>
      <c r="E2671" t="s">
        <v>35</v>
      </c>
      <c r="F2671" t="s">
        <v>376</v>
      </c>
      <c r="G2671">
        <v>34.342719000000002</v>
      </c>
      <c r="H2671">
        <v>136.701066</v>
      </c>
      <c r="I2671" t="s">
        <v>772</v>
      </c>
      <c r="J2671" s="2" t="s">
        <v>14</v>
      </c>
      <c r="K2671" t="s">
        <v>41</v>
      </c>
      <c r="L2671" t="s">
        <v>3</v>
      </c>
      <c r="M2671" t="s">
        <v>26</v>
      </c>
      <c r="N2671" t="s">
        <v>85</v>
      </c>
      <c r="O2671" s="6" t="s">
        <v>840</v>
      </c>
      <c r="P2671" t="s">
        <v>72</v>
      </c>
      <c r="Q2671">
        <v>6</v>
      </c>
      <c r="R2671" t="s">
        <v>213</v>
      </c>
      <c r="S2671" s="2" t="s">
        <v>27</v>
      </c>
      <c r="T2671">
        <v>20</v>
      </c>
      <c r="U2671" t="s">
        <v>28</v>
      </c>
      <c r="V2671" t="s">
        <v>28</v>
      </c>
      <c r="W2671">
        <v>26</v>
      </c>
      <c r="X2671">
        <v>12.65</v>
      </c>
      <c r="Y2671">
        <f t="shared" si="53"/>
        <v>3.878893430356777</v>
      </c>
      <c r="AA2671" s="6">
        <f t="shared" si="54"/>
        <v>10.950000000000001</v>
      </c>
      <c r="AB2671">
        <v>14.35</v>
      </c>
    </row>
    <row r="2672" spans="1:28" x14ac:dyDescent="0.2">
      <c r="A2672" t="s">
        <v>378</v>
      </c>
      <c r="B2672">
        <v>2003</v>
      </c>
      <c r="C2672" t="s">
        <v>807</v>
      </c>
      <c r="D2672" t="s">
        <v>825</v>
      </c>
      <c r="E2672" t="s">
        <v>35</v>
      </c>
      <c r="F2672" t="s">
        <v>376</v>
      </c>
      <c r="G2672">
        <v>34.342719000000002</v>
      </c>
      <c r="H2672">
        <v>136.701066</v>
      </c>
      <c r="I2672" t="s">
        <v>772</v>
      </c>
      <c r="J2672" s="2" t="s">
        <v>14</v>
      </c>
      <c r="K2672" t="s">
        <v>41</v>
      </c>
      <c r="L2672" t="s">
        <v>3</v>
      </c>
      <c r="M2672" t="s">
        <v>26</v>
      </c>
      <c r="N2672" t="s">
        <v>85</v>
      </c>
      <c r="O2672" s="6" t="s">
        <v>840</v>
      </c>
      <c r="P2672" t="s">
        <v>72</v>
      </c>
      <c r="Q2672">
        <v>6</v>
      </c>
      <c r="R2672" t="s">
        <v>213</v>
      </c>
      <c r="S2672" s="2" t="s">
        <v>13</v>
      </c>
      <c r="T2672">
        <v>20</v>
      </c>
      <c r="U2672" t="s">
        <v>28</v>
      </c>
      <c r="V2672" t="s">
        <v>28</v>
      </c>
      <c r="W2672">
        <v>27</v>
      </c>
      <c r="X2672">
        <v>10.53</v>
      </c>
      <c r="Y2672">
        <f t="shared" si="53"/>
        <v>3.6735402487496573</v>
      </c>
      <c r="AA2672" s="6">
        <f t="shared" si="54"/>
        <v>8.9199999999999982</v>
      </c>
      <c r="AB2672">
        <v>12.14</v>
      </c>
    </row>
    <row r="2673" spans="1:28" x14ac:dyDescent="0.2">
      <c r="A2673" t="s">
        <v>378</v>
      </c>
      <c r="B2673">
        <v>2003</v>
      </c>
      <c r="C2673" t="s">
        <v>807</v>
      </c>
      <c r="D2673" t="s">
        <v>825</v>
      </c>
      <c r="E2673" t="s">
        <v>35</v>
      </c>
      <c r="F2673" t="s">
        <v>376</v>
      </c>
      <c r="G2673">
        <v>34.342719000000002</v>
      </c>
      <c r="H2673">
        <v>136.701066</v>
      </c>
      <c r="I2673" t="s">
        <v>772</v>
      </c>
      <c r="J2673" s="2" t="s">
        <v>14</v>
      </c>
      <c r="K2673" t="s">
        <v>41</v>
      </c>
      <c r="L2673" t="s">
        <v>3</v>
      </c>
      <c r="M2673" t="s">
        <v>26</v>
      </c>
      <c r="N2673" t="s">
        <v>85</v>
      </c>
      <c r="O2673" s="6" t="s">
        <v>840</v>
      </c>
      <c r="P2673" t="s">
        <v>72</v>
      </c>
      <c r="Q2673">
        <v>6</v>
      </c>
      <c r="R2673" t="s">
        <v>213</v>
      </c>
      <c r="S2673" s="2" t="s">
        <v>15</v>
      </c>
      <c r="T2673">
        <v>20</v>
      </c>
      <c r="U2673" t="s">
        <v>28</v>
      </c>
      <c r="V2673" t="s">
        <v>28</v>
      </c>
      <c r="W2673">
        <v>28</v>
      </c>
      <c r="X2673">
        <v>7.22</v>
      </c>
      <c r="Y2673">
        <f t="shared" si="53"/>
        <v>4.0614295917853331</v>
      </c>
      <c r="AA2673" s="6">
        <f t="shared" si="54"/>
        <v>5.4399999999999995</v>
      </c>
      <c r="AB2673">
        <v>9</v>
      </c>
    </row>
    <row r="2674" spans="1:28" x14ac:dyDescent="0.2">
      <c r="A2674" t="s">
        <v>378</v>
      </c>
      <c r="B2674">
        <v>2003</v>
      </c>
      <c r="C2674" t="s">
        <v>807</v>
      </c>
      <c r="D2674" t="s">
        <v>825</v>
      </c>
      <c r="E2674" t="s">
        <v>35</v>
      </c>
      <c r="F2674" t="s">
        <v>375</v>
      </c>
      <c r="G2674">
        <v>34.246454999999997</v>
      </c>
      <c r="H2674">
        <v>136.847566</v>
      </c>
      <c r="I2674" t="s">
        <v>772</v>
      </c>
      <c r="J2674" s="2" t="s">
        <v>7</v>
      </c>
      <c r="K2674" t="s">
        <v>41</v>
      </c>
      <c r="L2674" t="s">
        <v>3</v>
      </c>
      <c r="M2674" t="s">
        <v>727</v>
      </c>
      <c r="N2674" t="s">
        <v>85</v>
      </c>
      <c r="O2674" t="s">
        <v>142</v>
      </c>
      <c r="P2674" t="s">
        <v>70</v>
      </c>
      <c r="Q2674">
        <v>14</v>
      </c>
      <c r="R2674" t="s">
        <v>213</v>
      </c>
      <c r="S2674" s="2" t="s">
        <v>7</v>
      </c>
      <c r="T2674">
        <v>1</v>
      </c>
      <c r="U2674" t="s">
        <v>28</v>
      </c>
      <c r="V2674" t="s">
        <v>28</v>
      </c>
      <c r="W2674">
        <v>20</v>
      </c>
      <c r="X2674">
        <v>13.67</v>
      </c>
      <c r="Y2674" t="s">
        <v>28</v>
      </c>
      <c r="AA2674" t="s">
        <v>28</v>
      </c>
      <c r="AB2674" t="s">
        <v>28</v>
      </c>
    </row>
    <row r="2675" spans="1:28" x14ac:dyDescent="0.2">
      <c r="A2675" t="s">
        <v>378</v>
      </c>
      <c r="B2675">
        <v>2003</v>
      </c>
      <c r="C2675" t="s">
        <v>807</v>
      </c>
      <c r="D2675" t="s">
        <v>825</v>
      </c>
      <c r="E2675" t="s">
        <v>35</v>
      </c>
      <c r="F2675" t="s">
        <v>375</v>
      </c>
      <c r="G2675">
        <v>34.246454999999997</v>
      </c>
      <c r="H2675">
        <v>136.847566</v>
      </c>
      <c r="I2675" t="s">
        <v>772</v>
      </c>
      <c r="J2675" s="2" t="s">
        <v>14</v>
      </c>
      <c r="K2675" t="s">
        <v>41</v>
      </c>
      <c r="L2675" t="s">
        <v>3</v>
      </c>
      <c r="M2675" t="s">
        <v>727</v>
      </c>
      <c r="N2675" t="s">
        <v>85</v>
      </c>
      <c r="O2675" t="s">
        <v>142</v>
      </c>
      <c r="P2675" t="s">
        <v>70</v>
      </c>
      <c r="Q2675">
        <v>14</v>
      </c>
      <c r="R2675" t="s">
        <v>213</v>
      </c>
      <c r="S2675" s="2" t="s">
        <v>9</v>
      </c>
      <c r="T2675">
        <v>1</v>
      </c>
      <c r="U2675" t="s">
        <v>28</v>
      </c>
      <c r="V2675" t="s">
        <v>28</v>
      </c>
      <c r="W2675">
        <v>21</v>
      </c>
      <c r="X2675">
        <v>3.47</v>
      </c>
      <c r="Y2675" t="s">
        <v>28</v>
      </c>
      <c r="AA2675" t="s">
        <v>28</v>
      </c>
      <c r="AB2675" t="s">
        <v>28</v>
      </c>
    </row>
    <row r="2676" spans="1:28" x14ac:dyDescent="0.2">
      <c r="A2676" t="s">
        <v>378</v>
      </c>
      <c r="B2676">
        <v>2003</v>
      </c>
      <c r="C2676" t="s">
        <v>807</v>
      </c>
      <c r="D2676" t="s">
        <v>825</v>
      </c>
      <c r="E2676" t="s">
        <v>35</v>
      </c>
      <c r="F2676" t="s">
        <v>375</v>
      </c>
      <c r="G2676">
        <v>34.246454999999997</v>
      </c>
      <c r="H2676">
        <v>136.847566</v>
      </c>
      <c r="I2676" t="s">
        <v>772</v>
      </c>
      <c r="J2676" s="2" t="s">
        <v>14</v>
      </c>
      <c r="K2676" t="s">
        <v>41</v>
      </c>
      <c r="L2676" t="s">
        <v>3</v>
      </c>
      <c r="M2676" t="s">
        <v>727</v>
      </c>
      <c r="N2676" t="s">
        <v>85</v>
      </c>
      <c r="O2676" t="s">
        <v>142</v>
      </c>
      <c r="P2676" t="s">
        <v>70</v>
      </c>
      <c r="Q2676">
        <v>14</v>
      </c>
      <c r="R2676" t="s">
        <v>213</v>
      </c>
      <c r="S2676" s="2" t="s">
        <v>27</v>
      </c>
      <c r="T2676">
        <v>1</v>
      </c>
      <c r="U2676" t="s">
        <v>28</v>
      </c>
      <c r="V2676" t="s">
        <v>28</v>
      </c>
      <c r="W2676">
        <v>22</v>
      </c>
      <c r="X2676">
        <v>3.9</v>
      </c>
      <c r="Y2676" t="s">
        <v>28</v>
      </c>
      <c r="AA2676" t="s">
        <v>28</v>
      </c>
      <c r="AB2676" t="s">
        <v>28</v>
      </c>
    </row>
    <row r="2677" spans="1:28" x14ac:dyDescent="0.2">
      <c r="A2677" t="s">
        <v>378</v>
      </c>
      <c r="B2677">
        <v>2003</v>
      </c>
      <c r="C2677" t="s">
        <v>807</v>
      </c>
      <c r="D2677" t="s">
        <v>825</v>
      </c>
      <c r="E2677" t="s">
        <v>35</v>
      </c>
      <c r="F2677" t="s">
        <v>375</v>
      </c>
      <c r="G2677">
        <v>34.246454999999997</v>
      </c>
      <c r="H2677">
        <v>136.847566</v>
      </c>
      <c r="I2677" t="s">
        <v>772</v>
      </c>
      <c r="J2677" s="2" t="s">
        <v>14</v>
      </c>
      <c r="K2677" t="s">
        <v>41</v>
      </c>
      <c r="L2677" t="s">
        <v>3</v>
      </c>
      <c r="M2677" t="s">
        <v>727</v>
      </c>
      <c r="N2677" t="s">
        <v>85</v>
      </c>
      <c r="O2677" t="s">
        <v>142</v>
      </c>
      <c r="P2677" t="s">
        <v>70</v>
      </c>
      <c r="Q2677">
        <v>14</v>
      </c>
      <c r="R2677" t="s">
        <v>213</v>
      </c>
      <c r="S2677" s="2" t="s">
        <v>13</v>
      </c>
      <c r="T2677">
        <v>1</v>
      </c>
      <c r="U2677" t="s">
        <v>28</v>
      </c>
      <c r="V2677" t="s">
        <v>28</v>
      </c>
      <c r="W2677">
        <v>23</v>
      </c>
      <c r="X2677">
        <v>3.04</v>
      </c>
      <c r="Y2677" t="s">
        <v>28</v>
      </c>
      <c r="AA2677" t="s">
        <v>28</v>
      </c>
      <c r="AB2677" t="s">
        <v>28</v>
      </c>
    </row>
    <row r="2678" spans="1:28" x14ac:dyDescent="0.2">
      <c r="A2678" t="s">
        <v>378</v>
      </c>
      <c r="B2678">
        <v>2003</v>
      </c>
      <c r="C2678" t="s">
        <v>807</v>
      </c>
      <c r="D2678" t="s">
        <v>825</v>
      </c>
      <c r="E2678" t="s">
        <v>35</v>
      </c>
      <c r="F2678" t="s">
        <v>376</v>
      </c>
      <c r="G2678">
        <v>34.342719000000002</v>
      </c>
      <c r="H2678">
        <v>136.701066</v>
      </c>
      <c r="I2678" t="s">
        <v>772</v>
      </c>
      <c r="J2678" s="2" t="s">
        <v>7</v>
      </c>
      <c r="K2678" t="s">
        <v>41</v>
      </c>
      <c r="L2678" t="s">
        <v>3</v>
      </c>
      <c r="M2678" t="s">
        <v>727</v>
      </c>
      <c r="N2678" t="s">
        <v>85</v>
      </c>
      <c r="O2678" t="s">
        <v>142</v>
      </c>
      <c r="P2678" t="s">
        <v>70</v>
      </c>
      <c r="Q2678">
        <v>14</v>
      </c>
      <c r="R2678" t="s">
        <v>213</v>
      </c>
      <c r="S2678" s="2" t="s">
        <v>7</v>
      </c>
      <c r="T2678">
        <v>1</v>
      </c>
      <c r="U2678" t="s">
        <v>28</v>
      </c>
      <c r="V2678" t="s">
        <v>28</v>
      </c>
      <c r="W2678">
        <v>20</v>
      </c>
      <c r="X2678">
        <v>62.06</v>
      </c>
      <c r="Y2678" t="s">
        <v>28</v>
      </c>
      <c r="AA2678" t="s">
        <v>28</v>
      </c>
      <c r="AB2678" t="s">
        <v>28</v>
      </c>
    </row>
    <row r="2679" spans="1:28" x14ac:dyDescent="0.2">
      <c r="A2679" t="s">
        <v>378</v>
      </c>
      <c r="B2679">
        <v>2003</v>
      </c>
      <c r="C2679" t="s">
        <v>807</v>
      </c>
      <c r="D2679" t="s">
        <v>825</v>
      </c>
      <c r="E2679" t="s">
        <v>35</v>
      </c>
      <c r="F2679" t="s">
        <v>376</v>
      </c>
      <c r="G2679">
        <v>34.342719000000002</v>
      </c>
      <c r="H2679">
        <v>136.701066</v>
      </c>
      <c r="I2679" t="s">
        <v>772</v>
      </c>
      <c r="J2679" s="2" t="s">
        <v>14</v>
      </c>
      <c r="K2679" t="s">
        <v>41</v>
      </c>
      <c r="L2679" t="s">
        <v>3</v>
      </c>
      <c r="M2679" t="s">
        <v>727</v>
      </c>
      <c r="N2679" t="s">
        <v>85</v>
      </c>
      <c r="O2679" t="s">
        <v>142</v>
      </c>
      <c r="P2679" t="s">
        <v>70</v>
      </c>
      <c r="Q2679">
        <v>14</v>
      </c>
      <c r="R2679" t="s">
        <v>213</v>
      </c>
      <c r="S2679" s="2" t="s">
        <v>9</v>
      </c>
      <c r="T2679">
        <v>1</v>
      </c>
      <c r="U2679" t="s">
        <v>28</v>
      </c>
      <c r="V2679" t="s">
        <v>28</v>
      </c>
      <c r="W2679">
        <v>21</v>
      </c>
      <c r="X2679">
        <v>86.84</v>
      </c>
      <c r="Y2679" t="s">
        <v>28</v>
      </c>
      <c r="AA2679" t="s">
        <v>28</v>
      </c>
      <c r="AB2679" t="s">
        <v>28</v>
      </c>
    </row>
    <row r="2680" spans="1:28" x14ac:dyDescent="0.2">
      <c r="A2680" t="s">
        <v>378</v>
      </c>
      <c r="B2680">
        <v>2003</v>
      </c>
      <c r="C2680" t="s">
        <v>807</v>
      </c>
      <c r="D2680" t="s">
        <v>825</v>
      </c>
      <c r="E2680" t="s">
        <v>35</v>
      </c>
      <c r="F2680" t="s">
        <v>376</v>
      </c>
      <c r="G2680">
        <v>34.342719000000002</v>
      </c>
      <c r="H2680">
        <v>136.701066</v>
      </c>
      <c r="I2680" t="s">
        <v>772</v>
      </c>
      <c r="J2680" s="2" t="s">
        <v>14</v>
      </c>
      <c r="K2680" t="s">
        <v>41</v>
      </c>
      <c r="L2680" t="s">
        <v>3</v>
      </c>
      <c r="M2680" t="s">
        <v>727</v>
      </c>
      <c r="N2680" t="s">
        <v>85</v>
      </c>
      <c r="O2680" t="s">
        <v>142</v>
      </c>
      <c r="P2680" t="s">
        <v>70</v>
      </c>
      <c r="Q2680">
        <v>14</v>
      </c>
      <c r="R2680" t="s">
        <v>213</v>
      </c>
      <c r="S2680" s="2" t="s">
        <v>27</v>
      </c>
      <c r="T2680">
        <v>1</v>
      </c>
      <c r="U2680" t="s">
        <v>28</v>
      </c>
      <c r="V2680" t="s">
        <v>28</v>
      </c>
      <c r="W2680">
        <v>22</v>
      </c>
      <c r="X2680">
        <v>33.99</v>
      </c>
      <c r="Y2680" t="s">
        <v>28</v>
      </c>
      <c r="AA2680" t="s">
        <v>28</v>
      </c>
      <c r="AB2680" t="s">
        <v>28</v>
      </c>
    </row>
    <row r="2681" spans="1:28" x14ac:dyDescent="0.2">
      <c r="A2681" t="s">
        <v>378</v>
      </c>
      <c r="B2681">
        <v>2003</v>
      </c>
      <c r="C2681" t="s">
        <v>807</v>
      </c>
      <c r="D2681" t="s">
        <v>825</v>
      </c>
      <c r="E2681" t="s">
        <v>35</v>
      </c>
      <c r="F2681" t="s">
        <v>376</v>
      </c>
      <c r="G2681">
        <v>34.342719000000002</v>
      </c>
      <c r="H2681">
        <v>136.701066</v>
      </c>
      <c r="I2681" t="s">
        <v>772</v>
      </c>
      <c r="J2681" s="2" t="s">
        <v>14</v>
      </c>
      <c r="K2681" t="s">
        <v>41</v>
      </c>
      <c r="L2681" t="s">
        <v>3</v>
      </c>
      <c r="M2681" t="s">
        <v>727</v>
      </c>
      <c r="N2681" t="s">
        <v>85</v>
      </c>
      <c r="O2681" t="s">
        <v>142</v>
      </c>
      <c r="P2681" t="s">
        <v>70</v>
      </c>
      <c r="Q2681">
        <v>14</v>
      </c>
      <c r="R2681" t="s">
        <v>213</v>
      </c>
      <c r="S2681" s="2" t="s">
        <v>13</v>
      </c>
      <c r="T2681">
        <v>1</v>
      </c>
      <c r="U2681" t="s">
        <v>28</v>
      </c>
      <c r="V2681" t="s">
        <v>28</v>
      </c>
      <c r="W2681">
        <v>23</v>
      </c>
      <c r="X2681">
        <v>16.010000000000002</v>
      </c>
      <c r="Y2681" t="s">
        <v>28</v>
      </c>
      <c r="AA2681" t="s">
        <v>28</v>
      </c>
      <c r="AB2681" t="s">
        <v>28</v>
      </c>
    </row>
    <row r="2682" spans="1:28" x14ac:dyDescent="0.2">
      <c r="A2682" t="s">
        <v>378</v>
      </c>
      <c r="B2682">
        <v>2003</v>
      </c>
      <c r="C2682" t="s">
        <v>807</v>
      </c>
      <c r="D2682" t="s">
        <v>825</v>
      </c>
      <c r="E2682" t="s">
        <v>35</v>
      </c>
      <c r="F2682" t="s">
        <v>376</v>
      </c>
      <c r="G2682">
        <v>34.342719000000002</v>
      </c>
      <c r="H2682">
        <v>136.701066</v>
      </c>
      <c r="I2682" t="s">
        <v>772</v>
      </c>
      <c r="J2682" s="2" t="s">
        <v>14</v>
      </c>
      <c r="K2682" t="s">
        <v>41</v>
      </c>
      <c r="L2682" t="s">
        <v>3</v>
      </c>
      <c r="M2682" t="s">
        <v>727</v>
      </c>
      <c r="N2682" t="s">
        <v>85</v>
      </c>
      <c r="O2682" t="s">
        <v>142</v>
      </c>
      <c r="P2682" t="s">
        <v>70</v>
      </c>
      <c r="Q2682">
        <v>14</v>
      </c>
      <c r="R2682" t="s">
        <v>213</v>
      </c>
      <c r="S2682" s="2" t="s">
        <v>15</v>
      </c>
      <c r="T2682">
        <v>1</v>
      </c>
      <c r="U2682" t="s">
        <v>28</v>
      </c>
      <c r="V2682" t="s">
        <v>28</v>
      </c>
      <c r="W2682">
        <v>24</v>
      </c>
      <c r="X2682">
        <v>5.92</v>
      </c>
      <c r="Y2682" t="s">
        <v>28</v>
      </c>
      <c r="AA2682" t="s">
        <v>28</v>
      </c>
      <c r="AB2682" t="s">
        <v>28</v>
      </c>
    </row>
    <row r="2683" spans="1:28" x14ac:dyDescent="0.2">
      <c r="A2683" t="s">
        <v>378</v>
      </c>
      <c r="B2683">
        <v>2003</v>
      </c>
      <c r="C2683" t="s">
        <v>807</v>
      </c>
      <c r="D2683" t="s">
        <v>825</v>
      </c>
      <c r="E2683" t="s">
        <v>35</v>
      </c>
      <c r="F2683" t="s">
        <v>376</v>
      </c>
      <c r="G2683">
        <v>34.342719000000002</v>
      </c>
      <c r="H2683">
        <v>136.701066</v>
      </c>
      <c r="I2683" t="s">
        <v>772</v>
      </c>
      <c r="J2683" s="2" t="s">
        <v>14</v>
      </c>
      <c r="K2683" t="s">
        <v>41</v>
      </c>
      <c r="L2683" t="s">
        <v>3</v>
      </c>
      <c r="M2683" t="s">
        <v>727</v>
      </c>
      <c r="N2683" t="s">
        <v>85</v>
      </c>
      <c r="O2683" t="s">
        <v>142</v>
      </c>
      <c r="P2683" t="s">
        <v>70</v>
      </c>
      <c r="Q2683">
        <v>14</v>
      </c>
      <c r="R2683" t="s">
        <v>213</v>
      </c>
      <c r="S2683" s="2" t="s">
        <v>37</v>
      </c>
      <c r="T2683">
        <v>1</v>
      </c>
      <c r="U2683" t="s">
        <v>28</v>
      </c>
      <c r="V2683" t="s">
        <v>28</v>
      </c>
      <c r="W2683">
        <v>25</v>
      </c>
      <c r="X2683">
        <v>1.97</v>
      </c>
      <c r="Y2683" t="s">
        <v>28</v>
      </c>
      <c r="AA2683" t="s">
        <v>28</v>
      </c>
      <c r="AB2683" t="s">
        <v>28</v>
      </c>
    </row>
    <row r="2684" spans="1:28" x14ac:dyDescent="0.2">
      <c r="A2684" t="s">
        <v>379</v>
      </c>
      <c r="B2684">
        <v>1998</v>
      </c>
      <c r="C2684" t="s">
        <v>811</v>
      </c>
      <c r="D2684" t="s">
        <v>818</v>
      </c>
      <c r="E2684" t="s">
        <v>167</v>
      </c>
      <c r="F2684" t="s">
        <v>380</v>
      </c>
      <c r="G2684">
        <v>-29.943773</v>
      </c>
      <c r="H2684">
        <v>-71.321009000000004</v>
      </c>
      <c r="J2684" s="2" t="s">
        <v>7</v>
      </c>
      <c r="K2684" t="s">
        <v>92</v>
      </c>
      <c r="L2684" t="s">
        <v>300</v>
      </c>
      <c r="M2684" t="s">
        <v>727</v>
      </c>
      <c r="N2684" t="s">
        <v>85</v>
      </c>
      <c r="O2684" s="6" t="s">
        <v>81</v>
      </c>
      <c r="P2684" t="s">
        <v>381</v>
      </c>
      <c r="Q2684" t="s">
        <v>28</v>
      </c>
      <c r="R2684" t="s">
        <v>213</v>
      </c>
      <c r="S2684" s="2" t="s">
        <v>7</v>
      </c>
      <c r="T2684">
        <v>20</v>
      </c>
      <c r="U2684" t="s">
        <v>28</v>
      </c>
      <c r="V2684" t="s">
        <v>28</v>
      </c>
      <c r="W2684">
        <v>15</v>
      </c>
      <c r="X2684">
        <v>487</v>
      </c>
      <c r="Y2684" s="6">
        <f>Z2684*SQRT(T2684)</f>
        <v>245.96747752497689</v>
      </c>
      <c r="Z2684">
        <v>55</v>
      </c>
      <c r="AA2684" s="6"/>
      <c r="AB2684" s="6"/>
    </row>
    <row r="2685" spans="1:28" x14ac:dyDescent="0.2">
      <c r="A2685" t="s">
        <v>379</v>
      </c>
      <c r="B2685">
        <v>1998</v>
      </c>
      <c r="C2685" t="s">
        <v>811</v>
      </c>
      <c r="D2685" t="s">
        <v>818</v>
      </c>
      <c r="E2685" t="s">
        <v>167</v>
      </c>
      <c r="F2685" t="s">
        <v>380</v>
      </c>
      <c r="G2685">
        <v>-29.943773</v>
      </c>
      <c r="H2685">
        <v>-71.321009000000004</v>
      </c>
      <c r="J2685" s="2" t="s">
        <v>14</v>
      </c>
      <c r="K2685" t="s">
        <v>92</v>
      </c>
      <c r="L2685" t="s">
        <v>300</v>
      </c>
      <c r="M2685" t="s">
        <v>727</v>
      </c>
      <c r="N2685" t="s">
        <v>85</v>
      </c>
      <c r="O2685" s="6" t="s">
        <v>81</v>
      </c>
      <c r="P2685" t="s">
        <v>381</v>
      </c>
      <c r="Q2685" t="s">
        <v>28</v>
      </c>
      <c r="R2685" t="s">
        <v>213</v>
      </c>
      <c r="S2685" s="2" t="s">
        <v>9</v>
      </c>
      <c r="T2685">
        <v>20</v>
      </c>
      <c r="U2685" t="s">
        <v>28</v>
      </c>
      <c r="V2685" t="s">
        <v>28</v>
      </c>
      <c r="W2685">
        <v>25</v>
      </c>
      <c r="X2685">
        <v>106</v>
      </c>
      <c r="Y2685" s="6">
        <f>Z2685*SQRT(T2685)</f>
        <v>62.609903369994115</v>
      </c>
      <c r="Z2685">
        <v>14</v>
      </c>
      <c r="AA2685" s="6"/>
      <c r="AB2685" s="6"/>
    </row>
    <row r="2686" spans="1:28" x14ac:dyDescent="0.2">
      <c r="A2686" t="s">
        <v>379</v>
      </c>
      <c r="B2686">
        <v>1998</v>
      </c>
      <c r="C2686" t="s">
        <v>811</v>
      </c>
      <c r="D2686" t="s">
        <v>818</v>
      </c>
      <c r="E2686" t="s">
        <v>372</v>
      </c>
      <c r="F2686" t="s">
        <v>380</v>
      </c>
      <c r="G2686">
        <v>-29.943773</v>
      </c>
      <c r="H2686">
        <v>-71.321009000000004</v>
      </c>
      <c r="J2686" s="2" t="s">
        <v>7</v>
      </c>
      <c r="K2686" t="s">
        <v>92</v>
      </c>
      <c r="L2686" t="s">
        <v>300</v>
      </c>
      <c r="M2686" t="s">
        <v>727</v>
      </c>
      <c r="N2686" t="s">
        <v>85</v>
      </c>
      <c r="O2686" s="6" t="s">
        <v>81</v>
      </c>
      <c r="P2686" t="s">
        <v>381</v>
      </c>
      <c r="Q2686" t="s">
        <v>28</v>
      </c>
      <c r="R2686" t="s">
        <v>213</v>
      </c>
      <c r="S2686" s="2" t="s">
        <v>7</v>
      </c>
      <c r="T2686">
        <v>20</v>
      </c>
      <c r="U2686" t="s">
        <v>28</v>
      </c>
      <c r="V2686" t="s">
        <v>28</v>
      </c>
      <c r="W2686">
        <v>15</v>
      </c>
      <c r="X2686">
        <v>69</v>
      </c>
      <c r="Y2686" s="6">
        <f>Z2686*SQRT(T2686)</f>
        <v>40.249223594996216</v>
      </c>
      <c r="Z2686">
        <v>9</v>
      </c>
      <c r="AA2686" s="6"/>
      <c r="AB2686" s="6"/>
    </row>
    <row r="2687" spans="1:28" x14ac:dyDescent="0.2">
      <c r="A2687" t="s">
        <v>379</v>
      </c>
      <c r="B2687">
        <v>1998</v>
      </c>
      <c r="C2687" t="s">
        <v>811</v>
      </c>
      <c r="D2687" t="s">
        <v>818</v>
      </c>
      <c r="E2687" t="s">
        <v>372</v>
      </c>
      <c r="F2687" t="s">
        <v>380</v>
      </c>
      <c r="G2687">
        <v>-29.943773</v>
      </c>
      <c r="H2687">
        <v>-71.321009000000004</v>
      </c>
      <c r="J2687" s="2" t="s">
        <v>14</v>
      </c>
      <c r="K2687" t="s">
        <v>92</v>
      </c>
      <c r="L2687" t="s">
        <v>300</v>
      </c>
      <c r="M2687" t="s">
        <v>727</v>
      </c>
      <c r="N2687" t="s">
        <v>85</v>
      </c>
      <c r="O2687" s="6" t="s">
        <v>81</v>
      </c>
      <c r="P2687" t="s">
        <v>381</v>
      </c>
      <c r="Q2687" t="s">
        <v>28</v>
      </c>
      <c r="R2687" t="s">
        <v>213</v>
      </c>
      <c r="S2687" s="2" t="s">
        <v>9</v>
      </c>
      <c r="T2687">
        <v>20</v>
      </c>
      <c r="U2687" t="s">
        <v>28</v>
      </c>
      <c r="V2687" t="s">
        <v>28</v>
      </c>
      <c r="W2687">
        <v>25</v>
      </c>
      <c r="X2687">
        <v>35</v>
      </c>
      <c r="Y2687" s="6">
        <f>Z2687*SQRT(T2687)</f>
        <v>17.888543819998318</v>
      </c>
      <c r="Z2687">
        <v>4</v>
      </c>
      <c r="AA2687" s="6"/>
      <c r="AB2687" s="6"/>
    </row>
    <row r="2688" spans="1:28" x14ac:dyDescent="0.2">
      <c r="A2688" t="s">
        <v>383</v>
      </c>
      <c r="B2688">
        <v>2013</v>
      </c>
      <c r="C2688" t="s">
        <v>807</v>
      </c>
      <c r="D2688" t="s">
        <v>825</v>
      </c>
      <c r="E2688" t="s">
        <v>35</v>
      </c>
      <c r="F2688" t="s">
        <v>384</v>
      </c>
      <c r="G2688">
        <v>39.083333000000003</v>
      </c>
      <c r="H2688">
        <v>142.85</v>
      </c>
      <c r="I2688" t="s">
        <v>761</v>
      </c>
      <c r="J2688" s="2" t="s">
        <v>7</v>
      </c>
      <c r="K2688" t="s">
        <v>385</v>
      </c>
      <c r="L2688" t="s">
        <v>143</v>
      </c>
      <c r="M2688" t="s">
        <v>26</v>
      </c>
      <c r="N2688" t="s">
        <v>85</v>
      </c>
      <c r="O2688" t="s">
        <v>839</v>
      </c>
      <c r="P2688" t="s">
        <v>72</v>
      </c>
      <c r="Q2688">
        <v>12</v>
      </c>
      <c r="R2688" t="s">
        <v>213</v>
      </c>
      <c r="S2688" s="2" t="s">
        <v>7</v>
      </c>
      <c r="T2688">
        <v>30</v>
      </c>
      <c r="U2688" t="s">
        <v>28</v>
      </c>
      <c r="V2688" t="s">
        <v>28</v>
      </c>
      <c r="W2688">
        <v>16</v>
      </c>
      <c r="X2688">
        <v>22.29</v>
      </c>
      <c r="Y2688" s="6">
        <f>27.68-X2688</f>
        <v>5.3900000000000006</v>
      </c>
      <c r="AA2688" s="6"/>
      <c r="AB2688" s="6"/>
    </row>
    <row r="2689" spans="1:28" x14ac:dyDescent="0.2">
      <c r="A2689" t="s">
        <v>383</v>
      </c>
      <c r="B2689">
        <v>2013</v>
      </c>
      <c r="C2689" t="s">
        <v>807</v>
      </c>
      <c r="D2689" t="s">
        <v>825</v>
      </c>
      <c r="E2689" t="s">
        <v>35</v>
      </c>
      <c r="F2689" t="s">
        <v>352</v>
      </c>
      <c r="G2689">
        <v>38.533332999999999</v>
      </c>
      <c r="H2689">
        <v>141.51666700000001</v>
      </c>
      <c r="I2689" t="s">
        <v>761</v>
      </c>
      <c r="J2689" s="2" t="s">
        <v>7</v>
      </c>
      <c r="K2689" t="s">
        <v>385</v>
      </c>
      <c r="L2689" t="s">
        <v>143</v>
      </c>
      <c r="M2689" t="s">
        <v>26</v>
      </c>
      <c r="N2689" t="s">
        <v>85</v>
      </c>
      <c r="O2689" t="s">
        <v>839</v>
      </c>
      <c r="P2689" t="s">
        <v>72</v>
      </c>
      <c r="Q2689">
        <v>12</v>
      </c>
      <c r="R2689" t="s">
        <v>213</v>
      </c>
      <c r="S2689" s="2" t="s">
        <v>7</v>
      </c>
      <c r="T2689">
        <v>30</v>
      </c>
      <c r="U2689" t="s">
        <v>28</v>
      </c>
      <c r="V2689" t="s">
        <v>28</v>
      </c>
      <c r="W2689">
        <v>16</v>
      </c>
      <c r="X2689">
        <v>23.23</v>
      </c>
      <c r="Y2689" s="6">
        <f>27.51-X2689</f>
        <v>4.2800000000000011</v>
      </c>
      <c r="AA2689" s="6"/>
      <c r="AB2689" s="6"/>
    </row>
    <row r="2690" spans="1:28" x14ac:dyDescent="0.2">
      <c r="A2690" t="s">
        <v>383</v>
      </c>
      <c r="B2690">
        <v>2013</v>
      </c>
      <c r="C2690" t="s">
        <v>807</v>
      </c>
      <c r="D2690" t="s">
        <v>825</v>
      </c>
      <c r="E2690" t="s">
        <v>35</v>
      </c>
      <c r="F2690" t="s">
        <v>353</v>
      </c>
      <c r="G2690">
        <v>34.216667000000001</v>
      </c>
      <c r="H2690">
        <v>135.61666700000001</v>
      </c>
      <c r="I2690" t="s">
        <v>761</v>
      </c>
      <c r="J2690" s="2" t="s">
        <v>7</v>
      </c>
      <c r="K2690" t="s">
        <v>385</v>
      </c>
      <c r="L2690" t="s">
        <v>143</v>
      </c>
      <c r="M2690" t="s">
        <v>26</v>
      </c>
      <c r="N2690" t="s">
        <v>85</v>
      </c>
      <c r="O2690" t="s">
        <v>839</v>
      </c>
      <c r="P2690" t="s">
        <v>72</v>
      </c>
      <c r="Q2690">
        <v>12</v>
      </c>
      <c r="R2690" t="s">
        <v>213</v>
      </c>
      <c r="S2690" s="2" t="s">
        <v>7</v>
      </c>
      <c r="T2690">
        <v>30</v>
      </c>
      <c r="U2690" t="s">
        <v>28</v>
      </c>
      <c r="V2690" t="s">
        <v>28</v>
      </c>
      <c r="W2690">
        <v>16</v>
      </c>
      <c r="X2690">
        <v>21.69</v>
      </c>
      <c r="Y2690">
        <f>25.12-X2690</f>
        <v>3.4299999999999997</v>
      </c>
      <c r="AA2690" s="6"/>
      <c r="AB2690" s="6"/>
    </row>
    <row r="2691" spans="1:28" x14ac:dyDescent="0.2">
      <c r="A2691" t="s">
        <v>383</v>
      </c>
      <c r="B2691">
        <v>2013</v>
      </c>
      <c r="C2691" t="s">
        <v>807</v>
      </c>
      <c r="D2691" t="s">
        <v>825</v>
      </c>
      <c r="E2691" t="s">
        <v>35</v>
      </c>
      <c r="F2691" t="s">
        <v>384</v>
      </c>
      <c r="G2691">
        <v>39.083333000000003</v>
      </c>
      <c r="H2691">
        <v>142.85</v>
      </c>
      <c r="I2691" t="s">
        <v>761</v>
      </c>
      <c r="J2691" s="2" t="s">
        <v>14</v>
      </c>
      <c r="K2691" t="s">
        <v>385</v>
      </c>
      <c r="L2691" t="s">
        <v>143</v>
      </c>
      <c r="M2691" t="s">
        <v>26</v>
      </c>
      <c r="N2691" t="s">
        <v>85</v>
      </c>
      <c r="O2691" t="s">
        <v>839</v>
      </c>
      <c r="P2691" t="s">
        <v>72</v>
      </c>
      <c r="Q2691">
        <v>12</v>
      </c>
      <c r="R2691" t="s">
        <v>213</v>
      </c>
      <c r="S2691" s="2" t="s">
        <v>9</v>
      </c>
      <c r="T2691">
        <v>30</v>
      </c>
      <c r="U2691" t="s">
        <v>28</v>
      </c>
      <c r="V2691" t="s">
        <v>28</v>
      </c>
      <c r="W2691">
        <v>18</v>
      </c>
      <c r="X2691">
        <v>17.84</v>
      </c>
      <c r="Y2691">
        <f>19.9-X2691</f>
        <v>2.0599999999999987</v>
      </c>
      <c r="AA2691" s="6"/>
      <c r="AB2691" s="6"/>
    </row>
    <row r="2692" spans="1:28" x14ac:dyDescent="0.2">
      <c r="A2692" t="s">
        <v>383</v>
      </c>
      <c r="B2692">
        <v>2013</v>
      </c>
      <c r="C2692" t="s">
        <v>807</v>
      </c>
      <c r="D2692" t="s">
        <v>825</v>
      </c>
      <c r="E2692" t="s">
        <v>35</v>
      </c>
      <c r="F2692" t="s">
        <v>352</v>
      </c>
      <c r="G2692">
        <v>38.533332999999999</v>
      </c>
      <c r="H2692">
        <v>141.51666700000001</v>
      </c>
      <c r="I2692" t="s">
        <v>761</v>
      </c>
      <c r="J2692" s="2" t="s">
        <v>14</v>
      </c>
      <c r="K2692" t="s">
        <v>385</v>
      </c>
      <c r="L2692" t="s">
        <v>143</v>
      </c>
      <c r="M2692" t="s">
        <v>26</v>
      </c>
      <c r="N2692" t="s">
        <v>85</v>
      </c>
      <c r="O2692" t="s">
        <v>839</v>
      </c>
      <c r="P2692" t="s">
        <v>72</v>
      </c>
      <c r="Q2692">
        <v>12</v>
      </c>
      <c r="R2692" t="s">
        <v>213</v>
      </c>
      <c r="S2692" s="2" t="s">
        <v>9</v>
      </c>
      <c r="T2692">
        <v>30</v>
      </c>
      <c r="U2692" t="s">
        <v>28</v>
      </c>
      <c r="V2692" t="s">
        <v>28</v>
      </c>
      <c r="W2692">
        <v>18</v>
      </c>
      <c r="X2692">
        <v>18.739999999999998</v>
      </c>
      <c r="Y2692">
        <f>22.72-X2692</f>
        <v>3.9800000000000004</v>
      </c>
      <c r="AA2692" s="6"/>
      <c r="AB2692" s="6"/>
    </row>
    <row r="2693" spans="1:28" x14ac:dyDescent="0.2">
      <c r="A2693" t="s">
        <v>383</v>
      </c>
      <c r="B2693">
        <v>2013</v>
      </c>
      <c r="C2693" t="s">
        <v>807</v>
      </c>
      <c r="D2693" t="s">
        <v>825</v>
      </c>
      <c r="E2693" t="s">
        <v>35</v>
      </c>
      <c r="F2693" t="s">
        <v>353</v>
      </c>
      <c r="G2693">
        <v>34.216667000000001</v>
      </c>
      <c r="H2693">
        <v>135.61666700000001</v>
      </c>
      <c r="I2693" t="s">
        <v>761</v>
      </c>
      <c r="J2693" s="2" t="s">
        <v>14</v>
      </c>
      <c r="K2693" t="s">
        <v>385</v>
      </c>
      <c r="L2693" t="s">
        <v>143</v>
      </c>
      <c r="M2693" t="s">
        <v>26</v>
      </c>
      <c r="N2693" t="s">
        <v>85</v>
      </c>
      <c r="O2693" t="s">
        <v>839</v>
      </c>
      <c r="P2693" t="s">
        <v>72</v>
      </c>
      <c r="Q2693">
        <v>12</v>
      </c>
      <c r="R2693" t="s">
        <v>213</v>
      </c>
      <c r="S2693" s="2" t="s">
        <v>9</v>
      </c>
      <c r="T2693">
        <v>30</v>
      </c>
      <c r="U2693" t="s">
        <v>28</v>
      </c>
      <c r="V2693" t="s">
        <v>28</v>
      </c>
      <c r="W2693">
        <v>18</v>
      </c>
      <c r="X2693">
        <v>26.49</v>
      </c>
      <c r="Y2693">
        <f>29.57-X2693</f>
        <v>3.0800000000000018</v>
      </c>
      <c r="AA2693" s="6"/>
      <c r="AB2693" s="6"/>
    </row>
    <row r="2694" spans="1:28" x14ac:dyDescent="0.2">
      <c r="A2694" t="s">
        <v>383</v>
      </c>
      <c r="B2694">
        <v>2013</v>
      </c>
      <c r="C2694" t="s">
        <v>807</v>
      </c>
      <c r="D2694" t="s">
        <v>825</v>
      </c>
      <c r="E2694" t="s">
        <v>35</v>
      </c>
      <c r="F2694" t="s">
        <v>384</v>
      </c>
      <c r="G2694">
        <v>39.083333000000003</v>
      </c>
      <c r="H2694">
        <v>142.85</v>
      </c>
      <c r="I2694" t="s">
        <v>761</v>
      </c>
      <c r="J2694" s="2" t="s">
        <v>14</v>
      </c>
      <c r="K2694" t="s">
        <v>385</v>
      </c>
      <c r="L2694" t="s">
        <v>143</v>
      </c>
      <c r="M2694" t="s">
        <v>26</v>
      </c>
      <c r="N2694" t="s">
        <v>85</v>
      </c>
      <c r="O2694" t="s">
        <v>839</v>
      </c>
      <c r="P2694" t="s">
        <v>72</v>
      </c>
      <c r="Q2694">
        <v>12</v>
      </c>
      <c r="R2694" t="s">
        <v>213</v>
      </c>
      <c r="S2694" s="2" t="s">
        <v>27</v>
      </c>
      <c r="T2694">
        <v>30</v>
      </c>
      <c r="U2694" t="s">
        <v>28</v>
      </c>
      <c r="V2694" t="s">
        <v>28</v>
      </c>
      <c r="W2694">
        <v>20</v>
      </c>
      <c r="X2694">
        <v>12.45</v>
      </c>
      <c r="Y2694">
        <f>14.03-X2694</f>
        <v>1.58</v>
      </c>
      <c r="AA2694" s="6"/>
      <c r="AB2694" s="6"/>
    </row>
    <row r="2695" spans="1:28" x14ac:dyDescent="0.2">
      <c r="A2695" t="s">
        <v>383</v>
      </c>
      <c r="B2695">
        <v>2013</v>
      </c>
      <c r="C2695" t="s">
        <v>807</v>
      </c>
      <c r="D2695" t="s">
        <v>825</v>
      </c>
      <c r="E2695" t="s">
        <v>35</v>
      </c>
      <c r="F2695" t="s">
        <v>352</v>
      </c>
      <c r="G2695">
        <v>38.533332999999999</v>
      </c>
      <c r="H2695">
        <v>141.51666700000001</v>
      </c>
      <c r="I2695" t="s">
        <v>761</v>
      </c>
      <c r="J2695" s="2" t="s">
        <v>14</v>
      </c>
      <c r="K2695" t="s">
        <v>385</v>
      </c>
      <c r="L2695" t="s">
        <v>143</v>
      </c>
      <c r="M2695" t="s">
        <v>26</v>
      </c>
      <c r="N2695" t="s">
        <v>85</v>
      </c>
      <c r="O2695" t="s">
        <v>839</v>
      </c>
      <c r="P2695" t="s">
        <v>72</v>
      </c>
      <c r="Q2695">
        <v>12</v>
      </c>
      <c r="R2695" t="s">
        <v>213</v>
      </c>
      <c r="S2695" s="2" t="s">
        <v>27</v>
      </c>
      <c r="T2695">
        <v>30</v>
      </c>
      <c r="U2695" t="s">
        <v>28</v>
      </c>
      <c r="V2695" t="s">
        <v>28</v>
      </c>
      <c r="W2695">
        <v>20</v>
      </c>
      <c r="X2695">
        <v>12.37</v>
      </c>
      <c r="Y2695">
        <f>17.63-X2695</f>
        <v>5.26</v>
      </c>
      <c r="AA2695" s="6"/>
      <c r="AB2695" s="6"/>
    </row>
    <row r="2696" spans="1:28" x14ac:dyDescent="0.2">
      <c r="A2696" t="s">
        <v>383</v>
      </c>
      <c r="B2696">
        <v>2013</v>
      </c>
      <c r="C2696" t="s">
        <v>807</v>
      </c>
      <c r="D2696" t="s">
        <v>825</v>
      </c>
      <c r="E2696" t="s">
        <v>35</v>
      </c>
      <c r="F2696" t="s">
        <v>353</v>
      </c>
      <c r="G2696">
        <v>34.216667000000001</v>
      </c>
      <c r="H2696">
        <v>135.61666700000001</v>
      </c>
      <c r="I2696" t="s">
        <v>761</v>
      </c>
      <c r="J2696" s="2" t="s">
        <v>14</v>
      </c>
      <c r="K2696" t="s">
        <v>385</v>
      </c>
      <c r="L2696" t="s">
        <v>143</v>
      </c>
      <c r="M2696" t="s">
        <v>26</v>
      </c>
      <c r="N2696" t="s">
        <v>85</v>
      </c>
      <c r="O2696" t="s">
        <v>839</v>
      </c>
      <c r="P2696" t="s">
        <v>72</v>
      </c>
      <c r="Q2696">
        <v>12</v>
      </c>
      <c r="R2696" t="s">
        <v>213</v>
      </c>
      <c r="S2696" s="2" t="s">
        <v>27</v>
      </c>
      <c r="T2696">
        <v>30</v>
      </c>
      <c r="U2696" t="s">
        <v>28</v>
      </c>
      <c r="V2696" t="s">
        <v>28</v>
      </c>
      <c r="W2696">
        <v>20</v>
      </c>
      <c r="X2696">
        <v>17.760000000000002</v>
      </c>
      <c r="Y2696">
        <f>20.07-X2696</f>
        <v>2.3099999999999987</v>
      </c>
      <c r="AA2696" s="6"/>
      <c r="AB2696" s="6"/>
    </row>
    <row r="2697" spans="1:28" x14ac:dyDescent="0.2">
      <c r="A2697" t="s">
        <v>383</v>
      </c>
      <c r="B2697">
        <v>2013</v>
      </c>
      <c r="C2697" t="s">
        <v>807</v>
      </c>
      <c r="D2697" t="s">
        <v>825</v>
      </c>
      <c r="E2697" t="s">
        <v>35</v>
      </c>
      <c r="F2697" t="s">
        <v>384</v>
      </c>
      <c r="G2697">
        <v>39.083333000000003</v>
      </c>
      <c r="H2697">
        <v>142.85</v>
      </c>
      <c r="I2697" t="s">
        <v>761</v>
      </c>
      <c r="J2697" s="2" t="s">
        <v>14</v>
      </c>
      <c r="K2697" t="s">
        <v>385</v>
      </c>
      <c r="L2697" t="s">
        <v>143</v>
      </c>
      <c r="M2697" t="s">
        <v>26</v>
      </c>
      <c r="N2697" t="s">
        <v>85</v>
      </c>
      <c r="O2697" t="s">
        <v>839</v>
      </c>
      <c r="P2697" t="s">
        <v>72</v>
      </c>
      <c r="Q2697">
        <v>12</v>
      </c>
      <c r="R2697" t="s">
        <v>213</v>
      </c>
      <c r="S2697" s="2" t="s">
        <v>13</v>
      </c>
      <c r="T2697">
        <v>30</v>
      </c>
      <c r="U2697" t="s">
        <v>28</v>
      </c>
      <c r="V2697" t="s">
        <v>28</v>
      </c>
      <c r="W2697">
        <v>22</v>
      </c>
      <c r="X2697">
        <v>6.72</v>
      </c>
      <c r="Y2697">
        <f>6.93-X2697</f>
        <v>0.20999999999999996</v>
      </c>
      <c r="AA2697" s="6"/>
      <c r="AB2697" s="6"/>
    </row>
    <row r="2698" spans="1:28" x14ac:dyDescent="0.2">
      <c r="A2698" t="s">
        <v>383</v>
      </c>
      <c r="B2698">
        <v>2013</v>
      </c>
      <c r="C2698" t="s">
        <v>807</v>
      </c>
      <c r="D2698" t="s">
        <v>825</v>
      </c>
      <c r="E2698" t="s">
        <v>35</v>
      </c>
      <c r="F2698" t="s">
        <v>352</v>
      </c>
      <c r="G2698">
        <v>38.533332999999999</v>
      </c>
      <c r="H2698">
        <v>141.51666700000001</v>
      </c>
      <c r="I2698" t="s">
        <v>761</v>
      </c>
      <c r="J2698" s="2" t="s">
        <v>14</v>
      </c>
      <c r="K2698" t="s">
        <v>385</v>
      </c>
      <c r="L2698" t="s">
        <v>143</v>
      </c>
      <c r="M2698" t="s">
        <v>26</v>
      </c>
      <c r="N2698" t="s">
        <v>85</v>
      </c>
      <c r="O2698" t="s">
        <v>839</v>
      </c>
      <c r="P2698" t="s">
        <v>72</v>
      </c>
      <c r="Q2698">
        <v>12</v>
      </c>
      <c r="R2698" t="s">
        <v>213</v>
      </c>
      <c r="S2698" s="2" t="s">
        <v>13</v>
      </c>
      <c r="T2698">
        <v>30</v>
      </c>
      <c r="U2698" t="s">
        <v>28</v>
      </c>
      <c r="V2698" t="s">
        <v>28</v>
      </c>
      <c r="W2698">
        <v>22</v>
      </c>
      <c r="X2698">
        <v>7.27</v>
      </c>
      <c r="Y2698">
        <f>9.16-X2698</f>
        <v>1.8900000000000006</v>
      </c>
      <c r="AA2698" s="6"/>
      <c r="AB2698" s="6"/>
    </row>
    <row r="2699" spans="1:28" x14ac:dyDescent="0.2">
      <c r="A2699" t="s">
        <v>383</v>
      </c>
      <c r="B2699">
        <v>2013</v>
      </c>
      <c r="C2699" t="s">
        <v>807</v>
      </c>
      <c r="D2699" t="s">
        <v>825</v>
      </c>
      <c r="E2699" t="s">
        <v>35</v>
      </c>
      <c r="F2699" t="s">
        <v>353</v>
      </c>
      <c r="G2699">
        <v>34.216667000000001</v>
      </c>
      <c r="H2699">
        <v>135.61666700000001</v>
      </c>
      <c r="I2699" t="s">
        <v>761</v>
      </c>
      <c r="J2699" s="2" t="s">
        <v>14</v>
      </c>
      <c r="K2699" t="s">
        <v>385</v>
      </c>
      <c r="L2699" t="s">
        <v>143</v>
      </c>
      <c r="M2699" t="s">
        <v>26</v>
      </c>
      <c r="N2699" t="s">
        <v>85</v>
      </c>
      <c r="O2699" t="s">
        <v>839</v>
      </c>
      <c r="P2699" t="s">
        <v>72</v>
      </c>
      <c r="Q2699">
        <v>12</v>
      </c>
      <c r="R2699" t="s">
        <v>213</v>
      </c>
      <c r="S2699" s="2" t="s">
        <v>13</v>
      </c>
      <c r="T2699">
        <v>30</v>
      </c>
      <c r="U2699" t="s">
        <v>28</v>
      </c>
      <c r="V2699" t="s">
        <v>28</v>
      </c>
      <c r="W2699">
        <v>22</v>
      </c>
      <c r="X2699">
        <v>13.99</v>
      </c>
      <c r="Y2699">
        <f>15.45-X2699</f>
        <v>1.4599999999999991</v>
      </c>
      <c r="AA2699" s="6"/>
      <c r="AB2699" s="6"/>
    </row>
    <row r="2700" spans="1:28" x14ac:dyDescent="0.2">
      <c r="A2700" t="s">
        <v>383</v>
      </c>
      <c r="B2700">
        <v>2013</v>
      </c>
      <c r="C2700" t="s">
        <v>807</v>
      </c>
      <c r="D2700" t="s">
        <v>825</v>
      </c>
      <c r="E2700" t="s">
        <v>35</v>
      </c>
      <c r="F2700" t="s">
        <v>384</v>
      </c>
      <c r="G2700">
        <v>39.083333000000003</v>
      </c>
      <c r="H2700">
        <v>142.85</v>
      </c>
      <c r="I2700" t="s">
        <v>761</v>
      </c>
      <c r="J2700" s="2" t="s">
        <v>14</v>
      </c>
      <c r="K2700" t="s">
        <v>385</v>
      </c>
      <c r="L2700" t="s">
        <v>143</v>
      </c>
      <c r="M2700" t="s">
        <v>26</v>
      </c>
      <c r="N2700" t="s">
        <v>85</v>
      </c>
      <c r="O2700" t="s">
        <v>839</v>
      </c>
      <c r="P2700" t="s">
        <v>72</v>
      </c>
      <c r="Q2700">
        <v>12</v>
      </c>
      <c r="R2700" t="s">
        <v>213</v>
      </c>
      <c r="S2700" s="2" t="s">
        <v>15</v>
      </c>
      <c r="T2700">
        <v>30</v>
      </c>
      <c r="U2700" t="s">
        <v>28</v>
      </c>
      <c r="V2700" t="s">
        <v>28</v>
      </c>
      <c r="W2700">
        <v>24</v>
      </c>
      <c r="X2700">
        <v>1.07</v>
      </c>
      <c r="Y2700">
        <f>1.07-X2700</f>
        <v>0</v>
      </c>
      <c r="AA2700" s="6"/>
      <c r="AB2700" s="6"/>
    </row>
    <row r="2701" spans="1:28" x14ac:dyDescent="0.2">
      <c r="A2701" t="s">
        <v>383</v>
      </c>
      <c r="B2701">
        <v>2013</v>
      </c>
      <c r="C2701" t="s">
        <v>807</v>
      </c>
      <c r="D2701" t="s">
        <v>825</v>
      </c>
      <c r="E2701" t="s">
        <v>35</v>
      </c>
      <c r="F2701" t="s">
        <v>352</v>
      </c>
      <c r="G2701">
        <v>38.533332999999999</v>
      </c>
      <c r="H2701">
        <v>141.51666700000001</v>
      </c>
      <c r="I2701" t="s">
        <v>761</v>
      </c>
      <c r="J2701" s="2" t="s">
        <v>14</v>
      </c>
      <c r="K2701" t="s">
        <v>385</v>
      </c>
      <c r="L2701" t="s">
        <v>143</v>
      </c>
      <c r="M2701" t="s">
        <v>26</v>
      </c>
      <c r="N2701" t="s">
        <v>85</v>
      </c>
      <c r="O2701" t="s">
        <v>839</v>
      </c>
      <c r="P2701" t="s">
        <v>72</v>
      </c>
      <c r="Q2701">
        <v>12</v>
      </c>
      <c r="R2701" t="s">
        <v>213</v>
      </c>
      <c r="S2701" s="2" t="s">
        <v>15</v>
      </c>
      <c r="T2701">
        <v>30</v>
      </c>
      <c r="U2701" t="s">
        <v>28</v>
      </c>
      <c r="V2701" t="s">
        <v>28</v>
      </c>
      <c r="W2701">
        <v>24</v>
      </c>
      <c r="X2701">
        <v>1.07</v>
      </c>
      <c r="Y2701">
        <f>1.93-X2701</f>
        <v>0.85999999999999988</v>
      </c>
      <c r="AA2701" s="6"/>
      <c r="AB2701" s="6"/>
    </row>
    <row r="2702" spans="1:28" x14ac:dyDescent="0.2">
      <c r="A2702" t="s">
        <v>383</v>
      </c>
      <c r="B2702">
        <v>2013</v>
      </c>
      <c r="C2702" t="s">
        <v>807</v>
      </c>
      <c r="D2702" t="s">
        <v>825</v>
      </c>
      <c r="E2702" t="s">
        <v>35</v>
      </c>
      <c r="F2702" t="s">
        <v>353</v>
      </c>
      <c r="G2702">
        <v>34.216667000000001</v>
      </c>
      <c r="H2702">
        <v>135.61666700000001</v>
      </c>
      <c r="I2702" t="s">
        <v>761</v>
      </c>
      <c r="J2702" s="2" t="s">
        <v>14</v>
      </c>
      <c r="K2702" t="s">
        <v>385</v>
      </c>
      <c r="L2702" t="s">
        <v>143</v>
      </c>
      <c r="M2702" t="s">
        <v>26</v>
      </c>
      <c r="N2702" t="s">
        <v>85</v>
      </c>
      <c r="O2702" t="s">
        <v>839</v>
      </c>
      <c r="P2702" t="s">
        <v>72</v>
      </c>
      <c r="Q2702">
        <v>12</v>
      </c>
      <c r="R2702" t="s">
        <v>213</v>
      </c>
      <c r="S2702" s="2" t="s">
        <v>15</v>
      </c>
      <c r="T2702">
        <v>30</v>
      </c>
      <c r="U2702" t="s">
        <v>28</v>
      </c>
      <c r="V2702" t="s">
        <v>28</v>
      </c>
      <c r="W2702">
        <v>24</v>
      </c>
      <c r="X2702">
        <v>8.77</v>
      </c>
      <c r="Y2702">
        <f>9.84-X2702</f>
        <v>1.0700000000000003</v>
      </c>
      <c r="AA2702" s="6"/>
      <c r="AB2702" s="6"/>
    </row>
    <row r="2703" spans="1:28" x14ac:dyDescent="0.2">
      <c r="A2703" t="s">
        <v>383</v>
      </c>
      <c r="B2703">
        <v>2013</v>
      </c>
      <c r="C2703" t="s">
        <v>807</v>
      </c>
      <c r="D2703" t="s">
        <v>825</v>
      </c>
      <c r="E2703" t="s">
        <v>35</v>
      </c>
      <c r="F2703" t="s">
        <v>384</v>
      </c>
      <c r="G2703">
        <v>39.083333000000003</v>
      </c>
      <c r="H2703">
        <v>142.85</v>
      </c>
      <c r="I2703" t="s">
        <v>761</v>
      </c>
      <c r="J2703" s="2" t="s">
        <v>7</v>
      </c>
      <c r="K2703" t="s">
        <v>385</v>
      </c>
      <c r="L2703" t="s">
        <v>143</v>
      </c>
      <c r="M2703" t="s">
        <v>12</v>
      </c>
      <c r="N2703" t="s">
        <v>85</v>
      </c>
      <c r="O2703" s="6" t="s">
        <v>12</v>
      </c>
      <c r="P2703" t="s">
        <v>70</v>
      </c>
      <c r="Q2703">
        <v>1</v>
      </c>
      <c r="R2703" t="s">
        <v>214</v>
      </c>
      <c r="S2703" s="2" t="s">
        <v>7</v>
      </c>
      <c r="T2703">
        <v>3</v>
      </c>
      <c r="U2703" t="s">
        <v>28</v>
      </c>
      <c r="V2703" t="s">
        <v>28</v>
      </c>
      <c r="W2703">
        <v>16</v>
      </c>
      <c r="X2703">
        <v>100</v>
      </c>
      <c r="Y2703">
        <v>0</v>
      </c>
      <c r="AA2703" s="6"/>
      <c r="AB2703" s="6"/>
    </row>
    <row r="2704" spans="1:28" x14ac:dyDescent="0.2">
      <c r="A2704" t="s">
        <v>383</v>
      </c>
      <c r="B2704">
        <v>2013</v>
      </c>
      <c r="C2704" t="s">
        <v>807</v>
      </c>
      <c r="D2704" t="s">
        <v>825</v>
      </c>
      <c r="E2704" t="s">
        <v>35</v>
      </c>
      <c r="F2704" t="s">
        <v>384</v>
      </c>
      <c r="G2704">
        <v>39.083333000000003</v>
      </c>
      <c r="H2704">
        <v>142.85</v>
      </c>
      <c r="I2704" t="s">
        <v>761</v>
      </c>
      <c r="J2704" s="2" t="s">
        <v>7</v>
      </c>
      <c r="K2704" t="s">
        <v>385</v>
      </c>
      <c r="L2704" t="s">
        <v>143</v>
      </c>
      <c r="M2704" t="s">
        <v>12</v>
      </c>
      <c r="N2704" t="s">
        <v>85</v>
      </c>
      <c r="O2704" s="6" t="s">
        <v>12</v>
      </c>
      <c r="P2704" t="s">
        <v>70</v>
      </c>
      <c r="Q2704">
        <v>2</v>
      </c>
      <c r="R2704" t="s">
        <v>214</v>
      </c>
      <c r="S2704" s="2" t="s">
        <v>7</v>
      </c>
      <c r="T2704">
        <v>3</v>
      </c>
      <c r="U2704" t="s">
        <v>28</v>
      </c>
      <c r="V2704" t="s">
        <v>28</v>
      </c>
      <c r="W2704">
        <v>16</v>
      </c>
      <c r="X2704">
        <v>100</v>
      </c>
      <c r="Y2704">
        <v>0</v>
      </c>
      <c r="AA2704" s="6"/>
      <c r="AB2704" s="6"/>
    </row>
    <row r="2705" spans="1:28" x14ac:dyDescent="0.2">
      <c r="A2705" t="s">
        <v>383</v>
      </c>
      <c r="B2705">
        <v>2013</v>
      </c>
      <c r="C2705" t="s">
        <v>807</v>
      </c>
      <c r="D2705" t="s">
        <v>825</v>
      </c>
      <c r="E2705" t="s">
        <v>35</v>
      </c>
      <c r="F2705" t="s">
        <v>384</v>
      </c>
      <c r="G2705">
        <v>39.083333000000003</v>
      </c>
      <c r="H2705">
        <v>142.85</v>
      </c>
      <c r="I2705" t="s">
        <v>761</v>
      </c>
      <c r="J2705" s="2" t="s">
        <v>7</v>
      </c>
      <c r="K2705" t="s">
        <v>385</v>
      </c>
      <c r="L2705" t="s">
        <v>143</v>
      </c>
      <c r="M2705" t="s">
        <v>12</v>
      </c>
      <c r="N2705" t="s">
        <v>85</v>
      </c>
      <c r="O2705" s="6" t="s">
        <v>12</v>
      </c>
      <c r="P2705" t="s">
        <v>70</v>
      </c>
      <c r="Q2705">
        <v>3</v>
      </c>
      <c r="R2705" t="s">
        <v>214</v>
      </c>
      <c r="S2705" s="2" t="s">
        <v>7</v>
      </c>
      <c r="T2705">
        <v>3</v>
      </c>
      <c r="U2705" t="s">
        <v>28</v>
      </c>
      <c r="V2705" t="s">
        <v>28</v>
      </c>
      <c r="W2705">
        <v>16</v>
      </c>
      <c r="X2705">
        <v>100</v>
      </c>
      <c r="Y2705">
        <v>0</v>
      </c>
      <c r="AA2705" s="6"/>
      <c r="AB2705" s="6"/>
    </row>
    <row r="2706" spans="1:28" x14ac:dyDescent="0.2">
      <c r="A2706" t="s">
        <v>383</v>
      </c>
      <c r="B2706">
        <v>2013</v>
      </c>
      <c r="C2706" t="s">
        <v>807</v>
      </c>
      <c r="D2706" t="s">
        <v>825</v>
      </c>
      <c r="E2706" t="s">
        <v>35</v>
      </c>
      <c r="F2706" t="s">
        <v>384</v>
      </c>
      <c r="G2706">
        <v>39.083333000000003</v>
      </c>
      <c r="H2706">
        <v>142.85</v>
      </c>
      <c r="I2706" t="s">
        <v>761</v>
      </c>
      <c r="J2706" s="2" t="s">
        <v>7</v>
      </c>
      <c r="K2706" t="s">
        <v>385</v>
      </c>
      <c r="L2706" t="s">
        <v>143</v>
      </c>
      <c r="M2706" t="s">
        <v>12</v>
      </c>
      <c r="N2706" t="s">
        <v>85</v>
      </c>
      <c r="O2706" s="6" t="s">
        <v>12</v>
      </c>
      <c r="P2706" t="s">
        <v>70</v>
      </c>
      <c r="Q2706">
        <v>4</v>
      </c>
      <c r="R2706" t="s">
        <v>214</v>
      </c>
      <c r="S2706" s="2" t="s">
        <v>7</v>
      </c>
      <c r="T2706">
        <v>3</v>
      </c>
      <c r="U2706" t="s">
        <v>28</v>
      </c>
      <c r="V2706" t="s">
        <v>28</v>
      </c>
      <c r="W2706">
        <v>16</v>
      </c>
      <c r="X2706">
        <v>100</v>
      </c>
      <c r="Y2706">
        <v>0</v>
      </c>
      <c r="AA2706" s="6"/>
      <c r="AB2706" s="6"/>
    </row>
    <row r="2707" spans="1:28" x14ac:dyDescent="0.2">
      <c r="A2707" t="s">
        <v>383</v>
      </c>
      <c r="B2707">
        <v>2013</v>
      </c>
      <c r="C2707" t="s">
        <v>807</v>
      </c>
      <c r="D2707" t="s">
        <v>825</v>
      </c>
      <c r="E2707" t="s">
        <v>35</v>
      </c>
      <c r="F2707" t="s">
        <v>384</v>
      </c>
      <c r="G2707">
        <v>39.083333000000003</v>
      </c>
      <c r="H2707">
        <v>142.85</v>
      </c>
      <c r="I2707" t="s">
        <v>761</v>
      </c>
      <c r="J2707" s="2" t="s">
        <v>7</v>
      </c>
      <c r="K2707" t="s">
        <v>385</v>
      </c>
      <c r="L2707" t="s">
        <v>143</v>
      </c>
      <c r="M2707" t="s">
        <v>12</v>
      </c>
      <c r="N2707" t="s">
        <v>85</v>
      </c>
      <c r="O2707" s="6" t="s">
        <v>12</v>
      </c>
      <c r="P2707" t="s">
        <v>70</v>
      </c>
      <c r="Q2707">
        <v>5</v>
      </c>
      <c r="R2707" t="s">
        <v>214</v>
      </c>
      <c r="S2707" s="2" t="s">
        <v>7</v>
      </c>
      <c r="T2707">
        <v>3</v>
      </c>
      <c r="U2707" t="s">
        <v>28</v>
      </c>
      <c r="V2707" t="s">
        <v>28</v>
      </c>
      <c r="W2707">
        <v>16</v>
      </c>
      <c r="X2707">
        <v>100</v>
      </c>
      <c r="Y2707">
        <v>0</v>
      </c>
      <c r="AA2707" s="6"/>
      <c r="AB2707" s="6"/>
    </row>
    <row r="2708" spans="1:28" x14ac:dyDescent="0.2">
      <c r="A2708" t="s">
        <v>383</v>
      </c>
      <c r="B2708">
        <v>2013</v>
      </c>
      <c r="C2708" t="s">
        <v>807</v>
      </c>
      <c r="D2708" t="s">
        <v>825</v>
      </c>
      <c r="E2708" t="s">
        <v>35</v>
      </c>
      <c r="F2708" t="s">
        <v>384</v>
      </c>
      <c r="G2708">
        <v>39.083333000000003</v>
      </c>
      <c r="H2708">
        <v>142.85</v>
      </c>
      <c r="I2708" t="s">
        <v>761</v>
      </c>
      <c r="J2708" s="2" t="s">
        <v>7</v>
      </c>
      <c r="K2708" t="s">
        <v>385</v>
      </c>
      <c r="L2708" t="s">
        <v>143</v>
      </c>
      <c r="M2708" t="s">
        <v>12</v>
      </c>
      <c r="N2708" t="s">
        <v>85</v>
      </c>
      <c r="O2708" s="6" t="s">
        <v>12</v>
      </c>
      <c r="P2708" t="s">
        <v>70</v>
      </c>
      <c r="Q2708">
        <v>6</v>
      </c>
      <c r="R2708" t="s">
        <v>214</v>
      </c>
      <c r="S2708" s="2" t="s">
        <v>7</v>
      </c>
      <c r="T2708">
        <v>3</v>
      </c>
      <c r="U2708" t="s">
        <v>28</v>
      </c>
      <c r="V2708" t="s">
        <v>28</v>
      </c>
      <c r="W2708">
        <v>16</v>
      </c>
      <c r="X2708">
        <v>100</v>
      </c>
      <c r="Y2708">
        <v>0</v>
      </c>
      <c r="AA2708" s="6"/>
      <c r="AB2708" s="6"/>
    </row>
    <row r="2709" spans="1:28" x14ac:dyDescent="0.2">
      <c r="A2709" t="s">
        <v>383</v>
      </c>
      <c r="B2709">
        <v>2013</v>
      </c>
      <c r="C2709" t="s">
        <v>807</v>
      </c>
      <c r="D2709" t="s">
        <v>825</v>
      </c>
      <c r="E2709" t="s">
        <v>35</v>
      </c>
      <c r="F2709" t="s">
        <v>384</v>
      </c>
      <c r="G2709">
        <v>39.083333000000003</v>
      </c>
      <c r="H2709">
        <v>142.85</v>
      </c>
      <c r="I2709" t="s">
        <v>761</v>
      </c>
      <c r="J2709" s="2" t="s">
        <v>7</v>
      </c>
      <c r="K2709" t="s">
        <v>385</v>
      </c>
      <c r="L2709" t="s">
        <v>143</v>
      </c>
      <c r="M2709" t="s">
        <v>12</v>
      </c>
      <c r="N2709" t="s">
        <v>85</v>
      </c>
      <c r="O2709" s="6" t="s">
        <v>12</v>
      </c>
      <c r="P2709" t="s">
        <v>70</v>
      </c>
      <c r="Q2709">
        <v>7</v>
      </c>
      <c r="R2709" t="s">
        <v>214</v>
      </c>
      <c r="S2709" s="2" t="s">
        <v>7</v>
      </c>
      <c r="T2709">
        <v>3</v>
      </c>
      <c r="U2709" t="s">
        <v>28</v>
      </c>
      <c r="V2709" t="s">
        <v>28</v>
      </c>
      <c r="W2709">
        <v>16</v>
      </c>
      <c r="X2709">
        <v>100</v>
      </c>
      <c r="Y2709">
        <v>0</v>
      </c>
      <c r="AA2709" s="6"/>
      <c r="AB2709" s="6"/>
    </row>
    <row r="2710" spans="1:28" x14ac:dyDescent="0.2">
      <c r="A2710" t="s">
        <v>383</v>
      </c>
      <c r="B2710">
        <v>2013</v>
      </c>
      <c r="C2710" t="s">
        <v>807</v>
      </c>
      <c r="D2710" t="s">
        <v>825</v>
      </c>
      <c r="E2710" t="s">
        <v>35</v>
      </c>
      <c r="F2710" t="s">
        <v>384</v>
      </c>
      <c r="G2710">
        <v>39.083333000000003</v>
      </c>
      <c r="H2710">
        <v>142.85</v>
      </c>
      <c r="I2710" t="s">
        <v>761</v>
      </c>
      <c r="J2710" s="2" t="s">
        <v>7</v>
      </c>
      <c r="K2710" t="s">
        <v>385</v>
      </c>
      <c r="L2710" t="s">
        <v>143</v>
      </c>
      <c r="M2710" t="s">
        <v>12</v>
      </c>
      <c r="N2710" t="s">
        <v>85</v>
      </c>
      <c r="O2710" s="6" t="s">
        <v>12</v>
      </c>
      <c r="P2710" t="s">
        <v>70</v>
      </c>
      <c r="Q2710">
        <v>8</v>
      </c>
      <c r="R2710" t="s">
        <v>214</v>
      </c>
      <c r="S2710" s="2" t="s">
        <v>7</v>
      </c>
      <c r="T2710">
        <v>3</v>
      </c>
      <c r="U2710" t="s">
        <v>28</v>
      </c>
      <c r="V2710" t="s">
        <v>28</v>
      </c>
      <c r="W2710">
        <v>16</v>
      </c>
      <c r="X2710">
        <v>100</v>
      </c>
      <c r="Y2710">
        <v>0</v>
      </c>
      <c r="AA2710" s="6"/>
      <c r="AB2710" s="6"/>
    </row>
    <row r="2711" spans="1:28" x14ac:dyDescent="0.2">
      <c r="A2711" t="s">
        <v>383</v>
      </c>
      <c r="B2711">
        <v>2013</v>
      </c>
      <c r="C2711" t="s">
        <v>807</v>
      </c>
      <c r="D2711" t="s">
        <v>825</v>
      </c>
      <c r="E2711" t="s">
        <v>35</v>
      </c>
      <c r="F2711" t="s">
        <v>384</v>
      </c>
      <c r="G2711">
        <v>39.083333000000003</v>
      </c>
      <c r="H2711">
        <v>142.85</v>
      </c>
      <c r="I2711" t="s">
        <v>761</v>
      </c>
      <c r="J2711" s="2" t="s">
        <v>7</v>
      </c>
      <c r="K2711" t="s">
        <v>385</v>
      </c>
      <c r="L2711" t="s">
        <v>143</v>
      </c>
      <c r="M2711" t="s">
        <v>12</v>
      </c>
      <c r="N2711" t="s">
        <v>85</v>
      </c>
      <c r="O2711" s="6" t="s">
        <v>12</v>
      </c>
      <c r="P2711" t="s">
        <v>70</v>
      </c>
      <c r="Q2711">
        <v>9</v>
      </c>
      <c r="R2711" t="s">
        <v>214</v>
      </c>
      <c r="S2711" s="2" t="s">
        <v>7</v>
      </c>
      <c r="T2711">
        <v>3</v>
      </c>
      <c r="U2711" t="s">
        <v>28</v>
      </c>
      <c r="V2711" t="s">
        <v>28</v>
      </c>
      <c r="W2711">
        <v>16</v>
      </c>
      <c r="X2711">
        <v>100</v>
      </c>
      <c r="Y2711">
        <v>0</v>
      </c>
      <c r="AA2711" s="6"/>
      <c r="AB2711" s="6"/>
    </row>
    <row r="2712" spans="1:28" x14ac:dyDescent="0.2">
      <c r="A2712" t="s">
        <v>383</v>
      </c>
      <c r="B2712">
        <v>2013</v>
      </c>
      <c r="C2712" t="s">
        <v>807</v>
      </c>
      <c r="D2712" t="s">
        <v>825</v>
      </c>
      <c r="E2712" t="s">
        <v>35</v>
      </c>
      <c r="F2712" t="s">
        <v>384</v>
      </c>
      <c r="G2712">
        <v>39.083333000000003</v>
      </c>
      <c r="H2712">
        <v>142.85</v>
      </c>
      <c r="I2712" t="s">
        <v>761</v>
      </c>
      <c r="J2712" s="2" t="s">
        <v>7</v>
      </c>
      <c r="K2712" t="s">
        <v>385</v>
      </c>
      <c r="L2712" t="s">
        <v>143</v>
      </c>
      <c r="M2712" t="s">
        <v>12</v>
      </c>
      <c r="N2712" t="s">
        <v>85</v>
      </c>
      <c r="O2712" s="6" t="s">
        <v>12</v>
      </c>
      <c r="P2712" t="s">
        <v>70</v>
      </c>
      <c r="Q2712">
        <v>10</v>
      </c>
      <c r="R2712" t="s">
        <v>214</v>
      </c>
      <c r="S2712" s="2" t="s">
        <v>7</v>
      </c>
      <c r="T2712">
        <v>3</v>
      </c>
      <c r="U2712" t="s">
        <v>28</v>
      </c>
      <c r="V2712" t="s">
        <v>28</v>
      </c>
      <c r="W2712">
        <v>16</v>
      </c>
      <c r="X2712">
        <v>100</v>
      </c>
      <c r="Y2712">
        <v>0</v>
      </c>
      <c r="AA2712" s="6"/>
      <c r="AB2712" s="6"/>
    </row>
    <row r="2713" spans="1:28" x14ac:dyDescent="0.2">
      <c r="A2713" t="s">
        <v>383</v>
      </c>
      <c r="B2713">
        <v>2013</v>
      </c>
      <c r="C2713" t="s">
        <v>807</v>
      </c>
      <c r="D2713" t="s">
        <v>825</v>
      </c>
      <c r="E2713" t="s">
        <v>35</v>
      </c>
      <c r="F2713" t="s">
        <v>384</v>
      </c>
      <c r="G2713">
        <v>39.083333000000003</v>
      </c>
      <c r="H2713">
        <v>142.85</v>
      </c>
      <c r="I2713" t="s">
        <v>761</v>
      </c>
      <c r="J2713" s="2" t="s">
        <v>7</v>
      </c>
      <c r="K2713" t="s">
        <v>385</v>
      </c>
      <c r="L2713" t="s">
        <v>143</v>
      </c>
      <c r="M2713" t="s">
        <v>12</v>
      </c>
      <c r="N2713" t="s">
        <v>85</v>
      </c>
      <c r="O2713" s="6" t="s">
        <v>12</v>
      </c>
      <c r="P2713" t="s">
        <v>70</v>
      </c>
      <c r="Q2713">
        <v>11</v>
      </c>
      <c r="R2713" t="s">
        <v>214</v>
      </c>
      <c r="S2713" s="2" t="s">
        <v>7</v>
      </c>
      <c r="T2713">
        <v>3</v>
      </c>
      <c r="U2713" t="s">
        <v>28</v>
      </c>
      <c r="V2713" t="s">
        <v>28</v>
      </c>
      <c r="W2713">
        <v>16</v>
      </c>
      <c r="X2713">
        <v>100</v>
      </c>
      <c r="Y2713">
        <v>0</v>
      </c>
      <c r="AA2713" s="6"/>
      <c r="AB2713" s="6"/>
    </row>
    <row r="2714" spans="1:28" x14ac:dyDescent="0.2">
      <c r="A2714" t="s">
        <v>383</v>
      </c>
      <c r="B2714">
        <v>2013</v>
      </c>
      <c r="C2714" t="s">
        <v>807</v>
      </c>
      <c r="D2714" t="s">
        <v>825</v>
      </c>
      <c r="E2714" t="s">
        <v>35</v>
      </c>
      <c r="F2714" t="s">
        <v>384</v>
      </c>
      <c r="G2714">
        <v>39.083333000000003</v>
      </c>
      <c r="H2714">
        <v>142.85</v>
      </c>
      <c r="I2714" t="s">
        <v>761</v>
      </c>
      <c r="J2714" s="2" t="s">
        <v>7</v>
      </c>
      <c r="K2714" t="s">
        <v>385</v>
      </c>
      <c r="L2714" t="s">
        <v>143</v>
      </c>
      <c r="M2714" t="s">
        <v>12</v>
      </c>
      <c r="N2714" t="s">
        <v>85</v>
      </c>
      <c r="O2714" s="6" t="s">
        <v>12</v>
      </c>
      <c r="P2714" t="s">
        <v>70</v>
      </c>
      <c r="Q2714">
        <v>12</v>
      </c>
      <c r="R2714" t="s">
        <v>213</v>
      </c>
      <c r="S2714" s="2" t="s">
        <v>7</v>
      </c>
      <c r="T2714">
        <v>3</v>
      </c>
      <c r="U2714" t="s">
        <v>28</v>
      </c>
      <c r="V2714" t="s">
        <v>28</v>
      </c>
      <c r="W2714">
        <v>16</v>
      </c>
      <c r="X2714">
        <v>100</v>
      </c>
      <c r="Y2714">
        <v>0</v>
      </c>
      <c r="AA2714" s="6"/>
      <c r="AB2714" s="6"/>
    </row>
    <row r="2715" spans="1:28" x14ac:dyDescent="0.2">
      <c r="A2715" t="s">
        <v>383</v>
      </c>
      <c r="B2715">
        <v>2013</v>
      </c>
      <c r="C2715" t="s">
        <v>807</v>
      </c>
      <c r="D2715" t="s">
        <v>825</v>
      </c>
      <c r="E2715" t="s">
        <v>35</v>
      </c>
      <c r="F2715" t="s">
        <v>352</v>
      </c>
      <c r="G2715">
        <v>38.533332999999999</v>
      </c>
      <c r="H2715">
        <v>141.51666700000001</v>
      </c>
      <c r="I2715" t="s">
        <v>761</v>
      </c>
      <c r="J2715" s="2" t="s">
        <v>7</v>
      </c>
      <c r="K2715" t="s">
        <v>385</v>
      </c>
      <c r="L2715" t="s">
        <v>143</v>
      </c>
      <c r="M2715" t="s">
        <v>12</v>
      </c>
      <c r="N2715" t="s">
        <v>85</v>
      </c>
      <c r="O2715" s="6" t="s">
        <v>12</v>
      </c>
      <c r="P2715" t="s">
        <v>70</v>
      </c>
      <c r="Q2715">
        <v>1</v>
      </c>
      <c r="R2715" t="s">
        <v>214</v>
      </c>
      <c r="S2715" s="2" t="s">
        <v>7</v>
      </c>
      <c r="T2715">
        <v>3</v>
      </c>
      <c r="U2715" t="s">
        <v>28</v>
      </c>
      <c r="V2715" t="s">
        <v>28</v>
      </c>
      <c r="W2715">
        <v>16</v>
      </c>
      <c r="X2715">
        <v>100</v>
      </c>
      <c r="Y2715">
        <v>0</v>
      </c>
      <c r="AA2715" s="6"/>
      <c r="AB2715" s="6"/>
    </row>
    <row r="2716" spans="1:28" x14ac:dyDescent="0.2">
      <c r="A2716" t="s">
        <v>383</v>
      </c>
      <c r="B2716">
        <v>2013</v>
      </c>
      <c r="C2716" t="s">
        <v>807</v>
      </c>
      <c r="D2716" t="s">
        <v>825</v>
      </c>
      <c r="E2716" t="s">
        <v>35</v>
      </c>
      <c r="F2716" t="s">
        <v>352</v>
      </c>
      <c r="G2716">
        <v>38.533332999999999</v>
      </c>
      <c r="H2716">
        <v>141.51666700000001</v>
      </c>
      <c r="I2716" t="s">
        <v>761</v>
      </c>
      <c r="J2716" s="2" t="s">
        <v>7</v>
      </c>
      <c r="K2716" t="s">
        <v>385</v>
      </c>
      <c r="L2716" t="s">
        <v>143</v>
      </c>
      <c r="M2716" t="s">
        <v>12</v>
      </c>
      <c r="N2716" t="s">
        <v>85</v>
      </c>
      <c r="O2716" s="6" t="s">
        <v>12</v>
      </c>
      <c r="P2716" t="s">
        <v>70</v>
      </c>
      <c r="Q2716">
        <v>2</v>
      </c>
      <c r="R2716" t="s">
        <v>214</v>
      </c>
      <c r="S2716" s="2" t="s">
        <v>7</v>
      </c>
      <c r="T2716">
        <v>3</v>
      </c>
      <c r="U2716" t="s">
        <v>28</v>
      </c>
      <c r="V2716" t="s">
        <v>28</v>
      </c>
      <c r="W2716">
        <v>16</v>
      </c>
      <c r="X2716">
        <v>100</v>
      </c>
      <c r="Y2716">
        <v>0</v>
      </c>
      <c r="AA2716" s="6"/>
      <c r="AB2716" s="6"/>
    </row>
    <row r="2717" spans="1:28" x14ac:dyDescent="0.2">
      <c r="A2717" t="s">
        <v>383</v>
      </c>
      <c r="B2717">
        <v>2013</v>
      </c>
      <c r="C2717" t="s">
        <v>807</v>
      </c>
      <c r="D2717" t="s">
        <v>825</v>
      </c>
      <c r="E2717" t="s">
        <v>35</v>
      </c>
      <c r="F2717" t="s">
        <v>352</v>
      </c>
      <c r="G2717">
        <v>38.533332999999999</v>
      </c>
      <c r="H2717">
        <v>141.51666700000001</v>
      </c>
      <c r="I2717" t="s">
        <v>761</v>
      </c>
      <c r="J2717" s="2" t="s">
        <v>7</v>
      </c>
      <c r="K2717" t="s">
        <v>385</v>
      </c>
      <c r="L2717" t="s">
        <v>143</v>
      </c>
      <c r="M2717" t="s">
        <v>12</v>
      </c>
      <c r="N2717" t="s">
        <v>85</v>
      </c>
      <c r="O2717" s="6" t="s">
        <v>12</v>
      </c>
      <c r="P2717" t="s">
        <v>70</v>
      </c>
      <c r="Q2717">
        <v>3</v>
      </c>
      <c r="R2717" t="s">
        <v>214</v>
      </c>
      <c r="S2717" s="2" t="s">
        <v>7</v>
      </c>
      <c r="T2717">
        <v>3</v>
      </c>
      <c r="U2717" t="s">
        <v>28</v>
      </c>
      <c r="V2717" t="s">
        <v>28</v>
      </c>
      <c r="W2717">
        <v>16</v>
      </c>
      <c r="X2717">
        <v>100</v>
      </c>
      <c r="Y2717">
        <v>0</v>
      </c>
      <c r="AA2717" s="6"/>
      <c r="AB2717" s="6"/>
    </row>
    <row r="2718" spans="1:28" x14ac:dyDescent="0.2">
      <c r="A2718" t="s">
        <v>383</v>
      </c>
      <c r="B2718">
        <v>2013</v>
      </c>
      <c r="C2718" t="s">
        <v>807</v>
      </c>
      <c r="D2718" t="s">
        <v>825</v>
      </c>
      <c r="E2718" t="s">
        <v>35</v>
      </c>
      <c r="F2718" t="s">
        <v>352</v>
      </c>
      <c r="G2718">
        <v>38.533332999999999</v>
      </c>
      <c r="H2718">
        <v>141.51666700000001</v>
      </c>
      <c r="I2718" t="s">
        <v>761</v>
      </c>
      <c r="J2718" s="2" t="s">
        <v>7</v>
      </c>
      <c r="K2718" t="s">
        <v>385</v>
      </c>
      <c r="L2718" t="s">
        <v>143</v>
      </c>
      <c r="M2718" t="s">
        <v>12</v>
      </c>
      <c r="N2718" t="s">
        <v>85</v>
      </c>
      <c r="O2718" s="6" t="s">
        <v>12</v>
      </c>
      <c r="P2718" t="s">
        <v>70</v>
      </c>
      <c r="Q2718">
        <v>4</v>
      </c>
      <c r="R2718" t="s">
        <v>214</v>
      </c>
      <c r="S2718" s="2" t="s">
        <v>7</v>
      </c>
      <c r="T2718">
        <v>3</v>
      </c>
      <c r="U2718" t="s">
        <v>28</v>
      </c>
      <c r="V2718" t="s">
        <v>28</v>
      </c>
      <c r="W2718">
        <v>16</v>
      </c>
      <c r="X2718">
        <v>100</v>
      </c>
      <c r="Y2718">
        <v>0</v>
      </c>
      <c r="AA2718" s="6"/>
      <c r="AB2718" s="6"/>
    </row>
    <row r="2719" spans="1:28" x14ac:dyDescent="0.2">
      <c r="A2719" t="s">
        <v>383</v>
      </c>
      <c r="B2719">
        <v>2013</v>
      </c>
      <c r="C2719" t="s">
        <v>807</v>
      </c>
      <c r="D2719" t="s">
        <v>825</v>
      </c>
      <c r="E2719" t="s">
        <v>35</v>
      </c>
      <c r="F2719" t="s">
        <v>352</v>
      </c>
      <c r="G2719">
        <v>38.533332999999999</v>
      </c>
      <c r="H2719">
        <v>141.51666700000001</v>
      </c>
      <c r="I2719" t="s">
        <v>761</v>
      </c>
      <c r="J2719" s="2" t="s">
        <v>7</v>
      </c>
      <c r="K2719" t="s">
        <v>385</v>
      </c>
      <c r="L2719" t="s">
        <v>143</v>
      </c>
      <c r="M2719" t="s">
        <v>12</v>
      </c>
      <c r="N2719" t="s">
        <v>85</v>
      </c>
      <c r="O2719" s="6" t="s">
        <v>12</v>
      </c>
      <c r="P2719" t="s">
        <v>70</v>
      </c>
      <c r="Q2719">
        <v>5</v>
      </c>
      <c r="R2719" t="s">
        <v>214</v>
      </c>
      <c r="S2719" s="2" t="s">
        <v>7</v>
      </c>
      <c r="T2719">
        <v>3</v>
      </c>
      <c r="U2719" t="s">
        <v>28</v>
      </c>
      <c r="V2719" t="s">
        <v>28</v>
      </c>
      <c r="W2719">
        <v>16</v>
      </c>
      <c r="X2719">
        <v>100</v>
      </c>
      <c r="Y2719">
        <v>0</v>
      </c>
      <c r="AA2719" s="6"/>
      <c r="AB2719" s="6"/>
    </row>
    <row r="2720" spans="1:28" x14ac:dyDescent="0.2">
      <c r="A2720" t="s">
        <v>383</v>
      </c>
      <c r="B2720">
        <v>2013</v>
      </c>
      <c r="C2720" t="s">
        <v>807</v>
      </c>
      <c r="D2720" t="s">
        <v>825</v>
      </c>
      <c r="E2720" t="s">
        <v>35</v>
      </c>
      <c r="F2720" t="s">
        <v>352</v>
      </c>
      <c r="G2720">
        <v>38.533332999999999</v>
      </c>
      <c r="H2720">
        <v>141.51666700000001</v>
      </c>
      <c r="I2720" t="s">
        <v>761</v>
      </c>
      <c r="J2720" s="2" t="s">
        <v>7</v>
      </c>
      <c r="K2720" t="s">
        <v>385</v>
      </c>
      <c r="L2720" t="s">
        <v>143</v>
      </c>
      <c r="M2720" t="s">
        <v>12</v>
      </c>
      <c r="N2720" t="s">
        <v>85</v>
      </c>
      <c r="O2720" s="6" t="s">
        <v>12</v>
      </c>
      <c r="P2720" t="s">
        <v>70</v>
      </c>
      <c r="Q2720">
        <v>6</v>
      </c>
      <c r="R2720" t="s">
        <v>214</v>
      </c>
      <c r="S2720" s="2" t="s">
        <v>7</v>
      </c>
      <c r="T2720">
        <v>3</v>
      </c>
      <c r="U2720" t="s">
        <v>28</v>
      </c>
      <c r="V2720" t="s">
        <v>28</v>
      </c>
      <c r="W2720">
        <v>16</v>
      </c>
      <c r="X2720">
        <v>100</v>
      </c>
      <c r="Y2720">
        <v>0</v>
      </c>
      <c r="AA2720" s="6"/>
      <c r="AB2720" s="6"/>
    </row>
    <row r="2721" spans="1:28" x14ac:dyDescent="0.2">
      <c r="A2721" t="s">
        <v>383</v>
      </c>
      <c r="B2721">
        <v>2013</v>
      </c>
      <c r="C2721" t="s">
        <v>807</v>
      </c>
      <c r="D2721" t="s">
        <v>825</v>
      </c>
      <c r="E2721" t="s">
        <v>35</v>
      </c>
      <c r="F2721" t="s">
        <v>352</v>
      </c>
      <c r="G2721">
        <v>38.533332999999999</v>
      </c>
      <c r="H2721">
        <v>141.51666700000001</v>
      </c>
      <c r="I2721" t="s">
        <v>761</v>
      </c>
      <c r="J2721" s="2" t="s">
        <v>7</v>
      </c>
      <c r="K2721" t="s">
        <v>385</v>
      </c>
      <c r="L2721" t="s">
        <v>143</v>
      </c>
      <c r="M2721" t="s">
        <v>12</v>
      </c>
      <c r="N2721" t="s">
        <v>85</v>
      </c>
      <c r="O2721" s="6" t="s">
        <v>12</v>
      </c>
      <c r="P2721" t="s">
        <v>70</v>
      </c>
      <c r="Q2721">
        <v>7</v>
      </c>
      <c r="R2721" t="s">
        <v>214</v>
      </c>
      <c r="S2721" s="2" t="s">
        <v>7</v>
      </c>
      <c r="T2721">
        <v>3</v>
      </c>
      <c r="U2721" t="s">
        <v>28</v>
      </c>
      <c r="V2721" t="s">
        <v>28</v>
      </c>
      <c r="W2721">
        <v>16</v>
      </c>
      <c r="X2721">
        <v>100</v>
      </c>
      <c r="Y2721">
        <v>0</v>
      </c>
      <c r="AA2721" s="6"/>
      <c r="AB2721" s="6"/>
    </row>
    <row r="2722" spans="1:28" x14ac:dyDescent="0.2">
      <c r="A2722" t="s">
        <v>383</v>
      </c>
      <c r="B2722">
        <v>2013</v>
      </c>
      <c r="C2722" t="s">
        <v>807</v>
      </c>
      <c r="D2722" t="s">
        <v>825</v>
      </c>
      <c r="E2722" t="s">
        <v>35</v>
      </c>
      <c r="F2722" t="s">
        <v>352</v>
      </c>
      <c r="G2722">
        <v>38.533332999999999</v>
      </c>
      <c r="H2722">
        <v>141.51666700000001</v>
      </c>
      <c r="I2722" t="s">
        <v>761</v>
      </c>
      <c r="J2722" s="2" t="s">
        <v>7</v>
      </c>
      <c r="K2722" t="s">
        <v>385</v>
      </c>
      <c r="L2722" t="s">
        <v>143</v>
      </c>
      <c r="M2722" t="s">
        <v>12</v>
      </c>
      <c r="N2722" t="s">
        <v>85</v>
      </c>
      <c r="O2722" s="6" t="s">
        <v>12</v>
      </c>
      <c r="P2722" t="s">
        <v>70</v>
      </c>
      <c r="Q2722">
        <v>8</v>
      </c>
      <c r="R2722" t="s">
        <v>214</v>
      </c>
      <c r="S2722" s="2" t="s">
        <v>7</v>
      </c>
      <c r="T2722">
        <v>3</v>
      </c>
      <c r="U2722" t="s">
        <v>28</v>
      </c>
      <c r="V2722" t="s">
        <v>28</v>
      </c>
      <c r="W2722">
        <v>16</v>
      </c>
      <c r="X2722">
        <v>100</v>
      </c>
      <c r="Y2722">
        <v>0</v>
      </c>
      <c r="AA2722" s="6"/>
      <c r="AB2722" s="6"/>
    </row>
    <row r="2723" spans="1:28" x14ac:dyDescent="0.2">
      <c r="A2723" t="s">
        <v>383</v>
      </c>
      <c r="B2723">
        <v>2013</v>
      </c>
      <c r="C2723" t="s">
        <v>807</v>
      </c>
      <c r="D2723" t="s">
        <v>825</v>
      </c>
      <c r="E2723" t="s">
        <v>35</v>
      </c>
      <c r="F2723" t="s">
        <v>352</v>
      </c>
      <c r="G2723">
        <v>38.533332999999999</v>
      </c>
      <c r="H2723">
        <v>141.51666700000001</v>
      </c>
      <c r="I2723" t="s">
        <v>761</v>
      </c>
      <c r="J2723" s="2" t="s">
        <v>7</v>
      </c>
      <c r="K2723" t="s">
        <v>385</v>
      </c>
      <c r="L2723" t="s">
        <v>143</v>
      </c>
      <c r="M2723" t="s">
        <v>12</v>
      </c>
      <c r="N2723" t="s">
        <v>85</v>
      </c>
      <c r="O2723" s="6" t="s">
        <v>12</v>
      </c>
      <c r="P2723" t="s">
        <v>70</v>
      </c>
      <c r="Q2723">
        <v>9</v>
      </c>
      <c r="R2723" t="s">
        <v>214</v>
      </c>
      <c r="S2723" s="2" t="s">
        <v>7</v>
      </c>
      <c r="T2723">
        <v>3</v>
      </c>
      <c r="U2723" t="s">
        <v>28</v>
      </c>
      <c r="V2723" t="s">
        <v>28</v>
      </c>
      <c r="W2723">
        <v>16</v>
      </c>
      <c r="X2723">
        <v>100</v>
      </c>
      <c r="Y2723">
        <v>0</v>
      </c>
      <c r="AA2723" s="6"/>
      <c r="AB2723" s="6"/>
    </row>
    <row r="2724" spans="1:28" x14ac:dyDescent="0.2">
      <c r="A2724" t="s">
        <v>383</v>
      </c>
      <c r="B2724">
        <v>2013</v>
      </c>
      <c r="C2724" t="s">
        <v>807</v>
      </c>
      <c r="D2724" t="s">
        <v>825</v>
      </c>
      <c r="E2724" t="s">
        <v>35</v>
      </c>
      <c r="F2724" t="s">
        <v>352</v>
      </c>
      <c r="G2724">
        <v>38.533332999999999</v>
      </c>
      <c r="H2724">
        <v>141.51666700000001</v>
      </c>
      <c r="I2724" t="s">
        <v>761</v>
      </c>
      <c r="J2724" s="2" t="s">
        <v>7</v>
      </c>
      <c r="K2724" t="s">
        <v>385</v>
      </c>
      <c r="L2724" t="s">
        <v>143</v>
      </c>
      <c r="M2724" t="s">
        <v>12</v>
      </c>
      <c r="N2724" t="s">
        <v>85</v>
      </c>
      <c r="O2724" s="6" t="s">
        <v>12</v>
      </c>
      <c r="P2724" t="s">
        <v>70</v>
      </c>
      <c r="Q2724">
        <v>10</v>
      </c>
      <c r="R2724" t="s">
        <v>214</v>
      </c>
      <c r="S2724" s="2" t="s">
        <v>7</v>
      </c>
      <c r="T2724">
        <v>3</v>
      </c>
      <c r="U2724" t="s">
        <v>28</v>
      </c>
      <c r="V2724" t="s">
        <v>28</v>
      </c>
      <c r="W2724">
        <v>16</v>
      </c>
      <c r="X2724">
        <v>100</v>
      </c>
      <c r="Y2724">
        <v>0</v>
      </c>
      <c r="AA2724" s="6"/>
      <c r="AB2724" s="6"/>
    </row>
    <row r="2725" spans="1:28" x14ac:dyDescent="0.2">
      <c r="A2725" t="s">
        <v>383</v>
      </c>
      <c r="B2725">
        <v>2013</v>
      </c>
      <c r="C2725" t="s">
        <v>807</v>
      </c>
      <c r="D2725" t="s">
        <v>825</v>
      </c>
      <c r="E2725" t="s">
        <v>35</v>
      </c>
      <c r="F2725" t="s">
        <v>352</v>
      </c>
      <c r="G2725">
        <v>38.533332999999999</v>
      </c>
      <c r="H2725">
        <v>141.51666700000001</v>
      </c>
      <c r="I2725" t="s">
        <v>761</v>
      </c>
      <c r="J2725" s="2" t="s">
        <v>7</v>
      </c>
      <c r="K2725" t="s">
        <v>385</v>
      </c>
      <c r="L2725" t="s">
        <v>143</v>
      </c>
      <c r="M2725" t="s">
        <v>12</v>
      </c>
      <c r="N2725" t="s">
        <v>85</v>
      </c>
      <c r="O2725" s="6" t="s">
        <v>12</v>
      </c>
      <c r="P2725" t="s">
        <v>70</v>
      </c>
      <c r="Q2725">
        <v>11</v>
      </c>
      <c r="R2725" t="s">
        <v>214</v>
      </c>
      <c r="S2725" s="2" t="s">
        <v>7</v>
      </c>
      <c r="T2725">
        <v>3</v>
      </c>
      <c r="U2725" t="s">
        <v>28</v>
      </c>
      <c r="V2725" t="s">
        <v>28</v>
      </c>
      <c r="W2725">
        <v>16</v>
      </c>
      <c r="X2725">
        <v>100</v>
      </c>
      <c r="Y2725">
        <v>0</v>
      </c>
      <c r="AA2725" s="6"/>
      <c r="AB2725" s="6"/>
    </row>
    <row r="2726" spans="1:28" x14ac:dyDescent="0.2">
      <c r="A2726" t="s">
        <v>383</v>
      </c>
      <c r="B2726">
        <v>2013</v>
      </c>
      <c r="C2726" t="s">
        <v>807</v>
      </c>
      <c r="D2726" t="s">
        <v>825</v>
      </c>
      <c r="E2726" t="s">
        <v>35</v>
      </c>
      <c r="F2726" t="s">
        <v>352</v>
      </c>
      <c r="G2726">
        <v>38.533332999999999</v>
      </c>
      <c r="H2726">
        <v>141.51666700000001</v>
      </c>
      <c r="I2726" t="s">
        <v>761</v>
      </c>
      <c r="J2726" s="2" t="s">
        <v>7</v>
      </c>
      <c r="K2726" t="s">
        <v>385</v>
      </c>
      <c r="L2726" t="s">
        <v>143</v>
      </c>
      <c r="M2726" t="s">
        <v>12</v>
      </c>
      <c r="N2726" t="s">
        <v>85</v>
      </c>
      <c r="O2726" s="6" t="s">
        <v>12</v>
      </c>
      <c r="P2726" t="s">
        <v>70</v>
      </c>
      <c r="Q2726">
        <v>12</v>
      </c>
      <c r="R2726" t="s">
        <v>213</v>
      </c>
      <c r="S2726" s="2" t="s">
        <v>7</v>
      </c>
      <c r="T2726">
        <v>3</v>
      </c>
      <c r="U2726" t="s">
        <v>28</v>
      </c>
      <c r="V2726" t="s">
        <v>28</v>
      </c>
      <c r="W2726">
        <v>16</v>
      </c>
      <c r="X2726">
        <v>100</v>
      </c>
      <c r="Y2726">
        <v>0</v>
      </c>
      <c r="AA2726" s="6"/>
      <c r="AB2726" s="6"/>
    </row>
    <row r="2727" spans="1:28" x14ac:dyDescent="0.2">
      <c r="A2727" t="s">
        <v>383</v>
      </c>
      <c r="B2727">
        <v>2013</v>
      </c>
      <c r="C2727" t="s">
        <v>807</v>
      </c>
      <c r="D2727" t="s">
        <v>825</v>
      </c>
      <c r="E2727" t="s">
        <v>35</v>
      </c>
      <c r="F2727" t="s">
        <v>353</v>
      </c>
      <c r="G2727">
        <v>34.216667000000001</v>
      </c>
      <c r="H2727">
        <v>135.61666700000001</v>
      </c>
      <c r="I2727" t="s">
        <v>761</v>
      </c>
      <c r="J2727" s="2" t="s">
        <v>7</v>
      </c>
      <c r="K2727" t="s">
        <v>385</v>
      </c>
      <c r="L2727" t="s">
        <v>143</v>
      </c>
      <c r="M2727" t="s">
        <v>12</v>
      </c>
      <c r="N2727" t="s">
        <v>85</v>
      </c>
      <c r="O2727" s="6" t="s">
        <v>12</v>
      </c>
      <c r="P2727" t="s">
        <v>70</v>
      </c>
      <c r="Q2727">
        <v>1</v>
      </c>
      <c r="R2727" t="s">
        <v>214</v>
      </c>
      <c r="S2727" s="2" t="s">
        <v>7</v>
      </c>
      <c r="T2727">
        <v>3</v>
      </c>
      <c r="U2727" t="s">
        <v>28</v>
      </c>
      <c r="V2727" t="s">
        <v>28</v>
      </c>
      <c r="W2727">
        <v>16</v>
      </c>
      <c r="X2727">
        <v>100</v>
      </c>
      <c r="Y2727">
        <v>0</v>
      </c>
      <c r="AA2727" s="6"/>
      <c r="AB2727" s="6"/>
    </row>
    <row r="2728" spans="1:28" x14ac:dyDescent="0.2">
      <c r="A2728" t="s">
        <v>383</v>
      </c>
      <c r="B2728">
        <v>2013</v>
      </c>
      <c r="C2728" t="s">
        <v>807</v>
      </c>
      <c r="D2728" t="s">
        <v>825</v>
      </c>
      <c r="E2728" t="s">
        <v>35</v>
      </c>
      <c r="F2728" t="s">
        <v>353</v>
      </c>
      <c r="G2728">
        <v>34.216667000000001</v>
      </c>
      <c r="H2728">
        <v>135.61666700000001</v>
      </c>
      <c r="I2728" t="s">
        <v>761</v>
      </c>
      <c r="J2728" s="2" t="s">
        <v>7</v>
      </c>
      <c r="K2728" t="s">
        <v>385</v>
      </c>
      <c r="L2728" t="s">
        <v>143</v>
      </c>
      <c r="M2728" t="s">
        <v>12</v>
      </c>
      <c r="N2728" t="s">
        <v>85</v>
      </c>
      <c r="O2728" s="6" t="s">
        <v>12</v>
      </c>
      <c r="P2728" t="s">
        <v>70</v>
      </c>
      <c r="Q2728">
        <v>2</v>
      </c>
      <c r="R2728" t="s">
        <v>214</v>
      </c>
      <c r="S2728" s="2" t="s">
        <v>7</v>
      </c>
      <c r="T2728">
        <v>3</v>
      </c>
      <c r="U2728" t="s">
        <v>28</v>
      </c>
      <c r="V2728" t="s">
        <v>28</v>
      </c>
      <c r="W2728">
        <v>16</v>
      </c>
      <c r="X2728">
        <v>100</v>
      </c>
      <c r="Y2728">
        <v>0</v>
      </c>
      <c r="AA2728" s="6"/>
      <c r="AB2728" s="6"/>
    </row>
    <row r="2729" spans="1:28" x14ac:dyDescent="0.2">
      <c r="A2729" t="s">
        <v>383</v>
      </c>
      <c r="B2729">
        <v>2013</v>
      </c>
      <c r="C2729" t="s">
        <v>807</v>
      </c>
      <c r="D2729" t="s">
        <v>825</v>
      </c>
      <c r="E2729" t="s">
        <v>35</v>
      </c>
      <c r="F2729" t="s">
        <v>353</v>
      </c>
      <c r="G2729">
        <v>34.216667000000001</v>
      </c>
      <c r="H2729">
        <v>135.61666700000001</v>
      </c>
      <c r="I2729" t="s">
        <v>761</v>
      </c>
      <c r="J2729" s="2" t="s">
        <v>7</v>
      </c>
      <c r="K2729" t="s">
        <v>385</v>
      </c>
      <c r="L2729" t="s">
        <v>143</v>
      </c>
      <c r="M2729" t="s">
        <v>12</v>
      </c>
      <c r="N2729" t="s">
        <v>85</v>
      </c>
      <c r="O2729" s="6" t="s">
        <v>12</v>
      </c>
      <c r="P2729" t="s">
        <v>70</v>
      </c>
      <c r="Q2729">
        <v>3</v>
      </c>
      <c r="R2729" t="s">
        <v>214</v>
      </c>
      <c r="S2729" s="2" t="s">
        <v>7</v>
      </c>
      <c r="T2729">
        <v>3</v>
      </c>
      <c r="U2729" t="s">
        <v>28</v>
      </c>
      <c r="V2729" t="s">
        <v>28</v>
      </c>
      <c r="W2729">
        <v>16</v>
      </c>
      <c r="X2729">
        <v>100</v>
      </c>
      <c r="Y2729">
        <v>0</v>
      </c>
      <c r="AA2729" s="6"/>
      <c r="AB2729" s="6"/>
    </row>
    <row r="2730" spans="1:28" x14ac:dyDescent="0.2">
      <c r="A2730" t="s">
        <v>383</v>
      </c>
      <c r="B2730">
        <v>2013</v>
      </c>
      <c r="C2730" t="s">
        <v>807</v>
      </c>
      <c r="D2730" t="s">
        <v>825</v>
      </c>
      <c r="E2730" t="s">
        <v>35</v>
      </c>
      <c r="F2730" t="s">
        <v>353</v>
      </c>
      <c r="G2730">
        <v>34.216667000000001</v>
      </c>
      <c r="H2730">
        <v>135.61666700000001</v>
      </c>
      <c r="I2730" t="s">
        <v>761</v>
      </c>
      <c r="J2730" s="2" t="s">
        <v>7</v>
      </c>
      <c r="K2730" t="s">
        <v>385</v>
      </c>
      <c r="L2730" t="s">
        <v>143</v>
      </c>
      <c r="M2730" t="s">
        <v>12</v>
      </c>
      <c r="N2730" t="s">
        <v>85</v>
      </c>
      <c r="O2730" s="6" t="s">
        <v>12</v>
      </c>
      <c r="P2730" t="s">
        <v>70</v>
      </c>
      <c r="Q2730">
        <v>4</v>
      </c>
      <c r="R2730" t="s">
        <v>214</v>
      </c>
      <c r="S2730" s="2" t="s">
        <v>7</v>
      </c>
      <c r="T2730">
        <v>3</v>
      </c>
      <c r="U2730" t="s">
        <v>28</v>
      </c>
      <c r="V2730" t="s">
        <v>28</v>
      </c>
      <c r="W2730">
        <v>16</v>
      </c>
      <c r="X2730">
        <v>100</v>
      </c>
      <c r="Y2730">
        <v>0</v>
      </c>
      <c r="AA2730" s="6"/>
      <c r="AB2730" s="6"/>
    </row>
    <row r="2731" spans="1:28" x14ac:dyDescent="0.2">
      <c r="A2731" t="s">
        <v>383</v>
      </c>
      <c r="B2731">
        <v>2013</v>
      </c>
      <c r="C2731" t="s">
        <v>807</v>
      </c>
      <c r="D2731" t="s">
        <v>825</v>
      </c>
      <c r="E2731" t="s">
        <v>35</v>
      </c>
      <c r="F2731" t="s">
        <v>353</v>
      </c>
      <c r="G2731">
        <v>34.216667000000001</v>
      </c>
      <c r="H2731">
        <v>135.61666700000001</v>
      </c>
      <c r="I2731" t="s">
        <v>761</v>
      </c>
      <c r="J2731" s="2" t="s">
        <v>7</v>
      </c>
      <c r="K2731" t="s">
        <v>385</v>
      </c>
      <c r="L2731" t="s">
        <v>143</v>
      </c>
      <c r="M2731" t="s">
        <v>12</v>
      </c>
      <c r="N2731" t="s">
        <v>85</v>
      </c>
      <c r="O2731" s="6" t="s">
        <v>12</v>
      </c>
      <c r="P2731" t="s">
        <v>70</v>
      </c>
      <c r="Q2731">
        <v>5</v>
      </c>
      <c r="R2731" t="s">
        <v>214</v>
      </c>
      <c r="S2731" s="2" t="s">
        <v>7</v>
      </c>
      <c r="T2731">
        <v>3</v>
      </c>
      <c r="U2731" t="s">
        <v>28</v>
      </c>
      <c r="V2731" t="s">
        <v>28</v>
      </c>
      <c r="W2731">
        <v>16</v>
      </c>
      <c r="X2731">
        <v>100</v>
      </c>
      <c r="Y2731">
        <v>0</v>
      </c>
      <c r="AA2731" s="6"/>
      <c r="AB2731" s="6"/>
    </row>
    <row r="2732" spans="1:28" x14ac:dyDescent="0.2">
      <c r="A2732" t="s">
        <v>383</v>
      </c>
      <c r="B2732">
        <v>2013</v>
      </c>
      <c r="C2732" t="s">
        <v>807</v>
      </c>
      <c r="D2732" t="s">
        <v>825</v>
      </c>
      <c r="E2732" t="s">
        <v>35</v>
      </c>
      <c r="F2732" t="s">
        <v>353</v>
      </c>
      <c r="G2732">
        <v>34.216667000000001</v>
      </c>
      <c r="H2732">
        <v>135.61666700000001</v>
      </c>
      <c r="I2732" t="s">
        <v>761</v>
      </c>
      <c r="J2732" s="2" t="s">
        <v>7</v>
      </c>
      <c r="K2732" t="s">
        <v>385</v>
      </c>
      <c r="L2732" t="s">
        <v>143</v>
      </c>
      <c r="M2732" t="s">
        <v>12</v>
      </c>
      <c r="N2732" t="s">
        <v>85</v>
      </c>
      <c r="O2732" s="6" t="s">
        <v>12</v>
      </c>
      <c r="P2732" t="s">
        <v>70</v>
      </c>
      <c r="Q2732">
        <v>6</v>
      </c>
      <c r="R2732" t="s">
        <v>214</v>
      </c>
      <c r="S2732" s="2" t="s">
        <v>7</v>
      </c>
      <c r="T2732">
        <v>3</v>
      </c>
      <c r="U2732" t="s">
        <v>28</v>
      </c>
      <c r="V2732" t="s">
        <v>28</v>
      </c>
      <c r="W2732">
        <v>16</v>
      </c>
      <c r="X2732">
        <v>100</v>
      </c>
      <c r="Y2732">
        <v>0</v>
      </c>
      <c r="AA2732" s="6"/>
      <c r="AB2732" s="6"/>
    </row>
    <row r="2733" spans="1:28" x14ac:dyDescent="0.2">
      <c r="A2733" t="s">
        <v>383</v>
      </c>
      <c r="B2733">
        <v>2013</v>
      </c>
      <c r="C2733" t="s">
        <v>807</v>
      </c>
      <c r="D2733" t="s">
        <v>825</v>
      </c>
      <c r="E2733" t="s">
        <v>35</v>
      </c>
      <c r="F2733" t="s">
        <v>353</v>
      </c>
      <c r="G2733">
        <v>34.216667000000001</v>
      </c>
      <c r="H2733">
        <v>135.61666700000001</v>
      </c>
      <c r="I2733" t="s">
        <v>761</v>
      </c>
      <c r="J2733" s="2" t="s">
        <v>7</v>
      </c>
      <c r="K2733" t="s">
        <v>385</v>
      </c>
      <c r="L2733" t="s">
        <v>143</v>
      </c>
      <c r="M2733" t="s">
        <v>12</v>
      </c>
      <c r="N2733" t="s">
        <v>85</v>
      </c>
      <c r="O2733" s="6" t="s">
        <v>12</v>
      </c>
      <c r="P2733" t="s">
        <v>70</v>
      </c>
      <c r="Q2733">
        <v>7</v>
      </c>
      <c r="R2733" t="s">
        <v>214</v>
      </c>
      <c r="S2733" s="2" t="s">
        <v>7</v>
      </c>
      <c r="T2733">
        <v>3</v>
      </c>
      <c r="U2733" t="s">
        <v>28</v>
      </c>
      <c r="V2733" t="s">
        <v>28</v>
      </c>
      <c r="W2733">
        <v>16</v>
      </c>
      <c r="X2733">
        <v>100</v>
      </c>
      <c r="Y2733">
        <v>0</v>
      </c>
      <c r="AA2733" s="6"/>
      <c r="AB2733" s="6"/>
    </row>
    <row r="2734" spans="1:28" x14ac:dyDescent="0.2">
      <c r="A2734" t="s">
        <v>383</v>
      </c>
      <c r="B2734">
        <v>2013</v>
      </c>
      <c r="C2734" t="s">
        <v>807</v>
      </c>
      <c r="D2734" t="s">
        <v>825</v>
      </c>
      <c r="E2734" t="s">
        <v>35</v>
      </c>
      <c r="F2734" t="s">
        <v>353</v>
      </c>
      <c r="G2734">
        <v>34.216667000000001</v>
      </c>
      <c r="H2734">
        <v>135.61666700000001</v>
      </c>
      <c r="I2734" t="s">
        <v>761</v>
      </c>
      <c r="J2734" s="2" t="s">
        <v>7</v>
      </c>
      <c r="K2734" t="s">
        <v>385</v>
      </c>
      <c r="L2734" t="s">
        <v>143</v>
      </c>
      <c r="M2734" t="s">
        <v>12</v>
      </c>
      <c r="N2734" t="s">
        <v>85</v>
      </c>
      <c r="O2734" s="6" t="s">
        <v>12</v>
      </c>
      <c r="P2734" t="s">
        <v>70</v>
      </c>
      <c r="Q2734">
        <v>8</v>
      </c>
      <c r="R2734" t="s">
        <v>214</v>
      </c>
      <c r="S2734" s="2" t="s">
        <v>7</v>
      </c>
      <c r="T2734">
        <v>3</v>
      </c>
      <c r="U2734" t="s">
        <v>28</v>
      </c>
      <c r="V2734" t="s">
        <v>28</v>
      </c>
      <c r="W2734">
        <v>16</v>
      </c>
      <c r="X2734">
        <v>100</v>
      </c>
      <c r="Y2734">
        <v>0</v>
      </c>
      <c r="AA2734" s="6"/>
      <c r="AB2734" s="6"/>
    </row>
    <row r="2735" spans="1:28" x14ac:dyDescent="0.2">
      <c r="A2735" t="s">
        <v>383</v>
      </c>
      <c r="B2735">
        <v>2013</v>
      </c>
      <c r="C2735" t="s">
        <v>807</v>
      </c>
      <c r="D2735" t="s">
        <v>825</v>
      </c>
      <c r="E2735" t="s">
        <v>35</v>
      </c>
      <c r="F2735" t="s">
        <v>353</v>
      </c>
      <c r="G2735">
        <v>34.216667000000001</v>
      </c>
      <c r="H2735">
        <v>135.61666700000001</v>
      </c>
      <c r="I2735" t="s">
        <v>761</v>
      </c>
      <c r="J2735" s="2" t="s">
        <v>7</v>
      </c>
      <c r="K2735" t="s">
        <v>385</v>
      </c>
      <c r="L2735" t="s">
        <v>143</v>
      </c>
      <c r="M2735" t="s">
        <v>12</v>
      </c>
      <c r="N2735" t="s">
        <v>85</v>
      </c>
      <c r="O2735" s="6" t="s">
        <v>12</v>
      </c>
      <c r="P2735" t="s">
        <v>70</v>
      </c>
      <c r="Q2735">
        <v>9</v>
      </c>
      <c r="R2735" t="s">
        <v>214</v>
      </c>
      <c r="S2735" s="2" t="s">
        <v>7</v>
      </c>
      <c r="T2735">
        <v>3</v>
      </c>
      <c r="U2735" t="s">
        <v>28</v>
      </c>
      <c r="V2735" t="s">
        <v>28</v>
      </c>
      <c r="W2735">
        <v>16</v>
      </c>
      <c r="X2735">
        <v>100</v>
      </c>
      <c r="Y2735">
        <v>0</v>
      </c>
      <c r="AA2735" s="6"/>
      <c r="AB2735" s="6"/>
    </row>
    <row r="2736" spans="1:28" x14ac:dyDescent="0.2">
      <c r="A2736" t="s">
        <v>383</v>
      </c>
      <c r="B2736">
        <v>2013</v>
      </c>
      <c r="C2736" t="s">
        <v>807</v>
      </c>
      <c r="D2736" t="s">
        <v>825</v>
      </c>
      <c r="E2736" t="s">
        <v>35</v>
      </c>
      <c r="F2736" t="s">
        <v>353</v>
      </c>
      <c r="G2736">
        <v>34.216667000000001</v>
      </c>
      <c r="H2736">
        <v>135.61666700000001</v>
      </c>
      <c r="I2736" t="s">
        <v>761</v>
      </c>
      <c r="J2736" s="2" t="s">
        <v>7</v>
      </c>
      <c r="K2736" t="s">
        <v>385</v>
      </c>
      <c r="L2736" t="s">
        <v>143</v>
      </c>
      <c r="M2736" t="s">
        <v>12</v>
      </c>
      <c r="N2736" t="s">
        <v>85</v>
      </c>
      <c r="O2736" s="6" t="s">
        <v>12</v>
      </c>
      <c r="P2736" t="s">
        <v>70</v>
      </c>
      <c r="Q2736">
        <v>10</v>
      </c>
      <c r="R2736" t="s">
        <v>214</v>
      </c>
      <c r="S2736" s="2" t="s">
        <v>7</v>
      </c>
      <c r="T2736">
        <v>3</v>
      </c>
      <c r="U2736" t="s">
        <v>28</v>
      </c>
      <c r="V2736" t="s">
        <v>28</v>
      </c>
      <c r="W2736">
        <v>16</v>
      </c>
      <c r="X2736">
        <v>100</v>
      </c>
      <c r="Y2736">
        <v>0</v>
      </c>
      <c r="AA2736" s="6"/>
      <c r="AB2736" s="6"/>
    </row>
    <row r="2737" spans="1:28" x14ac:dyDescent="0.2">
      <c r="A2737" t="s">
        <v>383</v>
      </c>
      <c r="B2737">
        <v>2013</v>
      </c>
      <c r="C2737" t="s">
        <v>807</v>
      </c>
      <c r="D2737" t="s">
        <v>825</v>
      </c>
      <c r="E2737" t="s">
        <v>35</v>
      </c>
      <c r="F2737" t="s">
        <v>353</v>
      </c>
      <c r="G2737">
        <v>34.216667000000001</v>
      </c>
      <c r="H2737">
        <v>135.61666700000001</v>
      </c>
      <c r="I2737" t="s">
        <v>761</v>
      </c>
      <c r="J2737" s="2" t="s">
        <v>7</v>
      </c>
      <c r="K2737" t="s">
        <v>385</v>
      </c>
      <c r="L2737" t="s">
        <v>143</v>
      </c>
      <c r="M2737" t="s">
        <v>12</v>
      </c>
      <c r="N2737" t="s">
        <v>85</v>
      </c>
      <c r="O2737" s="6" t="s">
        <v>12</v>
      </c>
      <c r="P2737" t="s">
        <v>70</v>
      </c>
      <c r="Q2737">
        <v>11</v>
      </c>
      <c r="R2737" t="s">
        <v>214</v>
      </c>
      <c r="S2737" s="2" t="s">
        <v>7</v>
      </c>
      <c r="T2737">
        <v>3</v>
      </c>
      <c r="U2737" t="s">
        <v>28</v>
      </c>
      <c r="V2737" t="s">
        <v>28</v>
      </c>
      <c r="W2737">
        <v>16</v>
      </c>
      <c r="X2737">
        <v>100</v>
      </c>
      <c r="Y2737">
        <v>0</v>
      </c>
      <c r="AA2737" s="6"/>
      <c r="AB2737" s="6"/>
    </row>
    <row r="2738" spans="1:28" x14ac:dyDescent="0.2">
      <c r="A2738" t="s">
        <v>383</v>
      </c>
      <c r="B2738">
        <v>2013</v>
      </c>
      <c r="C2738" t="s">
        <v>807</v>
      </c>
      <c r="D2738" t="s">
        <v>825</v>
      </c>
      <c r="E2738" t="s">
        <v>35</v>
      </c>
      <c r="F2738" t="s">
        <v>353</v>
      </c>
      <c r="G2738">
        <v>34.216667000000001</v>
      </c>
      <c r="H2738">
        <v>135.61666700000001</v>
      </c>
      <c r="I2738" t="s">
        <v>761</v>
      </c>
      <c r="J2738" s="2" t="s">
        <v>7</v>
      </c>
      <c r="K2738" t="s">
        <v>385</v>
      </c>
      <c r="L2738" t="s">
        <v>143</v>
      </c>
      <c r="M2738" t="s">
        <v>12</v>
      </c>
      <c r="N2738" t="s">
        <v>85</v>
      </c>
      <c r="O2738" s="6" t="s">
        <v>12</v>
      </c>
      <c r="P2738" t="s">
        <v>70</v>
      </c>
      <c r="Q2738">
        <v>12</v>
      </c>
      <c r="R2738" t="s">
        <v>213</v>
      </c>
      <c r="S2738" s="2" t="s">
        <v>7</v>
      </c>
      <c r="T2738">
        <v>3</v>
      </c>
      <c r="U2738" t="s">
        <v>28</v>
      </c>
      <c r="V2738" t="s">
        <v>28</v>
      </c>
      <c r="W2738">
        <v>16</v>
      </c>
      <c r="X2738">
        <v>100</v>
      </c>
      <c r="Y2738">
        <v>0</v>
      </c>
      <c r="AA2738" s="6"/>
      <c r="AB2738" s="6"/>
    </row>
    <row r="2739" spans="1:28" x14ac:dyDescent="0.2">
      <c r="A2739" t="s">
        <v>383</v>
      </c>
      <c r="B2739">
        <v>2013</v>
      </c>
      <c r="C2739" t="s">
        <v>807</v>
      </c>
      <c r="D2739" t="s">
        <v>825</v>
      </c>
      <c r="E2739" t="s">
        <v>35</v>
      </c>
      <c r="F2739" t="s">
        <v>384</v>
      </c>
      <c r="G2739">
        <v>39.083333000000003</v>
      </c>
      <c r="H2739">
        <v>142.85</v>
      </c>
      <c r="I2739" t="s">
        <v>761</v>
      </c>
      <c r="J2739" s="2" t="s">
        <v>14</v>
      </c>
      <c r="K2739" t="s">
        <v>385</v>
      </c>
      <c r="L2739" t="s">
        <v>143</v>
      </c>
      <c r="M2739" t="s">
        <v>12</v>
      </c>
      <c r="N2739" t="s">
        <v>85</v>
      </c>
      <c r="O2739" s="6" t="s">
        <v>12</v>
      </c>
      <c r="P2739" t="s">
        <v>70</v>
      </c>
      <c r="Q2739">
        <v>1</v>
      </c>
      <c r="R2739" t="s">
        <v>214</v>
      </c>
      <c r="S2739" s="2" t="s">
        <v>9</v>
      </c>
      <c r="T2739">
        <v>3</v>
      </c>
      <c r="U2739" t="s">
        <v>28</v>
      </c>
      <c r="V2739" t="s">
        <v>28</v>
      </c>
      <c r="W2739">
        <v>18</v>
      </c>
      <c r="X2739">
        <v>100</v>
      </c>
      <c r="Y2739">
        <v>0</v>
      </c>
      <c r="AA2739" s="6"/>
      <c r="AB2739" s="6"/>
    </row>
    <row r="2740" spans="1:28" x14ac:dyDescent="0.2">
      <c r="A2740" t="s">
        <v>383</v>
      </c>
      <c r="B2740">
        <v>2013</v>
      </c>
      <c r="C2740" t="s">
        <v>807</v>
      </c>
      <c r="D2740" t="s">
        <v>825</v>
      </c>
      <c r="E2740" t="s">
        <v>35</v>
      </c>
      <c r="F2740" t="s">
        <v>384</v>
      </c>
      <c r="G2740">
        <v>39.083333000000003</v>
      </c>
      <c r="H2740">
        <v>142.85</v>
      </c>
      <c r="I2740" t="s">
        <v>761</v>
      </c>
      <c r="J2740" s="2" t="s">
        <v>14</v>
      </c>
      <c r="K2740" t="s">
        <v>385</v>
      </c>
      <c r="L2740" t="s">
        <v>143</v>
      </c>
      <c r="M2740" t="s">
        <v>12</v>
      </c>
      <c r="N2740" t="s">
        <v>85</v>
      </c>
      <c r="O2740" s="6" t="s">
        <v>12</v>
      </c>
      <c r="P2740" t="s">
        <v>70</v>
      </c>
      <c r="Q2740">
        <v>2</v>
      </c>
      <c r="R2740" t="s">
        <v>214</v>
      </c>
      <c r="S2740" s="2" t="s">
        <v>9</v>
      </c>
      <c r="T2740">
        <v>3</v>
      </c>
      <c r="U2740" t="s">
        <v>28</v>
      </c>
      <c r="V2740" t="s">
        <v>28</v>
      </c>
      <c r="W2740">
        <v>18</v>
      </c>
      <c r="X2740">
        <v>100</v>
      </c>
      <c r="Y2740">
        <v>0</v>
      </c>
      <c r="AA2740" s="6"/>
      <c r="AB2740" s="6"/>
    </row>
    <row r="2741" spans="1:28" x14ac:dyDescent="0.2">
      <c r="A2741" t="s">
        <v>383</v>
      </c>
      <c r="B2741">
        <v>2013</v>
      </c>
      <c r="C2741" t="s">
        <v>807</v>
      </c>
      <c r="D2741" t="s">
        <v>825</v>
      </c>
      <c r="E2741" t="s">
        <v>35</v>
      </c>
      <c r="F2741" t="s">
        <v>384</v>
      </c>
      <c r="G2741">
        <v>39.083333000000003</v>
      </c>
      <c r="H2741">
        <v>142.85</v>
      </c>
      <c r="I2741" t="s">
        <v>761</v>
      </c>
      <c r="J2741" s="2" t="s">
        <v>14</v>
      </c>
      <c r="K2741" t="s">
        <v>385</v>
      </c>
      <c r="L2741" t="s">
        <v>143</v>
      </c>
      <c r="M2741" t="s">
        <v>12</v>
      </c>
      <c r="N2741" t="s">
        <v>85</v>
      </c>
      <c r="O2741" s="6" t="s">
        <v>12</v>
      </c>
      <c r="P2741" t="s">
        <v>70</v>
      </c>
      <c r="Q2741">
        <v>3</v>
      </c>
      <c r="R2741" t="s">
        <v>214</v>
      </c>
      <c r="S2741" s="2" t="s">
        <v>9</v>
      </c>
      <c r="T2741">
        <v>3</v>
      </c>
      <c r="U2741" t="s">
        <v>28</v>
      </c>
      <c r="V2741" t="s">
        <v>28</v>
      </c>
      <c r="W2741">
        <v>18</v>
      </c>
      <c r="X2741">
        <v>100</v>
      </c>
      <c r="Y2741">
        <v>0</v>
      </c>
      <c r="AA2741" s="6"/>
      <c r="AB2741" s="6"/>
    </row>
    <row r="2742" spans="1:28" x14ac:dyDescent="0.2">
      <c r="A2742" t="s">
        <v>383</v>
      </c>
      <c r="B2742">
        <v>2013</v>
      </c>
      <c r="C2742" t="s">
        <v>807</v>
      </c>
      <c r="D2742" t="s">
        <v>825</v>
      </c>
      <c r="E2742" t="s">
        <v>35</v>
      </c>
      <c r="F2742" t="s">
        <v>384</v>
      </c>
      <c r="G2742">
        <v>39.083333000000003</v>
      </c>
      <c r="H2742">
        <v>142.85</v>
      </c>
      <c r="I2742" t="s">
        <v>761</v>
      </c>
      <c r="J2742" s="2" t="s">
        <v>14</v>
      </c>
      <c r="K2742" t="s">
        <v>385</v>
      </c>
      <c r="L2742" t="s">
        <v>143</v>
      </c>
      <c r="M2742" t="s">
        <v>12</v>
      </c>
      <c r="N2742" t="s">
        <v>85</v>
      </c>
      <c r="O2742" s="6" t="s">
        <v>12</v>
      </c>
      <c r="P2742" t="s">
        <v>70</v>
      </c>
      <c r="Q2742">
        <v>4</v>
      </c>
      <c r="R2742" t="s">
        <v>214</v>
      </c>
      <c r="S2742" s="2" t="s">
        <v>9</v>
      </c>
      <c r="T2742">
        <v>3</v>
      </c>
      <c r="U2742" t="s">
        <v>28</v>
      </c>
      <c r="V2742" t="s">
        <v>28</v>
      </c>
      <c r="W2742">
        <v>18</v>
      </c>
      <c r="X2742">
        <v>100</v>
      </c>
      <c r="Y2742">
        <v>0</v>
      </c>
      <c r="AA2742" s="6"/>
      <c r="AB2742" s="6"/>
    </row>
    <row r="2743" spans="1:28" x14ac:dyDescent="0.2">
      <c r="A2743" t="s">
        <v>383</v>
      </c>
      <c r="B2743">
        <v>2013</v>
      </c>
      <c r="C2743" t="s">
        <v>807</v>
      </c>
      <c r="D2743" t="s">
        <v>825</v>
      </c>
      <c r="E2743" t="s">
        <v>35</v>
      </c>
      <c r="F2743" t="s">
        <v>384</v>
      </c>
      <c r="G2743">
        <v>39.083333000000003</v>
      </c>
      <c r="H2743">
        <v>142.85</v>
      </c>
      <c r="I2743" t="s">
        <v>761</v>
      </c>
      <c r="J2743" s="2" t="s">
        <v>14</v>
      </c>
      <c r="K2743" t="s">
        <v>385</v>
      </c>
      <c r="L2743" t="s">
        <v>143</v>
      </c>
      <c r="M2743" t="s">
        <v>12</v>
      </c>
      <c r="N2743" t="s">
        <v>85</v>
      </c>
      <c r="O2743" s="6" t="s">
        <v>12</v>
      </c>
      <c r="P2743" t="s">
        <v>70</v>
      </c>
      <c r="Q2743">
        <v>5</v>
      </c>
      <c r="R2743" t="s">
        <v>214</v>
      </c>
      <c r="S2743" s="2" t="s">
        <v>9</v>
      </c>
      <c r="T2743">
        <v>3</v>
      </c>
      <c r="U2743" t="s">
        <v>28</v>
      </c>
      <c r="V2743" t="s">
        <v>28</v>
      </c>
      <c r="W2743">
        <v>18</v>
      </c>
      <c r="X2743">
        <v>100</v>
      </c>
      <c r="Y2743">
        <v>0</v>
      </c>
      <c r="AA2743" s="6"/>
      <c r="AB2743" s="6"/>
    </row>
    <row r="2744" spans="1:28" x14ac:dyDescent="0.2">
      <c r="A2744" t="s">
        <v>383</v>
      </c>
      <c r="B2744">
        <v>2013</v>
      </c>
      <c r="C2744" t="s">
        <v>807</v>
      </c>
      <c r="D2744" t="s">
        <v>825</v>
      </c>
      <c r="E2744" t="s">
        <v>35</v>
      </c>
      <c r="F2744" t="s">
        <v>384</v>
      </c>
      <c r="G2744">
        <v>39.083333000000003</v>
      </c>
      <c r="H2744">
        <v>142.85</v>
      </c>
      <c r="I2744" t="s">
        <v>761</v>
      </c>
      <c r="J2744" s="2" t="s">
        <v>14</v>
      </c>
      <c r="K2744" t="s">
        <v>385</v>
      </c>
      <c r="L2744" t="s">
        <v>143</v>
      </c>
      <c r="M2744" t="s">
        <v>12</v>
      </c>
      <c r="N2744" t="s">
        <v>85</v>
      </c>
      <c r="O2744" s="6" t="s">
        <v>12</v>
      </c>
      <c r="P2744" t="s">
        <v>70</v>
      </c>
      <c r="Q2744">
        <v>6</v>
      </c>
      <c r="R2744" t="s">
        <v>214</v>
      </c>
      <c r="S2744" s="2" t="s">
        <v>9</v>
      </c>
      <c r="T2744">
        <v>3</v>
      </c>
      <c r="U2744" t="s">
        <v>28</v>
      </c>
      <c r="V2744" t="s">
        <v>28</v>
      </c>
      <c r="W2744">
        <v>18</v>
      </c>
      <c r="X2744">
        <v>100</v>
      </c>
      <c r="Y2744">
        <v>0</v>
      </c>
      <c r="AA2744" s="6"/>
      <c r="AB2744" s="6"/>
    </row>
    <row r="2745" spans="1:28" x14ac:dyDescent="0.2">
      <c r="A2745" t="s">
        <v>383</v>
      </c>
      <c r="B2745">
        <v>2013</v>
      </c>
      <c r="C2745" t="s">
        <v>807</v>
      </c>
      <c r="D2745" t="s">
        <v>825</v>
      </c>
      <c r="E2745" t="s">
        <v>35</v>
      </c>
      <c r="F2745" t="s">
        <v>384</v>
      </c>
      <c r="G2745">
        <v>39.083333000000003</v>
      </c>
      <c r="H2745">
        <v>142.85</v>
      </c>
      <c r="I2745" t="s">
        <v>761</v>
      </c>
      <c r="J2745" s="2" t="s">
        <v>14</v>
      </c>
      <c r="K2745" t="s">
        <v>385</v>
      </c>
      <c r="L2745" t="s">
        <v>143</v>
      </c>
      <c r="M2745" t="s">
        <v>12</v>
      </c>
      <c r="N2745" t="s">
        <v>85</v>
      </c>
      <c r="O2745" s="6" t="s">
        <v>12</v>
      </c>
      <c r="P2745" t="s">
        <v>70</v>
      </c>
      <c r="Q2745">
        <v>7</v>
      </c>
      <c r="R2745" t="s">
        <v>214</v>
      </c>
      <c r="S2745" s="2" t="s">
        <v>9</v>
      </c>
      <c r="T2745">
        <v>3</v>
      </c>
      <c r="U2745" t="s">
        <v>28</v>
      </c>
      <c r="V2745" t="s">
        <v>28</v>
      </c>
      <c r="W2745">
        <v>18</v>
      </c>
      <c r="X2745">
        <v>100</v>
      </c>
      <c r="Y2745">
        <v>0</v>
      </c>
      <c r="AA2745" s="6"/>
      <c r="AB2745" s="6"/>
    </row>
    <row r="2746" spans="1:28" x14ac:dyDescent="0.2">
      <c r="A2746" t="s">
        <v>383</v>
      </c>
      <c r="B2746">
        <v>2013</v>
      </c>
      <c r="C2746" t="s">
        <v>807</v>
      </c>
      <c r="D2746" t="s">
        <v>825</v>
      </c>
      <c r="E2746" t="s">
        <v>35</v>
      </c>
      <c r="F2746" t="s">
        <v>384</v>
      </c>
      <c r="G2746">
        <v>39.083333000000003</v>
      </c>
      <c r="H2746">
        <v>142.85</v>
      </c>
      <c r="I2746" t="s">
        <v>761</v>
      </c>
      <c r="J2746" s="2" t="s">
        <v>14</v>
      </c>
      <c r="K2746" t="s">
        <v>385</v>
      </c>
      <c r="L2746" t="s">
        <v>143</v>
      </c>
      <c r="M2746" t="s">
        <v>12</v>
      </c>
      <c r="N2746" t="s">
        <v>85</v>
      </c>
      <c r="O2746" s="6" t="s">
        <v>12</v>
      </c>
      <c r="P2746" t="s">
        <v>70</v>
      </c>
      <c r="Q2746">
        <v>8</v>
      </c>
      <c r="R2746" t="s">
        <v>214</v>
      </c>
      <c r="S2746" s="2" t="s">
        <v>9</v>
      </c>
      <c r="T2746">
        <v>3</v>
      </c>
      <c r="U2746" t="s">
        <v>28</v>
      </c>
      <c r="V2746" t="s">
        <v>28</v>
      </c>
      <c r="W2746">
        <v>18</v>
      </c>
      <c r="X2746">
        <v>100</v>
      </c>
      <c r="Y2746">
        <v>0</v>
      </c>
      <c r="AA2746" s="6"/>
      <c r="AB2746" s="6"/>
    </row>
    <row r="2747" spans="1:28" x14ac:dyDescent="0.2">
      <c r="A2747" t="s">
        <v>383</v>
      </c>
      <c r="B2747">
        <v>2013</v>
      </c>
      <c r="C2747" t="s">
        <v>807</v>
      </c>
      <c r="D2747" t="s">
        <v>825</v>
      </c>
      <c r="E2747" t="s">
        <v>35</v>
      </c>
      <c r="F2747" t="s">
        <v>384</v>
      </c>
      <c r="G2747">
        <v>39.083333000000003</v>
      </c>
      <c r="H2747">
        <v>142.85</v>
      </c>
      <c r="I2747" t="s">
        <v>761</v>
      </c>
      <c r="J2747" s="2" t="s">
        <v>14</v>
      </c>
      <c r="K2747" t="s">
        <v>385</v>
      </c>
      <c r="L2747" t="s">
        <v>143</v>
      </c>
      <c r="M2747" t="s">
        <v>12</v>
      </c>
      <c r="N2747" t="s">
        <v>85</v>
      </c>
      <c r="O2747" s="6" t="s">
        <v>12</v>
      </c>
      <c r="P2747" t="s">
        <v>70</v>
      </c>
      <c r="Q2747">
        <v>9</v>
      </c>
      <c r="R2747" t="s">
        <v>214</v>
      </c>
      <c r="S2747" s="2" t="s">
        <v>9</v>
      </c>
      <c r="T2747">
        <v>3</v>
      </c>
      <c r="U2747" t="s">
        <v>28</v>
      </c>
      <c r="V2747" t="s">
        <v>28</v>
      </c>
      <c r="W2747">
        <v>18</v>
      </c>
      <c r="X2747">
        <v>100</v>
      </c>
      <c r="Y2747">
        <v>0</v>
      </c>
      <c r="AA2747" s="6"/>
      <c r="AB2747" s="6"/>
    </row>
    <row r="2748" spans="1:28" x14ac:dyDescent="0.2">
      <c r="A2748" t="s">
        <v>383</v>
      </c>
      <c r="B2748">
        <v>2013</v>
      </c>
      <c r="C2748" t="s">
        <v>807</v>
      </c>
      <c r="D2748" t="s">
        <v>825</v>
      </c>
      <c r="E2748" t="s">
        <v>35</v>
      </c>
      <c r="F2748" t="s">
        <v>384</v>
      </c>
      <c r="G2748">
        <v>39.083333000000003</v>
      </c>
      <c r="H2748">
        <v>142.85</v>
      </c>
      <c r="I2748" t="s">
        <v>761</v>
      </c>
      <c r="J2748" s="2" t="s">
        <v>14</v>
      </c>
      <c r="K2748" t="s">
        <v>385</v>
      </c>
      <c r="L2748" t="s">
        <v>143</v>
      </c>
      <c r="M2748" t="s">
        <v>12</v>
      </c>
      <c r="N2748" t="s">
        <v>85</v>
      </c>
      <c r="O2748" s="6" t="s">
        <v>12</v>
      </c>
      <c r="P2748" t="s">
        <v>70</v>
      </c>
      <c r="Q2748">
        <v>10</v>
      </c>
      <c r="R2748" t="s">
        <v>214</v>
      </c>
      <c r="S2748" s="2" t="s">
        <v>9</v>
      </c>
      <c r="T2748">
        <v>3</v>
      </c>
      <c r="U2748" t="s">
        <v>28</v>
      </c>
      <c r="V2748" t="s">
        <v>28</v>
      </c>
      <c r="W2748">
        <v>18</v>
      </c>
      <c r="X2748">
        <v>100</v>
      </c>
      <c r="Y2748">
        <v>0</v>
      </c>
      <c r="AA2748" s="6"/>
      <c r="AB2748" s="6"/>
    </row>
    <row r="2749" spans="1:28" x14ac:dyDescent="0.2">
      <c r="A2749" t="s">
        <v>383</v>
      </c>
      <c r="B2749">
        <v>2013</v>
      </c>
      <c r="C2749" t="s">
        <v>807</v>
      </c>
      <c r="D2749" t="s">
        <v>825</v>
      </c>
      <c r="E2749" t="s">
        <v>35</v>
      </c>
      <c r="F2749" t="s">
        <v>384</v>
      </c>
      <c r="G2749">
        <v>39.083333000000003</v>
      </c>
      <c r="H2749">
        <v>142.85</v>
      </c>
      <c r="I2749" t="s">
        <v>761</v>
      </c>
      <c r="J2749" s="2" t="s">
        <v>14</v>
      </c>
      <c r="K2749" t="s">
        <v>385</v>
      </c>
      <c r="L2749" t="s">
        <v>143</v>
      </c>
      <c r="M2749" t="s">
        <v>12</v>
      </c>
      <c r="N2749" t="s">
        <v>85</v>
      </c>
      <c r="O2749" s="6" t="s">
        <v>12</v>
      </c>
      <c r="P2749" t="s">
        <v>70</v>
      </c>
      <c r="Q2749">
        <v>11</v>
      </c>
      <c r="R2749" t="s">
        <v>214</v>
      </c>
      <c r="S2749" s="2" t="s">
        <v>9</v>
      </c>
      <c r="T2749">
        <v>3</v>
      </c>
      <c r="U2749" t="s">
        <v>28</v>
      </c>
      <c r="V2749" t="s">
        <v>28</v>
      </c>
      <c r="W2749">
        <v>18</v>
      </c>
      <c r="X2749">
        <v>100</v>
      </c>
      <c r="Y2749">
        <v>0</v>
      </c>
      <c r="AA2749" s="6"/>
      <c r="AB2749" s="6"/>
    </row>
    <row r="2750" spans="1:28" x14ac:dyDescent="0.2">
      <c r="A2750" t="s">
        <v>383</v>
      </c>
      <c r="B2750">
        <v>2013</v>
      </c>
      <c r="C2750" t="s">
        <v>807</v>
      </c>
      <c r="D2750" t="s">
        <v>825</v>
      </c>
      <c r="E2750" t="s">
        <v>35</v>
      </c>
      <c r="F2750" t="s">
        <v>384</v>
      </c>
      <c r="G2750">
        <v>39.083333000000003</v>
      </c>
      <c r="H2750">
        <v>142.85</v>
      </c>
      <c r="I2750" t="s">
        <v>761</v>
      </c>
      <c r="J2750" s="2" t="s">
        <v>14</v>
      </c>
      <c r="K2750" t="s">
        <v>385</v>
      </c>
      <c r="L2750" t="s">
        <v>143</v>
      </c>
      <c r="M2750" t="s">
        <v>12</v>
      </c>
      <c r="N2750" t="s">
        <v>85</v>
      </c>
      <c r="O2750" s="6" t="s">
        <v>12</v>
      </c>
      <c r="P2750" t="s">
        <v>70</v>
      </c>
      <c r="Q2750">
        <v>12</v>
      </c>
      <c r="R2750" t="s">
        <v>213</v>
      </c>
      <c r="S2750" s="2" t="s">
        <v>9</v>
      </c>
      <c r="T2750">
        <v>3</v>
      </c>
      <c r="U2750" t="s">
        <v>28</v>
      </c>
      <c r="V2750" t="s">
        <v>28</v>
      </c>
      <c r="W2750">
        <v>18</v>
      </c>
      <c r="X2750">
        <v>100</v>
      </c>
      <c r="Y2750">
        <v>0</v>
      </c>
      <c r="AA2750" s="6"/>
      <c r="AB2750" s="6"/>
    </row>
    <row r="2751" spans="1:28" x14ac:dyDescent="0.2">
      <c r="A2751" t="s">
        <v>383</v>
      </c>
      <c r="B2751">
        <v>2013</v>
      </c>
      <c r="C2751" t="s">
        <v>807</v>
      </c>
      <c r="D2751" t="s">
        <v>825</v>
      </c>
      <c r="E2751" t="s">
        <v>35</v>
      </c>
      <c r="F2751" t="s">
        <v>352</v>
      </c>
      <c r="G2751">
        <v>38.533332999999999</v>
      </c>
      <c r="H2751">
        <v>141.51666700000001</v>
      </c>
      <c r="I2751" t="s">
        <v>761</v>
      </c>
      <c r="J2751" s="2" t="s">
        <v>14</v>
      </c>
      <c r="K2751" t="s">
        <v>385</v>
      </c>
      <c r="L2751" t="s">
        <v>143</v>
      </c>
      <c r="M2751" t="s">
        <v>12</v>
      </c>
      <c r="N2751" t="s">
        <v>85</v>
      </c>
      <c r="O2751" s="6" t="s">
        <v>12</v>
      </c>
      <c r="P2751" t="s">
        <v>70</v>
      </c>
      <c r="Q2751">
        <v>1</v>
      </c>
      <c r="R2751" t="s">
        <v>214</v>
      </c>
      <c r="S2751" s="2" t="s">
        <v>9</v>
      </c>
      <c r="T2751">
        <v>3</v>
      </c>
      <c r="U2751" t="s">
        <v>28</v>
      </c>
      <c r="V2751" t="s">
        <v>28</v>
      </c>
      <c r="W2751">
        <v>18</v>
      </c>
      <c r="X2751">
        <v>100</v>
      </c>
      <c r="Y2751">
        <v>0</v>
      </c>
      <c r="AA2751" s="6"/>
      <c r="AB2751" s="6"/>
    </row>
    <row r="2752" spans="1:28" x14ac:dyDescent="0.2">
      <c r="A2752" t="s">
        <v>383</v>
      </c>
      <c r="B2752">
        <v>2013</v>
      </c>
      <c r="C2752" t="s">
        <v>807</v>
      </c>
      <c r="D2752" t="s">
        <v>825</v>
      </c>
      <c r="E2752" t="s">
        <v>35</v>
      </c>
      <c r="F2752" t="s">
        <v>352</v>
      </c>
      <c r="G2752">
        <v>38.533332999999999</v>
      </c>
      <c r="H2752">
        <v>141.51666700000001</v>
      </c>
      <c r="I2752" t="s">
        <v>761</v>
      </c>
      <c r="J2752" s="2" t="s">
        <v>14</v>
      </c>
      <c r="K2752" t="s">
        <v>385</v>
      </c>
      <c r="L2752" t="s">
        <v>143</v>
      </c>
      <c r="M2752" t="s">
        <v>12</v>
      </c>
      <c r="N2752" t="s">
        <v>85</v>
      </c>
      <c r="O2752" s="6" t="s">
        <v>12</v>
      </c>
      <c r="P2752" t="s">
        <v>70</v>
      </c>
      <c r="Q2752">
        <v>2</v>
      </c>
      <c r="R2752" t="s">
        <v>214</v>
      </c>
      <c r="S2752" s="2" t="s">
        <v>9</v>
      </c>
      <c r="T2752">
        <v>3</v>
      </c>
      <c r="U2752" t="s">
        <v>28</v>
      </c>
      <c r="V2752" t="s">
        <v>28</v>
      </c>
      <c r="W2752">
        <v>18</v>
      </c>
      <c r="X2752">
        <v>100</v>
      </c>
      <c r="Y2752">
        <v>0</v>
      </c>
      <c r="AA2752" s="6"/>
      <c r="AB2752" s="6"/>
    </row>
    <row r="2753" spans="1:28" x14ac:dyDescent="0.2">
      <c r="A2753" t="s">
        <v>383</v>
      </c>
      <c r="B2753">
        <v>2013</v>
      </c>
      <c r="C2753" t="s">
        <v>807</v>
      </c>
      <c r="D2753" t="s">
        <v>825</v>
      </c>
      <c r="E2753" t="s">
        <v>35</v>
      </c>
      <c r="F2753" t="s">
        <v>352</v>
      </c>
      <c r="G2753">
        <v>38.533332999999999</v>
      </c>
      <c r="H2753">
        <v>141.51666700000001</v>
      </c>
      <c r="I2753" t="s">
        <v>761</v>
      </c>
      <c r="J2753" s="2" t="s">
        <v>14</v>
      </c>
      <c r="K2753" t="s">
        <v>385</v>
      </c>
      <c r="L2753" t="s">
        <v>143</v>
      </c>
      <c r="M2753" t="s">
        <v>12</v>
      </c>
      <c r="N2753" t="s">
        <v>85</v>
      </c>
      <c r="O2753" s="6" t="s">
        <v>12</v>
      </c>
      <c r="P2753" t="s">
        <v>70</v>
      </c>
      <c r="Q2753">
        <v>3</v>
      </c>
      <c r="R2753" t="s">
        <v>214</v>
      </c>
      <c r="S2753" s="2" t="s">
        <v>9</v>
      </c>
      <c r="T2753">
        <v>3</v>
      </c>
      <c r="U2753" t="s">
        <v>28</v>
      </c>
      <c r="V2753" t="s">
        <v>28</v>
      </c>
      <c r="W2753">
        <v>18</v>
      </c>
      <c r="X2753">
        <v>100</v>
      </c>
      <c r="Y2753">
        <v>0</v>
      </c>
      <c r="AA2753" s="6"/>
      <c r="AB2753" s="6"/>
    </row>
    <row r="2754" spans="1:28" x14ac:dyDescent="0.2">
      <c r="A2754" t="s">
        <v>383</v>
      </c>
      <c r="B2754">
        <v>2013</v>
      </c>
      <c r="C2754" t="s">
        <v>807</v>
      </c>
      <c r="D2754" t="s">
        <v>825</v>
      </c>
      <c r="E2754" t="s">
        <v>35</v>
      </c>
      <c r="F2754" t="s">
        <v>352</v>
      </c>
      <c r="G2754">
        <v>38.533332999999999</v>
      </c>
      <c r="H2754">
        <v>141.51666700000001</v>
      </c>
      <c r="I2754" t="s">
        <v>761</v>
      </c>
      <c r="J2754" s="2" t="s">
        <v>14</v>
      </c>
      <c r="K2754" t="s">
        <v>385</v>
      </c>
      <c r="L2754" t="s">
        <v>143</v>
      </c>
      <c r="M2754" t="s">
        <v>12</v>
      </c>
      <c r="N2754" t="s">
        <v>85</v>
      </c>
      <c r="O2754" s="6" t="s">
        <v>12</v>
      </c>
      <c r="P2754" t="s">
        <v>70</v>
      </c>
      <c r="Q2754">
        <v>4</v>
      </c>
      <c r="R2754" t="s">
        <v>214</v>
      </c>
      <c r="S2754" s="2" t="s">
        <v>9</v>
      </c>
      <c r="T2754">
        <v>3</v>
      </c>
      <c r="U2754" t="s">
        <v>28</v>
      </c>
      <c r="V2754" t="s">
        <v>28</v>
      </c>
      <c r="W2754">
        <v>18</v>
      </c>
      <c r="X2754">
        <v>100</v>
      </c>
      <c r="Y2754">
        <v>0</v>
      </c>
      <c r="AA2754" s="6"/>
      <c r="AB2754" s="6"/>
    </row>
    <row r="2755" spans="1:28" x14ac:dyDescent="0.2">
      <c r="A2755" t="s">
        <v>383</v>
      </c>
      <c r="B2755">
        <v>2013</v>
      </c>
      <c r="C2755" t="s">
        <v>807</v>
      </c>
      <c r="D2755" t="s">
        <v>825</v>
      </c>
      <c r="E2755" t="s">
        <v>35</v>
      </c>
      <c r="F2755" t="s">
        <v>352</v>
      </c>
      <c r="G2755">
        <v>38.533332999999999</v>
      </c>
      <c r="H2755">
        <v>141.51666700000001</v>
      </c>
      <c r="I2755" t="s">
        <v>761</v>
      </c>
      <c r="J2755" s="2" t="s">
        <v>14</v>
      </c>
      <c r="K2755" t="s">
        <v>385</v>
      </c>
      <c r="L2755" t="s">
        <v>143</v>
      </c>
      <c r="M2755" t="s">
        <v>12</v>
      </c>
      <c r="N2755" t="s">
        <v>85</v>
      </c>
      <c r="O2755" s="6" t="s">
        <v>12</v>
      </c>
      <c r="P2755" t="s">
        <v>70</v>
      </c>
      <c r="Q2755">
        <v>5</v>
      </c>
      <c r="R2755" t="s">
        <v>214</v>
      </c>
      <c r="S2755" s="2" t="s">
        <v>9</v>
      </c>
      <c r="T2755">
        <v>3</v>
      </c>
      <c r="U2755" t="s">
        <v>28</v>
      </c>
      <c r="V2755" t="s">
        <v>28</v>
      </c>
      <c r="W2755">
        <v>18</v>
      </c>
      <c r="X2755">
        <v>100</v>
      </c>
      <c r="Y2755">
        <v>0</v>
      </c>
      <c r="AA2755" s="6"/>
      <c r="AB2755" s="6"/>
    </row>
    <row r="2756" spans="1:28" x14ac:dyDescent="0.2">
      <c r="A2756" t="s">
        <v>383</v>
      </c>
      <c r="B2756">
        <v>2013</v>
      </c>
      <c r="C2756" t="s">
        <v>807</v>
      </c>
      <c r="D2756" t="s">
        <v>825</v>
      </c>
      <c r="E2756" t="s">
        <v>35</v>
      </c>
      <c r="F2756" t="s">
        <v>352</v>
      </c>
      <c r="G2756">
        <v>38.533332999999999</v>
      </c>
      <c r="H2756">
        <v>141.51666700000001</v>
      </c>
      <c r="I2756" t="s">
        <v>761</v>
      </c>
      <c r="J2756" s="2" t="s">
        <v>14</v>
      </c>
      <c r="K2756" t="s">
        <v>385</v>
      </c>
      <c r="L2756" t="s">
        <v>143</v>
      </c>
      <c r="M2756" t="s">
        <v>12</v>
      </c>
      <c r="N2756" t="s">
        <v>85</v>
      </c>
      <c r="O2756" s="6" t="s">
        <v>12</v>
      </c>
      <c r="P2756" t="s">
        <v>70</v>
      </c>
      <c r="Q2756">
        <v>6</v>
      </c>
      <c r="R2756" t="s">
        <v>214</v>
      </c>
      <c r="S2756" s="2" t="s">
        <v>9</v>
      </c>
      <c r="T2756">
        <v>3</v>
      </c>
      <c r="U2756" t="s">
        <v>28</v>
      </c>
      <c r="V2756" t="s">
        <v>28</v>
      </c>
      <c r="W2756">
        <v>18</v>
      </c>
      <c r="X2756">
        <v>100</v>
      </c>
      <c r="Y2756">
        <v>0</v>
      </c>
      <c r="AA2756" s="6"/>
      <c r="AB2756" s="6"/>
    </row>
    <row r="2757" spans="1:28" x14ac:dyDescent="0.2">
      <c r="A2757" t="s">
        <v>383</v>
      </c>
      <c r="B2757">
        <v>2013</v>
      </c>
      <c r="C2757" t="s">
        <v>807</v>
      </c>
      <c r="D2757" t="s">
        <v>825</v>
      </c>
      <c r="E2757" t="s">
        <v>35</v>
      </c>
      <c r="F2757" t="s">
        <v>352</v>
      </c>
      <c r="G2757">
        <v>38.533332999999999</v>
      </c>
      <c r="H2757">
        <v>141.51666700000001</v>
      </c>
      <c r="I2757" t="s">
        <v>761</v>
      </c>
      <c r="J2757" s="2" t="s">
        <v>14</v>
      </c>
      <c r="K2757" t="s">
        <v>385</v>
      </c>
      <c r="L2757" t="s">
        <v>143</v>
      </c>
      <c r="M2757" t="s">
        <v>12</v>
      </c>
      <c r="N2757" t="s">
        <v>85</v>
      </c>
      <c r="O2757" s="6" t="s">
        <v>12</v>
      </c>
      <c r="P2757" t="s">
        <v>70</v>
      </c>
      <c r="Q2757">
        <v>7</v>
      </c>
      <c r="R2757" t="s">
        <v>214</v>
      </c>
      <c r="S2757" s="2" t="s">
        <v>9</v>
      </c>
      <c r="T2757">
        <v>3</v>
      </c>
      <c r="U2757" t="s">
        <v>28</v>
      </c>
      <c r="V2757" t="s">
        <v>28</v>
      </c>
      <c r="W2757">
        <v>18</v>
      </c>
      <c r="X2757">
        <v>100</v>
      </c>
      <c r="Y2757">
        <v>0</v>
      </c>
      <c r="AA2757" s="6"/>
      <c r="AB2757" s="6"/>
    </row>
    <row r="2758" spans="1:28" x14ac:dyDescent="0.2">
      <c r="A2758" t="s">
        <v>383</v>
      </c>
      <c r="B2758">
        <v>2013</v>
      </c>
      <c r="C2758" t="s">
        <v>807</v>
      </c>
      <c r="D2758" t="s">
        <v>825</v>
      </c>
      <c r="E2758" t="s">
        <v>35</v>
      </c>
      <c r="F2758" t="s">
        <v>352</v>
      </c>
      <c r="G2758">
        <v>38.533332999999999</v>
      </c>
      <c r="H2758">
        <v>141.51666700000001</v>
      </c>
      <c r="I2758" t="s">
        <v>761</v>
      </c>
      <c r="J2758" s="2" t="s">
        <v>14</v>
      </c>
      <c r="K2758" t="s">
        <v>385</v>
      </c>
      <c r="L2758" t="s">
        <v>143</v>
      </c>
      <c r="M2758" t="s">
        <v>12</v>
      </c>
      <c r="N2758" t="s">
        <v>85</v>
      </c>
      <c r="O2758" s="6" t="s">
        <v>12</v>
      </c>
      <c r="P2758" t="s">
        <v>70</v>
      </c>
      <c r="Q2758">
        <v>8</v>
      </c>
      <c r="R2758" t="s">
        <v>214</v>
      </c>
      <c r="S2758" s="2" t="s">
        <v>9</v>
      </c>
      <c r="T2758">
        <v>3</v>
      </c>
      <c r="U2758" t="s">
        <v>28</v>
      </c>
      <c r="V2758" t="s">
        <v>28</v>
      </c>
      <c r="W2758">
        <v>18</v>
      </c>
      <c r="X2758">
        <v>100</v>
      </c>
      <c r="Y2758">
        <v>0</v>
      </c>
      <c r="AA2758" s="6"/>
      <c r="AB2758" s="6"/>
    </row>
    <row r="2759" spans="1:28" x14ac:dyDescent="0.2">
      <c r="A2759" t="s">
        <v>383</v>
      </c>
      <c r="B2759">
        <v>2013</v>
      </c>
      <c r="C2759" t="s">
        <v>807</v>
      </c>
      <c r="D2759" t="s">
        <v>825</v>
      </c>
      <c r="E2759" t="s">
        <v>35</v>
      </c>
      <c r="F2759" t="s">
        <v>352</v>
      </c>
      <c r="G2759">
        <v>38.533332999999999</v>
      </c>
      <c r="H2759">
        <v>141.51666700000001</v>
      </c>
      <c r="I2759" t="s">
        <v>761</v>
      </c>
      <c r="J2759" s="2" t="s">
        <v>14</v>
      </c>
      <c r="K2759" t="s">
        <v>385</v>
      </c>
      <c r="L2759" t="s">
        <v>143</v>
      </c>
      <c r="M2759" t="s">
        <v>12</v>
      </c>
      <c r="N2759" t="s">
        <v>85</v>
      </c>
      <c r="O2759" s="6" t="s">
        <v>12</v>
      </c>
      <c r="P2759" t="s">
        <v>70</v>
      </c>
      <c r="Q2759">
        <v>9</v>
      </c>
      <c r="R2759" t="s">
        <v>214</v>
      </c>
      <c r="S2759" s="2" t="s">
        <v>9</v>
      </c>
      <c r="T2759">
        <v>3</v>
      </c>
      <c r="U2759" t="s">
        <v>28</v>
      </c>
      <c r="V2759" t="s">
        <v>28</v>
      </c>
      <c r="W2759">
        <v>18</v>
      </c>
      <c r="X2759">
        <v>100</v>
      </c>
      <c r="Y2759">
        <v>0</v>
      </c>
      <c r="AA2759" s="6"/>
      <c r="AB2759" s="6"/>
    </row>
    <row r="2760" spans="1:28" x14ac:dyDescent="0.2">
      <c r="A2760" t="s">
        <v>383</v>
      </c>
      <c r="B2760">
        <v>2013</v>
      </c>
      <c r="C2760" t="s">
        <v>807</v>
      </c>
      <c r="D2760" t="s">
        <v>825</v>
      </c>
      <c r="E2760" t="s">
        <v>35</v>
      </c>
      <c r="F2760" t="s">
        <v>352</v>
      </c>
      <c r="G2760">
        <v>38.533332999999999</v>
      </c>
      <c r="H2760">
        <v>141.51666700000001</v>
      </c>
      <c r="I2760" t="s">
        <v>761</v>
      </c>
      <c r="J2760" s="2" t="s">
        <v>14</v>
      </c>
      <c r="K2760" t="s">
        <v>385</v>
      </c>
      <c r="L2760" t="s">
        <v>143</v>
      </c>
      <c r="M2760" t="s">
        <v>12</v>
      </c>
      <c r="N2760" t="s">
        <v>85</v>
      </c>
      <c r="O2760" s="6" t="s">
        <v>12</v>
      </c>
      <c r="P2760" t="s">
        <v>70</v>
      </c>
      <c r="Q2760">
        <v>10</v>
      </c>
      <c r="R2760" t="s">
        <v>214</v>
      </c>
      <c r="S2760" s="2" t="s">
        <v>9</v>
      </c>
      <c r="T2760">
        <v>3</v>
      </c>
      <c r="U2760" t="s">
        <v>28</v>
      </c>
      <c r="V2760" t="s">
        <v>28</v>
      </c>
      <c r="W2760">
        <v>18</v>
      </c>
      <c r="X2760">
        <v>100</v>
      </c>
      <c r="Y2760">
        <v>0</v>
      </c>
      <c r="AA2760" s="6"/>
      <c r="AB2760" s="6"/>
    </row>
    <row r="2761" spans="1:28" x14ac:dyDescent="0.2">
      <c r="A2761" t="s">
        <v>383</v>
      </c>
      <c r="B2761">
        <v>2013</v>
      </c>
      <c r="C2761" t="s">
        <v>807</v>
      </c>
      <c r="D2761" t="s">
        <v>825</v>
      </c>
      <c r="E2761" t="s">
        <v>35</v>
      </c>
      <c r="F2761" t="s">
        <v>352</v>
      </c>
      <c r="G2761">
        <v>38.533332999999999</v>
      </c>
      <c r="H2761">
        <v>141.51666700000001</v>
      </c>
      <c r="I2761" t="s">
        <v>761</v>
      </c>
      <c r="J2761" s="2" t="s">
        <v>14</v>
      </c>
      <c r="K2761" t="s">
        <v>385</v>
      </c>
      <c r="L2761" t="s">
        <v>143</v>
      </c>
      <c r="M2761" t="s">
        <v>12</v>
      </c>
      <c r="N2761" t="s">
        <v>85</v>
      </c>
      <c r="O2761" s="6" t="s">
        <v>12</v>
      </c>
      <c r="P2761" t="s">
        <v>70</v>
      </c>
      <c r="Q2761">
        <v>11</v>
      </c>
      <c r="R2761" t="s">
        <v>214</v>
      </c>
      <c r="S2761" s="2" t="s">
        <v>9</v>
      </c>
      <c r="T2761">
        <v>3</v>
      </c>
      <c r="U2761" t="s">
        <v>28</v>
      </c>
      <c r="V2761" t="s">
        <v>28</v>
      </c>
      <c r="W2761">
        <v>18</v>
      </c>
      <c r="X2761">
        <v>100</v>
      </c>
      <c r="Y2761">
        <v>0</v>
      </c>
      <c r="AA2761" s="6"/>
      <c r="AB2761" s="6"/>
    </row>
    <row r="2762" spans="1:28" x14ac:dyDescent="0.2">
      <c r="A2762" t="s">
        <v>383</v>
      </c>
      <c r="B2762">
        <v>2013</v>
      </c>
      <c r="C2762" t="s">
        <v>807</v>
      </c>
      <c r="D2762" t="s">
        <v>825</v>
      </c>
      <c r="E2762" t="s">
        <v>35</v>
      </c>
      <c r="F2762" t="s">
        <v>352</v>
      </c>
      <c r="G2762">
        <v>38.533332999999999</v>
      </c>
      <c r="H2762">
        <v>141.51666700000001</v>
      </c>
      <c r="I2762" t="s">
        <v>761</v>
      </c>
      <c r="J2762" s="2" t="s">
        <v>14</v>
      </c>
      <c r="K2762" t="s">
        <v>385</v>
      </c>
      <c r="L2762" t="s">
        <v>143</v>
      </c>
      <c r="M2762" t="s">
        <v>12</v>
      </c>
      <c r="N2762" t="s">
        <v>85</v>
      </c>
      <c r="O2762" s="6" t="s">
        <v>12</v>
      </c>
      <c r="P2762" t="s">
        <v>70</v>
      </c>
      <c r="Q2762">
        <v>12</v>
      </c>
      <c r="R2762" t="s">
        <v>213</v>
      </c>
      <c r="S2762" s="2" t="s">
        <v>9</v>
      </c>
      <c r="T2762">
        <v>3</v>
      </c>
      <c r="U2762" t="s">
        <v>28</v>
      </c>
      <c r="V2762" t="s">
        <v>28</v>
      </c>
      <c r="W2762">
        <v>18</v>
      </c>
      <c r="X2762">
        <v>100</v>
      </c>
      <c r="Y2762">
        <v>0</v>
      </c>
      <c r="AA2762" s="6"/>
      <c r="AB2762" s="6"/>
    </row>
    <row r="2763" spans="1:28" x14ac:dyDescent="0.2">
      <c r="A2763" t="s">
        <v>383</v>
      </c>
      <c r="B2763">
        <v>2013</v>
      </c>
      <c r="C2763" t="s">
        <v>807</v>
      </c>
      <c r="D2763" t="s">
        <v>825</v>
      </c>
      <c r="E2763" t="s">
        <v>35</v>
      </c>
      <c r="F2763" t="s">
        <v>353</v>
      </c>
      <c r="G2763">
        <v>34.216667000000001</v>
      </c>
      <c r="H2763">
        <v>135.61666700000001</v>
      </c>
      <c r="I2763" t="s">
        <v>761</v>
      </c>
      <c r="J2763" s="2" t="s">
        <v>14</v>
      </c>
      <c r="K2763" t="s">
        <v>385</v>
      </c>
      <c r="L2763" t="s">
        <v>143</v>
      </c>
      <c r="M2763" t="s">
        <v>12</v>
      </c>
      <c r="N2763" t="s">
        <v>85</v>
      </c>
      <c r="O2763" s="6" t="s">
        <v>12</v>
      </c>
      <c r="P2763" t="s">
        <v>70</v>
      </c>
      <c r="Q2763">
        <v>1</v>
      </c>
      <c r="R2763" t="s">
        <v>214</v>
      </c>
      <c r="S2763" s="2" t="s">
        <v>9</v>
      </c>
      <c r="T2763">
        <v>3</v>
      </c>
      <c r="U2763" t="s">
        <v>28</v>
      </c>
      <c r="V2763" t="s">
        <v>28</v>
      </c>
      <c r="W2763">
        <v>18</v>
      </c>
      <c r="X2763">
        <v>100</v>
      </c>
      <c r="Y2763">
        <v>0</v>
      </c>
      <c r="AA2763" s="6"/>
      <c r="AB2763" s="6"/>
    </row>
    <row r="2764" spans="1:28" x14ac:dyDescent="0.2">
      <c r="A2764" t="s">
        <v>383</v>
      </c>
      <c r="B2764">
        <v>2013</v>
      </c>
      <c r="C2764" t="s">
        <v>807</v>
      </c>
      <c r="D2764" t="s">
        <v>825</v>
      </c>
      <c r="E2764" t="s">
        <v>35</v>
      </c>
      <c r="F2764" t="s">
        <v>353</v>
      </c>
      <c r="G2764">
        <v>34.216667000000001</v>
      </c>
      <c r="H2764">
        <v>135.61666700000001</v>
      </c>
      <c r="I2764" t="s">
        <v>761</v>
      </c>
      <c r="J2764" s="2" t="s">
        <v>14</v>
      </c>
      <c r="K2764" t="s">
        <v>385</v>
      </c>
      <c r="L2764" t="s">
        <v>143</v>
      </c>
      <c r="M2764" t="s">
        <v>12</v>
      </c>
      <c r="N2764" t="s">
        <v>85</v>
      </c>
      <c r="O2764" s="6" t="s">
        <v>12</v>
      </c>
      <c r="P2764" t="s">
        <v>70</v>
      </c>
      <c r="Q2764">
        <v>2</v>
      </c>
      <c r="R2764" t="s">
        <v>214</v>
      </c>
      <c r="S2764" s="2" t="s">
        <v>9</v>
      </c>
      <c r="T2764">
        <v>3</v>
      </c>
      <c r="U2764" t="s">
        <v>28</v>
      </c>
      <c r="V2764" t="s">
        <v>28</v>
      </c>
      <c r="W2764">
        <v>18</v>
      </c>
      <c r="X2764">
        <v>100</v>
      </c>
      <c r="Y2764">
        <v>0</v>
      </c>
      <c r="AA2764" s="6"/>
      <c r="AB2764" s="6"/>
    </row>
    <row r="2765" spans="1:28" x14ac:dyDescent="0.2">
      <c r="A2765" t="s">
        <v>383</v>
      </c>
      <c r="B2765">
        <v>2013</v>
      </c>
      <c r="C2765" t="s">
        <v>807</v>
      </c>
      <c r="D2765" t="s">
        <v>825</v>
      </c>
      <c r="E2765" t="s">
        <v>35</v>
      </c>
      <c r="F2765" t="s">
        <v>353</v>
      </c>
      <c r="G2765">
        <v>34.216667000000001</v>
      </c>
      <c r="H2765">
        <v>135.61666700000001</v>
      </c>
      <c r="I2765" t="s">
        <v>761</v>
      </c>
      <c r="J2765" s="2" t="s">
        <v>14</v>
      </c>
      <c r="K2765" t="s">
        <v>385</v>
      </c>
      <c r="L2765" t="s">
        <v>143</v>
      </c>
      <c r="M2765" t="s">
        <v>12</v>
      </c>
      <c r="N2765" t="s">
        <v>85</v>
      </c>
      <c r="O2765" s="6" t="s">
        <v>12</v>
      </c>
      <c r="P2765" t="s">
        <v>70</v>
      </c>
      <c r="Q2765">
        <v>3</v>
      </c>
      <c r="R2765" t="s">
        <v>214</v>
      </c>
      <c r="S2765" s="2" t="s">
        <v>9</v>
      </c>
      <c r="T2765">
        <v>3</v>
      </c>
      <c r="U2765" t="s">
        <v>28</v>
      </c>
      <c r="V2765" t="s">
        <v>28</v>
      </c>
      <c r="W2765">
        <v>18</v>
      </c>
      <c r="X2765">
        <v>100</v>
      </c>
      <c r="Y2765">
        <v>0</v>
      </c>
      <c r="AA2765" s="6"/>
      <c r="AB2765" s="6"/>
    </row>
    <row r="2766" spans="1:28" x14ac:dyDescent="0.2">
      <c r="A2766" t="s">
        <v>383</v>
      </c>
      <c r="B2766">
        <v>2013</v>
      </c>
      <c r="C2766" t="s">
        <v>807</v>
      </c>
      <c r="D2766" t="s">
        <v>825</v>
      </c>
      <c r="E2766" t="s">
        <v>35</v>
      </c>
      <c r="F2766" t="s">
        <v>353</v>
      </c>
      <c r="G2766">
        <v>34.216667000000001</v>
      </c>
      <c r="H2766">
        <v>135.61666700000001</v>
      </c>
      <c r="I2766" t="s">
        <v>761</v>
      </c>
      <c r="J2766" s="2" t="s">
        <v>14</v>
      </c>
      <c r="K2766" t="s">
        <v>385</v>
      </c>
      <c r="L2766" t="s">
        <v>143</v>
      </c>
      <c r="M2766" t="s">
        <v>12</v>
      </c>
      <c r="N2766" t="s">
        <v>85</v>
      </c>
      <c r="O2766" s="6" t="s">
        <v>12</v>
      </c>
      <c r="P2766" t="s">
        <v>70</v>
      </c>
      <c r="Q2766">
        <v>4</v>
      </c>
      <c r="R2766" t="s">
        <v>214</v>
      </c>
      <c r="S2766" s="2" t="s">
        <v>9</v>
      </c>
      <c r="T2766">
        <v>3</v>
      </c>
      <c r="U2766" t="s">
        <v>28</v>
      </c>
      <c r="V2766" t="s">
        <v>28</v>
      </c>
      <c r="W2766">
        <v>18</v>
      </c>
      <c r="X2766">
        <v>100</v>
      </c>
      <c r="Y2766">
        <v>0</v>
      </c>
      <c r="AA2766" s="6"/>
      <c r="AB2766" s="6"/>
    </row>
    <row r="2767" spans="1:28" x14ac:dyDescent="0.2">
      <c r="A2767" t="s">
        <v>383</v>
      </c>
      <c r="B2767">
        <v>2013</v>
      </c>
      <c r="C2767" t="s">
        <v>807</v>
      </c>
      <c r="D2767" t="s">
        <v>825</v>
      </c>
      <c r="E2767" t="s">
        <v>35</v>
      </c>
      <c r="F2767" t="s">
        <v>353</v>
      </c>
      <c r="G2767">
        <v>34.216667000000001</v>
      </c>
      <c r="H2767">
        <v>135.61666700000001</v>
      </c>
      <c r="I2767" t="s">
        <v>761</v>
      </c>
      <c r="J2767" s="2" t="s">
        <v>14</v>
      </c>
      <c r="K2767" t="s">
        <v>385</v>
      </c>
      <c r="L2767" t="s">
        <v>143</v>
      </c>
      <c r="M2767" t="s">
        <v>12</v>
      </c>
      <c r="N2767" t="s">
        <v>85</v>
      </c>
      <c r="O2767" s="6" t="s">
        <v>12</v>
      </c>
      <c r="P2767" t="s">
        <v>70</v>
      </c>
      <c r="Q2767">
        <v>5</v>
      </c>
      <c r="R2767" t="s">
        <v>214</v>
      </c>
      <c r="S2767" s="2" t="s">
        <v>9</v>
      </c>
      <c r="T2767">
        <v>3</v>
      </c>
      <c r="U2767" t="s">
        <v>28</v>
      </c>
      <c r="V2767" t="s">
        <v>28</v>
      </c>
      <c r="W2767">
        <v>18</v>
      </c>
      <c r="X2767">
        <v>100</v>
      </c>
      <c r="Y2767">
        <v>0</v>
      </c>
      <c r="AA2767" s="6"/>
      <c r="AB2767" s="6"/>
    </row>
    <row r="2768" spans="1:28" x14ac:dyDescent="0.2">
      <c r="A2768" t="s">
        <v>383</v>
      </c>
      <c r="B2768">
        <v>2013</v>
      </c>
      <c r="C2768" t="s">
        <v>807</v>
      </c>
      <c r="D2768" t="s">
        <v>825</v>
      </c>
      <c r="E2768" t="s">
        <v>35</v>
      </c>
      <c r="F2768" t="s">
        <v>353</v>
      </c>
      <c r="G2768">
        <v>34.216667000000001</v>
      </c>
      <c r="H2768">
        <v>135.61666700000001</v>
      </c>
      <c r="I2768" t="s">
        <v>761</v>
      </c>
      <c r="J2768" s="2" t="s">
        <v>14</v>
      </c>
      <c r="K2768" t="s">
        <v>385</v>
      </c>
      <c r="L2768" t="s">
        <v>143</v>
      </c>
      <c r="M2768" t="s">
        <v>12</v>
      </c>
      <c r="N2768" t="s">
        <v>85</v>
      </c>
      <c r="O2768" s="6" t="s">
        <v>12</v>
      </c>
      <c r="P2768" t="s">
        <v>70</v>
      </c>
      <c r="Q2768">
        <v>6</v>
      </c>
      <c r="R2768" t="s">
        <v>214</v>
      </c>
      <c r="S2768" s="2" t="s">
        <v>9</v>
      </c>
      <c r="T2768">
        <v>3</v>
      </c>
      <c r="U2768" t="s">
        <v>28</v>
      </c>
      <c r="V2768" t="s">
        <v>28</v>
      </c>
      <c r="W2768">
        <v>18</v>
      </c>
      <c r="X2768">
        <v>100</v>
      </c>
      <c r="Y2768">
        <v>0</v>
      </c>
      <c r="AA2768" s="6"/>
      <c r="AB2768" s="6"/>
    </row>
    <row r="2769" spans="1:28" x14ac:dyDescent="0.2">
      <c r="A2769" t="s">
        <v>383</v>
      </c>
      <c r="B2769">
        <v>2013</v>
      </c>
      <c r="C2769" t="s">
        <v>807</v>
      </c>
      <c r="D2769" t="s">
        <v>825</v>
      </c>
      <c r="E2769" t="s">
        <v>35</v>
      </c>
      <c r="F2769" t="s">
        <v>353</v>
      </c>
      <c r="G2769">
        <v>34.216667000000001</v>
      </c>
      <c r="H2769">
        <v>135.61666700000001</v>
      </c>
      <c r="I2769" t="s">
        <v>761</v>
      </c>
      <c r="J2769" s="2" t="s">
        <v>14</v>
      </c>
      <c r="K2769" t="s">
        <v>385</v>
      </c>
      <c r="L2769" t="s">
        <v>143</v>
      </c>
      <c r="M2769" t="s">
        <v>12</v>
      </c>
      <c r="N2769" t="s">
        <v>85</v>
      </c>
      <c r="O2769" s="6" t="s">
        <v>12</v>
      </c>
      <c r="P2769" t="s">
        <v>70</v>
      </c>
      <c r="Q2769">
        <v>7</v>
      </c>
      <c r="R2769" t="s">
        <v>214</v>
      </c>
      <c r="S2769" s="2" t="s">
        <v>9</v>
      </c>
      <c r="T2769">
        <v>3</v>
      </c>
      <c r="U2769" t="s">
        <v>28</v>
      </c>
      <c r="V2769" t="s">
        <v>28</v>
      </c>
      <c r="W2769">
        <v>18</v>
      </c>
      <c r="X2769">
        <v>100</v>
      </c>
      <c r="Y2769">
        <v>0</v>
      </c>
      <c r="AA2769" s="6"/>
      <c r="AB2769" s="6"/>
    </row>
    <row r="2770" spans="1:28" x14ac:dyDescent="0.2">
      <c r="A2770" t="s">
        <v>383</v>
      </c>
      <c r="B2770">
        <v>2013</v>
      </c>
      <c r="C2770" t="s">
        <v>807</v>
      </c>
      <c r="D2770" t="s">
        <v>825</v>
      </c>
      <c r="E2770" t="s">
        <v>35</v>
      </c>
      <c r="F2770" t="s">
        <v>353</v>
      </c>
      <c r="G2770">
        <v>34.216667000000001</v>
      </c>
      <c r="H2770">
        <v>135.61666700000001</v>
      </c>
      <c r="I2770" t="s">
        <v>761</v>
      </c>
      <c r="J2770" s="2" t="s">
        <v>14</v>
      </c>
      <c r="K2770" t="s">
        <v>385</v>
      </c>
      <c r="L2770" t="s">
        <v>143</v>
      </c>
      <c r="M2770" t="s">
        <v>12</v>
      </c>
      <c r="N2770" t="s">
        <v>85</v>
      </c>
      <c r="O2770" s="6" t="s">
        <v>12</v>
      </c>
      <c r="P2770" t="s">
        <v>70</v>
      </c>
      <c r="Q2770">
        <v>8</v>
      </c>
      <c r="R2770" t="s">
        <v>214</v>
      </c>
      <c r="S2770" s="2" t="s">
        <v>9</v>
      </c>
      <c r="T2770">
        <v>3</v>
      </c>
      <c r="U2770" t="s">
        <v>28</v>
      </c>
      <c r="V2770" t="s">
        <v>28</v>
      </c>
      <c r="W2770">
        <v>18</v>
      </c>
      <c r="X2770">
        <v>100</v>
      </c>
      <c r="Y2770">
        <v>0</v>
      </c>
      <c r="AA2770" s="6"/>
      <c r="AB2770" s="6"/>
    </row>
    <row r="2771" spans="1:28" x14ac:dyDescent="0.2">
      <c r="A2771" t="s">
        <v>383</v>
      </c>
      <c r="B2771">
        <v>2013</v>
      </c>
      <c r="C2771" t="s">
        <v>807</v>
      </c>
      <c r="D2771" t="s">
        <v>825</v>
      </c>
      <c r="E2771" t="s">
        <v>35</v>
      </c>
      <c r="F2771" t="s">
        <v>353</v>
      </c>
      <c r="G2771">
        <v>34.216667000000001</v>
      </c>
      <c r="H2771">
        <v>135.61666700000001</v>
      </c>
      <c r="I2771" t="s">
        <v>761</v>
      </c>
      <c r="J2771" s="2" t="s">
        <v>14</v>
      </c>
      <c r="K2771" t="s">
        <v>385</v>
      </c>
      <c r="L2771" t="s">
        <v>143</v>
      </c>
      <c r="M2771" t="s">
        <v>12</v>
      </c>
      <c r="N2771" t="s">
        <v>85</v>
      </c>
      <c r="O2771" s="6" t="s">
        <v>12</v>
      </c>
      <c r="P2771" t="s">
        <v>70</v>
      </c>
      <c r="Q2771">
        <v>9</v>
      </c>
      <c r="R2771" t="s">
        <v>214</v>
      </c>
      <c r="S2771" s="2" t="s">
        <v>9</v>
      </c>
      <c r="T2771">
        <v>3</v>
      </c>
      <c r="U2771" t="s">
        <v>28</v>
      </c>
      <c r="V2771" t="s">
        <v>28</v>
      </c>
      <c r="W2771">
        <v>18</v>
      </c>
      <c r="X2771">
        <v>100</v>
      </c>
      <c r="Y2771">
        <v>0</v>
      </c>
      <c r="AA2771" s="6"/>
      <c r="AB2771" s="6"/>
    </row>
    <row r="2772" spans="1:28" x14ac:dyDescent="0.2">
      <c r="A2772" t="s">
        <v>383</v>
      </c>
      <c r="B2772">
        <v>2013</v>
      </c>
      <c r="C2772" t="s">
        <v>807</v>
      </c>
      <c r="D2772" t="s">
        <v>825</v>
      </c>
      <c r="E2772" t="s">
        <v>35</v>
      </c>
      <c r="F2772" t="s">
        <v>353</v>
      </c>
      <c r="G2772">
        <v>34.216667000000001</v>
      </c>
      <c r="H2772">
        <v>135.61666700000001</v>
      </c>
      <c r="I2772" t="s">
        <v>761</v>
      </c>
      <c r="J2772" s="2" t="s">
        <v>14</v>
      </c>
      <c r="K2772" t="s">
        <v>385</v>
      </c>
      <c r="L2772" t="s">
        <v>143</v>
      </c>
      <c r="M2772" t="s">
        <v>12</v>
      </c>
      <c r="N2772" t="s">
        <v>85</v>
      </c>
      <c r="O2772" s="6" t="s">
        <v>12</v>
      </c>
      <c r="P2772" t="s">
        <v>70</v>
      </c>
      <c r="Q2772">
        <v>10</v>
      </c>
      <c r="R2772" t="s">
        <v>214</v>
      </c>
      <c r="S2772" s="2" t="s">
        <v>9</v>
      </c>
      <c r="T2772">
        <v>3</v>
      </c>
      <c r="U2772" t="s">
        <v>28</v>
      </c>
      <c r="V2772" t="s">
        <v>28</v>
      </c>
      <c r="W2772">
        <v>18</v>
      </c>
      <c r="X2772">
        <v>100</v>
      </c>
      <c r="Y2772">
        <v>0</v>
      </c>
      <c r="AA2772" s="6"/>
      <c r="AB2772" s="6"/>
    </row>
    <row r="2773" spans="1:28" x14ac:dyDescent="0.2">
      <c r="A2773" t="s">
        <v>383</v>
      </c>
      <c r="B2773">
        <v>2013</v>
      </c>
      <c r="C2773" t="s">
        <v>807</v>
      </c>
      <c r="D2773" t="s">
        <v>825</v>
      </c>
      <c r="E2773" t="s">
        <v>35</v>
      </c>
      <c r="F2773" t="s">
        <v>353</v>
      </c>
      <c r="G2773">
        <v>34.216667000000001</v>
      </c>
      <c r="H2773">
        <v>135.61666700000001</v>
      </c>
      <c r="I2773" t="s">
        <v>761</v>
      </c>
      <c r="J2773" s="2" t="s">
        <v>14</v>
      </c>
      <c r="K2773" t="s">
        <v>385</v>
      </c>
      <c r="L2773" t="s">
        <v>143</v>
      </c>
      <c r="M2773" t="s">
        <v>12</v>
      </c>
      <c r="N2773" t="s">
        <v>85</v>
      </c>
      <c r="O2773" s="6" t="s">
        <v>12</v>
      </c>
      <c r="P2773" t="s">
        <v>70</v>
      </c>
      <c r="Q2773">
        <v>11</v>
      </c>
      <c r="R2773" t="s">
        <v>214</v>
      </c>
      <c r="S2773" s="2" t="s">
        <v>9</v>
      </c>
      <c r="T2773">
        <v>3</v>
      </c>
      <c r="U2773" t="s">
        <v>28</v>
      </c>
      <c r="V2773" t="s">
        <v>28</v>
      </c>
      <c r="W2773">
        <v>18</v>
      </c>
      <c r="X2773">
        <v>100</v>
      </c>
      <c r="Y2773">
        <v>0</v>
      </c>
      <c r="AA2773" s="6"/>
      <c r="AB2773" s="6"/>
    </row>
    <row r="2774" spans="1:28" x14ac:dyDescent="0.2">
      <c r="A2774" t="s">
        <v>383</v>
      </c>
      <c r="B2774">
        <v>2013</v>
      </c>
      <c r="C2774" t="s">
        <v>807</v>
      </c>
      <c r="D2774" t="s">
        <v>825</v>
      </c>
      <c r="E2774" t="s">
        <v>35</v>
      </c>
      <c r="F2774" t="s">
        <v>353</v>
      </c>
      <c r="G2774">
        <v>34.216667000000001</v>
      </c>
      <c r="H2774">
        <v>135.61666700000001</v>
      </c>
      <c r="I2774" t="s">
        <v>761</v>
      </c>
      <c r="J2774" s="2" t="s">
        <v>14</v>
      </c>
      <c r="K2774" t="s">
        <v>385</v>
      </c>
      <c r="L2774" t="s">
        <v>143</v>
      </c>
      <c r="M2774" t="s">
        <v>12</v>
      </c>
      <c r="N2774" t="s">
        <v>85</v>
      </c>
      <c r="O2774" s="6" t="s">
        <v>12</v>
      </c>
      <c r="P2774" t="s">
        <v>70</v>
      </c>
      <c r="Q2774">
        <v>12</v>
      </c>
      <c r="R2774" t="s">
        <v>213</v>
      </c>
      <c r="S2774" s="2" t="s">
        <v>9</v>
      </c>
      <c r="T2774">
        <v>3</v>
      </c>
      <c r="U2774" t="s">
        <v>28</v>
      </c>
      <c r="V2774" t="s">
        <v>28</v>
      </c>
      <c r="W2774">
        <v>18</v>
      </c>
      <c r="X2774">
        <v>100</v>
      </c>
      <c r="Y2774">
        <v>0</v>
      </c>
      <c r="AA2774" s="6"/>
      <c r="AB2774" s="6"/>
    </row>
    <row r="2775" spans="1:28" x14ac:dyDescent="0.2">
      <c r="A2775" t="s">
        <v>383</v>
      </c>
      <c r="B2775">
        <v>2013</v>
      </c>
      <c r="C2775" t="s">
        <v>807</v>
      </c>
      <c r="D2775" t="s">
        <v>825</v>
      </c>
      <c r="E2775" t="s">
        <v>35</v>
      </c>
      <c r="F2775" t="s">
        <v>384</v>
      </c>
      <c r="G2775">
        <v>39.083333000000003</v>
      </c>
      <c r="H2775">
        <v>142.85</v>
      </c>
      <c r="I2775" t="s">
        <v>761</v>
      </c>
      <c r="J2775" s="2" t="s">
        <v>14</v>
      </c>
      <c r="K2775" t="s">
        <v>385</v>
      </c>
      <c r="L2775" t="s">
        <v>143</v>
      </c>
      <c r="M2775" t="s">
        <v>12</v>
      </c>
      <c r="N2775" t="s">
        <v>85</v>
      </c>
      <c r="O2775" s="6" t="s">
        <v>12</v>
      </c>
      <c r="P2775" t="s">
        <v>70</v>
      </c>
      <c r="Q2775">
        <v>1</v>
      </c>
      <c r="R2775" t="s">
        <v>214</v>
      </c>
      <c r="S2775" s="2" t="s">
        <v>27</v>
      </c>
      <c r="T2775">
        <v>3</v>
      </c>
      <c r="U2775" t="s">
        <v>28</v>
      </c>
      <c r="V2775" t="s">
        <v>28</v>
      </c>
      <c r="W2775">
        <v>20</v>
      </c>
      <c r="X2775">
        <v>100</v>
      </c>
      <c r="Y2775">
        <v>0</v>
      </c>
      <c r="AA2775" s="6"/>
      <c r="AB2775" s="6"/>
    </row>
    <row r="2776" spans="1:28" x14ac:dyDescent="0.2">
      <c r="A2776" t="s">
        <v>383</v>
      </c>
      <c r="B2776">
        <v>2013</v>
      </c>
      <c r="C2776" t="s">
        <v>807</v>
      </c>
      <c r="D2776" t="s">
        <v>825</v>
      </c>
      <c r="E2776" t="s">
        <v>35</v>
      </c>
      <c r="F2776" t="s">
        <v>384</v>
      </c>
      <c r="G2776">
        <v>39.083333000000003</v>
      </c>
      <c r="H2776">
        <v>142.85</v>
      </c>
      <c r="I2776" t="s">
        <v>761</v>
      </c>
      <c r="J2776" s="2" t="s">
        <v>14</v>
      </c>
      <c r="K2776" t="s">
        <v>385</v>
      </c>
      <c r="L2776" t="s">
        <v>143</v>
      </c>
      <c r="M2776" t="s">
        <v>12</v>
      </c>
      <c r="N2776" t="s">
        <v>85</v>
      </c>
      <c r="O2776" s="6" t="s">
        <v>12</v>
      </c>
      <c r="P2776" t="s">
        <v>70</v>
      </c>
      <c r="Q2776">
        <v>2</v>
      </c>
      <c r="R2776" t="s">
        <v>214</v>
      </c>
      <c r="S2776" s="2" t="s">
        <v>27</v>
      </c>
      <c r="T2776">
        <v>3</v>
      </c>
      <c r="U2776" t="s">
        <v>28</v>
      </c>
      <c r="V2776" t="s">
        <v>28</v>
      </c>
      <c r="W2776">
        <v>20</v>
      </c>
      <c r="X2776">
        <v>100</v>
      </c>
      <c r="Y2776">
        <v>0</v>
      </c>
      <c r="AA2776" s="6"/>
      <c r="AB2776" s="6"/>
    </row>
    <row r="2777" spans="1:28" x14ac:dyDescent="0.2">
      <c r="A2777" t="s">
        <v>383</v>
      </c>
      <c r="B2777">
        <v>2013</v>
      </c>
      <c r="C2777" t="s">
        <v>807</v>
      </c>
      <c r="D2777" t="s">
        <v>825</v>
      </c>
      <c r="E2777" t="s">
        <v>35</v>
      </c>
      <c r="F2777" t="s">
        <v>384</v>
      </c>
      <c r="G2777">
        <v>39.083333000000003</v>
      </c>
      <c r="H2777">
        <v>142.85</v>
      </c>
      <c r="I2777" t="s">
        <v>761</v>
      </c>
      <c r="J2777" s="2" t="s">
        <v>14</v>
      </c>
      <c r="K2777" t="s">
        <v>385</v>
      </c>
      <c r="L2777" t="s">
        <v>143</v>
      </c>
      <c r="M2777" t="s">
        <v>12</v>
      </c>
      <c r="N2777" t="s">
        <v>85</v>
      </c>
      <c r="O2777" s="6" t="s">
        <v>12</v>
      </c>
      <c r="P2777" t="s">
        <v>70</v>
      </c>
      <c r="Q2777">
        <v>3</v>
      </c>
      <c r="R2777" t="s">
        <v>214</v>
      </c>
      <c r="S2777" s="2" t="s">
        <v>27</v>
      </c>
      <c r="T2777">
        <v>3</v>
      </c>
      <c r="U2777" t="s">
        <v>28</v>
      </c>
      <c r="V2777" t="s">
        <v>28</v>
      </c>
      <c r="W2777">
        <v>20</v>
      </c>
      <c r="X2777">
        <v>100</v>
      </c>
      <c r="Y2777">
        <v>0</v>
      </c>
      <c r="AA2777" s="6"/>
      <c r="AB2777" s="6"/>
    </row>
    <row r="2778" spans="1:28" x14ac:dyDescent="0.2">
      <c r="A2778" t="s">
        <v>383</v>
      </c>
      <c r="B2778">
        <v>2013</v>
      </c>
      <c r="C2778" t="s">
        <v>807</v>
      </c>
      <c r="D2778" t="s">
        <v>825</v>
      </c>
      <c r="E2778" t="s">
        <v>35</v>
      </c>
      <c r="F2778" t="s">
        <v>384</v>
      </c>
      <c r="G2778">
        <v>39.083333000000003</v>
      </c>
      <c r="H2778">
        <v>142.85</v>
      </c>
      <c r="I2778" t="s">
        <v>761</v>
      </c>
      <c r="J2778" s="2" t="s">
        <v>14</v>
      </c>
      <c r="K2778" t="s">
        <v>385</v>
      </c>
      <c r="L2778" t="s">
        <v>143</v>
      </c>
      <c r="M2778" t="s">
        <v>12</v>
      </c>
      <c r="N2778" t="s">
        <v>85</v>
      </c>
      <c r="O2778" s="6" t="s">
        <v>12</v>
      </c>
      <c r="P2778" t="s">
        <v>70</v>
      </c>
      <c r="Q2778">
        <v>4</v>
      </c>
      <c r="R2778" t="s">
        <v>214</v>
      </c>
      <c r="S2778" s="2" t="s">
        <v>27</v>
      </c>
      <c r="T2778">
        <v>3</v>
      </c>
      <c r="U2778" t="s">
        <v>28</v>
      </c>
      <c r="V2778" t="s">
        <v>28</v>
      </c>
      <c r="W2778">
        <v>20</v>
      </c>
      <c r="X2778">
        <v>100</v>
      </c>
      <c r="Y2778">
        <v>0</v>
      </c>
      <c r="AA2778" s="6"/>
      <c r="AB2778" s="6"/>
    </row>
    <row r="2779" spans="1:28" x14ac:dyDescent="0.2">
      <c r="A2779" t="s">
        <v>383</v>
      </c>
      <c r="B2779">
        <v>2013</v>
      </c>
      <c r="C2779" t="s">
        <v>807</v>
      </c>
      <c r="D2779" t="s">
        <v>825</v>
      </c>
      <c r="E2779" t="s">
        <v>35</v>
      </c>
      <c r="F2779" t="s">
        <v>384</v>
      </c>
      <c r="G2779">
        <v>39.083333000000003</v>
      </c>
      <c r="H2779">
        <v>142.85</v>
      </c>
      <c r="I2779" t="s">
        <v>761</v>
      </c>
      <c r="J2779" s="2" t="s">
        <v>14</v>
      </c>
      <c r="K2779" t="s">
        <v>385</v>
      </c>
      <c r="L2779" t="s">
        <v>143</v>
      </c>
      <c r="M2779" t="s">
        <v>12</v>
      </c>
      <c r="N2779" t="s">
        <v>85</v>
      </c>
      <c r="O2779" s="6" t="s">
        <v>12</v>
      </c>
      <c r="P2779" t="s">
        <v>70</v>
      </c>
      <c r="Q2779">
        <v>5</v>
      </c>
      <c r="R2779" t="s">
        <v>214</v>
      </c>
      <c r="S2779" s="2" t="s">
        <v>27</v>
      </c>
      <c r="T2779">
        <v>3</v>
      </c>
      <c r="U2779" t="s">
        <v>28</v>
      </c>
      <c r="V2779" t="s">
        <v>28</v>
      </c>
      <c r="W2779">
        <v>20</v>
      </c>
      <c r="X2779">
        <v>100</v>
      </c>
      <c r="Y2779">
        <v>0</v>
      </c>
      <c r="AA2779" s="6"/>
      <c r="AB2779" s="6"/>
    </row>
    <row r="2780" spans="1:28" x14ac:dyDescent="0.2">
      <c r="A2780" t="s">
        <v>383</v>
      </c>
      <c r="B2780">
        <v>2013</v>
      </c>
      <c r="C2780" t="s">
        <v>807</v>
      </c>
      <c r="D2780" t="s">
        <v>825</v>
      </c>
      <c r="E2780" t="s">
        <v>35</v>
      </c>
      <c r="F2780" t="s">
        <v>384</v>
      </c>
      <c r="G2780">
        <v>39.083333000000003</v>
      </c>
      <c r="H2780">
        <v>142.85</v>
      </c>
      <c r="I2780" t="s">
        <v>761</v>
      </c>
      <c r="J2780" s="2" t="s">
        <v>14</v>
      </c>
      <c r="K2780" t="s">
        <v>385</v>
      </c>
      <c r="L2780" t="s">
        <v>143</v>
      </c>
      <c r="M2780" t="s">
        <v>12</v>
      </c>
      <c r="N2780" t="s">
        <v>85</v>
      </c>
      <c r="O2780" s="6" t="s">
        <v>12</v>
      </c>
      <c r="P2780" t="s">
        <v>70</v>
      </c>
      <c r="Q2780">
        <v>6</v>
      </c>
      <c r="R2780" t="s">
        <v>214</v>
      </c>
      <c r="S2780" s="2" t="s">
        <v>27</v>
      </c>
      <c r="T2780">
        <v>3</v>
      </c>
      <c r="U2780" t="s">
        <v>28</v>
      </c>
      <c r="V2780" t="s">
        <v>28</v>
      </c>
      <c r="W2780">
        <v>20</v>
      </c>
      <c r="X2780">
        <v>100</v>
      </c>
      <c r="Y2780">
        <v>0</v>
      </c>
      <c r="AA2780" s="6"/>
      <c r="AB2780" s="6"/>
    </row>
    <row r="2781" spans="1:28" x14ac:dyDescent="0.2">
      <c r="A2781" t="s">
        <v>383</v>
      </c>
      <c r="B2781">
        <v>2013</v>
      </c>
      <c r="C2781" t="s">
        <v>807</v>
      </c>
      <c r="D2781" t="s">
        <v>825</v>
      </c>
      <c r="E2781" t="s">
        <v>35</v>
      </c>
      <c r="F2781" t="s">
        <v>384</v>
      </c>
      <c r="G2781">
        <v>39.083333000000003</v>
      </c>
      <c r="H2781">
        <v>142.85</v>
      </c>
      <c r="I2781" t="s">
        <v>761</v>
      </c>
      <c r="J2781" s="2" t="s">
        <v>14</v>
      </c>
      <c r="K2781" t="s">
        <v>385</v>
      </c>
      <c r="L2781" t="s">
        <v>143</v>
      </c>
      <c r="M2781" t="s">
        <v>12</v>
      </c>
      <c r="N2781" t="s">
        <v>85</v>
      </c>
      <c r="O2781" s="6" t="s">
        <v>12</v>
      </c>
      <c r="P2781" t="s">
        <v>70</v>
      </c>
      <c r="Q2781">
        <v>7</v>
      </c>
      <c r="R2781" t="s">
        <v>214</v>
      </c>
      <c r="S2781" s="2" t="s">
        <v>27</v>
      </c>
      <c r="T2781">
        <v>3</v>
      </c>
      <c r="U2781" t="s">
        <v>28</v>
      </c>
      <c r="V2781" t="s">
        <v>28</v>
      </c>
      <c r="W2781">
        <v>20</v>
      </c>
      <c r="X2781">
        <v>100</v>
      </c>
      <c r="Y2781">
        <v>0</v>
      </c>
      <c r="AA2781" s="6"/>
      <c r="AB2781" s="6"/>
    </row>
    <row r="2782" spans="1:28" x14ac:dyDescent="0.2">
      <c r="A2782" t="s">
        <v>383</v>
      </c>
      <c r="B2782">
        <v>2013</v>
      </c>
      <c r="C2782" t="s">
        <v>807</v>
      </c>
      <c r="D2782" t="s">
        <v>825</v>
      </c>
      <c r="E2782" t="s">
        <v>35</v>
      </c>
      <c r="F2782" t="s">
        <v>384</v>
      </c>
      <c r="G2782">
        <v>39.083333000000003</v>
      </c>
      <c r="H2782">
        <v>142.85</v>
      </c>
      <c r="I2782" t="s">
        <v>761</v>
      </c>
      <c r="J2782" s="2" t="s">
        <v>14</v>
      </c>
      <c r="K2782" t="s">
        <v>385</v>
      </c>
      <c r="L2782" t="s">
        <v>143</v>
      </c>
      <c r="M2782" t="s">
        <v>12</v>
      </c>
      <c r="N2782" t="s">
        <v>85</v>
      </c>
      <c r="O2782" s="6" t="s">
        <v>12</v>
      </c>
      <c r="P2782" t="s">
        <v>70</v>
      </c>
      <c r="Q2782">
        <v>8</v>
      </c>
      <c r="R2782" t="s">
        <v>214</v>
      </c>
      <c r="S2782" s="2" t="s">
        <v>27</v>
      </c>
      <c r="T2782">
        <v>3</v>
      </c>
      <c r="U2782" t="s">
        <v>28</v>
      </c>
      <c r="V2782" t="s">
        <v>28</v>
      </c>
      <c r="W2782">
        <v>20</v>
      </c>
      <c r="X2782">
        <v>100</v>
      </c>
      <c r="Y2782">
        <v>0</v>
      </c>
      <c r="AA2782" s="6"/>
      <c r="AB2782" s="6"/>
    </row>
    <row r="2783" spans="1:28" x14ac:dyDescent="0.2">
      <c r="A2783" t="s">
        <v>383</v>
      </c>
      <c r="B2783">
        <v>2013</v>
      </c>
      <c r="C2783" t="s">
        <v>807</v>
      </c>
      <c r="D2783" t="s">
        <v>825</v>
      </c>
      <c r="E2783" t="s">
        <v>35</v>
      </c>
      <c r="F2783" t="s">
        <v>384</v>
      </c>
      <c r="G2783">
        <v>39.083333000000003</v>
      </c>
      <c r="H2783">
        <v>142.85</v>
      </c>
      <c r="I2783" t="s">
        <v>761</v>
      </c>
      <c r="J2783" s="2" t="s">
        <v>14</v>
      </c>
      <c r="K2783" t="s">
        <v>385</v>
      </c>
      <c r="L2783" t="s">
        <v>143</v>
      </c>
      <c r="M2783" t="s">
        <v>12</v>
      </c>
      <c r="N2783" t="s">
        <v>85</v>
      </c>
      <c r="O2783" s="6" t="s">
        <v>12</v>
      </c>
      <c r="P2783" t="s">
        <v>70</v>
      </c>
      <c r="Q2783">
        <v>9</v>
      </c>
      <c r="R2783" t="s">
        <v>214</v>
      </c>
      <c r="S2783" s="2" t="s">
        <v>27</v>
      </c>
      <c r="T2783">
        <v>3</v>
      </c>
      <c r="U2783" t="s">
        <v>28</v>
      </c>
      <c r="V2783" t="s">
        <v>28</v>
      </c>
      <c r="W2783">
        <v>20</v>
      </c>
      <c r="X2783">
        <v>100</v>
      </c>
      <c r="Y2783">
        <v>0</v>
      </c>
      <c r="AA2783" s="6"/>
      <c r="AB2783" s="6"/>
    </row>
    <row r="2784" spans="1:28" x14ac:dyDescent="0.2">
      <c r="A2784" t="s">
        <v>383</v>
      </c>
      <c r="B2784">
        <v>2013</v>
      </c>
      <c r="C2784" t="s">
        <v>807</v>
      </c>
      <c r="D2784" t="s">
        <v>825</v>
      </c>
      <c r="E2784" t="s">
        <v>35</v>
      </c>
      <c r="F2784" t="s">
        <v>384</v>
      </c>
      <c r="G2784">
        <v>39.083333000000003</v>
      </c>
      <c r="H2784">
        <v>142.85</v>
      </c>
      <c r="I2784" t="s">
        <v>761</v>
      </c>
      <c r="J2784" s="2" t="s">
        <v>14</v>
      </c>
      <c r="K2784" t="s">
        <v>385</v>
      </c>
      <c r="L2784" t="s">
        <v>143</v>
      </c>
      <c r="M2784" t="s">
        <v>12</v>
      </c>
      <c r="N2784" t="s">
        <v>85</v>
      </c>
      <c r="O2784" s="6" t="s">
        <v>12</v>
      </c>
      <c r="P2784" t="s">
        <v>70</v>
      </c>
      <c r="Q2784">
        <v>10</v>
      </c>
      <c r="R2784" t="s">
        <v>214</v>
      </c>
      <c r="S2784" s="2" t="s">
        <v>27</v>
      </c>
      <c r="T2784">
        <v>3</v>
      </c>
      <c r="U2784" t="s">
        <v>28</v>
      </c>
      <c r="V2784" t="s">
        <v>28</v>
      </c>
      <c r="W2784">
        <v>20</v>
      </c>
      <c r="X2784">
        <v>100</v>
      </c>
      <c r="Y2784">
        <v>0</v>
      </c>
      <c r="AA2784" s="6"/>
      <c r="AB2784" s="6"/>
    </row>
    <row r="2785" spans="1:28" x14ac:dyDescent="0.2">
      <c r="A2785" t="s">
        <v>383</v>
      </c>
      <c r="B2785">
        <v>2013</v>
      </c>
      <c r="C2785" t="s">
        <v>807</v>
      </c>
      <c r="D2785" t="s">
        <v>825</v>
      </c>
      <c r="E2785" t="s">
        <v>35</v>
      </c>
      <c r="F2785" t="s">
        <v>384</v>
      </c>
      <c r="G2785">
        <v>39.083333000000003</v>
      </c>
      <c r="H2785">
        <v>142.85</v>
      </c>
      <c r="I2785" t="s">
        <v>761</v>
      </c>
      <c r="J2785" s="2" t="s">
        <v>14</v>
      </c>
      <c r="K2785" t="s">
        <v>385</v>
      </c>
      <c r="L2785" t="s">
        <v>143</v>
      </c>
      <c r="M2785" t="s">
        <v>12</v>
      </c>
      <c r="N2785" t="s">
        <v>85</v>
      </c>
      <c r="O2785" s="6" t="s">
        <v>12</v>
      </c>
      <c r="P2785" t="s">
        <v>70</v>
      </c>
      <c r="Q2785">
        <v>11</v>
      </c>
      <c r="R2785" t="s">
        <v>214</v>
      </c>
      <c r="S2785" s="2" t="s">
        <v>27</v>
      </c>
      <c r="T2785">
        <v>3</v>
      </c>
      <c r="U2785" t="s">
        <v>28</v>
      </c>
      <c r="V2785" t="s">
        <v>28</v>
      </c>
      <c r="W2785">
        <v>20</v>
      </c>
      <c r="X2785">
        <v>100</v>
      </c>
      <c r="Y2785">
        <v>0</v>
      </c>
      <c r="AA2785" s="6"/>
      <c r="AB2785" s="6"/>
    </row>
    <row r="2786" spans="1:28" x14ac:dyDescent="0.2">
      <c r="A2786" t="s">
        <v>383</v>
      </c>
      <c r="B2786">
        <v>2013</v>
      </c>
      <c r="C2786" t="s">
        <v>807</v>
      </c>
      <c r="D2786" t="s">
        <v>825</v>
      </c>
      <c r="E2786" t="s">
        <v>35</v>
      </c>
      <c r="F2786" t="s">
        <v>384</v>
      </c>
      <c r="G2786">
        <v>39.083333000000003</v>
      </c>
      <c r="H2786">
        <v>142.85</v>
      </c>
      <c r="I2786" t="s">
        <v>761</v>
      </c>
      <c r="J2786" s="2" t="s">
        <v>14</v>
      </c>
      <c r="K2786" t="s">
        <v>385</v>
      </c>
      <c r="L2786" t="s">
        <v>143</v>
      </c>
      <c r="M2786" t="s">
        <v>12</v>
      </c>
      <c r="N2786" t="s">
        <v>85</v>
      </c>
      <c r="O2786" s="6" t="s">
        <v>12</v>
      </c>
      <c r="P2786" t="s">
        <v>70</v>
      </c>
      <c r="Q2786">
        <v>12</v>
      </c>
      <c r="R2786" t="s">
        <v>213</v>
      </c>
      <c r="S2786" s="2" t="s">
        <v>27</v>
      </c>
      <c r="T2786">
        <v>3</v>
      </c>
      <c r="U2786" t="s">
        <v>28</v>
      </c>
      <c r="V2786" t="s">
        <v>28</v>
      </c>
      <c r="W2786">
        <v>20</v>
      </c>
      <c r="X2786">
        <v>100</v>
      </c>
      <c r="Y2786">
        <v>0</v>
      </c>
      <c r="AA2786" s="6"/>
      <c r="AB2786" s="6"/>
    </row>
    <row r="2787" spans="1:28" x14ac:dyDescent="0.2">
      <c r="A2787" t="s">
        <v>383</v>
      </c>
      <c r="B2787">
        <v>2013</v>
      </c>
      <c r="C2787" t="s">
        <v>807</v>
      </c>
      <c r="D2787" t="s">
        <v>825</v>
      </c>
      <c r="E2787" t="s">
        <v>35</v>
      </c>
      <c r="F2787" t="s">
        <v>352</v>
      </c>
      <c r="G2787">
        <v>38.533332999999999</v>
      </c>
      <c r="H2787">
        <v>141.51666700000001</v>
      </c>
      <c r="I2787" t="s">
        <v>761</v>
      </c>
      <c r="J2787" s="2" t="s">
        <v>14</v>
      </c>
      <c r="K2787" t="s">
        <v>385</v>
      </c>
      <c r="L2787" t="s">
        <v>143</v>
      </c>
      <c r="M2787" t="s">
        <v>12</v>
      </c>
      <c r="N2787" t="s">
        <v>85</v>
      </c>
      <c r="O2787" s="6" t="s">
        <v>12</v>
      </c>
      <c r="P2787" t="s">
        <v>70</v>
      </c>
      <c r="Q2787">
        <v>1</v>
      </c>
      <c r="R2787" t="s">
        <v>214</v>
      </c>
      <c r="S2787" s="2" t="s">
        <v>27</v>
      </c>
      <c r="T2787">
        <v>3</v>
      </c>
      <c r="U2787" t="s">
        <v>28</v>
      </c>
      <c r="V2787" t="s">
        <v>28</v>
      </c>
      <c r="W2787">
        <v>20</v>
      </c>
      <c r="X2787">
        <v>100</v>
      </c>
      <c r="Y2787">
        <v>0</v>
      </c>
      <c r="AA2787" s="6"/>
      <c r="AB2787" s="6"/>
    </row>
    <row r="2788" spans="1:28" x14ac:dyDescent="0.2">
      <c r="A2788" t="s">
        <v>383</v>
      </c>
      <c r="B2788">
        <v>2013</v>
      </c>
      <c r="C2788" t="s">
        <v>807</v>
      </c>
      <c r="D2788" t="s">
        <v>825</v>
      </c>
      <c r="E2788" t="s">
        <v>35</v>
      </c>
      <c r="F2788" t="s">
        <v>352</v>
      </c>
      <c r="G2788">
        <v>38.533332999999999</v>
      </c>
      <c r="H2788">
        <v>141.51666700000001</v>
      </c>
      <c r="I2788" t="s">
        <v>761</v>
      </c>
      <c r="J2788" s="2" t="s">
        <v>14</v>
      </c>
      <c r="K2788" t="s">
        <v>385</v>
      </c>
      <c r="L2788" t="s">
        <v>143</v>
      </c>
      <c r="M2788" t="s">
        <v>12</v>
      </c>
      <c r="N2788" t="s">
        <v>85</v>
      </c>
      <c r="O2788" s="6" t="s">
        <v>12</v>
      </c>
      <c r="P2788" t="s">
        <v>70</v>
      </c>
      <c r="Q2788">
        <v>2</v>
      </c>
      <c r="R2788" t="s">
        <v>214</v>
      </c>
      <c r="S2788" s="2" t="s">
        <v>27</v>
      </c>
      <c r="T2788">
        <v>3</v>
      </c>
      <c r="U2788" t="s">
        <v>28</v>
      </c>
      <c r="V2788" t="s">
        <v>28</v>
      </c>
      <c r="W2788">
        <v>20</v>
      </c>
      <c r="X2788">
        <v>100</v>
      </c>
      <c r="Y2788">
        <v>0</v>
      </c>
      <c r="AA2788" s="6"/>
      <c r="AB2788" s="6"/>
    </row>
    <row r="2789" spans="1:28" x14ac:dyDescent="0.2">
      <c r="A2789" t="s">
        <v>383</v>
      </c>
      <c r="B2789">
        <v>2013</v>
      </c>
      <c r="C2789" t="s">
        <v>807</v>
      </c>
      <c r="D2789" t="s">
        <v>825</v>
      </c>
      <c r="E2789" t="s">
        <v>35</v>
      </c>
      <c r="F2789" t="s">
        <v>352</v>
      </c>
      <c r="G2789">
        <v>38.533332999999999</v>
      </c>
      <c r="H2789">
        <v>141.51666700000001</v>
      </c>
      <c r="I2789" t="s">
        <v>761</v>
      </c>
      <c r="J2789" s="2" t="s">
        <v>14</v>
      </c>
      <c r="K2789" t="s">
        <v>385</v>
      </c>
      <c r="L2789" t="s">
        <v>143</v>
      </c>
      <c r="M2789" t="s">
        <v>12</v>
      </c>
      <c r="N2789" t="s">
        <v>85</v>
      </c>
      <c r="O2789" s="6" t="s">
        <v>12</v>
      </c>
      <c r="P2789" t="s">
        <v>70</v>
      </c>
      <c r="Q2789">
        <v>3</v>
      </c>
      <c r="R2789" t="s">
        <v>214</v>
      </c>
      <c r="S2789" s="2" t="s">
        <v>27</v>
      </c>
      <c r="T2789">
        <v>3</v>
      </c>
      <c r="U2789" t="s">
        <v>28</v>
      </c>
      <c r="V2789" t="s">
        <v>28</v>
      </c>
      <c r="W2789">
        <v>20</v>
      </c>
      <c r="X2789">
        <v>100</v>
      </c>
      <c r="Y2789">
        <v>0</v>
      </c>
      <c r="AA2789" s="6"/>
      <c r="AB2789" s="6"/>
    </row>
    <row r="2790" spans="1:28" x14ac:dyDescent="0.2">
      <c r="A2790" t="s">
        <v>383</v>
      </c>
      <c r="B2790">
        <v>2013</v>
      </c>
      <c r="C2790" t="s">
        <v>807</v>
      </c>
      <c r="D2790" t="s">
        <v>825</v>
      </c>
      <c r="E2790" t="s">
        <v>35</v>
      </c>
      <c r="F2790" t="s">
        <v>352</v>
      </c>
      <c r="G2790">
        <v>38.533332999999999</v>
      </c>
      <c r="H2790">
        <v>141.51666700000001</v>
      </c>
      <c r="I2790" t="s">
        <v>761</v>
      </c>
      <c r="J2790" s="2" t="s">
        <v>14</v>
      </c>
      <c r="K2790" t="s">
        <v>385</v>
      </c>
      <c r="L2790" t="s">
        <v>143</v>
      </c>
      <c r="M2790" t="s">
        <v>12</v>
      </c>
      <c r="N2790" t="s">
        <v>85</v>
      </c>
      <c r="O2790" s="6" t="s">
        <v>12</v>
      </c>
      <c r="P2790" t="s">
        <v>70</v>
      </c>
      <c r="Q2790">
        <v>4</v>
      </c>
      <c r="R2790" t="s">
        <v>214</v>
      </c>
      <c r="S2790" s="2" t="s">
        <v>27</v>
      </c>
      <c r="T2790">
        <v>3</v>
      </c>
      <c r="U2790" t="s">
        <v>28</v>
      </c>
      <c r="V2790" t="s">
        <v>28</v>
      </c>
      <c r="W2790">
        <v>20</v>
      </c>
      <c r="X2790">
        <v>100</v>
      </c>
      <c r="Y2790">
        <v>0</v>
      </c>
      <c r="AA2790" s="6"/>
      <c r="AB2790" s="6"/>
    </row>
    <row r="2791" spans="1:28" x14ac:dyDescent="0.2">
      <c r="A2791" t="s">
        <v>383</v>
      </c>
      <c r="B2791">
        <v>2013</v>
      </c>
      <c r="C2791" t="s">
        <v>807</v>
      </c>
      <c r="D2791" t="s">
        <v>825</v>
      </c>
      <c r="E2791" t="s">
        <v>35</v>
      </c>
      <c r="F2791" t="s">
        <v>352</v>
      </c>
      <c r="G2791">
        <v>38.533332999999999</v>
      </c>
      <c r="H2791">
        <v>141.51666700000001</v>
      </c>
      <c r="I2791" t="s">
        <v>761</v>
      </c>
      <c r="J2791" s="2" t="s">
        <v>14</v>
      </c>
      <c r="K2791" t="s">
        <v>385</v>
      </c>
      <c r="L2791" t="s">
        <v>143</v>
      </c>
      <c r="M2791" t="s">
        <v>12</v>
      </c>
      <c r="N2791" t="s">
        <v>85</v>
      </c>
      <c r="O2791" s="6" t="s">
        <v>12</v>
      </c>
      <c r="P2791" t="s">
        <v>70</v>
      </c>
      <c r="Q2791">
        <v>5</v>
      </c>
      <c r="R2791" t="s">
        <v>214</v>
      </c>
      <c r="S2791" s="2" t="s">
        <v>27</v>
      </c>
      <c r="T2791">
        <v>3</v>
      </c>
      <c r="U2791" t="s">
        <v>28</v>
      </c>
      <c r="V2791" t="s">
        <v>28</v>
      </c>
      <c r="W2791">
        <v>20</v>
      </c>
      <c r="X2791">
        <v>100</v>
      </c>
      <c r="Y2791">
        <v>0</v>
      </c>
      <c r="AA2791" s="6"/>
      <c r="AB2791" s="6"/>
    </row>
    <row r="2792" spans="1:28" x14ac:dyDescent="0.2">
      <c r="A2792" t="s">
        <v>383</v>
      </c>
      <c r="B2792">
        <v>2013</v>
      </c>
      <c r="C2792" t="s">
        <v>807</v>
      </c>
      <c r="D2792" t="s">
        <v>825</v>
      </c>
      <c r="E2792" t="s">
        <v>35</v>
      </c>
      <c r="F2792" t="s">
        <v>352</v>
      </c>
      <c r="G2792">
        <v>38.533332999999999</v>
      </c>
      <c r="H2792">
        <v>141.51666700000001</v>
      </c>
      <c r="I2792" t="s">
        <v>761</v>
      </c>
      <c r="J2792" s="2" t="s">
        <v>14</v>
      </c>
      <c r="K2792" t="s">
        <v>385</v>
      </c>
      <c r="L2792" t="s">
        <v>143</v>
      </c>
      <c r="M2792" t="s">
        <v>12</v>
      </c>
      <c r="N2792" t="s">
        <v>85</v>
      </c>
      <c r="O2792" s="6" t="s">
        <v>12</v>
      </c>
      <c r="P2792" t="s">
        <v>70</v>
      </c>
      <c r="Q2792">
        <v>6</v>
      </c>
      <c r="R2792" t="s">
        <v>214</v>
      </c>
      <c r="S2792" s="2" t="s">
        <v>27</v>
      </c>
      <c r="T2792">
        <v>3</v>
      </c>
      <c r="U2792" t="s">
        <v>28</v>
      </c>
      <c r="V2792" t="s">
        <v>28</v>
      </c>
      <c r="W2792">
        <v>20</v>
      </c>
      <c r="X2792">
        <v>100</v>
      </c>
      <c r="Y2792">
        <v>0</v>
      </c>
      <c r="AA2792" s="6"/>
      <c r="AB2792" s="6"/>
    </row>
    <row r="2793" spans="1:28" x14ac:dyDescent="0.2">
      <c r="A2793" t="s">
        <v>383</v>
      </c>
      <c r="B2793">
        <v>2013</v>
      </c>
      <c r="C2793" t="s">
        <v>807</v>
      </c>
      <c r="D2793" t="s">
        <v>825</v>
      </c>
      <c r="E2793" t="s">
        <v>35</v>
      </c>
      <c r="F2793" t="s">
        <v>352</v>
      </c>
      <c r="G2793">
        <v>38.533332999999999</v>
      </c>
      <c r="H2793">
        <v>141.51666700000001</v>
      </c>
      <c r="I2793" t="s">
        <v>761</v>
      </c>
      <c r="J2793" s="2" t="s">
        <v>14</v>
      </c>
      <c r="K2793" t="s">
        <v>385</v>
      </c>
      <c r="L2793" t="s">
        <v>143</v>
      </c>
      <c r="M2793" t="s">
        <v>12</v>
      </c>
      <c r="N2793" t="s">
        <v>85</v>
      </c>
      <c r="O2793" s="6" t="s">
        <v>12</v>
      </c>
      <c r="P2793" t="s">
        <v>70</v>
      </c>
      <c r="Q2793">
        <v>7</v>
      </c>
      <c r="R2793" t="s">
        <v>214</v>
      </c>
      <c r="S2793" s="2" t="s">
        <v>27</v>
      </c>
      <c r="T2793">
        <v>3</v>
      </c>
      <c r="U2793" t="s">
        <v>28</v>
      </c>
      <c r="V2793" t="s">
        <v>28</v>
      </c>
      <c r="W2793">
        <v>20</v>
      </c>
      <c r="X2793">
        <v>100</v>
      </c>
      <c r="Y2793">
        <v>0</v>
      </c>
      <c r="AA2793" s="6"/>
      <c r="AB2793" s="6"/>
    </row>
    <row r="2794" spans="1:28" x14ac:dyDescent="0.2">
      <c r="A2794" t="s">
        <v>383</v>
      </c>
      <c r="B2794">
        <v>2013</v>
      </c>
      <c r="C2794" t="s">
        <v>807</v>
      </c>
      <c r="D2794" t="s">
        <v>825</v>
      </c>
      <c r="E2794" t="s">
        <v>35</v>
      </c>
      <c r="F2794" t="s">
        <v>352</v>
      </c>
      <c r="G2794">
        <v>38.533332999999999</v>
      </c>
      <c r="H2794">
        <v>141.51666700000001</v>
      </c>
      <c r="I2794" t="s">
        <v>761</v>
      </c>
      <c r="J2794" s="2" t="s">
        <v>14</v>
      </c>
      <c r="K2794" t="s">
        <v>385</v>
      </c>
      <c r="L2794" t="s">
        <v>143</v>
      </c>
      <c r="M2794" t="s">
        <v>12</v>
      </c>
      <c r="N2794" t="s">
        <v>85</v>
      </c>
      <c r="O2794" s="6" t="s">
        <v>12</v>
      </c>
      <c r="P2794" t="s">
        <v>70</v>
      </c>
      <c r="Q2794">
        <v>8</v>
      </c>
      <c r="R2794" t="s">
        <v>214</v>
      </c>
      <c r="S2794" s="2" t="s">
        <v>27</v>
      </c>
      <c r="T2794">
        <v>3</v>
      </c>
      <c r="U2794" t="s">
        <v>28</v>
      </c>
      <c r="V2794" t="s">
        <v>28</v>
      </c>
      <c r="W2794">
        <v>20</v>
      </c>
      <c r="X2794">
        <v>100</v>
      </c>
      <c r="Y2794">
        <v>0</v>
      </c>
      <c r="AA2794" s="6"/>
      <c r="AB2794" s="6"/>
    </row>
    <row r="2795" spans="1:28" x14ac:dyDescent="0.2">
      <c r="A2795" t="s">
        <v>383</v>
      </c>
      <c r="B2795">
        <v>2013</v>
      </c>
      <c r="C2795" t="s">
        <v>807</v>
      </c>
      <c r="D2795" t="s">
        <v>825</v>
      </c>
      <c r="E2795" t="s">
        <v>35</v>
      </c>
      <c r="F2795" t="s">
        <v>352</v>
      </c>
      <c r="G2795">
        <v>38.533332999999999</v>
      </c>
      <c r="H2795">
        <v>141.51666700000001</v>
      </c>
      <c r="I2795" t="s">
        <v>761</v>
      </c>
      <c r="J2795" s="2" t="s">
        <v>14</v>
      </c>
      <c r="K2795" t="s">
        <v>385</v>
      </c>
      <c r="L2795" t="s">
        <v>143</v>
      </c>
      <c r="M2795" t="s">
        <v>12</v>
      </c>
      <c r="N2795" t="s">
        <v>85</v>
      </c>
      <c r="O2795" s="6" t="s">
        <v>12</v>
      </c>
      <c r="P2795" t="s">
        <v>70</v>
      </c>
      <c r="Q2795">
        <v>9</v>
      </c>
      <c r="R2795" t="s">
        <v>214</v>
      </c>
      <c r="S2795" s="2" t="s">
        <v>27</v>
      </c>
      <c r="T2795">
        <v>3</v>
      </c>
      <c r="U2795" t="s">
        <v>28</v>
      </c>
      <c r="V2795" t="s">
        <v>28</v>
      </c>
      <c r="W2795">
        <v>20</v>
      </c>
      <c r="X2795">
        <v>100</v>
      </c>
      <c r="Y2795">
        <v>0</v>
      </c>
      <c r="AA2795" s="6"/>
      <c r="AB2795" s="6"/>
    </row>
    <row r="2796" spans="1:28" x14ac:dyDescent="0.2">
      <c r="A2796" t="s">
        <v>383</v>
      </c>
      <c r="B2796">
        <v>2013</v>
      </c>
      <c r="C2796" t="s">
        <v>807</v>
      </c>
      <c r="D2796" t="s">
        <v>825</v>
      </c>
      <c r="E2796" t="s">
        <v>35</v>
      </c>
      <c r="F2796" t="s">
        <v>352</v>
      </c>
      <c r="G2796">
        <v>38.533332999999999</v>
      </c>
      <c r="H2796">
        <v>141.51666700000001</v>
      </c>
      <c r="I2796" t="s">
        <v>761</v>
      </c>
      <c r="J2796" s="2" t="s">
        <v>14</v>
      </c>
      <c r="K2796" t="s">
        <v>385</v>
      </c>
      <c r="L2796" t="s">
        <v>143</v>
      </c>
      <c r="M2796" t="s">
        <v>12</v>
      </c>
      <c r="N2796" t="s">
        <v>85</v>
      </c>
      <c r="O2796" s="6" t="s">
        <v>12</v>
      </c>
      <c r="P2796" t="s">
        <v>70</v>
      </c>
      <c r="Q2796">
        <v>10</v>
      </c>
      <c r="R2796" t="s">
        <v>214</v>
      </c>
      <c r="S2796" s="2" t="s">
        <v>27</v>
      </c>
      <c r="T2796">
        <v>3</v>
      </c>
      <c r="U2796" t="s">
        <v>28</v>
      </c>
      <c r="V2796" t="s">
        <v>28</v>
      </c>
      <c r="W2796">
        <v>20</v>
      </c>
      <c r="X2796">
        <v>100</v>
      </c>
      <c r="Y2796">
        <v>0</v>
      </c>
      <c r="AA2796" s="6"/>
      <c r="AB2796" s="6"/>
    </row>
    <row r="2797" spans="1:28" x14ac:dyDescent="0.2">
      <c r="A2797" t="s">
        <v>383</v>
      </c>
      <c r="B2797">
        <v>2013</v>
      </c>
      <c r="C2797" t="s">
        <v>807</v>
      </c>
      <c r="D2797" t="s">
        <v>825</v>
      </c>
      <c r="E2797" t="s">
        <v>35</v>
      </c>
      <c r="F2797" t="s">
        <v>352</v>
      </c>
      <c r="G2797">
        <v>38.533332999999999</v>
      </c>
      <c r="H2797">
        <v>141.51666700000001</v>
      </c>
      <c r="I2797" t="s">
        <v>761</v>
      </c>
      <c r="J2797" s="2" t="s">
        <v>14</v>
      </c>
      <c r="K2797" t="s">
        <v>385</v>
      </c>
      <c r="L2797" t="s">
        <v>143</v>
      </c>
      <c r="M2797" t="s">
        <v>12</v>
      </c>
      <c r="N2797" t="s">
        <v>85</v>
      </c>
      <c r="O2797" s="6" t="s">
        <v>12</v>
      </c>
      <c r="P2797" t="s">
        <v>70</v>
      </c>
      <c r="Q2797">
        <v>11</v>
      </c>
      <c r="R2797" t="s">
        <v>214</v>
      </c>
      <c r="S2797" s="2" t="s">
        <v>27</v>
      </c>
      <c r="T2797">
        <v>3</v>
      </c>
      <c r="U2797" t="s">
        <v>28</v>
      </c>
      <c r="V2797" t="s">
        <v>28</v>
      </c>
      <c r="W2797">
        <v>20</v>
      </c>
      <c r="X2797">
        <v>100</v>
      </c>
      <c r="Y2797">
        <v>0</v>
      </c>
      <c r="AA2797" s="6"/>
      <c r="AB2797" s="6"/>
    </row>
    <row r="2798" spans="1:28" x14ac:dyDescent="0.2">
      <c r="A2798" t="s">
        <v>383</v>
      </c>
      <c r="B2798">
        <v>2013</v>
      </c>
      <c r="C2798" t="s">
        <v>807</v>
      </c>
      <c r="D2798" t="s">
        <v>825</v>
      </c>
      <c r="E2798" t="s">
        <v>35</v>
      </c>
      <c r="F2798" t="s">
        <v>352</v>
      </c>
      <c r="G2798">
        <v>38.533332999999999</v>
      </c>
      <c r="H2798">
        <v>141.51666700000001</v>
      </c>
      <c r="I2798" t="s">
        <v>761</v>
      </c>
      <c r="J2798" s="2" t="s">
        <v>14</v>
      </c>
      <c r="K2798" t="s">
        <v>385</v>
      </c>
      <c r="L2798" t="s">
        <v>143</v>
      </c>
      <c r="M2798" t="s">
        <v>12</v>
      </c>
      <c r="N2798" t="s">
        <v>85</v>
      </c>
      <c r="O2798" s="6" t="s">
        <v>12</v>
      </c>
      <c r="P2798" t="s">
        <v>70</v>
      </c>
      <c r="Q2798">
        <v>12</v>
      </c>
      <c r="R2798" t="s">
        <v>213</v>
      </c>
      <c r="S2798" s="2" t="s">
        <v>27</v>
      </c>
      <c r="T2798">
        <v>3</v>
      </c>
      <c r="U2798" t="s">
        <v>28</v>
      </c>
      <c r="V2798" t="s">
        <v>28</v>
      </c>
      <c r="W2798">
        <v>20</v>
      </c>
      <c r="X2798">
        <v>100</v>
      </c>
      <c r="Y2798">
        <v>0</v>
      </c>
      <c r="AA2798" s="6"/>
      <c r="AB2798" s="6"/>
    </row>
    <row r="2799" spans="1:28" x14ac:dyDescent="0.2">
      <c r="A2799" t="s">
        <v>383</v>
      </c>
      <c r="B2799">
        <v>2013</v>
      </c>
      <c r="C2799" t="s">
        <v>807</v>
      </c>
      <c r="D2799" t="s">
        <v>825</v>
      </c>
      <c r="E2799" t="s">
        <v>35</v>
      </c>
      <c r="F2799" t="s">
        <v>353</v>
      </c>
      <c r="G2799">
        <v>34.216667000000001</v>
      </c>
      <c r="H2799">
        <v>135.61666700000001</v>
      </c>
      <c r="I2799" t="s">
        <v>761</v>
      </c>
      <c r="J2799" s="2" t="s">
        <v>14</v>
      </c>
      <c r="K2799" t="s">
        <v>385</v>
      </c>
      <c r="L2799" t="s">
        <v>143</v>
      </c>
      <c r="M2799" t="s">
        <v>12</v>
      </c>
      <c r="N2799" t="s">
        <v>85</v>
      </c>
      <c r="O2799" s="6" t="s">
        <v>12</v>
      </c>
      <c r="P2799" t="s">
        <v>70</v>
      </c>
      <c r="Q2799">
        <v>1</v>
      </c>
      <c r="R2799" t="s">
        <v>214</v>
      </c>
      <c r="S2799" s="2" t="s">
        <v>27</v>
      </c>
      <c r="T2799">
        <v>3</v>
      </c>
      <c r="U2799" t="s">
        <v>28</v>
      </c>
      <c r="V2799" t="s">
        <v>28</v>
      </c>
      <c r="W2799">
        <v>20</v>
      </c>
      <c r="X2799">
        <v>100</v>
      </c>
      <c r="Y2799">
        <v>0</v>
      </c>
      <c r="AA2799" s="6"/>
      <c r="AB2799" s="6"/>
    </row>
    <row r="2800" spans="1:28" x14ac:dyDescent="0.2">
      <c r="A2800" t="s">
        <v>383</v>
      </c>
      <c r="B2800">
        <v>2013</v>
      </c>
      <c r="C2800" t="s">
        <v>807</v>
      </c>
      <c r="D2800" t="s">
        <v>825</v>
      </c>
      <c r="E2800" t="s">
        <v>35</v>
      </c>
      <c r="F2800" t="s">
        <v>353</v>
      </c>
      <c r="G2800">
        <v>34.216667000000001</v>
      </c>
      <c r="H2800">
        <v>135.61666700000001</v>
      </c>
      <c r="I2800" t="s">
        <v>761</v>
      </c>
      <c r="J2800" s="2" t="s">
        <v>14</v>
      </c>
      <c r="K2800" t="s">
        <v>385</v>
      </c>
      <c r="L2800" t="s">
        <v>143</v>
      </c>
      <c r="M2800" t="s">
        <v>12</v>
      </c>
      <c r="N2800" t="s">
        <v>85</v>
      </c>
      <c r="O2800" s="6" t="s">
        <v>12</v>
      </c>
      <c r="P2800" t="s">
        <v>70</v>
      </c>
      <c r="Q2800">
        <v>2</v>
      </c>
      <c r="R2800" t="s">
        <v>214</v>
      </c>
      <c r="S2800" s="2" t="s">
        <v>27</v>
      </c>
      <c r="T2800">
        <v>3</v>
      </c>
      <c r="U2800" t="s">
        <v>28</v>
      </c>
      <c r="V2800" t="s">
        <v>28</v>
      </c>
      <c r="W2800">
        <v>20</v>
      </c>
      <c r="X2800">
        <v>100</v>
      </c>
      <c r="Y2800">
        <v>0</v>
      </c>
      <c r="AA2800" s="6"/>
      <c r="AB2800" s="6"/>
    </row>
    <row r="2801" spans="1:28" x14ac:dyDescent="0.2">
      <c r="A2801" t="s">
        <v>383</v>
      </c>
      <c r="B2801">
        <v>2013</v>
      </c>
      <c r="C2801" t="s">
        <v>807</v>
      </c>
      <c r="D2801" t="s">
        <v>825</v>
      </c>
      <c r="E2801" t="s">
        <v>35</v>
      </c>
      <c r="F2801" t="s">
        <v>353</v>
      </c>
      <c r="G2801">
        <v>34.216667000000001</v>
      </c>
      <c r="H2801">
        <v>135.61666700000001</v>
      </c>
      <c r="I2801" t="s">
        <v>761</v>
      </c>
      <c r="J2801" s="2" t="s">
        <v>14</v>
      </c>
      <c r="K2801" t="s">
        <v>385</v>
      </c>
      <c r="L2801" t="s">
        <v>143</v>
      </c>
      <c r="M2801" t="s">
        <v>12</v>
      </c>
      <c r="N2801" t="s">
        <v>85</v>
      </c>
      <c r="O2801" s="6" t="s">
        <v>12</v>
      </c>
      <c r="P2801" t="s">
        <v>70</v>
      </c>
      <c r="Q2801">
        <v>3</v>
      </c>
      <c r="R2801" t="s">
        <v>214</v>
      </c>
      <c r="S2801" s="2" t="s">
        <v>27</v>
      </c>
      <c r="T2801">
        <v>3</v>
      </c>
      <c r="U2801" t="s">
        <v>28</v>
      </c>
      <c r="V2801" t="s">
        <v>28</v>
      </c>
      <c r="W2801">
        <v>20</v>
      </c>
      <c r="X2801">
        <v>100</v>
      </c>
      <c r="Y2801">
        <v>0</v>
      </c>
      <c r="AA2801" s="6"/>
      <c r="AB2801" s="6"/>
    </row>
    <row r="2802" spans="1:28" x14ac:dyDescent="0.2">
      <c r="A2802" t="s">
        <v>383</v>
      </c>
      <c r="B2802">
        <v>2013</v>
      </c>
      <c r="C2802" t="s">
        <v>807</v>
      </c>
      <c r="D2802" t="s">
        <v>825</v>
      </c>
      <c r="E2802" t="s">
        <v>35</v>
      </c>
      <c r="F2802" t="s">
        <v>353</v>
      </c>
      <c r="G2802">
        <v>34.216667000000001</v>
      </c>
      <c r="H2802">
        <v>135.61666700000001</v>
      </c>
      <c r="I2802" t="s">
        <v>761</v>
      </c>
      <c r="J2802" s="2" t="s">
        <v>14</v>
      </c>
      <c r="K2802" t="s">
        <v>385</v>
      </c>
      <c r="L2802" t="s">
        <v>143</v>
      </c>
      <c r="M2802" t="s">
        <v>12</v>
      </c>
      <c r="N2802" t="s">
        <v>85</v>
      </c>
      <c r="O2802" s="6" t="s">
        <v>12</v>
      </c>
      <c r="P2802" t="s">
        <v>70</v>
      </c>
      <c r="Q2802">
        <v>4</v>
      </c>
      <c r="R2802" t="s">
        <v>214</v>
      </c>
      <c r="S2802" s="2" t="s">
        <v>27</v>
      </c>
      <c r="T2802">
        <v>3</v>
      </c>
      <c r="U2802" t="s">
        <v>28</v>
      </c>
      <c r="V2802" t="s">
        <v>28</v>
      </c>
      <c r="W2802">
        <v>20</v>
      </c>
      <c r="X2802">
        <v>100</v>
      </c>
      <c r="Y2802">
        <v>0</v>
      </c>
      <c r="AA2802" s="6"/>
      <c r="AB2802" s="6"/>
    </row>
    <row r="2803" spans="1:28" x14ac:dyDescent="0.2">
      <c r="A2803" t="s">
        <v>383</v>
      </c>
      <c r="B2803">
        <v>2013</v>
      </c>
      <c r="C2803" t="s">
        <v>807</v>
      </c>
      <c r="D2803" t="s">
        <v>825</v>
      </c>
      <c r="E2803" t="s">
        <v>35</v>
      </c>
      <c r="F2803" t="s">
        <v>353</v>
      </c>
      <c r="G2803">
        <v>34.216667000000001</v>
      </c>
      <c r="H2803">
        <v>135.61666700000001</v>
      </c>
      <c r="I2803" t="s">
        <v>761</v>
      </c>
      <c r="J2803" s="2" t="s">
        <v>14</v>
      </c>
      <c r="K2803" t="s">
        <v>385</v>
      </c>
      <c r="L2803" t="s">
        <v>143</v>
      </c>
      <c r="M2803" t="s">
        <v>12</v>
      </c>
      <c r="N2803" t="s">
        <v>85</v>
      </c>
      <c r="O2803" s="6" t="s">
        <v>12</v>
      </c>
      <c r="P2803" t="s">
        <v>70</v>
      </c>
      <c r="Q2803">
        <v>5</v>
      </c>
      <c r="R2803" t="s">
        <v>214</v>
      </c>
      <c r="S2803" s="2" t="s">
        <v>27</v>
      </c>
      <c r="T2803">
        <v>3</v>
      </c>
      <c r="U2803" t="s">
        <v>28</v>
      </c>
      <c r="V2803" t="s">
        <v>28</v>
      </c>
      <c r="W2803">
        <v>20</v>
      </c>
      <c r="X2803">
        <v>100</v>
      </c>
      <c r="Y2803">
        <v>0</v>
      </c>
      <c r="AA2803" s="6"/>
      <c r="AB2803" s="6"/>
    </row>
    <row r="2804" spans="1:28" x14ac:dyDescent="0.2">
      <c r="A2804" t="s">
        <v>383</v>
      </c>
      <c r="B2804">
        <v>2013</v>
      </c>
      <c r="C2804" t="s">
        <v>807</v>
      </c>
      <c r="D2804" t="s">
        <v>825</v>
      </c>
      <c r="E2804" t="s">
        <v>35</v>
      </c>
      <c r="F2804" t="s">
        <v>353</v>
      </c>
      <c r="G2804">
        <v>34.216667000000001</v>
      </c>
      <c r="H2804">
        <v>135.61666700000001</v>
      </c>
      <c r="I2804" t="s">
        <v>761</v>
      </c>
      <c r="J2804" s="2" t="s">
        <v>14</v>
      </c>
      <c r="K2804" t="s">
        <v>385</v>
      </c>
      <c r="L2804" t="s">
        <v>143</v>
      </c>
      <c r="M2804" t="s">
        <v>12</v>
      </c>
      <c r="N2804" t="s">
        <v>85</v>
      </c>
      <c r="O2804" s="6" t="s">
        <v>12</v>
      </c>
      <c r="P2804" t="s">
        <v>70</v>
      </c>
      <c r="Q2804">
        <v>6</v>
      </c>
      <c r="R2804" t="s">
        <v>214</v>
      </c>
      <c r="S2804" s="2" t="s">
        <v>27</v>
      </c>
      <c r="T2804">
        <v>3</v>
      </c>
      <c r="U2804" t="s">
        <v>28</v>
      </c>
      <c r="V2804" t="s">
        <v>28</v>
      </c>
      <c r="W2804">
        <v>20</v>
      </c>
      <c r="X2804">
        <v>100</v>
      </c>
      <c r="Y2804">
        <v>0</v>
      </c>
      <c r="AA2804" s="6"/>
      <c r="AB2804" s="6"/>
    </row>
    <row r="2805" spans="1:28" x14ac:dyDescent="0.2">
      <c r="A2805" t="s">
        <v>383</v>
      </c>
      <c r="B2805">
        <v>2013</v>
      </c>
      <c r="C2805" t="s">
        <v>807</v>
      </c>
      <c r="D2805" t="s">
        <v>825</v>
      </c>
      <c r="E2805" t="s">
        <v>35</v>
      </c>
      <c r="F2805" t="s">
        <v>353</v>
      </c>
      <c r="G2805">
        <v>34.216667000000001</v>
      </c>
      <c r="H2805">
        <v>135.61666700000001</v>
      </c>
      <c r="I2805" t="s">
        <v>761</v>
      </c>
      <c r="J2805" s="2" t="s">
        <v>14</v>
      </c>
      <c r="K2805" t="s">
        <v>385</v>
      </c>
      <c r="L2805" t="s">
        <v>143</v>
      </c>
      <c r="M2805" t="s">
        <v>12</v>
      </c>
      <c r="N2805" t="s">
        <v>85</v>
      </c>
      <c r="O2805" s="6" t="s">
        <v>12</v>
      </c>
      <c r="P2805" t="s">
        <v>70</v>
      </c>
      <c r="Q2805">
        <v>7</v>
      </c>
      <c r="R2805" t="s">
        <v>214</v>
      </c>
      <c r="S2805" s="2" t="s">
        <v>27</v>
      </c>
      <c r="T2805">
        <v>3</v>
      </c>
      <c r="U2805" t="s">
        <v>28</v>
      </c>
      <c r="V2805" t="s">
        <v>28</v>
      </c>
      <c r="W2805">
        <v>20</v>
      </c>
      <c r="X2805">
        <v>100</v>
      </c>
      <c r="Y2805">
        <v>0</v>
      </c>
      <c r="AA2805" s="6"/>
      <c r="AB2805" s="6"/>
    </row>
    <row r="2806" spans="1:28" x14ac:dyDescent="0.2">
      <c r="A2806" t="s">
        <v>383</v>
      </c>
      <c r="B2806">
        <v>2013</v>
      </c>
      <c r="C2806" t="s">
        <v>807</v>
      </c>
      <c r="D2806" t="s">
        <v>825</v>
      </c>
      <c r="E2806" t="s">
        <v>35</v>
      </c>
      <c r="F2806" t="s">
        <v>353</v>
      </c>
      <c r="G2806">
        <v>34.216667000000001</v>
      </c>
      <c r="H2806">
        <v>135.61666700000001</v>
      </c>
      <c r="I2806" t="s">
        <v>761</v>
      </c>
      <c r="J2806" s="2" t="s">
        <v>14</v>
      </c>
      <c r="K2806" t="s">
        <v>385</v>
      </c>
      <c r="L2806" t="s">
        <v>143</v>
      </c>
      <c r="M2806" t="s">
        <v>12</v>
      </c>
      <c r="N2806" t="s">
        <v>85</v>
      </c>
      <c r="O2806" s="6" t="s">
        <v>12</v>
      </c>
      <c r="P2806" t="s">
        <v>70</v>
      </c>
      <c r="Q2806">
        <v>8</v>
      </c>
      <c r="R2806" t="s">
        <v>214</v>
      </c>
      <c r="S2806" s="2" t="s">
        <v>27</v>
      </c>
      <c r="T2806">
        <v>3</v>
      </c>
      <c r="U2806" t="s">
        <v>28</v>
      </c>
      <c r="V2806" t="s">
        <v>28</v>
      </c>
      <c r="W2806">
        <v>20</v>
      </c>
      <c r="X2806">
        <v>100</v>
      </c>
      <c r="Y2806">
        <v>0</v>
      </c>
      <c r="AA2806" s="6"/>
      <c r="AB2806" s="6"/>
    </row>
    <row r="2807" spans="1:28" x14ac:dyDescent="0.2">
      <c r="A2807" t="s">
        <v>383</v>
      </c>
      <c r="B2807">
        <v>2013</v>
      </c>
      <c r="C2807" t="s">
        <v>807</v>
      </c>
      <c r="D2807" t="s">
        <v>825</v>
      </c>
      <c r="E2807" t="s">
        <v>35</v>
      </c>
      <c r="F2807" t="s">
        <v>353</v>
      </c>
      <c r="G2807">
        <v>34.216667000000001</v>
      </c>
      <c r="H2807">
        <v>135.61666700000001</v>
      </c>
      <c r="I2807" t="s">
        <v>761</v>
      </c>
      <c r="J2807" s="2" t="s">
        <v>14</v>
      </c>
      <c r="K2807" t="s">
        <v>385</v>
      </c>
      <c r="L2807" t="s">
        <v>143</v>
      </c>
      <c r="M2807" t="s">
        <v>12</v>
      </c>
      <c r="N2807" t="s">
        <v>85</v>
      </c>
      <c r="O2807" s="6" t="s">
        <v>12</v>
      </c>
      <c r="P2807" t="s">
        <v>70</v>
      </c>
      <c r="Q2807">
        <v>9</v>
      </c>
      <c r="R2807" t="s">
        <v>214</v>
      </c>
      <c r="S2807" s="2" t="s">
        <v>27</v>
      </c>
      <c r="T2807">
        <v>3</v>
      </c>
      <c r="U2807" t="s">
        <v>28</v>
      </c>
      <c r="V2807" t="s">
        <v>28</v>
      </c>
      <c r="W2807">
        <v>20</v>
      </c>
      <c r="X2807">
        <v>100</v>
      </c>
      <c r="Y2807">
        <v>0</v>
      </c>
      <c r="AA2807" s="6"/>
      <c r="AB2807" s="6"/>
    </row>
    <row r="2808" spans="1:28" x14ac:dyDescent="0.2">
      <c r="A2808" t="s">
        <v>383</v>
      </c>
      <c r="B2808">
        <v>2013</v>
      </c>
      <c r="C2808" t="s">
        <v>807</v>
      </c>
      <c r="D2808" t="s">
        <v>825</v>
      </c>
      <c r="E2808" t="s">
        <v>35</v>
      </c>
      <c r="F2808" t="s">
        <v>353</v>
      </c>
      <c r="G2808">
        <v>34.216667000000001</v>
      </c>
      <c r="H2808">
        <v>135.61666700000001</v>
      </c>
      <c r="I2808" t="s">
        <v>761</v>
      </c>
      <c r="J2808" s="2" t="s">
        <v>14</v>
      </c>
      <c r="K2808" t="s">
        <v>385</v>
      </c>
      <c r="L2808" t="s">
        <v>143</v>
      </c>
      <c r="M2808" t="s">
        <v>12</v>
      </c>
      <c r="N2808" t="s">
        <v>85</v>
      </c>
      <c r="O2808" s="6" t="s">
        <v>12</v>
      </c>
      <c r="P2808" t="s">
        <v>70</v>
      </c>
      <c r="Q2808">
        <v>10</v>
      </c>
      <c r="R2808" t="s">
        <v>214</v>
      </c>
      <c r="S2808" s="2" t="s">
        <v>27</v>
      </c>
      <c r="T2808">
        <v>3</v>
      </c>
      <c r="U2808" t="s">
        <v>28</v>
      </c>
      <c r="V2808" t="s">
        <v>28</v>
      </c>
      <c r="W2808">
        <v>20</v>
      </c>
      <c r="X2808">
        <v>100</v>
      </c>
      <c r="Y2808">
        <v>0</v>
      </c>
      <c r="AA2808" s="6"/>
      <c r="AB2808" s="6"/>
    </row>
    <row r="2809" spans="1:28" x14ac:dyDescent="0.2">
      <c r="A2809" t="s">
        <v>383</v>
      </c>
      <c r="B2809">
        <v>2013</v>
      </c>
      <c r="C2809" t="s">
        <v>807</v>
      </c>
      <c r="D2809" t="s">
        <v>825</v>
      </c>
      <c r="E2809" t="s">
        <v>35</v>
      </c>
      <c r="F2809" t="s">
        <v>353</v>
      </c>
      <c r="G2809">
        <v>34.216667000000001</v>
      </c>
      <c r="H2809">
        <v>135.61666700000001</v>
      </c>
      <c r="I2809" t="s">
        <v>761</v>
      </c>
      <c r="J2809" s="2" t="s">
        <v>14</v>
      </c>
      <c r="K2809" t="s">
        <v>385</v>
      </c>
      <c r="L2809" t="s">
        <v>143</v>
      </c>
      <c r="M2809" t="s">
        <v>12</v>
      </c>
      <c r="N2809" t="s">
        <v>85</v>
      </c>
      <c r="O2809" s="6" t="s">
        <v>12</v>
      </c>
      <c r="P2809" t="s">
        <v>70</v>
      </c>
      <c r="Q2809">
        <v>11</v>
      </c>
      <c r="R2809" t="s">
        <v>214</v>
      </c>
      <c r="S2809" s="2" t="s">
        <v>27</v>
      </c>
      <c r="T2809">
        <v>3</v>
      </c>
      <c r="U2809" t="s">
        <v>28</v>
      </c>
      <c r="V2809" t="s">
        <v>28</v>
      </c>
      <c r="W2809">
        <v>20</v>
      </c>
      <c r="X2809">
        <v>100</v>
      </c>
      <c r="Y2809">
        <v>0</v>
      </c>
      <c r="AA2809" s="6"/>
      <c r="AB2809" s="6"/>
    </row>
    <row r="2810" spans="1:28" x14ac:dyDescent="0.2">
      <c r="A2810" t="s">
        <v>383</v>
      </c>
      <c r="B2810">
        <v>2013</v>
      </c>
      <c r="C2810" t="s">
        <v>807</v>
      </c>
      <c r="D2810" t="s">
        <v>825</v>
      </c>
      <c r="E2810" t="s">
        <v>35</v>
      </c>
      <c r="F2810" t="s">
        <v>353</v>
      </c>
      <c r="G2810">
        <v>34.216667000000001</v>
      </c>
      <c r="H2810">
        <v>135.61666700000001</v>
      </c>
      <c r="I2810" t="s">
        <v>761</v>
      </c>
      <c r="J2810" s="2" t="s">
        <v>14</v>
      </c>
      <c r="K2810" t="s">
        <v>385</v>
      </c>
      <c r="L2810" t="s">
        <v>143</v>
      </c>
      <c r="M2810" t="s">
        <v>12</v>
      </c>
      <c r="N2810" t="s">
        <v>85</v>
      </c>
      <c r="O2810" s="6" t="s">
        <v>12</v>
      </c>
      <c r="P2810" t="s">
        <v>70</v>
      </c>
      <c r="Q2810">
        <v>12</v>
      </c>
      <c r="R2810" t="s">
        <v>213</v>
      </c>
      <c r="S2810" s="2" t="s">
        <v>27</v>
      </c>
      <c r="T2810">
        <v>3</v>
      </c>
      <c r="U2810" t="s">
        <v>28</v>
      </c>
      <c r="V2810" t="s">
        <v>28</v>
      </c>
      <c r="W2810">
        <v>20</v>
      </c>
      <c r="X2810">
        <v>100</v>
      </c>
      <c r="Y2810">
        <v>0</v>
      </c>
      <c r="AA2810" s="6"/>
      <c r="AB2810" s="6"/>
    </row>
    <row r="2811" spans="1:28" x14ac:dyDescent="0.2">
      <c r="A2811" t="s">
        <v>383</v>
      </c>
      <c r="B2811">
        <v>2013</v>
      </c>
      <c r="C2811" t="s">
        <v>807</v>
      </c>
      <c r="D2811" t="s">
        <v>825</v>
      </c>
      <c r="E2811" t="s">
        <v>35</v>
      </c>
      <c r="F2811" t="s">
        <v>384</v>
      </c>
      <c r="G2811">
        <v>39.083333000000003</v>
      </c>
      <c r="H2811">
        <v>142.85</v>
      </c>
      <c r="I2811" t="s">
        <v>761</v>
      </c>
      <c r="J2811" s="2" t="s">
        <v>14</v>
      </c>
      <c r="K2811" t="s">
        <v>385</v>
      </c>
      <c r="L2811" t="s">
        <v>143</v>
      </c>
      <c r="M2811" t="s">
        <v>12</v>
      </c>
      <c r="N2811" t="s">
        <v>85</v>
      </c>
      <c r="O2811" s="6" t="s">
        <v>12</v>
      </c>
      <c r="P2811" t="s">
        <v>70</v>
      </c>
      <c r="Q2811">
        <v>1</v>
      </c>
      <c r="R2811" t="s">
        <v>214</v>
      </c>
      <c r="S2811" s="2" t="s">
        <v>13</v>
      </c>
      <c r="T2811">
        <v>3</v>
      </c>
      <c r="U2811" t="s">
        <v>28</v>
      </c>
      <c r="V2811" t="s">
        <v>28</v>
      </c>
      <c r="W2811">
        <v>22</v>
      </c>
      <c r="X2811">
        <v>100</v>
      </c>
      <c r="Y2811">
        <v>0</v>
      </c>
      <c r="AA2811" s="6"/>
      <c r="AB2811" s="6"/>
    </row>
    <row r="2812" spans="1:28" x14ac:dyDescent="0.2">
      <c r="A2812" t="s">
        <v>383</v>
      </c>
      <c r="B2812">
        <v>2013</v>
      </c>
      <c r="C2812" t="s">
        <v>807</v>
      </c>
      <c r="D2812" t="s">
        <v>825</v>
      </c>
      <c r="E2812" t="s">
        <v>35</v>
      </c>
      <c r="F2812" t="s">
        <v>384</v>
      </c>
      <c r="G2812">
        <v>39.083333000000003</v>
      </c>
      <c r="H2812">
        <v>142.85</v>
      </c>
      <c r="I2812" t="s">
        <v>761</v>
      </c>
      <c r="J2812" s="2" t="s">
        <v>14</v>
      </c>
      <c r="K2812" t="s">
        <v>385</v>
      </c>
      <c r="L2812" t="s">
        <v>143</v>
      </c>
      <c r="M2812" t="s">
        <v>12</v>
      </c>
      <c r="N2812" t="s">
        <v>85</v>
      </c>
      <c r="O2812" s="6" t="s">
        <v>12</v>
      </c>
      <c r="P2812" t="s">
        <v>70</v>
      </c>
      <c r="Q2812">
        <v>2</v>
      </c>
      <c r="R2812" t="s">
        <v>214</v>
      </c>
      <c r="S2812" s="2" t="s">
        <v>13</v>
      </c>
      <c r="T2812">
        <v>3</v>
      </c>
      <c r="U2812" t="s">
        <v>28</v>
      </c>
      <c r="V2812" t="s">
        <v>28</v>
      </c>
      <c r="W2812">
        <v>22</v>
      </c>
      <c r="X2812">
        <v>96.85</v>
      </c>
      <c r="Y2812">
        <f>X2812-93.42</f>
        <v>3.4299999999999926</v>
      </c>
      <c r="AA2812" s="6"/>
      <c r="AB2812" s="6"/>
    </row>
    <row r="2813" spans="1:28" x14ac:dyDescent="0.2">
      <c r="A2813" t="s">
        <v>383</v>
      </c>
      <c r="B2813">
        <v>2013</v>
      </c>
      <c r="C2813" t="s">
        <v>807</v>
      </c>
      <c r="D2813" t="s">
        <v>825</v>
      </c>
      <c r="E2813" t="s">
        <v>35</v>
      </c>
      <c r="F2813" t="s">
        <v>384</v>
      </c>
      <c r="G2813">
        <v>39.083333000000003</v>
      </c>
      <c r="H2813">
        <v>142.85</v>
      </c>
      <c r="I2813" t="s">
        <v>761</v>
      </c>
      <c r="J2813" s="2" t="s">
        <v>14</v>
      </c>
      <c r="K2813" t="s">
        <v>385</v>
      </c>
      <c r="L2813" t="s">
        <v>143</v>
      </c>
      <c r="M2813" t="s">
        <v>12</v>
      </c>
      <c r="N2813" t="s">
        <v>85</v>
      </c>
      <c r="O2813" s="6" t="s">
        <v>12</v>
      </c>
      <c r="P2813" t="s">
        <v>70</v>
      </c>
      <c r="Q2813">
        <v>3</v>
      </c>
      <c r="R2813" t="s">
        <v>214</v>
      </c>
      <c r="S2813" s="2" t="s">
        <v>13</v>
      </c>
      <c r="T2813">
        <v>3</v>
      </c>
      <c r="U2813" t="s">
        <v>28</v>
      </c>
      <c r="V2813" t="s">
        <v>28</v>
      </c>
      <c r="W2813">
        <v>22</v>
      </c>
      <c r="X2813">
        <v>96.73</v>
      </c>
      <c r="Y2813">
        <f>X2813-91.14</f>
        <v>5.5900000000000034</v>
      </c>
      <c r="AA2813" s="6"/>
      <c r="AB2813" s="6"/>
    </row>
    <row r="2814" spans="1:28" x14ac:dyDescent="0.2">
      <c r="A2814" t="s">
        <v>383</v>
      </c>
      <c r="B2814">
        <v>2013</v>
      </c>
      <c r="C2814" t="s">
        <v>807</v>
      </c>
      <c r="D2814" t="s">
        <v>825</v>
      </c>
      <c r="E2814" t="s">
        <v>35</v>
      </c>
      <c r="F2814" t="s">
        <v>384</v>
      </c>
      <c r="G2814">
        <v>39.083333000000003</v>
      </c>
      <c r="H2814">
        <v>142.85</v>
      </c>
      <c r="I2814" t="s">
        <v>761</v>
      </c>
      <c r="J2814" s="2" t="s">
        <v>14</v>
      </c>
      <c r="K2814" t="s">
        <v>385</v>
      </c>
      <c r="L2814" t="s">
        <v>143</v>
      </c>
      <c r="M2814" t="s">
        <v>12</v>
      </c>
      <c r="N2814" t="s">
        <v>85</v>
      </c>
      <c r="O2814" s="6" t="s">
        <v>12</v>
      </c>
      <c r="P2814" t="s">
        <v>70</v>
      </c>
      <c r="Q2814">
        <v>4</v>
      </c>
      <c r="R2814" t="s">
        <v>214</v>
      </c>
      <c r="S2814" s="2" t="s">
        <v>13</v>
      </c>
      <c r="T2814">
        <v>3</v>
      </c>
      <c r="U2814" t="s">
        <v>28</v>
      </c>
      <c r="V2814" t="s">
        <v>28</v>
      </c>
      <c r="W2814">
        <v>22</v>
      </c>
      <c r="X2814">
        <v>93.57</v>
      </c>
      <c r="Y2814">
        <f>X2814-88.99</f>
        <v>4.5799999999999983</v>
      </c>
      <c r="AA2814" s="6"/>
      <c r="AB2814" s="6"/>
    </row>
    <row r="2815" spans="1:28" x14ac:dyDescent="0.2">
      <c r="A2815" t="s">
        <v>383</v>
      </c>
      <c r="B2815">
        <v>2013</v>
      </c>
      <c r="C2815" t="s">
        <v>807</v>
      </c>
      <c r="D2815" t="s">
        <v>825</v>
      </c>
      <c r="E2815" t="s">
        <v>35</v>
      </c>
      <c r="F2815" t="s">
        <v>384</v>
      </c>
      <c r="G2815">
        <v>39.083333000000003</v>
      </c>
      <c r="H2815">
        <v>142.85</v>
      </c>
      <c r="I2815" t="s">
        <v>761</v>
      </c>
      <c r="J2815" s="2" t="s">
        <v>14</v>
      </c>
      <c r="K2815" t="s">
        <v>385</v>
      </c>
      <c r="L2815" t="s">
        <v>143</v>
      </c>
      <c r="M2815" t="s">
        <v>12</v>
      </c>
      <c r="N2815" t="s">
        <v>85</v>
      </c>
      <c r="O2815" s="6" t="s">
        <v>12</v>
      </c>
      <c r="P2815" t="s">
        <v>70</v>
      </c>
      <c r="Q2815">
        <v>5</v>
      </c>
      <c r="R2815" t="s">
        <v>214</v>
      </c>
      <c r="S2815" s="2" t="s">
        <v>13</v>
      </c>
      <c r="T2815">
        <v>3</v>
      </c>
      <c r="U2815" t="s">
        <v>28</v>
      </c>
      <c r="V2815" t="s">
        <v>28</v>
      </c>
      <c r="W2815">
        <v>22</v>
      </c>
      <c r="X2815">
        <v>93.58</v>
      </c>
      <c r="Y2815">
        <f>X2815-86.84</f>
        <v>6.7399999999999949</v>
      </c>
      <c r="AA2815" s="6"/>
      <c r="AB2815" s="6"/>
    </row>
    <row r="2816" spans="1:28" x14ac:dyDescent="0.2">
      <c r="A2816" t="s">
        <v>383</v>
      </c>
      <c r="B2816">
        <v>2013</v>
      </c>
      <c r="C2816" t="s">
        <v>807</v>
      </c>
      <c r="D2816" t="s">
        <v>825</v>
      </c>
      <c r="E2816" t="s">
        <v>35</v>
      </c>
      <c r="F2816" t="s">
        <v>384</v>
      </c>
      <c r="G2816">
        <v>39.083333000000003</v>
      </c>
      <c r="H2816">
        <v>142.85</v>
      </c>
      <c r="I2816" t="s">
        <v>761</v>
      </c>
      <c r="J2816" s="2" t="s">
        <v>14</v>
      </c>
      <c r="K2816" t="s">
        <v>385</v>
      </c>
      <c r="L2816" t="s">
        <v>143</v>
      </c>
      <c r="M2816" t="s">
        <v>12</v>
      </c>
      <c r="N2816" t="s">
        <v>85</v>
      </c>
      <c r="O2816" s="6" t="s">
        <v>12</v>
      </c>
      <c r="P2816" t="s">
        <v>70</v>
      </c>
      <c r="Q2816">
        <v>6</v>
      </c>
      <c r="R2816" t="s">
        <v>214</v>
      </c>
      <c r="S2816" s="2" t="s">
        <v>13</v>
      </c>
      <c r="T2816">
        <v>3</v>
      </c>
      <c r="U2816" t="s">
        <v>28</v>
      </c>
      <c r="V2816" t="s">
        <v>28</v>
      </c>
      <c r="W2816">
        <v>22</v>
      </c>
      <c r="X2816">
        <v>90.16</v>
      </c>
      <c r="Y2816">
        <f>X2816-84.31</f>
        <v>5.8499999999999943</v>
      </c>
      <c r="AA2816" s="6"/>
      <c r="AB2816" s="6"/>
    </row>
    <row r="2817" spans="1:28" x14ac:dyDescent="0.2">
      <c r="A2817" t="s">
        <v>383</v>
      </c>
      <c r="B2817">
        <v>2013</v>
      </c>
      <c r="C2817" t="s">
        <v>807</v>
      </c>
      <c r="D2817" t="s">
        <v>825</v>
      </c>
      <c r="E2817" t="s">
        <v>35</v>
      </c>
      <c r="F2817" t="s">
        <v>384</v>
      </c>
      <c r="G2817">
        <v>39.083333000000003</v>
      </c>
      <c r="H2817">
        <v>142.85</v>
      </c>
      <c r="I2817" t="s">
        <v>761</v>
      </c>
      <c r="J2817" s="2" t="s">
        <v>14</v>
      </c>
      <c r="K2817" t="s">
        <v>385</v>
      </c>
      <c r="L2817" t="s">
        <v>143</v>
      </c>
      <c r="M2817" t="s">
        <v>12</v>
      </c>
      <c r="N2817" t="s">
        <v>85</v>
      </c>
      <c r="O2817" s="6" t="s">
        <v>12</v>
      </c>
      <c r="P2817" t="s">
        <v>70</v>
      </c>
      <c r="Q2817">
        <v>7</v>
      </c>
      <c r="R2817" t="s">
        <v>214</v>
      </c>
      <c r="S2817" s="2" t="s">
        <v>13</v>
      </c>
      <c r="T2817">
        <v>3</v>
      </c>
      <c r="U2817" t="s">
        <v>28</v>
      </c>
      <c r="V2817" t="s">
        <v>28</v>
      </c>
      <c r="W2817">
        <v>22</v>
      </c>
      <c r="X2817">
        <v>90.17</v>
      </c>
      <c r="Y2817">
        <f>X2817-86.49</f>
        <v>3.6800000000000068</v>
      </c>
      <c r="AA2817" s="6"/>
      <c r="AB2817" s="6"/>
    </row>
    <row r="2818" spans="1:28" x14ac:dyDescent="0.2">
      <c r="A2818" t="s">
        <v>383</v>
      </c>
      <c r="B2818">
        <v>2013</v>
      </c>
      <c r="C2818" t="s">
        <v>807</v>
      </c>
      <c r="D2818" t="s">
        <v>825</v>
      </c>
      <c r="E2818" t="s">
        <v>35</v>
      </c>
      <c r="F2818" t="s">
        <v>384</v>
      </c>
      <c r="G2818">
        <v>39.083333000000003</v>
      </c>
      <c r="H2818">
        <v>142.85</v>
      </c>
      <c r="I2818" t="s">
        <v>761</v>
      </c>
      <c r="J2818" s="2" t="s">
        <v>14</v>
      </c>
      <c r="K2818" t="s">
        <v>385</v>
      </c>
      <c r="L2818" t="s">
        <v>143</v>
      </c>
      <c r="M2818" t="s">
        <v>12</v>
      </c>
      <c r="N2818" t="s">
        <v>85</v>
      </c>
      <c r="O2818" s="6" t="s">
        <v>12</v>
      </c>
      <c r="P2818" t="s">
        <v>70</v>
      </c>
      <c r="Q2818">
        <v>8</v>
      </c>
      <c r="R2818" t="s">
        <v>214</v>
      </c>
      <c r="S2818" s="2" t="s">
        <v>13</v>
      </c>
      <c r="T2818">
        <v>3</v>
      </c>
      <c r="U2818" t="s">
        <v>28</v>
      </c>
      <c r="V2818" t="s">
        <v>28</v>
      </c>
      <c r="W2818">
        <v>22</v>
      </c>
      <c r="X2818">
        <v>90.18</v>
      </c>
      <c r="Y2818">
        <f>X2818-83.32</f>
        <v>6.8600000000000136</v>
      </c>
      <c r="AA2818" s="6"/>
      <c r="AB2818" s="6"/>
    </row>
    <row r="2819" spans="1:28" x14ac:dyDescent="0.2">
      <c r="A2819" t="s">
        <v>383</v>
      </c>
      <c r="B2819">
        <v>2013</v>
      </c>
      <c r="C2819" t="s">
        <v>807</v>
      </c>
      <c r="D2819" t="s">
        <v>825</v>
      </c>
      <c r="E2819" t="s">
        <v>35</v>
      </c>
      <c r="F2819" t="s">
        <v>384</v>
      </c>
      <c r="G2819">
        <v>39.083333000000003</v>
      </c>
      <c r="H2819">
        <v>142.85</v>
      </c>
      <c r="I2819" t="s">
        <v>761</v>
      </c>
      <c r="J2819" s="2" t="s">
        <v>14</v>
      </c>
      <c r="K2819" t="s">
        <v>385</v>
      </c>
      <c r="L2819" t="s">
        <v>143</v>
      </c>
      <c r="M2819" t="s">
        <v>12</v>
      </c>
      <c r="N2819" t="s">
        <v>85</v>
      </c>
      <c r="O2819" s="6" t="s">
        <v>12</v>
      </c>
      <c r="P2819" t="s">
        <v>70</v>
      </c>
      <c r="Q2819">
        <v>9</v>
      </c>
      <c r="R2819" t="s">
        <v>214</v>
      </c>
      <c r="S2819" s="2" t="s">
        <v>13</v>
      </c>
      <c r="T2819">
        <v>3</v>
      </c>
      <c r="U2819" t="s">
        <v>28</v>
      </c>
      <c r="V2819" t="s">
        <v>28</v>
      </c>
      <c r="W2819">
        <v>22</v>
      </c>
      <c r="X2819">
        <v>86.89</v>
      </c>
      <c r="Y2819">
        <f>X2819-80.15</f>
        <v>6.7399999999999949</v>
      </c>
      <c r="AA2819" s="6"/>
      <c r="AB2819" s="6"/>
    </row>
    <row r="2820" spans="1:28" x14ac:dyDescent="0.2">
      <c r="A2820" t="s">
        <v>383</v>
      </c>
      <c r="B2820">
        <v>2013</v>
      </c>
      <c r="C2820" t="s">
        <v>807</v>
      </c>
      <c r="D2820" t="s">
        <v>825</v>
      </c>
      <c r="E2820" t="s">
        <v>35</v>
      </c>
      <c r="F2820" t="s">
        <v>384</v>
      </c>
      <c r="G2820">
        <v>39.083333000000003</v>
      </c>
      <c r="H2820">
        <v>142.85</v>
      </c>
      <c r="I2820" t="s">
        <v>761</v>
      </c>
      <c r="J2820" s="2" t="s">
        <v>14</v>
      </c>
      <c r="K2820" t="s">
        <v>385</v>
      </c>
      <c r="L2820" t="s">
        <v>143</v>
      </c>
      <c r="M2820" t="s">
        <v>12</v>
      </c>
      <c r="N2820" t="s">
        <v>85</v>
      </c>
      <c r="O2820" s="6" t="s">
        <v>12</v>
      </c>
      <c r="P2820" t="s">
        <v>70</v>
      </c>
      <c r="Q2820">
        <v>10</v>
      </c>
      <c r="R2820" t="s">
        <v>214</v>
      </c>
      <c r="S2820" s="2" t="s">
        <v>13</v>
      </c>
      <c r="T2820">
        <v>3</v>
      </c>
      <c r="U2820" t="s">
        <v>28</v>
      </c>
      <c r="V2820" t="s">
        <v>28</v>
      </c>
      <c r="W2820">
        <v>22</v>
      </c>
      <c r="X2820">
        <v>83.6</v>
      </c>
      <c r="Y2820">
        <f>X2820-77.75</f>
        <v>5.8499999999999943</v>
      </c>
      <c r="AA2820" s="6"/>
      <c r="AB2820" s="6"/>
    </row>
    <row r="2821" spans="1:28" x14ac:dyDescent="0.2">
      <c r="A2821" t="s">
        <v>383</v>
      </c>
      <c r="B2821">
        <v>2013</v>
      </c>
      <c r="C2821" t="s">
        <v>807</v>
      </c>
      <c r="D2821" t="s">
        <v>825</v>
      </c>
      <c r="E2821" t="s">
        <v>35</v>
      </c>
      <c r="F2821" t="s">
        <v>384</v>
      </c>
      <c r="G2821">
        <v>39.083333000000003</v>
      </c>
      <c r="H2821">
        <v>142.85</v>
      </c>
      <c r="I2821" t="s">
        <v>761</v>
      </c>
      <c r="J2821" s="2" t="s">
        <v>14</v>
      </c>
      <c r="K2821" t="s">
        <v>385</v>
      </c>
      <c r="L2821" t="s">
        <v>143</v>
      </c>
      <c r="M2821" t="s">
        <v>12</v>
      </c>
      <c r="N2821" t="s">
        <v>85</v>
      </c>
      <c r="O2821" s="6" t="s">
        <v>12</v>
      </c>
      <c r="P2821" t="s">
        <v>70</v>
      </c>
      <c r="Q2821">
        <v>11</v>
      </c>
      <c r="R2821" t="s">
        <v>214</v>
      </c>
      <c r="S2821" s="2" t="s">
        <v>13</v>
      </c>
      <c r="T2821">
        <v>3</v>
      </c>
      <c r="U2821" t="s">
        <v>28</v>
      </c>
      <c r="V2821" t="s">
        <v>28</v>
      </c>
      <c r="W2821">
        <v>22</v>
      </c>
      <c r="X2821">
        <v>80.05</v>
      </c>
      <c r="Y2821">
        <f>X2821-77.38</f>
        <v>2.6700000000000017</v>
      </c>
      <c r="AA2821" s="6"/>
      <c r="AB2821" s="6"/>
    </row>
    <row r="2822" spans="1:28" x14ac:dyDescent="0.2">
      <c r="A2822" t="s">
        <v>383</v>
      </c>
      <c r="B2822">
        <v>2013</v>
      </c>
      <c r="C2822" t="s">
        <v>807</v>
      </c>
      <c r="D2822" t="s">
        <v>825</v>
      </c>
      <c r="E2822" t="s">
        <v>35</v>
      </c>
      <c r="F2822" t="s">
        <v>384</v>
      </c>
      <c r="G2822">
        <v>39.083333000000003</v>
      </c>
      <c r="H2822">
        <v>142.85</v>
      </c>
      <c r="I2822" t="s">
        <v>761</v>
      </c>
      <c r="J2822" s="2" t="s">
        <v>14</v>
      </c>
      <c r="K2822" t="s">
        <v>385</v>
      </c>
      <c r="L2822" t="s">
        <v>143</v>
      </c>
      <c r="M2822" t="s">
        <v>12</v>
      </c>
      <c r="N2822" t="s">
        <v>85</v>
      </c>
      <c r="O2822" s="6" t="s">
        <v>12</v>
      </c>
      <c r="P2822" t="s">
        <v>70</v>
      </c>
      <c r="Q2822">
        <v>12</v>
      </c>
      <c r="R2822" t="s">
        <v>213</v>
      </c>
      <c r="S2822" s="2" t="s">
        <v>13</v>
      </c>
      <c r="T2822">
        <v>3</v>
      </c>
      <c r="U2822" t="s">
        <v>28</v>
      </c>
      <c r="V2822" t="s">
        <v>28</v>
      </c>
      <c r="W2822">
        <v>22</v>
      </c>
      <c r="X2822">
        <v>73.709999999999994</v>
      </c>
      <c r="Y2822">
        <f>X2822-67.99</f>
        <v>5.7199999999999989</v>
      </c>
      <c r="AA2822" s="6"/>
      <c r="AB2822" s="6"/>
    </row>
    <row r="2823" spans="1:28" x14ac:dyDescent="0.2">
      <c r="A2823" t="s">
        <v>383</v>
      </c>
      <c r="B2823">
        <v>2013</v>
      </c>
      <c r="C2823" t="s">
        <v>807</v>
      </c>
      <c r="D2823" t="s">
        <v>825</v>
      </c>
      <c r="E2823" t="s">
        <v>35</v>
      </c>
      <c r="F2823" t="s">
        <v>352</v>
      </c>
      <c r="G2823">
        <v>38.533332999999999</v>
      </c>
      <c r="H2823">
        <v>141.51666700000001</v>
      </c>
      <c r="I2823" t="s">
        <v>761</v>
      </c>
      <c r="J2823" s="2" t="s">
        <v>14</v>
      </c>
      <c r="K2823" t="s">
        <v>385</v>
      </c>
      <c r="L2823" t="s">
        <v>143</v>
      </c>
      <c r="M2823" t="s">
        <v>12</v>
      </c>
      <c r="N2823" t="s">
        <v>85</v>
      </c>
      <c r="O2823" s="6" t="s">
        <v>12</v>
      </c>
      <c r="P2823" t="s">
        <v>70</v>
      </c>
      <c r="Q2823">
        <v>1</v>
      </c>
      <c r="R2823" t="s">
        <v>214</v>
      </c>
      <c r="S2823" s="2" t="s">
        <v>13</v>
      </c>
      <c r="T2823">
        <v>3</v>
      </c>
      <c r="U2823" t="s">
        <v>28</v>
      </c>
      <c r="V2823" t="s">
        <v>28</v>
      </c>
      <c r="W2823">
        <v>22</v>
      </c>
      <c r="X2823">
        <v>100</v>
      </c>
      <c r="Y2823">
        <v>0</v>
      </c>
      <c r="AA2823" s="6"/>
      <c r="AB2823" s="6"/>
    </row>
    <row r="2824" spans="1:28" x14ac:dyDescent="0.2">
      <c r="A2824" t="s">
        <v>383</v>
      </c>
      <c r="B2824">
        <v>2013</v>
      </c>
      <c r="C2824" t="s">
        <v>807</v>
      </c>
      <c r="D2824" t="s">
        <v>825</v>
      </c>
      <c r="E2824" t="s">
        <v>35</v>
      </c>
      <c r="F2824" t="s">
        <v>352</v>
      </c>
      <c r="G2824">
        <v>38.533332999999999</v>
      </c>
      <c r="H2824">
        <v>141.51666700000001</v>
      </c>
      <c r="I2824" t="s">
        <v>761</v>
      </c>
      <c r="J2824" s="2" t="s">
        <v>14</v>
      </c>
      <c r="K2824" t="s">
        <v>385</v>
      </c>
      <c r="L2824" t="s">
        <v>143</v>
      </c>
      <c r="M2824" t="s">
        <v>12</v>
      </c>
      <c r="N2824" t="s">
        <v>85</v>
      </c>
      <c r="O2824" s="6" t="s">
        <v>12</v>
      </c>
      <c r="P2824" t="s">
        <v>70</v>
      </c>
      <c r="Q2824">
        <v>2</v>
      </c>
      <c r="R2824" t="s">
        <v>214</v>
      </c>
      <c r="S2824" s="2" t="s">
        <v>13</v>
      </c>
      <c r="T2824">
        <v>3</v>
      </c>
      <c r="U2824" t="s">
        <v>28</v>
      </c>
      <c r="V2824" t="s">
        <v>28</v>
      </c>
      <c r="W2824">
        <v>22</v>
      </c>
      <c r="X2824">
        <v>100</v>
      </c>
      <c r="Y2824">
        <v>0</v>
      </c>
      <c r="AA2824" s="6"/>
      <c r="AB2824" s="6"/>
    </row>
    <row r="2825" spans="1:28" x14ac:dyDescent="0.2">
      <c r="A2825" t="s">
        <v>383</v>
      </c>
      <c r="B2825">
        <v>2013</v>
      </c>
      <c r="C2825" t="s">
        <v>807</v>
      </c>
      <c r="D2825" t="s">
        <v>825</v>
      </c>
      <c r="E2825" t="s">
        <v>35</v>
      </c>
      <c r="F2825" t="s">
        <v>352</v>
      </c>
      <c r="G2825">
        <v>38.533332999999999</v>
      </c>
      <c r="H2825">
        <v>141.51666700000001</v>
      </c>
      <c r="I2825" t="s">
        <v>761</v>
      </c>
      <c r="J2825" s="2" t="s">
        <v>14</v>
      </c>
      <c r="K2825" t="s">
        <v>385</v>
      </c>
      <c r="L2825" t="s">
        <v>143</v>
      </c>
      <c r="M2825" t="s">
        <v>12</v>
      </c>
      <c r="N2825" t="s">
        <v>85</v>
      </c>
      <c r="O2825" s="6" t="s">
        <v>12</v>
      </c>
      <c r="P2825" t="s">
        <v>70</v>
      </c>
      <c r="Q2825">
        <v>3</v>
      </c>
      <c r="R2825" t="s">
        <v>214</v>
      </c>
      <c r="S2825" s="2" t="s">
        <v>13</v>
      </c>
      <c r="T2825">
        <v>3</v>
      </c>
      <c r="U2825" t="s">
        <v>28</v>
      </c>
      <c r="V2825" t="s">
        <v>28</v>
      </c>
      <c r="W2825">
        <v>22</v>
      </c>
      <c r="X2825">
        <v>100</v>
      </c>
      <c r="Y2825">
        <v>0</v>
      </c>
      <c r="AA2825" s="6"/>
      <c r="AB2825" s="6"/>
    </row>
    <row r="2826" spans="1:28" x14ac:dyDescent="0.2">
      <c r="A2826" t="s">
        <v>383</v>
      </c>
      <c r="B2826">
        <v>2013</v>
      </c>
      <c r="C2826" t="s">
        <v>807</v>
      </c>
      <c r="D2826" t="s">
        <v>825</v>
      </c>
      <c r="E2826" t="s">
        <v>35</v>
      </c>
      <c r="F2826" t="s">
        <v>352</v>
      </c>
      <c r="G2826">
        <v>38.533332999999999</v>
      </c>
      <c r="H2826">
        <v>141.51666700000001</v>
      </c>
      <c r="I2826" t="s">
        <v>761</v>
      </c>
      <c r="J2826" s="2" t="s">
        <v>14</v>
      </c>
      <c r="K2826" t="s">
        <v>385</v>
      </c>
      <c r="L2826" t="s">
        <v>143</v>
      </c>
      <c r="M2826" t="s">
        <v>12</v>
      </c>
      <c r="N2826" t="s">
        <v>85</v>
      </c>
      <c r="O2826" s="6" t="s">
        <v>12</v>
      </c>
      <c r="P2826" t="s">
        <v>70</v>
      </c>
      <c r="Q2826">
        <v>4</v>
      </c>
      <c r="R2826" t="s">
        <v>214</v>
      </c>
      <c r="S2826" s="2" t="s">
        <v>13</v>
      </c>
      <c r="T2826">
        <v>3</v>
      </c>
      <c r="U2826" t="s">
        <v>28</v>
      </c>
      <c r="V2826" t="s">
        <v>28</v>
      </c>
      <c r="W2826">
        <v>22</v>
      </c>
      <c r="X2826">
        <v>100</v>
      </c>
      <c r="Y2826">
        <v>0</v>
      </c>
      <c r="AA2826" s="6"/>
      <c r="AB2826" s="6"/>
    </row>
    <row r="2827" spans="1:28" x14ac:dyDescent="0.2">
      <c r="A2827" t="s">
        <v>383</v>
      </c>
      <c r="B2827">
        <v>2013</v>
      </c>
      <c r="C2827" t="s">
        <v>807</v>
      </c>
      <c r="D2827" t="s">
        <v>825</v>
      </c>
      <c r="E2827" t="s">
        <v>35</v>
      </c>
      <c r="F2827" t="s">
        <v>352</v>
      </c>
      <c r="G2827">
        <v>38.533332999999999</v>
      </c>
      <c r="H2827">
        <v>141.51666700000001</v>
      </c>
      <c r="I2827" t="s">
        <v>761</v>
      </c>
      <c r="J2827" s="2" t="s">
        <v>14</v>
      </c>
      <c r="K2827" t="s">
        <v>385</v>
      </c>
      <c r="L2827" t="s">
        <v>143</v>
      </c>
      <c r="M2827" t="s">
        <v>12</v>
      </c>
      <c r="N2827" t="s">
        <v>85</v>
      </c>
      <c r="O2827" s="6" t="s">
        <v>12</v>
      </c>
      <c r="P2827" t="s">
        <v>70</v>
      </c>
      <c r="Q2827">
        <v>5</v>
      </c>
      <c r="R2827" t="s">
        <v>214</v>
      </c>
      <c r="S2827" s="2" t="s">
        <v>13</v>
      </c>
      <c r="T2827">
        <v>3</v>
      </c>
      <c r="U2827" t="s">
        <v>28</v>
      </c>
      <c r="V2827" t="s">
        <v>28</v>
      </c>
      <c r="W2827">
        <v>22</v>
      </c>
      <c r="X2827">
        <v>96.75</v>
      </c>
      <c r="Y2827">
        <f>X2827-94.85</f>
        <v>1.9000000000000057</v>
      </c>
      <c r="AA2827" s="6"/>
      <c r="AB2827" s="6"/>
    </row>
    <row r="2828" spans="1:28" x14ac:dyDescent="0.2">
      <c r="A2828" t="s">
        <v>383</v>
      </c>
      <c r="B2828">
        <v>2013</v>
      </c>
      <c r="C2828" t="s">
        <v>807</v>
      </c>
      <c r="D2828" t="s">
        <v>825</v>
      </c>
      <c r="E2828" t="s">
        <v>35</v>
      </c>
      <c r="F2828" t="s">
        <v>352</v>
      </c>
      <c r="G2828">
        <v>38.533332999999999</v>
      </c>
      <c r="H2828">
        <v>141.51666700000001</v>
      </c>
      <c r="I2828" t="s">
        <v>761</v>
      </c>
      <c r="J2828" s="2" t="s">
        <v>14</v>
      </c>
      <c r="K2828" t="s">
        <v>385</v>
      </c>
      <c r="L2828" t="s">
        <v>143</v>
      </c>
      <c r="M2828" t="s">
        <v>12</v>
      </c>
      <c r="N2828" t="s">
        <v>85</v>
      </c>
      <c r="O2828" s="6" t="s">
        <v>12</v>
      </c>
      <c r="P2828" t="s">
        <v>70</v>
      </c>
      <c r="Q2828">
        <v>6</v>
      </c>
      <c r="R2828" t="s">
        <v>214</v>
      </c>
      <c r="S2828" s="2" t="s">
        <v>13</v>
      </c>
      <c r="T2828">
        <v>3</v>
      </c>
      <c r="U2828" t="s">
        <v>28</v>
      </c>
      <c r="V2828" t="s">
        <v>28</v>
      </c>
      <c r="W2828">
        <v>22</v>
      </c>
      <c r="X2828">
        <v>96.77</v>
      </c>
      <c r="Y2828">
        <f>X2828-92.57</f>
        <v>4.2000000000000028</v>
      </c>
      <c r="AA2828" s="6"/>
      <c r="AB2828" s="6"/>
    </row>
    <row r="2829" spans="1:28" x14ac:dyDescent="0.2">
      <c r="A2829" t="s">
        <v>383</v>
      </c>
      <c r="B2829">
        <v>2013</v>
      </c>
      <c r="C2829" t="s">
        <v>807</v>
      </c>
      <c r="D2829" t="s">
        <v>825</v>
      </c>
      <c r="E2829" t="s">
        <v>35</v>
      </c>
      <c r="F2829" t="s">
        <v>352</v>
      </c>
      <c r="G2829">
        <v>38.533332999999999</v>
      </c>
      <c r="H2829">
        <v>141.51666700000001</v>
      </c>
      <c r="I2829" t="s">
        <v>761</v>
      </c>
      <c r="J2829" s="2" t="s">
        <v>14</v>
      </c>
      <c r="K2829" t="s">
        <v>385</v>
      </c>
      <c r="L2829" t="s">
        <v>143</v>
      </c>
      <c r="M2829" t="s">
        <v>12</v>
      </c>
      <c r="N2829" t="s">
        <v>85</v>
      </c>
      <c r="O2829" s="6" t="s">
        <v>12</v>
      </c>
      <c r="P2829" t="s">
        <v>70</v>
      </c>
      <c r="Q2829">
        <v>7</v>
      </c>
      <c r="R2829" t="s">
        <v>214</v>
      </c>
      <c r="S2829" s="2" t="s">
        <v>13</v>
      </c>
      <c r="T2829">
        <v>3</v>
      </c>
      <c r="U2829" t="s">
        <v>28</v>
      </c>
      <c r="V2829" t="s">
        <v>28</v>
      </c>
      <c r="W2829">
        <v>22</v>
      </c>
      <c r="X2829">
        <v>93.6</v>
      </c>
      <c r="Y2829">
        <f>X2829-91.31</f>
        <v>2.289999999999992</v>
      </c>
      <c r="AA2829" s="6"/>
      <c r="AB2829" s="6"/>
    </row>
    <row r="2830" spans="1:28" x14ac:dyDescent="0.2">
      <c r="A2830" t="s">
        <v>383</v>
      </c>
      <c r="B2830">
        <v>2013</v>
      </c>
      <c r="C2830" t="s">
        <v>807</v>
      </c>
      <c r="D2830" t="s">
        <v>825</v>
      </c>
      <c r="E2830" t="s">
        <v>35</v>
      </c>
      <c r="F2830" t="s">
        <v>352</v>
      </c>
      <c r="G2830">
        <v>38.533332999999999</v>
      </c>
      <c r="H2830">
        <v>141.51666700000001</v>
      </c>
      <c r="I2830" t="s">
        <v>761</v>
      </c>
      <c r="J2830" s="2" t="s">
        <v>14</v>
      </c>
      <c r="K2830" t="s">
        <v>385</v>
      </c>
      <c r="L2830" t="s">
        <v>143</v>
      </c>
      <c r="M2830" t="s">
        <v>12</v>
      </c>
      <c r="N2830" t="s">
        <v>85</v>
      </c>
      <c r="O2830" s="6" t="s">
        <v>12</v>
      </c>
      <c r="P2830" t="s">
        <v>70</v>
      </c>
      <c r="Q2830">
        <v>8</v>
      </c>
      <c r="R2830" t="s">
        <v>214</v>
      </c>
      <c r="S2830" s="2" t="s">
        <v>13</v>
      </c>
      <c r="T2830">
        <v>3</v>
      </c>
      <c r="U2830" t="s">
        <v>28</v>
      </c>
      <c r="V2830" t="s">
        <v>28</v>
      </c>
      <c r="W2830">
        <v>22</v>
      </c>
      <c r="X2830">
        <v>93.48</v>
      </c>
      <c r="Y2830">
        <f>X2830-91.32</f>
        <v>2.1600000000000108</v>
      </c>
      <c r="AA2830" s="6"/>
      <c r="AB2830" s="6"/>
    </row>
    <row r="2831" spans="1:28" x14ac:dyDescent="0.2">
      <c r="A2831" t="s">
        <v>383</v>
      </c>
      <c r="B2831">
        <v>2013</v>
      </c>
      <c r="C2831" t="s">
        <v>807</v>
      </c>
      <c r="D2831" t="s">
        <v>825</v>
      </c>
      <c r="E2831" t="s">
        <v>35</v>
      </c>
      <c r="F2831" t="s">
        <v>352</v>
      </c>
      <c r="G2831">
        <v>38.533332999999999</v>
      </c>
      <c r="H2831">
        <v>141.51666700000001</v>
      </c>
      <c r="I2831" t="s">
        <v>761</v>
      </c>
      <c r="J2831" s="2" t="s">
        <v>14</v>
      </c>
      <c r="K2831" t="s">
        <v>385</v>
      </c>
      <c r="L2831" t="s">
        <v>143</v>
      </c>
      <c r="M2831" t="s">
        <v>12</v>
      </c>
      <c r="N2831" t="s">
        <v>85</v>
      </c>
      <c r="O2831" s="6" t="s">
        <v>12</v>
      </c>
      <c r="P2831" t="s">
        <v>70</v>
      </c>
      <c r="Q2831">
        <v>9</v>
      </c>
      <c r="R2831" t="s">
        <v>214</v>
      </c>
      <c r="S2831" s="2" t="s">
        <v>13</v>
      </c>
      <c r="T2831">
        <v>3</v>
      </c>
      <c r="U2831" t="s">
        <v>28</v>
      </c>
      <c r="V2831" t="s">
        <v>28</v>
      </c>
      <c r="W2831">
        <v>22</v>
      </c>
      <c r="X2831">
        <v>90.07</v>
      </c>
      <c r="Y2831">
        <f>X2831-88.03</f>
        <v>2.039999999999992</v>
      </c>
      <c r="AA2831" s="6"/>
      <c r="AB2831" s="6"/>
    </row>
    <row r="2832" spans="1:28" x14ac:dyDescent="0.2">
      <c r="A2832" t="s">
        <v>383</v>
      </c>
      <c r="B2832">
        <v>2013</v>
      </c>
      <c r="C2832" t="s">
        <v>807</v>
      </c>
      <c r="D2832" t="s">
        <v>825</v>
      </c>
      <c r="E2832" t="s">
        <v>35</v>
      </c>
      <c r="F2832" t="s">
        <v>352</v>
      </c>
      <c r="G2832">
        <v>38.533332999999999</v>
      </c>
      <c r="H2832">
        <v>141.51666700000001</v>
      </c>
      <c r="I2832" t="s">
        <v>761</v>
      </c>
      <c r="J2832" s="2" t="s">
        <v>14</v>
      </c>
      <c r="K2832" t="s">
        <v>385</v>
      </c>
      <c r="L2832" t="s">
        <v>143</v>
      </c>
      <c r="M2832" t="s">
        <v>12</v>
      </c>
      <c r="N2832" t="s">
        <v>85</v>
      </c>
      <c r="O2832" s="6" t="s">
        <v>12</v>
      </c>
      <c r="P2832" t="s">
        <v>70</v>
      </c>
      <c r="Q2832">
        <v>10</v>
      </c>
      <c r="R2832" t="s">
        <v>214</v>
      </c>
      <c r="S2832" s="2" t="s">
        <v>13</v>
      </c>
      <c r="T2832">
        <v>3</v>
      </c>
      <c r="U2832" t="s">
        <v>28</v>
      </c>
      <c r="V2832" t="s">
        <v>28</v>
      </c>
      <c r="W2832">
        <v>22</v>
      </c>
      <c r="X2832">
        <v>83.6</v>
      </c>
      <c r="Y2832">
        <f>X2832-77.75</f>
        <v>5.8499999999999943</v>
      </c>
      <c r="AA2832" s="6"/>
      <c r="AB2832" s="6"/>
    </row>
    <row r="2833" spans="1:28" x14ac:dyDescent="0.2">
      <c r="A2833" t="s">
        <v>383</v>
      </c>
      <c r="B2833">
        <v>2013</v>
      </c>
      <c r="C2833" t="s">
        <v>807</v>
      </c>
      <c r="D2833" t="s">
        <v>825</v>
      </c>
      <c r="E2833" t="s">
        <v>35</v>
      </c>
      <c r="F2833" t="s">
        <v>352</v>
      </c>
      <c r="G2833">
        <v>38.533332999999999</v>
      </c>
      <c r="H2833">
        <v>141.51666700000001</v>
      </c>
      <c r="I2833" t="s">
        <v>761</v>
      </c>
      <c r="J2833" s="2" t="s">
        <v>14</v>
      </c>
      <c r="K2833" t="s">
        <v>385</v>
      </c>
      <c r="L2833" t="s">
        <v>143</v>
      </c>
      <c r="M2833" t="s">
        <v>12</v>
      </c>
      <c r="N2833" t="s">
        <v>85</v>
      </c>
      <c r="O2833" s="6" t="s">
        <v>12</v>
      </c>
      <c r="P2833" t="s">
        <v>70</v>
      </c>
      <c r="Q2833">
        <v>11</v>
      </c>
      <c r="R2833" t="s">
        <v>214</v>
      </c>
      <c r="S2833" s="2" t="s">
        <v>13</v>
      </c>
      <c r="T2833">
        <v>3</v>
      </c>
      <c r="U2833" t="s">
        <v>28</v>
      </c>
      <c r="V2833" t="s">
        <v>28</v>
      </c>
      <c r="W2833">
        <v>22</v>
      </c>
      <c r="X2833">
        <v>83.48</v>
      </c>
      <c r="Y2833">
        <f>X2833-81.45</f>
        <v>2.0300000000000011</v>
      </c>
      <c r="AA2833" s="6"/>
      <c r="AB2833" s="6"/>
    </row>
    <row r="2834" spans="1:28" x14ac:dyDescent="0.2">
      <c r="A2834" t="s">
        <v>383</v>
      </c>
      <c r="B2834">
        <v>2013</v>
      </c>
      <c r="C2834" t="s">
        <v>807</v>
      </c>
      <c r="D2834" t="s">
        <v>825</v>
      </c>
      <c r="E2834" t="s">
        <v>35</v>
      </c>
      <c r="F2834" t="s">
        <v>352</v>
      </c>
      <c r="G2834">
        <v>38.533332999999999</v>
      </c>
      <c r="H2834">
        <v>141.51666700000001</v>
      </c>
      <c r="I2834" t="s">
        <v>761</v>
      </c>
      <c r="J2834" s="2" t="s">
        <v>14</v>
      </c>
      <c r="K2834" t="s">
        <v>385</v>
      </c>
      <c r="L2834" t="s">
        <v>143</v>
      </c>
      <c r="M2834" t="s">
        <v>12</v>
      </c>
      <c r="N2834" t="s">
        <v>85</v>
      </c>
      <c r="O2834" s="6" t="s">
        <v>12</v>
      </c>
      <c r="P2834" t="s">
        <v>70</v>
      </c>
      <c r="Q2834">
        <v>12</v>
      </c>
      <c r="R2834" t="s">
        <v>213</v>
      </c>
      <c r="S2834" s="2" t="s">
        <v>13</v>
      </c>
      <c r="T2834">
        <v>3</v>
      </c>
      <c r="U2834" t="s">
        <v>28</v>
      </c>
      <c r="V2834" t="s">
        <v>28</v>
      </c>
      <c r="W2834">
        <v>22</v>
      </c>
      <c r="X2834">
        <v>80.19</v>
      </c>
      <c r="Y2834">
        <f>X2834-76.25</f>
        <v>3.9399999999999977</v>
      </c>
      <c r="AA2834" s="6"/>
      <c r="AB2834" s="6"/>
    </row>
    <row r="2835" spans="1:28" x14ac:dyDescent="0.2">
      <c r="A2835" t="s">
        <v>383</v>
      </c>
      <c r="B2835">
        <v>2013</v>
      </c>
      <c r="C2835" t="s">
        <v>807</v>
      </c>
      <c r="D2835" t="s">
        <v>825</v>
      </c>
      <c r="E2835" t="s">
        <v>35</v>
      </c>
      <c r="F2835" t="s">
        <v>353</v>
      </c>
      <c r="G2835">
        <v>34.216667000000001</v>
      </c>
      <c r="H2835">
        <v>135.61666700000001</v>
      </c>
      <c r="I2835" t="s">
        <v>761</v>
      </c>
      <c r="J2835" s="2" t="s">
        <v>14</v>
      </c>
      <c r="K2835" t="s">
        <v>385</v>
      </c>
      <c r="L2835" t="s">
        <v>143</v>
      </c>
      <c r="M2835" t="s">
        <v>12</v>
      </c>
      <c r="N2835" t="s">
        <v>85</v>
      </c>
      <c r="O2835" s="6" t="s">
        <v>12</v>
      </c>
      <c r="P2835" t="s">
        <v>70</v>
      </c>
      <c r="Q2835">
        <v>1</v>
      </c>
      <c r="R2835" t="s">
        <v>214</v>
      </c>
      <c r="S2835" s="2" t="s">
        <v>13</v>
      </c>
      <c r="T2835">
        <v>3</v>
      </c>
      <c r="U2835" t="s">
        <v>28</v>
      </c>
      <c r="V2835" t="s">
        <v>28</v>
      </c>
      <c r="W2835">
        <v>22</v>
      </c>
      <c r="X2835">
        <v>100</v>
      </c>
      <c r="Y2835">
        <v>0</v>
      </c>
      <c r="AA2835" s="6"/>
      <c r="AB2835" s="6"/>
    </row>
    <row r="2836" spans="1:28" x14ac:dyDescent="0.2">
      <c r="A2836" t="s">
        <v>383</v>
      </c>
      <c r="B2836">
        <v>2013</v>
      </c>
      <c r="C2836" t="s">
        <v>807</v>
      </c>
      <c r="D2836" t="s">
        <v>825</v>
      </c>
      <c r="E2836" t="s">
        <v>35</v>
      </c>
      <c r="F2836" t="s">
        <v>353</v>
      </c>
      <c r="G2836">
        <v>34.216667000000001</v>
      </c>
      <c r="H2836">
        <v>135.61666700000001</v>
      </c>
      <c r="I2836" t="s">
        <v>761</v>
      </c>
      <c r="J2836" s="2" t="s">
        <v>14</v>
      </c>
      <c r="K2836" t="s">
        <v>385</v>
      </c>
      <c r="L2836" t="s">
        <v>143</v>
      </c>
      <c r="M2836" t="s">
        <v>12</v>
      </c>
      <c r="N2836" t="s">
        <v>85</v>
      </c>
      <c r="O2836" s="6" t="s">
        <v>12</v>
      </c>
      <c r="P2836" t="s">
        <v>70</v>
      </c>
      <c r="Q2836">
        <v>2</v>
      </c>
      <c r="R2836" t="s">
        <v>214</v>
      </c>
      <c r="S2836" s="2" t="s">
        <v>13</v>
      </c>
      <c r="T2836">
        <v>3</v>
      </c>
      <c r="U2836" t="s">
        <v>28</v>
      </c>
      <c r="V2836" t="s">
        <v>28</v>
      </c>
      <c r="W2836">
        <v>22</v>
      </c>
      <c r="X2836">
        <v>100</v>
      </c>
      <c r="Y2836">
        <v>0</v>
      </c>
      <c r="AA2836" s="6"/>
      <c r="AB2836" s="6"/>
    </row>
    <row r="2837" spans="1:28" x14ac:dyDescent="0.2">
      <c r="A2837" t="s">
        <v>383</v>
      </c>
      <c r="B2837">
        <v>2013</v>
      </c>
      <c r="C2837" t="s">
        <v>807</v>
      </c>
      <c r="D2837" t="s">
        <v>825</v>
      </c>
      <c r="E2837" t="s">
        <v>35</v>
      </c>
      <c r="F2837" t="s">
        <v>353</v>
      </c>
      <c r="G2837">
        <v>34.216667000000001</v>
      </c>
      <c r="H2837">
        <v>135.61666700000001</v>
      </c>
      <c r="I2837" t="s">
        <v>761</v>
      </c>
      <c r="J2837" s="2" t="s">
        <v>14</v>
      </c>
      <c r="K2837" t="s">
        <v>385</v>
      </c>
      <c r="L2837" t="s">
        <v>143</v>
      </c>
      <c r="M2837" t="s">
        <v>12</v>
      </c>
      <c r="N2837" t="s">
        <v>85</v>
      </c>
      <c r="O2837" s="6" t="s">
        <v>12</v>
      </c>
      <c r="P2837" t="s">
        <v>70</v>
      </c>
      <c r="Q2837">
        <v>3</v>
      </c>
      <c r="R2837" t="s">
        <v>214</v>
      </c>
      <c r="S2837" s="2" t="s">
        <v>13</v>
      </c>
      <c r="T2837">
        <v>3</v>
      </c>
      <c r="U2837" t="s">
        <v>28</v>
      </c>
      <c r="V2837" t="s">
        <v>28</v>
      </c>
      <c r="W2837">
        <v>22</v>
      </c>
      <c r="X2837">
        <v>100</v>
      </c>
      <c r="Y2837">
        <v>0</v>
      </c>
      <c r="AA2837" s="6"/>
      <c r="AB2837" s="6"/>
    </row>
    <row r="2838" spans="1:28" x14ac:dyDescent="0.2">
      <c r="A2838" t="s">
        <v>383</v>
      </c>
      <c r="B2838">
        <v>2013</v>
      </c>
      <c r="C2838" t="s">
        <v>807</v>
      </c>
      <c r="D2838" t="s">
        <v>825</v>
      </c>
      <c r="E2838" t="s">
        <v>35</v>
      </c>
      <c r="F2838" t="s">
        <v>353</v>
      </c>
      <c r="G2838">
        <v>34.216667000000001</v>
      </c>
      <c r="H2838">
        <v>135.61666700000001</v>
      </c>
      <c r="I2838" t="s">
        <v>761</v>
      </c>
      <c r="J2838" s="2" t="s">
        <v>14</v>
      </c>
      <c r="K2838" t="s">
        <v>385</v>
      </c>
      <c r="L2838" t="s">
        <v>143</v>
      </c>
      <c r="M2838" t="s">
        <v>12</v>
      </c>
      <c r="N2838" t="s">
        <v>85</v>
      </c>
      <c r="O2838" s="6" t="s">
        <v>12</v>
      </c>
      <c r="P2838" t="s">
        <v>70</v>
      </c>
      <c r="Q2838">
        <v>4</v>
      </c>
      <c r="R2838" t="s">
        <v>214</v>
      </c>
      <c r="S2838" s="2" t="s">
        <v>13</v>
      </c>
      <c r="T2838">
        <v>3</v>
      </c>
      <c r="U2838" t="s">
        <v>28</v>
      </c>
      <c r="V2838" t="s">
        <v>28</v>
      </c>
      <c r="W2838">
        <v>22</v>
      </c>
      <c r="X2838">
        <v>100</v>
      </c>
      <c r="Y2838">
        <v>0</v>
      </c>
      <c r="AA2838" s="6"/>
      <c r="AB2838" s="6"/>
    </row>
    <row r="2839" spans="1:28" x14ac:dyDescent="0.2">
      <c r="A2839" t="s">
        <v>383</v>
      </c>
      <c r="B2839">
        <v>2013</v>
      </c>
      <c r="C2839" t="s">
        <v>807</v>
      </c>
      <c r="D2839" t="s">
        <v>825</v>
      </c>
      <c r="E2839" t="s">
        <v>35</v>
      </c>
      <c r="F2839" t="s">
        <v>353</v>
      </c>
      <c r="G2839">
        <v>34.216667000000001</v>
      </c>
      <c r="H2839">
        <v>135.61666700000001</v>
      </c>
      <c r="I2839" t="s">
        <v>761</v>
      </c>
      <c r="J2839" s="2" t="s">
        <v>14</v>
      </c>
      <c r="K2839" t="s">
        <v>385</v>
      </c>
      <c r="L2839" t="s">
        <v>143</v>
      </c>
      <c r="M2839" t="s">
        <v>12</v>
      </c>
      <c r="N2839" t="s">
        <v>85</v>
      </c>
      <c r="O2839" s="6" t="s">
        <v>12</v>
      </c>
      <c r="P2839" t="s">
        <v>70</v>
      </c>
      <c r="Q2839">
        <v>5</v>
      </c>
      <c r="R2839" t="s">
        <v>214</v>
      </c>
      <c r="S2839" s="2" t="s">
        <v>13</v>
      </c>
      <c r="T2839">
        <v>3</v>
      </c>
      <c r="U2839" t="s">
        <v>28</v>
      </c>
      <c r="V2839" t="s">
        <v>28</v>
      </c>
      <c r="W2839">
        <v>22</v>
      </c>
      <c r="X2839">
        <v>100</v>
      </c>
      <c r="Y2839">
        <v>0</v>
      </c>
      <c r="AA2839" s="6"/>
      <c r="AB2839" s="6"/>
    </row>
    <row r="2840" spans="1:28" x14ac:dyDescent="0.2">
      <c r="A2840" t="s">
        <v>383</v>
      </c>
      <c r="B2840">
        <v>2013</v>
      </c>
      <c r="C2840" t="s">
        <v>807</v>
      </c>
      <c r="D2840" t="s">
        <v>825</v>
      </c>
      <c r="E2840" t="s">
        <v>35</v>
      </c>
      <c r="F2840" t="s">
        <v>353</v>
      </c>
      <c r="G2840">
        <v>34.216667000000001</v>
      </c>
      <c r="H2840">
        <v>135.61666700000001</v>
      </c>
      <c r="I2840" t="s">
        <v>761</v>
      </c>
      <c r="J2840" s="2" t="s">
        <v>14</v>
      </c>
      <c r="K2840" t="s">
        <v>385</v>
      </c>
      <c r="L2840" t="s">
        <v>143</v>
      </c>
      <c r="M2840" t="s">
        <v>12</v>
      </c>
      <c r="N2840" t="s">
        <v>85</v>
      </c>
      <c r="O2840" s="6" t="s">
        <v>12</v>
      </c>
      <c r="P2840" t="s">
        <v>70</v>
      </c>
      <c r="Q2840">
        <v>6</v>
      </c>
      <c r="R2840" t="s">
        <v>214</v>
      </c>
      <c r="S2840" s="2" t="s">
        <v>13</v>
      </c>
      <c r="T2840">
        <v>3</v>
      </c>
      <c r="U2840" t="s">
        <v>28</v>
      </c>
      <c r="V2840" t="s">
        <v>28</v>
      </c>
      <c r="W2840">
        <v>22</v>
      </c>
      <c r="X2840">
        <v>100</v>
      </c>
      <c r="Y2840">
        <v>0</v>
      </c>
      <c r="AA2840" s="6"/>
      <c r="AB2840" s="6"/>
    </row>
    <row r="2841" spans="1:28" x14ac:dyDescent="0.2">
      <c r="A2841" t="s">
        <v>383</v>
      </c>
      <c r="B2841">
        <v>2013</v>
      </c>
      <c r="C2841" t="s">
        <v>807</v>
      </c>
      <c r="D2841" t="s">
        <v>825</v>
      </c>
      <c r="E2841" t="s">
        <v>35</v>
      </c>
      <c r="F2841" t="s">
        <v>353</v>
      </c>
      <c r="G2841">
        <v>34.216667000000001</v>
      </c>
      <c r="H2841">
        <v>135.61666700000001</v>
      </c>
      <c r="I2841" t="s">
        <v>761</v>
      </c>
      <c r="J2841" s="2" t="s">
        <v>14</v>
      </c>
      <c r="K2841" t="s">
        <v>385</v>
      </c>
      <c r="L2841" t="s">
        <v>143</v>
      </c>
      <c r="M2841" t="s">
        <v>12</v>
      </c>
      <c r="N2841" t="s">
        <v>85</v>
      </c>
      <c r="O2841" s="6" t="s">
        <v>12</v>
      </c>
      <c r="P2841" t="s">
        <v>70</v>
      </c>
      <c r="Q2841">
        <v>7</v>
      </c>
      <c r="R2841" t="s">
        <v>214</v>
      </c>
      <c r="S2841" s="2" t="s">
        <v>13</v>
      </c>
      <c r="T2841">
        <v>3</v>
      </c>
      <c r="U2841" t="s">
        <v>28</v>
      </c>
      <c r="V2841" t="s">
        <v>28</v>
      </c>
      <c r="W2841">
        <v>22</v>
      </c>
      <c r="X2841">
        <v>100</v>
      </c>
      <c r="Y2841">
        <v>0</v>
      </c>
      <c r="AA2841" s="6"/>
      <c r="AB2841" s="6"/>
    </row>
    <row r="2842" spans="1:28" x14ac:dyDescent="0.2">
      <c r="A2842" t="s">
        <v>383</v>
      </c>
      <c r="B2842">
        <v>2013</v>
      </c>
      <c r="C2842" t="s">
        <v>807</v>
      </c>
      <c r="D2842" t="s">
        <v>825</v>
      </c>
      <c r="E2842" t="s">
        <v>35</v>
      </c>
      <c r="F2842" t="s">
        <v>353</v>
      </c>
      <c r="G2842">
        <v>34.216667000000001</v>
      </c>
      <c r="H2842">
        <v>135.61666700000001</v>
      </c>
      <c r="I2842" t="s">
        <v>761</v>
      </c>
      <c r="J2842" s="2" t="s">
        <v>14</v>
      </c>
      <c r="K2842" t="s">
        <v>385</v>
      </c>
      <c r="L2842" t="s">
        <v>143</v>
      </c>
      <c r="M2842" t="s">
        <v>12</v>
      </c>
      <c r="N2842" t="s">
        <v>85</v>
      </c>
      <c r="O2842" s="6" t="s">
        <v>12</v>
      </c>
      <c r="P2842" t="s">
        <v>70</v>
      </c>
      <c r="Q2842">
        <v>8</v>
      </c>
      <c r="R2842" t="s">
        <v>214</v>
      </c>
      <c r="S2842" s="2" t="s">
        <v>13</v>
      </c>
      <c r="T2842">
        <v>3</v>
      </c>
      <c r="U2842" t="s">
        <v>28</v>
      </c>
      <c r="V2842" t="s">
        <v>28</v>
      </c>
      <c r="W2842">
        <v>22</v>
      </c>
      <c r="X2842">
        <v>100</v>
      </c>
      <c r="Y2842">
        <v>0</v>
      </c>
      <c r="AA2842" s="6"/>
      <c r="AB2842" s="6"/>
    </row>
    <row r="2843" spans="1:28" x14ac:dyDescent="0.2">
      <c r="A2843" t="s">
        <v>383</v>
      </c>
      <c r="B2843">
        <v>2013</v>
      </c>
      <c r="C2843" t="s">
        <v>807</v>
      </c>
      <c r="D2843" t="s">
        <v>825</v>
      </c>
      <c r="E2843" t="s">
        <v>35</v>
      </c>
      <c r="F2843" t="s">
        <v>353</v>
      </c>
      <c r="G2843">
        <v>34.216667000000001</v>
      </c>
      <c r="H2843">
        <v>135.61666700000001</v>
      </c>
      <c r="I2843" t="s">
        <v>761</v>
      </c>
      <c r="J2843" s="2" t="s">
        <v>14</v>
      </c>
      <c r="K2843" t="s">
        <v>385</v>
      </c>
      <c r="L2843" t="s">
        <v>143</v>
      </c>
      <c r="M2843" t="s">
        <v>12</v>
      </c>
      <c r="N2843" t="s">
        <v>85</v>
      </c>
      <c r="O2843" s="6" t="s">
        <v>12</v>
      </c>
      <c r="P2843" t="s">
        <v>70</v>
      </c>
      <c r="Q2843">
        <v>9</v>
      </c>
      <c r="R2843" t="s">
        <v>214</v>
      </c>
      <c r="S2843" s="2" t="s">
        <v>13</v>
      </c>
      <c r="T2843">
        <v>3</v>
      </c>
      <c r="U2843" t="s">
        <v>28</v>
      </c>
      <c r="V2843" t="s">
        <v>28</v>
      </c>
      <c r="W2843">
        <v>22</v>
      </c>
      <c r="X2843">
        <v>100</v>
      </c>
      <c r="Y2843">
        <v>0</v>
      </c>
      <c r="AA2843" s="6"/>
      <c r="AB2843" s="6"/>
    </row>
    <row r="2844" spans="1:28" x14ac:dyDescent="0.2">
      <c r="A2844" t="s">
        <v>383</v>
      </c>
      <c r="B2844">
        <v>2013</v>
      </c>
      <c r="C2844" t="s">
        <v>807</v>
      </c>
      <c r="D2844" t="s">
        <v>825</v>
      </c>
      <c r="E2844" t="s">
        <v>35</v>
      </c>
      <c r="F2844" t="s">
        <v>353</v>
      </c>
      <c r="G2844">
        <v>34.216667000000001</v>
      </c>
      <c r="H2844">
        <v>135.61666700000001</v>
      </c>
      <c r="I2844" t="s">
        <v>761</v>
      </c>
      <c r="J2844" s="2" t="s">
        <v>14</v>
      </c>
      <c r="K2844" t="s">
        <v>385</v>
      </c>
      <c r="L2844" t="s">
        <v>143</v>
      </c>
      <c r="M2844" t="s">
        <v>12</v>
      </c>
      <c r="N2844" t="s">
        <v>85</v>
      </c>
      <c r="O2844" s="6" t="s">
        <v>12</v>
      </c>
      <c r="P2844" t="s">
        <v>70</v>
      </c>
      <c r="Q2844">
        <v>10</v>
      </c>
      <c r="R2844" t="s">
        <v>214</v>
      </c>
      <c r="S2844" s="2" t="s">
        <v>13</v>
      </c>
      <c r="T2844">
        <v>3</v>
      </c>
      <c r="U2844" t="s">
        <v>28</v>
      </c>
      <c r="V2844" t="s">
        <v>28</v>
      </c>
      <c r="W2844">
        <v>22</v>
      </c>
      <c r="X2844">
        <v>100</v>
      </c>
      <c r="Y2844">
        <v>0</v>
      </c>
      <c r="AA2844" s="6"/>
      <c r="AB2844" s="6"/>
    </row>
    <row r="2845" spans="1:28" x14ac:dyDescent="0.2">
      <c r="A2845" t="s">
        <v>383</v>
      </c>
      <c r="B2845">
        <v>2013</v>
      </c>
      <c r="C2845" t="s">
        <v>807</v>
      </c>
      <c r="D2845" t="s">
        <v>825</v>
      </c>
      <c r="E2845" t="s">
        <v>35</v>
      </c>
      <c r="F2845" t="s">
        <v>353</v>
      </c>
      <c r="G2845">
        <v>34.216667000000001</v>
      </c>
      <c r="H2845">
        <v>135.61666700000001</v>
      </c>
      <c r="I2845" t="s">
        <v>761</v>
      </c>
      <c r="J2845" s="2" t="s">
        <v>14</v>
      </c>
      <c r="K2845" t="s">
        <v>385</v>
      </c>
      <c r="L2845" t="s">
        <v>143</v>
      </c>
      <c r="M2845" t="s">
        <v>12</v>
      </c>
      <c r="N2845" t="s">
        <v>85</v>
      </c>
      <c r="O2845" s="6" t="s">
        <v>12</v>
      </c>
      <c r="P2845" t="s">
        <v>70</v>
      </c>
      <c r="Q2845">
        <v>11</v>
      </c>
      <c r="R2845" t="s">
        <v>214</v>
      </c>
      <c r="S2845" s="2" t="s">
        <v>13</v>
      </c>
      <c r="T2845">
        <v>3</v>
      </c>
      <c r="U2845" t="s">
        <v>28</v>
      </c>
      <c r="V2845" t="s">
        <v>28</v>
      </c>
      <c r="W2845">
        <v>22</v>
      </c>
      <c r="X2845">
        <v>100</v>
      </c>
      <c r="Y2845">
        <v>0</v>
      </c>
      <c r="AA2845" s="6"/>
      <c r="AB2845" s="6"/>
    </row>
    <row r="2846" spans="1:28" x14ac:dyDescent="0.2">
      <c r="A2846" t="s">
        <v>383</v>
      </c>
      <c r="B2846">
        <v>2013</v>
      </c>
      <c r="C2846" t="s">
        <v>807</v>
      </c>
      <c r="D2846" t="s">
        <v>825</v>
      </c>
      <c r="E2846" t="s">
        <v>35</v>
      </c>
      <c r="F2846" t="s">
        <v>353</v>
      </c>
      <c r="G2846">
        <v>34.216667000000001</v>
      </c>
      <c r="H2846">
        <v>135.61666700000001</v>
      </c>
      <c r="I2846" t="s">
        <v>761</v>
      </c>
      <c r="J2846" s="2" t="s">
        <v>14</v>
      </c>
      <c r="K2846" t="s">
        <v>385</v>
      </c>
      <c r="L2846" t="s">
        <v>143</v>
      </c>
      <c r="M2846" t="s">
        <v>12</v>
      </c>
      <c r="N2846" t="s">
        <v>85</v>
      </c>
      <c r="O2846" s="6" t="s">
        <v>12</v>
      </c>
      <c r="P2846" t="s">
        <v>70</v>
      </c>
      <c r="Q2846">
        <v>12</v>
      </c>
      <c r="R2846" t="s">
        <v>213</v>
      </c>
      <c r="S2846" s="2" t="s">
        <v>13</v>
      </c>
      <c r="T2846">
        <v>3</v>
      </c>
      <c r="U2846" t="s">
        <v>28</v>
      </c>
      <c r="V2846" t="s">
        <v>28</v>
      </c>
      <c r="W2846">
        <v>22</v>
      </c>
      <c r="X2846">
        <v>100</v>
      </c>
      <c r="Y2846">
        <v>0</v>
      </c>
      <c r="AA2846" s="6"/>
      <c r="AB2846" s="6"/>
    </row>
    <row r="2847" spans="1:28" x14ac:dyDescent="0.2">
      <c r="A2847" t="s">
        <v>383</v>
      </c>
      <c r="B2847">
        <v>2013</v>
      </c>
      <c r="C2847" t="s">
        <v>807</v>
      </c>
      <c r="D2847" t="s">
        <v>825</v>
      </c>
      <c r="E2847" t="s">
        <v>35</v>
      </c>
      <c r="F2847" t="s">
        <v>384</v>
      </c>
      <c r="G2847">
        <v>39.083333000000003</v>
      </c>
      <c r="H2847">
        <v>142.85</v>
      </c>
      <c r="I2847" t="s">
        <v>761</v>
      </c>
      <c r="J2847" s="2" t="s">
        <v>14</v>
      </c>
      <c r="K2847" t="s">
        <v>385</v>
      </c>
      <c r="L2847" t="s">
        <v>143</v>
      </c>
      <c r="M2847" t="s">
        <v>12</v>
      </c>
      <c r="N2847" t="s">
        <v>85</v>
      </c>
      <c r="O2847" s="6" t="s">
        <v>12</v>
      </c>
      <c r="P2847" t="s">
        <v>70</v>
      </c>
      <c r="Q2847">
        <v>1</v>
      </c>
      <c r="R2847" t="s">
        <v>214</v>
      </c>
      <c r="S2847" s="2" t="s">
        <v>15</v>
      </c>
      <c r="T2847">
        <v>3</v>
      </c>
      <c r="U2847" t="s">
        <v>28</v>
      </c>
      <c r="V2847" t="s">
        <v>28</v>
      </c>
      <c r="W2847">
        <v>24</v>
      </c>
      <c r="X2847">
        <v>100</v>
      </c>
      <c r="Y2847">
        <v>0</v>
      </c>
      <c r="AA2847" s="6"/>
      <c r="AB2847" s="6"/>
    </row>
    <row r="2848" spans="1:28" x14ac:dyDescent="0.2">
      <c r="A2848" t="s">
        <v>383</v>
      </c>
      <c r="B2848">
        <v>2013</v>
      </c>
      <c r="C2848" t="s">
        <v>807</v>
      </c>
      <c r="D2848" t="s">
        <v>825</v>
      </c>
      <c r="E2848" t="s">
        <v>35</v>
      </c>
      <c r="F2848" t="s">
        <v>384</v>
      </c>
      <c r="G2848">
        <v>39.083333000000003</v>
      </c>
      <c r="H2848">
        <v>142.85</v>
      </c>
      <c r="I2848" t="s">
        <v>761</v>
      </c>
      <c r="J2848" s="2" t="s">
        <v>14</v>
      </c>
      <c r="K2848" t="s">
        <v>385</v>
      </c>
      <c r="L2848" t="s">
        <v>143</v>
      </c>
      <c r="M2848" t="s">
        <v>12</v>
      </c>
      <c r="N2848" t="s">
        <v>85</v>
      </c>
      <c r="O2848" s="6" t="s">
        <v>12</v>
      </c>
      <c r="P2848" t="s">
        <v>70</v>
      </c>
      <c r="Q2848">
        <v>2</v>
      </c>
      <c r="R2848" t="s">
        <v>214</v>
      </c>
      <c r="S2848" s="2" t="s">
        <v>15</v>
      </c>
      <c r="T2848">
        <v>3</v>
      </c>
      <c r="U2848" t="s">
        <v>28</v>
      </c>
      <c r="V2848" t="s">
        <v>28</v>
      </c>
      <c r="W2848">
        <v>24</v>
      </c>
      <c r="X2848">
        <v>93.5</v>
      </c>
      <c r="Y2848">
        <f>X2848-89.04</f>
        <v>4.4599999999999937</v>
      </c>
      <c r="AA2848" s="6"/>
      <c r="AB2848" s="6"/>
    </row>
    <row r="2849" spans="1:28" x14ac:dyDescent="0.2">
      <c r="A2849" t="s">
        <v>383</v>
      </c>
      <c r="B2849">
        <v>2013</v>
      </c>
      <c r="C2849" t="s">
        <v>807</v>
      </c>
      <c r="D2849" t="s">
        <v>825</v>
      </c>
      <c r="E2849" t="s">
        <v>35</v>
      </c>
      <c r="F2849" t="s">
        <v>384</v>
      </c>
      <c r="G2849">
        <v>39.083333000000003</v>
      </c>
      <c r="H2849">
        <v>142.85</v>
      </c>
      <c r="I2849" t="s">
        <v>761</v>
      </c>
      <c r="J2849" s="2" t="s">
        <v>14</v>
      </c>
      <c r="K2849" t="s">
        <v>385</v>
      </c>
      <c r="L2849" t="s">
        <v>143</v>
      </c>
      <c r="M2849" t="s">
        <v>12</v>
      </c>
      <c r="N2849" t="s">
        <v>85</v>
      </c>
      <c r="O2849" s="6" t="s">
        <v>12</v>
      </c>
      <c r="P2849" t="s">
        <v>70</v>
      </c>
      <c r="Q2849">
        <v>3</v>
      </c>
      <c r="R2849" t="s">
        <v>214</v>
      </c>
      <c r="S2849" s="2" t="s">
        <v>15</v>
      </c>
      <c r="T2849">
        <v>3</v>
      </c>
      <c r="U2849" t="s">
        <v>28</v>
      </c>
      <c r="V2849" t="s">
        <v>28</v>
      </c>
      <c r="W2849">
        <v>24</v>
      </c>
      <c r="X2849">
        <v>90.26</v>
      </c>
      <c r="Y2849">
        <f>X2849-85.25</f>
        <v>5.0100000000000051</v>
      </c>
      <c r="AA2849" s="6"/>
      <c r="AB2849" s="6"/>
    </row>
    <row r="2850" spans="1:28" x14ac:dyDescent="0.2">
      <c r="A2850" t="s">
        <v>383</v>
      </c>
      <c r="B2850">
        <v>2013</v>
      </c>
      <c r="C2850" t="s">
        <v>807</v>
      </c>
      <c r="D2850" t="s">
        <v>825</v>
      </c>
      <c r="E2850" t="s">
        <v>35</v>
      </c>
      <c r="F2850" t="s">
        <v>384</v>
      </c>
      <c r="G2850">
        <v>39.083333000000003</v>
      </c>
      <c r="H2850">
        <v>142.85</v>
      </c>
      <c r="I2850" t="s">
        <v>761</v>
      </c>
      <c r="J2850" s="2" t="s">
        <v>14</v>
      </c>
      <c r="K2850" t="s">
        <v>385</v>
      </c>
      <c r="L2850" t="s">
        <v>143</v>
      </c>
      <c r="M2850" t="s">
        <v>12</v>
      </c>
      <c r="N2850" t="s">
        <v>85</v>
      </c>
      <c r="O2850" s="6" t="s">
        <v>12</v>
      </c>
      <c r="P2850" t="s">
        <v>70</v>
      </c>
      <c r="Q2850">
        <v>4</v>
      </c>
      <c r="R2850" t="s">
        <v>214</v>
      </c>
      <c r="S2850" s="2" t="s">
        <v>15</v>
      </c>
      <c r="T2850">
        <v>3</v>
      </c>
      <c r="U2850" t="s">
        <v>28</v>
      </c>
      <c r="V2850" t="s">
        <v>28</v>
      </c>
      <c r="W2850">
        <v>24</v>
      </c>
      <c r="X2850">
        <v>90.26</v>
      </c>
      <c r="Y2850">
        <f>X2850-86.47</f>
        <v>3.7900000000000063</v>
      </c>
      <c r="AA2850" s="6"/>
      <c r="AB2850" s="6"/>
    </row>
    <row r="2851" spans="1:28" x14ac:dyDescent="0.2">
      <c r="A2851" t="s">
        <v>383</v>
      </c>
      <c r="B2851">
        <v>2013</v>
      </c>
      <c r="C2851" t="s">
        <v>807</v>
      </c>
      <c r="D2851" t="s">
        <v>825</v>
      </c>
      <c r="E2851" t="s">
        <v>35</v>
      </c>
      <c r="F2851" t="s">
        <v>384</v>
      </c>
      <c r="G2851">
        <v>39.083333000000003</v>
      </c>
      <c r="H2851">
        <v>142.85</v>
      </c>
      <c r="I2851" t="s">
        <v>761</v>
      </c>
      <c r="J2851" s="2" t="s">
        <v>14</v>
      </c>
      <c r="K2851" t="s">
        <v>385</v>
      </c>
      <c r="L2851" t="s">
        <v>143</v>
      </c>
      <c r="M2851" t="s">
        <v>12</v>
      </c>
      <c r="N2851" t="s">
        <v>85</v>
      </c>
      <c r="O2851" s="6" t="s">
        <v>12</v>
      </c>
      <c r="P2851" t="s">
        <v>70</v>
      </c>
      <c r="Q2851">
        <v>5</v>
      </c>
      <c r="R2851" t="s">
        <v>214</v>
      </c>
      <c r="S2851" s="2" t="s">
        <v>15</v>
      </c>
      <c r="T2851">
        <v>3</v>
      </c>
      <c r="U2851" t="s">
        <v>28</v>
      </c>
      <c r="V2851" t="s">
        <v>28</v>
      </c>
      <c r="W2851">
        <v>24</v>
      </c>
      <c r="X2851">
        <v>86.87</v>
      </c>
      <c r="Y2851">
        <f>X2851-82.14</f>
        <v>4.730000000000004</v>
      </c>
      <c r="AA2851" s="6"/>
      <c r="AB2851" s="6"/>
    </row>
    <row r="2852" spans="1:28" x14ac:dyDescent="0.2">
      <c r="A2852" t="s">
        <v>383</v>
      </c>
      <c r="B2852">
        <v>2013</v>
      </c>
      <c r="C2852" t="s">
        <v>807</v>
      </c>
      <c r="D2852" t="s">
        <v>825</v>
      </c>
      <c r="E2852" t="s">
        <v>35</v>
      </c>
      <c r="F2852" t="s">
        <v>384</v>
      </c>
      <c r="G2852">
        <v>39.083333000000003</v>
      </c>
      <c r="H2852">
        <v>142.85</v>
      </c>
      <c r="I2852" t="s">
        <v>761</v>
      </c>
      <c r="J2852" s="2" t="s">
        <v>14</v>
      </c>
      <c r="K2852" t="s">
        <v>385</v>
      </c>
      <c r="L2852" t="s">
        <v>143</v>
      </c>
      <c r="M2852" t="s">
        <v>12</v>
      </c>
      <c r="N2852" t="s">
        <v>85</v>
      </c>
      <c r="O2852" s="6" t="s">
        <v>12</v>
      </c>
      <c r="P2852" t="s">
        <v>70</v>
      </c>
      <c r="Q2852">
        <v>6</v>
      </c>
      <c r="R2852" t="s">
        <v>214</v>
      </c>
      <c r="S2852" s="2" t="s">
        <v>15</v>
      </c>
      <c r="T2852">
        <v>3</v>
      </c>
      <c r="U2852" t="s">
        <v>28</v>
      </c>
      <c r="V2852" t="s">
        <v>28</v>
      </c>
      <c r="W2852">
        <v>24</v>
      </c>
      <c r="X2852">
        <v>86.87</v>
      </c>
      <c r="Y2852">
        <f>X2852-83.22</f>
        <v>3.6500000000000057</v>
      </c>
      <c r="AA2852" s="6"/>
      <c r="AB2852" s="6"/>
    </row>
    <row r="2853" spans="1:28" x14ac:dyDescent="0.2">
      <c r="A2853" t="s">
        <v>383</v>
      </c>
      <c r="B2853">
        <v>2013</v>
      </c>
      <c r="C2853" t="s">
        <v>807</v>
      </c>
      <c r="D2853" t="s">
        <v>825</v>
      </c>
      <c r="E2853" t="s">
        <v>35</v>
      </c>
      <c r="F2853" t="s">
        <v>384</v>
      </c>
      <c r="G2853">
        <v>39.083333000000003</v>
      </c>
      <c r="H2853">
        <v>142.85</v>
      </c>
      <c r="I2853" t="s">
        <v>761</v>
      </c>
      <c r="J2853" s="2" t="s">
        <v>14</v>
      </c>
      <c r="K2853" t="s">
        <v>385</v>
      </c>
      <c r="L2853" t="s">
        <v>143</v>
      </c>
      <c r="M2853" t="s">
        <v>12</v>
      </c>
      <c r="N2853" t="s">
        <v>85</v>
      </c>
      <c r="O2853" s="6" t="s">
        <v>12</v>
      </c>
      <c r="P2853" t="s">
        <v>70</v>
      </c>
      <c r="Q2853">
        <v>7</v>
      </c>
      <c r="R2853" t="s">
        <v>214</v>
      </c>
      <c r="S2853" s="2" t="s">
        <v>15</v>
      </c>
      <c r="T2853">
        <v>3</v>
      </c>
      <c r="U2853" t="s">
        <v>28</v>
      </c>
      <c r="V2853" t="s">
        <v>28</v>
      </c>
      <c r="W2853">
        <v>24</v>
      </c>
      <c r="X2853">
        <v>83.49</v>
      </c>
      <c r="Y2853">
        <f>X2853-78.48</f>
        <v>5.0099999999999909</v>
      </c>
      <c r="AA2853" s="6"/>
      <c r="AB2853" s="6"/>
    </row>
    <row r="2854" spans="1:28" x14ac:dyDescent="0.2">
      <c r="A2854" t="s">
        <v>383</v>
      </c>
      <c r="B2854">
        <v>2013</v>
      </c>
      <c r="C2854" t="s">
        <v>807</v>
      </c>
      <c r="D2854" t="s">
        <v>825</v>
      </c>
      <c r="E2854" t="s">
        <v>35</v>
      </c>
      <c r="F2854" t="s">
        <v>384</v>
      </c>
      <c r="G2854">
        <v>39.083333000000003</v>
      </c>
      <c r="H2854">
        <v>142.85</v>
      </c>
      <c r="I2854" t="s">
        <v>761</v>
      </c>
      <c r="J2854" s="2" t="s">
        <v>14</v>
      </c>
      <c r="K2854" t="s">
        <v>385</v>
      </c>
      <c r="L2854" t="s">
        <v>143</v>
      </c>
      <c r="M2854" t="s">
        <v>12</v>
      </c>
      <c r="N2854" t="s">
        <v>85</v>
      </c>
      <c r="O2854" s="6" t="s">
        <v>12</v>
      </c>
      <c r="P2854" t="s">
        <v>70</v>
      </c>
      <c r="Q2854">
        <v>8</v>
      </c>
      <c r="R2854" t="s">
        <v>214</v>
      </c>
      <c r="S2854" s="2" t="s">
        <v>15</v>
      </c>
      <c r="T2854">
        <v>3</v>
      </c>
      <c r="U2854" t="s">
        <v>28</v>
      </c>
      <c r="V2854" t="s">
        <v>28</v>
      </c>
      <c r="W2854">
        <v>24</v>
      </c>
      <c r="X2854">
        <v>76.86</v>
      </c>
      <c r="Y2854">
        <f>X2854-71.58</f>
        <v>5.2800000000000011</v>
      </c>
      <c r="AA2854" s="6"/>
      <c r="AB2854" s="6"/>
    </row>
    <row r="2855" spans="1:28" x14ac:dyDescent="0.2">
      <c r="A2855" t="s">
        <v>383</v>
      </c>
      <c r="B2855">
        <v>2013</v>
      </c>
      <c r="C2855" t="s">
        <v>807</v>
      </c>
      <c r="D2855" t="s">
        <v>825</v>
      </c>
      <c r="E2855" t="s">
        <v>35</v>
      </c>
      <c r="F2855" t="s">
        <v>384</v>
      </c>
      <c r="G2855">
        <v>39.083333000000003</v>
      </c>
      <c r="H2855">
        <v>142.85</v>
      </c>
      <c r="I2855" t="s">
        <v>761</v>
      </c>
      <c r="J2855" s="2" t="s">
        <v>14</v>
      </c>
      <c r="K2855" t="s">
        <v>385</v>
      </c>
      <c r="L2855" t="s">
        <v>143</v>
      </c>
      <c r="M2855" t="s">
        <v>12</v>
      </c>
      <c r="N2855" t="s">
        <v>85</v>
      </c>
      <c r="O2855" s="6" t="s">
        <v>12</v>
      </c>
      <c r="P2855" t="s">
        <v>70</v>
      </c>
      <c r="Q2855">
        <v>9</v>
      </c>
      <c r="R2855" t="s">
        <v>214</v>
      </c>
      <c r="S2855" s="2" t="s">
        <v>15</v>
      </c>
      <c r="T2855">
        <v>3</v>
      </c>
      <c r="U2855" t="s">
        <v>28</v>
      </c>
      <c r="V2855" t="s">
        <v>28</v>
      </c>
      <c r="W2855">
        <v>24</v>
      </c>
      <c r="X2855">
        <v>73.75</v>
      </c>
      <c r="Y2855">
        <f>X2855-68.74</f>
        <v>5.0100000000000051</v>
      </c>
      <c r="AA2855" s="6"/>
      <c r="AB2855" s="6"/>
    </row>
    <row r="2856" spans="1:28" x14ac:dyDescent="0.2">
      <c r="A2856" t="s">
        <v>383</v>
      </c>
      <c r="B2856">
        <v>2013</v>
      </c>
      <c r="C2856" t="s">
        <v>807</v>
      </c>
      <c r="D2856" t="s">
        <v>825</v>
      </c>
      <c r="E2856" t="s">
        <v>35</v>
      </c>
      <c r="F2856" t="s">
        <v>384</v>
      </c>
      <c r="G2856">
        <v>39.083333000000003</v>
      </c>
      <c r="H2856">
        <v>142.85</v>
      </c>
      <c r="I2856" t="s">
        <v>761</v>
      </c>
      <c r="J2856" s="2" t="s">
        <v>14</v>
      </c>
      <c r="K2856" t="s">
        <v>385</v>
      </c>
      <c r="L2856" t="s">
        <v>143</v>
      </c>
      <c r="M2856" t="s">
        <v>12</v>
      </c>
      <c r="N2856" t="s">
        <v>85</v>
      </c>
      <c r="O2856" s="6" t="s">
        <v>12</v>
      </c>
      <c r="P2856" t="s">
        <v>70</v>
      </c>
      <c r="Q2856">
        <v>10</v>
      </c>
      <c r="R2856" t="s">
        <v>214</v>
      </c>
      <c r="S2856" s="2" t="s">
        <v>15</v>
      </c>
      <c r="T2856">
        <v>3</v>
      </c>
      <c r="U2856" t="s">
        <v>28</v>
      </c>
      <c r="V2856" t="s">
        <v>28</v>
      </c>
      <c r="W2856">
        <v>24</v>
      </c>
      <c r="X2856">
        <v>70.37</v>
      </c>
      <c r="Y2856">
        <f>X2856-67.25</f>
        <v>3.1200000000000045</v>
      </c>
      <c r="AA2856" s="6"/>
      <c r="AB2856" s="6"/>
    </row>
    <row r="2857" spans="1:28" x14ac:dyDescent="0.2">
      <c r="A2857" t="s">
        <v>383</v>
      </c>
      <c r="B2857">
        <v>2013</v>
      </c>
      <c r="C2857" t="s">
        <v>807</v>
      </c>
      <c r="D2857" t="s">
        <v>825</v>
      </c>
      <c r="E2857" t="s">
        <v>35</v>
      </c>
      <c r="F2857" t="s">
        <v>384</v>
      </c>
      <c r="G2857">
        <v>39.083333000000003</v>
      </c>
      <c r="H2857">
        <v>142.85</v>
      </c>
      <c r="I2857" t="s">
        <v>761</v>
      </c>
      <c r="J2857" s="2" t="s">
        <v>14</v>
      </c>
      <c r="K2857" t="s">
        <v>385</v>
      </c>
      <c r="L2857" t="s">
        <v>143</v>
      </c>
      <c r="M2857" t="s">
        <v>12</v>
      </c>
      <c r="N2857" t="s">
        <v>85</v>
      </c>
      <c r="O2857" s="6" t="s">
        <v>12</v>
      </c>
      <c r="P2857" t="s">
        <v>70</v>
      </c>
      <c r="Q2857">
        <v>11</v>
      </c>
      <c r="R2857" t="s">
        <v>214</v>
      </c>
      <c r="S2857" s="2" t="s">
        <v>15</v>
      </c>
      <c r="T2857">
        <v>3</v>
      </c>
      <c r="U2857" t="s">
        <v>28</v>
      </c>
      <c r="V2857" t="s">
        <v>28</v>
      </c>
      <c r="W2857">
        <v>24</v>
      </c>
      <c r="X2857">
        <v>63.46</v>
      </c>
      <c r="Y2857">
        <f>X2857-59.68</f>
        <v>3.7800000000000011</v>
      </c>
      <c r="AA2857" s="6"/>
      <c r="AB2857" s="6"/>
    </row>
    <row r="2858" spans="1:28" x14ac:dyDescent="0.2">
      <c r="A2858" t="s">
        <v>383</v>
      </c>
      <c r="B2858">
        <v>2013</v>
      </c>
      <c r="C2858" t="s">
        <v>807</v>
      </c>
      <c r="D2858" t="s">
        <v>825</v>
      </c>
      <c r="E2858" t="s">
        <v>35</v>
      </c>
      <c r="F2858" t="s">
        <v>384</v>
      </c>
      <c r="G2858">
        <v>39.083333000000003</v>
      </c>
      <c r="H2858">
        <v>142.85</v>
      </c>
      <c r="I2858" t="s">
        <v>761</v>
      </c>
      <c r="J2858" s="2" t="s">
        <v>14</v>
      </c>
      <c r="K2858" t="s">
        <v>385</v>
      </c>
      <c r="L2858" t="s">
        <v>143</v>
      </c>
      <c r="M2858" t="s">
        <v>12</v>
      </c>
      <c r="N2858" t="s">
        <v>85</v>
      </c>
      <c r="O2858" s="6" t="s">
        <v>12</v>
      </c>
      <c r="P2858" t="s">
        <v>70</v>
      </c>
      <c r="Q2858">
        <v>12</v>
      </c>
      <c r="R2858" t="s">
        <v>213</v>
      </c>
      <c r="S2858" s="2" t="s">
        <v>15</v>
      </c>
      <c r="T2858">
        <v>3</v>
      </c>
      <c r="U2858" t="s">
        <v>28</v>
      </c>
      <c r="V2858" t="s">
        <v>28</v>
      </c>
      <c r="W2858">
        <v>24</v>
      </c>
      <c r="X2858">
        <v>60.22</v>
      </c>
      <c r="Y2858">
        <f>X2858-55.21</f>
        <v>5.009999999999998</v>
      </c>
      <c r="AA2858" s="6"/>
      <c r="AB2858" s="6"/>
    </row>
    <row r="2859" spans="1:28" x14ac:dyDescent="0.2">
      <c r="A2859" t="s">
        <v>383</v>
      </c>
      <c r="B2859">
        <v>2013</v>
      </c>
      <c r="C2859" t="s">
        <v>807</v>
      </c>
      <c r="D2859" t="s">
        <v>825</v>
      </c>
      <c r="E2859" t="s">
        <v>35</v>
      </c>
      <c r="F2859" t="s">
        <v>352</v>
      </c>
      <c r="G2859">
        <v>38.533332999999999</v>
      </c>
      <c r="H2859">
        <v>141.51666700000001</v>
      </c>
      <c r="I2859" t="s">
        <v>761</v>
      </c>
      <c r="J2859" s="2" t="s">
        <v>14</v>
      </c>
      <c r="K2859" t="s">
        <v>385</v>
      </c>
      <c r="L2859" t="s">
        <v>143</v>
      </c>
      <c r="M2859" t="s">
        <v>12</v>
      </c>
      <c r="N2859" t="s">
        <v>85</v>
      </c>
      <c r="O2859" s="6" t="s">
        <v>12</v>
      </c>
      <c r="P2859" t="s">
        <v>70</v>
      </c>
      <c r="Q2859">
        <v>1</v>
      </c>
      <c r="R2859" t="s">
        <v>214</v>
      </c>
      <c r="S2859" s="2" t="s">
        <v>15</v>
      </c>
      <c r="T2859">
        <v>3</v>
      </c>
      <c r="U2859" t="s">
        <v>28</v>
      </c>
      <c r="V2859" t="s">
        <v>28</v>
      </c>
      <c r="W2859">
        <v>24</v>
      </c>
      <c r="X2859">
        <v>100</v>
      </c>
      <c r="Y2859">
        <v>0</v>
      </c>
      <c r="AA2859" s="6"/>
      <c r="AB2859" s="6"/>
    </row>
    <row r="2860" spans="1:28" x14ac:dyDescent="0.2">
      <c r="A2860" t="s">
        <v>383</v>
      </c>
      <c r="B2860">
        <v>2013</v>
      </c>
      <c r="C2860" t="s">
        <v>807</v>
      </c>
      <c r="D2860" t="s">
        <v>825</v>
      </c>
      <c r="E2860" t="s">
        <v>35</v>
      </c>
      <c r="F2860" t="s">
        <v>352</v>
      </c>
      <c r="G2860">
        <v>38.533332999999999</v>
      </c>
      <c r="H2860">
        <v>141.51666700000001</v>
      </c>
      <c r="I2860" t="s">
        <v>761</v>
      </c>
      <c r="J2860" s="2" t="s">
        <v>14</v>
      </c>
      <c r="K2860" t="s">
        <v>385</v>
      </c>
      <c r="L2860" t="s">
        <v>143</v>
      </c>
      <c r="M2860" t="s">
        <v>12</v>
      </c>
      <c r="N2860" t="s">
        <v>85</v>
      </c>
      <c r="O2860" s="6" t="s">
        <v>12</v>
      </c>
      <c r="P2860" t="s">
        <v>70</v>
      </c>
      <c r="Q2860">
        <v>2</v>
      </c>
      <c r="R2860" t="s">
        <v>214</v>
      </c>
      <c r="S2860" s="2" t="s">
        <v>15</v>
      </c>
      <c r="T2860">
        <v>3</v>
      </c>
      <c r="U2860" t="s">
        <v>28</v>
      </c>
      <c r="V2860" t="s">
        <v>28</v>
      </c>
      <c r="W2860">
        <v>24</v>
      </c>
      <c r="X2860">
        <v>100</v>
      </c>
      <c r="Y2860">
        <v>0</v>
      </c>
      <c r="AA2860" s="6"/>
      <c r="AB2860" s="6"/>
    </row>
    <row r="2861" spans="1:28" x14ac:dyDescent="0.2">
      <c r="A2861" t="s">
        <v>383</v>
      </c>
      <c r="B2861">
        <v>2013</v>
      </c>
      <c r="C2861" t="s">
        <v>807</v>
      </c>
      <c r="D2861" t="s">
        <v>825</v>
      </c>
      <c r="E2861" t="s">
        <v>35</v>
      </c>
      <c r="F2861" t="s">
        <v>352</v>
      </c>
      <c r="G2861">
        <v>38.533332999999999</v>
      </c>
      <c r="H2861">
        <v>141.51666700000001</v>
      </c>
      <c r="I2861" t="s">
        <v>761</v>
      </c>
      <c r="J2861" s="2" t="s">
        <v>14</v>
      </c>
      <c r="K2861" t="s">
        <v>385</v>
      </c>
      <c r="L2861" t="s">
        <v>143</v>
      </c>
      <c r="M2861" t="s">
        <v>12</v>
      </c>
      <c r="N2861" t="s">
        <v>85</v>
      </c>
      <c r="O2861" s="6" t="s">
        <v>12</v>
      </c>
      <c r="P2861" t="s">
        <v>70</v>
      </c>
      <c r="Q2861">
        <v>3</v>
      </c>
      <c r="R2861" t="s">
        <v>214</v>
      </c>
      <c r="S2861" s="2" t="s">
        <v>15</v>
      </c>
      <c r="T2861">
        <v>3</v>
      </c>
      <c r="U2861" t="s">
        <v>28</v>
      </c>
      <c r="V2861" t="s">
        <v>28</v>
      </c>
      <c r="W2861">
        <v>24</v>
      </c>
      <c r="X2861">
        <v>100</v>
      </c>
      <c r="Y2861">
        <v>0</v>
      </c>
      <c r="AA2861" s="6"/>
      <c r="AB2861" s="6"/>
    </row>
    <row r="2862" spans="1:28" x14ac:dyDescent="0.2">
      <c r="A2862" t="s">
        <v>383</v>
      </c>
      <c r="B2862">
        <v>2013</v>
      </c>
      <c r="C2862" t="s">
        <v>807</v>
      </c>
      <c r="D2862" t="s">
        <v>825</v>
      </c>
      <c r="E2862" t="s">
        <v>35</v>
      </c>
      <c r="F2862" t="s">
        <v>352</v>
      </c>
      <c r="G2862">
        <v>38.533332999999999</v>
      </c>
      <c r="H2862">
        <v>141.51666700000001</v>
      </c>
      <c r="I2862" t="s">
        <v>761</v>
      </c>
      <c r="J2862" s="2" t="s">
        <v>14</v>
      </c>
      <c r="K2862" t="s">
        <v>385</v>
      </c>
      <c r="L2862" t="s">
        <v>143</v>
      </c>
      <c r="M2862" t="s">
        <v>12</v>
      </c>
      <c r="N2862" t="s">
        <v>85</v>
      </c>
      <c r="O2862" s="6" t="s">
        <v>12</v>
      </c>
      <c r="P2862" t="s">
        <v>70</v>
      </c>
      <c r="Q2862">
        <v>4</v>
      </c>
      <c r="R2862" t="s">
        <v>214</v>
      </c>
      <c r="S2862" s="2" t="s">
        <v>15</v>
      </c>
      <c r="T2862">
        <v>3</v>
      </c>
      <c r="U2862" t="s">
        <v>28</v>
      </c>
      <c r="V2862" t="s">
        <v>28</v>
      </c>
      <c r="W2862">
        <v>24</v>
      </c>
      <c r="X2862">
        <v>100</v>
      </c>
      <c r="Y2862">
        <v>0</v>
      </c>
      <c r="AA2862" s="6"/>
      <c r="AB2862" s="6"/>
    </row>
    <row r="2863" spans="1:28" x14ac:dyDescent="0.2">
      <c r="A2863" t="s">
        <v>383</v>
      </c>
      <c r="B2863">
        <v>2013</v>
      </c>
      <c r="C2863" t="s">
        <v>807</v>
      </c>
      <c r="D2863" t="s">
        <v>825</v>
      </c>
      <c r="E2863" t="s">
        <v>35</v>
      </c>
      <c r="F2863" t="s">
        <v>352</v>
      </c>
      <c r="G2863">
        <v>38.533332999999999</v>
      </c>
      <c r="H2863">
        <v>141.51666700000001</v>
      </c>
      <c r="I2863" t="s">
        <v>761</v>
      </c>
      <c r="J2863" s="2" t="s">
        <v>14</v>
      </c>
      <c r="K2863" t="s">
        <v>385</v>
      </c>
      <c r="L2863" t="s">
        <v>143</v>
      </c>
      <c r="M2863" t="s">
        <v>12</v>
      </c>
      <c r="N2863" t="s">
        <v>85</v>
      </c>
      <c r="O2863" s="6" t="s">
        <v>12</v>
      </c>
      <c r="P2863" t="s">
        <v>70</v>
      </c>
      <c r="Q2863">
        <v>5</v>
      </c>
      <c r="R2863" t="s">
        <v>214</v>
      </c>
      <c r="S2863" s="2" t="s">
        <v>15</v>
      </c>
      <c r="T2863">
        <v>3</v>
      </c>
      <c r="U2863" t="s">
        <v>28</v>
      </c>
      <c r="V2863" t="s">
        <v>28</v>
      </c>
      <c r="W2863">
        <v>24</v>
      </c>
      <c r="X2863">
        <v>93.37</v>
      </c>
      <c r="Y2863">
        <f>X2863-89.99</f>
        <v>3.3800000000000097</v>
      </c>
      <c r="AA2863" s="6"/>
      <c r="AB2863" s="6"/>
    </row>
    <row r="2864" spans="1:28" x14ac:dyDescent="0.2">
      <c r="A2864" t="s">
        <v>383</v>
      </c>
      <c r="B2864">
        <v>2013</v>
      </c>
      <c r="C2864" t="s">
        <v>807</v>
      </c>
      <c r="D2864" t="s">
        <v>825</v>
      </c>
      <c r="E2864" t="s">
        <v>35</v>
      </c>
      <c r="F2864" t="s">
        <v>352</v>
      </c>
      <c r="G2864">
        <v>38.533332999999999</v>
      </c>
      <c r="H2864">
        <v>141.51666700000001</v>
      </c>
      <c r="I2864" t="s">
        <v>761</v>
      </c>
      <c r="J2864" s="2" t="s">
        <v>14</v>
      </c>
      <c r="K2864" t="s">
        <v>385</v>
      </c>
      <c r="L2864" t="s">
        <v>143</v>
      </c>
      <c r="M2864" t="s">
        <v>12</v>
      </c>
      <c r="N2864" t="s">
        <v>85</v>
      </c>
      <c r="O2864" s="6" t="s">
        <v>12</v>
      </c>
      <c r="P2864" t="s">
        <v>70</v>
      </c>
      <c r="Q2864">
        <v>6</v>
      </c>
      <c r="R2864" t="s">
        <v>214</v>
      </c>
      <c r="S2864" s="2" t="s">
        <v>15</v>
      </c>
      <c r="T2864">
        <v>3</v>
      </c>
      <c r="U2864" t="s">
        <v>28</v>
      </c>
      <c r="V2864" t="s">
        <v>28</v>
      </c>
      <c r="W2864">
        <v>24</v>
      </c>
      <c r="X2864">
        <v>90.12</v>
      </c>
      <c r="Y2864">
        <f>X2864-88.09</f>
        <v>2.0300000000000011</v>
      </c>
      <c r="AA2864" s="6"/>
      <c r="AB2864" s="6"/>
    </row>
    <row r="2865" spans="1:28" x14ac:dyDescent="0.2">
      <c r="A2865" t="s">
        <v>383</v>
      </c>
      <c r="B2865">
        <v>2013</v>
      </c>
      <c r="C2865" t="s">
        <v>807</v>
      </c>
      <c r="D2865" t="s">
        <v>825</v>
      </c>
      <c r="E2865" t="s">
        <v>35</v>
      </c>
      <c r="F2865" t="s">
        <v>352</v>
      </c>
      <c r="G2865">
        <v>38.533332999999999</v>
      </c>
      <c r="H2865">
        <v>141.51666700000001</v>
      </c>
      <c r="I2865" t="s">
        <v>761</v>
      </c>
      <c r="J2865" s="2" t="s">
        <v>14</v>
      </c>
      <c r="K2865" t="s">
        <v>385</v>
      </c>
      <c r="L2865" t="s">
        <v>143</v>
      </c>
      <c r="M2865" t="s">
        <v>12</v>
      </c>
      <c r="N2865" t="s">
        <v>85</v>
      </c>
      <c r="O2865" s="6" t="s">
        <v>12</v>
      </c>
      <c r="P2865" t="s">
        <v>70</v>
      </c>
      <c r="Q2865">
        <v>7</v>
      </c>
      <c r="R2865" t="s">
        <v>214</v>
      </c>
      <c r="S2865" s="2" t="s">
        <v>15</v>
      </c>
      <c r="T2865">
        <v>3</v>
      </c>
      <c r="U2865" t="s">
        <v>28</v>
      </c>
      <c r="V2865" t="s">
        <v>28</v>
      </c>
      <c r="W2865">
        <v>24</v>
      </c>
      <c r="X2865">
        <v>86.87</v>
      </c>
      <c r="Y2865">
        <f>X2865-84.71</f>
        <v>2.1600000000000108</v>
      </c>
      <c r="AA2865" s="6"/>
      <c r="AB2865" s="6"/>
    </row>
    <row r="2866" spans="1:28" x14ac:dyDescent="0.2">
      <c r="A2866" t="s">
        <v>383</v>
      </c>
      <c r="B2866">
        <v>2013</v>
      </c>
      <c r="C2866" t="s">
        <v>807</v>
      </c>
      <c r="D2866" t="s">
        <v>825</v>
      </c>
      <c r="E2866" t="s">
        <v>35</v>
      </c>
      <c r="F2866" t="s">
        <v>352</v>
      </c>
      <c r="G2866">
        <v>38.533332999999999</v>
      </c>
      <c r="H2866">
        <v>141.51666700000001</v>
      </c>
      <c r="I2866" t="s">
        <v>761</v>
      </c>
      <c r="J2866" s="2" t="s">
        <v>14</v>
      </c>
      <c r="K2866" t="s">
        <v>385</v>
      </c>
      <c r="L2866" t="s">
        <v>143</v>
      </c>
      <c r="M2866" t="s">
        <v>12</v>
      </c>
      <c r="N2866" t="s">
        <v>85</v>
      </c>
      <c r="O2866" s="6" t="s">
        <v>12</v>
      </c>
      <c r="P2866" t="s">
        <v>70</v>
      </c>
      <c r="Q2866">
        <v>8</v>
      </c>
      <c r="R2866" t="s">
        <v>214</v>
      </c>
      <c r="S2866" s="2" t="s">
        <v>15</v>
      </c>
      <c r="T2866">
        <v>3</v>
      </c>
      <c r="U2866" t="s">
        <v>28</v>
      </c>
      <c r="V2866" t="s">
        <v>28</v>
      </c>
      <c r="W2866">
        <v>24</v>
      </c>
      <c r="X2866">
        <v>80.239999999999995</v>
      </c>
      <c r="Y2866">
        <f>X2866-77.94</f>
        <v>2.2999999999999972</v>
      </c>
      <c r="AA2866" s="6"/>
      <c r="AB2866" s="6"/>
    </row>
    <row r="2867" spans="1:28" x14ac:dyDescent="0.2">
      <c r="A2867" t="s">
        <v>383</v>
      </c>
      <c r="B2867">
        <v>2013</v>
      </c>
      <c r="C2867" t="s">
        <v>807</v>
      </c>
      <c r="D2867" t="s">
        <v>825</v>
      </c>
      <c r="E2867" t="s">
        <v>35</v>
      </c>
      <c r="F2867" t="s">
        <v>352</v>
      </c>
      <c r="G2867">
        <v>38.533332999999999</v>
      </c>
      <c r="H2867">
        <v>141.51666700000001</v>
      </c>
      <c r="I2867" t="s">
        <v>761</v>
      </c>
      <c r="J2867" s="2" t="s">
        <v>14</v>
      </c>
      <c r="K2867" t="s">
        <v>385</v>
      </c>
      <c r="L2867" t="s">
        <v>143</v>
      </c>
      <c r="M2867" t="s">
        <v>12</v>
      </c>
      <c r="N2867" t="s">
        <v>85</v>
      </c>
      <c r="O2867" s="6" t="s">
        <v>12</v>
      </c>
      <c r="P2867" t="s">
        <v>70</v>
      </c>
      <c r="Q2867">
        <v>9</v>
      </c>
      <c r="R2867" t="s">
        <v>214</v>
      </c>
      <c r="S2867" s="2" t="s">
        <v>15</v>
      </c>
      <c r="T2867">
        <v>3</v>
      </c>
      <c r="U2867" t="s">
        <v>28</v>
      </c>
      <c r="V2867" t="s">
        <v>28</v>
      </c>
      <c r="W2867">
        <v>24</v>
      </c>
      <c r="X2867">
        <v>80.11</v>
      </c>
      <c r="Y2867">
        <f>X2867-75.91</f>
        <v>4.2000000000000028</v>
      </c>
      <c r="AA2867" s="6"/>
      <c r="AB2867" s="6"/>
    </row>
    <row r="2868" spans="1:28" x14ac:dyDescent="0.2">
      <c r="A2868" t="s">
        <v>383</v>
      </c>
      <c r="B2868">
        <v>2013</v>
      </c>
      <c r="C2868" t="s">
        <v>807</v>
      </c>
      <c r="D2868" t="s">
        <v>825</v>
      </c>
      <c r="E2868" t="s">
        <v>35</v>
      </c>
      <c r="F2868" t="s">
        <v>352</v>
      </c>
      <c r="G2868">
        <v>38.533332999999999</v>
      </c>
      <c r="H2868">
        <v>141.51666700000001</v>
      </c>
      <c r="I2868" t="s">
        <v>761</v>
      </c>
      <c r="J2868" s="2" t="s">
        <v>14</v>
      </c>
      <c r="K2868" t="s">
        <v>385</v>
      </c>
      <c r="L2868" t="s">
        <v>143</v>
      </c>
      <c r="M2868" t="s">
        <v>12</v>
      </c>
      <c r="N2868" t="s">
        <v>85</v>
      </c>
      <c r="O2868" s="6" t="s">
        <v>12</v>
      </c>
      <c r="P2868" t="s">
        <v>70</v>
      </c>
      <c r="Q2868">
        <v>10</v>
      </c>
      <c r="R2868" t="s">
        <v>214</v>
      </c>
      <c r="S2868" s="2" t="s">
        <v>15</v>
      </c>
      <c r="T2868">
        <v>3</v>
      </c>
      <c r="U2868" t="s">
        <v>28</v>
      </c>
      <c r="V2868" t="s">
        <v>28</v>
      </c>
      <c r="W2868">
        <v>24</v>
      </c>
      <c r="X2868">
        <v>76.86</v>
      </c>
      <c r="Y2868">
        <f>X2868-73.07</f>
        <v>3.7900000000000063</v>
      </c>
      <c r="AA2868" s="6"/>
      <c r="AB2868" s="6"/>
    </row>
    <row r="2869" spans="1:28" x14ac:dyDescent="0.2">
      <c r="A2869" t="s">
        <v>383</v>
      </c>
      <c r="B2869">
        <v>2013</v>
      </c>
      <c r="C2869" t="s">
        <v>807</v>
      </c>
      <c r="D2869" t="s">
        <v>825</v>
      </c>
      <c r="E2869" t="s">
        <v>35</v>
      </c>
      <c r="F2869" t="s">
        <v>352</v>
      </c>
      <c r="G2869">
        <v>38.533332999999999</v>
      </c>
      <c r="H2869">
        <v>141.51666700000001</v>
      </c>
      <c r="I2869" t="s">
        <v>761</v>
      </c>
      <c r="J2869" s="2" t="s">
        <v>14</v>
      </c>
      <c r="K2869" t="s">
        <v>385</v>
      </c>
      <c r="L2869" t="s">
        <v>143</v>
      </c>
      <c r="M2869" t="s">
        <v>12</v>
      </c>
      <c r="N2869" t="s">
        <v>85</v>
      </c>
      <c r="O2869" s="6" t="s">
        <v>12</v>
      </c>
      <c r="P2869" t="s">
        <v>70</v>
      </c>
      <c r="Q2869">
        <v>11</v>
      </c>
      <c r="R2869" t="s">
        <v>214</v>
      </c>
      <c r="S2869" s="2" t="s">
        <v>15</v>
      </c>
      <c r="T2869">
        <v>3</v>
      </c>
      <c r="U2869" t="s">
        <v>28</v>
      </c>
      <c r="V2869" t="s">
        <v>28</v>
      </c>
      <c r="W2869">
        <v>24</v>
      </c>
      <c r="X2869">
        <v>73.61</v>
      </c>
      <c r="Y2869">
        <f>X2869-67.39</f>
        <v>6.2199999999999989</v>
      </c>
      <c r="AA2869" s="6"/>
      <c r="AB2869" s="6"/>
    </row>
    <row r="2870" spans="1:28" x14ac:dyDescent="0.2">
      <c r="A2870" t="s">
        <v>383</v>
      </c>
      <c r="B2870">
        <v>2013</v>
      </c>
      <c r="C2870" t="s">
        <v>807</v>
      </c>
      <c r="D2870" t="s">
        <v>825</v>
      </c>
      <c r="E2870" t="s">
        <v>35</v>
      </c>
      <c r="F2870" t="s">
        <v>352</v>
      </c>
      <c r="G2870">
        <v>38.533332999999999</v>
      </c>
      <c r="H2870">
        <v>141.51666700000001</v>
      </c>
      <c r="I2870" t="s">
        <v>761</v>
      </c>
      <c r="J2870" s="2" t="s">
        <v>14</v>
      </c>
      <c r="K2870" t="s">
        <v>385</v>
      </c>
      <c r="L2870" t="s">
        <v>143</v>
      </c>
      <c r="M2870" t="s">
        <v>12</v>
      </c>
      <c r="N2870" t="s">
        <v>85</v>
      </c>
      <c r="O2870" s="6" t="s">
        <v>12</v>
      </c>
      <c r="P2870" t="s">
        <v>70</v>
      </c>
      <c r="Q2870">
        <v>12</v>
      </c>
      <c r="R2870" t="s">
        <v>213</v>
      </c>
      <c r="S2870" s="2" t="s">
        <v>15</v>
      </c>
      <c r="T2870">
        <v>3</v>
      </c>
      <c r="U2870" t="s">
        <v>28</v>
      </c>
      <c r="V2870" t="s">
        <v>28</v>
      </c>
      <c r="W2870">
        <v>24</v>
      </c>
      <c r="X2870">
        <v>70.23</v>
      </c>
      <c r="Y2870">
        <f>X2870-65.49</f>
        <v>4.7400000000000091</v>
      </c>
      <c r="AA2870" s="6"/>
      <c r="AB2870" s="6"/>
    </row>
    <row r="2871" spans="1:28" x14ac:dyDescent="0.2">
      <c r="A2871" t="s">
        <v>383</v>
      </c>
      <c r="B2871">
        <v>2013</v>
      </c>
      <c r="C2871" t="s">
        <v>807</v>
      </c>
      <c r="D2871" t="s">
        <v>825</v>
      </c>
      <c r="E2871" t="s">
        <v>35</v>
      </c>
      <c r="F2871" t="s">
        <v>353</v>
      </c>
      <c r="G2871">
        <v>34.216667000000001</v>
      </c>
      <c r="H2871">
        <v>135.61666700000001</v>
      </c>
      <c r="I2871" t="s">
        <v>761</v>
      </c>
      <c r="J2871" s="2" t="s">
        <v>14</v>
      </c>
      <c r="K2871" t="s">
        <v>385</v>
      </c>
      <c r="L2871" t="s">
        <v>143</v>
      </c>
      <c r="M2871" t="s">
        <v>12</v>
      </c>
      <c r="N2871" t="s">
        <v>85</v>
      </c>
      <c r="O2871" s="6" t="s">
        <v>12</v>
      </c>
      <c r="P2871" t="s">
        <v>70</v>
      </c>
      <c r="Q2871">
        <v>1</v>
      </c>
      <c r="R2871" t="s">
        <v>214</v>
      </c>
      <c r="S2871" s="2" t="s">
        <v>15</v>
      </c>
      <c r="T2871">
        <v>3</v>
      </c>
      <c r="U2871" t="s">
        <v>28</v>
      </c>
      <c r="V2871" t="s">
        <v>28</v>
      </c>
      <c r="W2871">
        <v>24</v>
      </c>
      <c r="X2871">
        <v>100</v>
      </c>
      <c r="Y2871">
        <v>0</v>
      </c>
      <c r="AA2871" s="6"/>
      <c r="AB2871" s="6"/>
    </row>
    <row r="2872" spans="1:28" x14ac:dyDescent="0.2">
      <c r="A2872" t="s">
        <v>383</v>
      </c>
      <c r="B2872">
        <v>2013</v>
      </c>
      <c r="C2872" t="s">
        <v>807</v>
      </c>
      <c r="D2872" t="s">
        <v>825</v>
      </c>
      <c r="E2872" t="s">
        <v>35</v>
      </c>
      <c r="F2872" t="s">
        <v>353</v>
      </c>
      <c r="G2872">
        <v>34.216667000000001</v>
      </c>
      <c r="H2872">
        <v>135.61666700000001</v>
      </c>
      <c r="I2872" t="s">
        <v>761</v>
      </c>
      <c r="J2872" s="2" t="s">
        <v>14</v>
      </c>
      <c r="K2872" t="s">
        <v>385</v>
      </c>
      <c r="L2872" t="s">
        <v>143</v>
      </c>
      <c r="M2872" t="s">
        <v>12</v>
      </c>
      <c r="N2872" t="s">
        <v>85</v>
      </c>
      <c r="O2872" s="6" t="s">
        <v>12</v>
      </c>
      <c r="P2872" t="s">
        <v>70</v>
      </c>
      <c r="Q2872">
        <v>2</v>
      </c>
      <c r="R2872" t="s">
        <v>214</v>
      </c>
      <c r="S2872" s="2" t="s">
        <v>15</v>
      </c>
      <c r="T2872">
        <v>3</v>
      </c>
      <c r="U2872" t="s">
        <v>28</v>
      </c>
      <c r="V2872" t="s">
        <v>28</v>
      </c>
      <c r="W2872">
        <v>24</v>
      </c>
      <c r="X2872">
        <v>100</v>
      </c>
      <c r="Y2872">
        <v>0</v>
      </c>
      <c r="AA2872" s="6"/>
      <c r="AB2872" s="6"/>
    </row>
    <row r="2873" spans="1:28" x14ac:dyDescent="0.2">
      <c r="A2873" t="s">
        <v>383</v>
      </c>
      <c r="B2873">
        <v>2013</v>
      </c>
      <c r="C2873" t="s">
        <v>807</v>
      </c>
      <c r="D2873" t="s">
        <v>825</v>
      </c>
      <c r="E2873" t="s">
        <v>35</v>
      </c>
      <c r="F2873" t="s">
        <v>353</v>
      </c>
      <c r="G2873">
        <v>34.216667000000001</v>
      </c>
      <c r="H2873">
        <v>135.61666700000001</v>
      </c>
      <c r="I2873" t="s">
        <v>761</v>
      </c>
      <c r="J2873" s="2" t="s">
        <v>14</v>
      </c>
      <c r="K2873" t="s">
        <v>385</v>
      </c>
      <c r="L2873" t="s">
        <v>143</v>
      </c>
      <c r="M2873" t="s">
        <v>12</v>
      </c>
      <c r="N2873" t="s">
        <v>85</v>
      </c>
      <c r="O2873" s="6" t="s">
        <v>12</v>
      </c>
      <c r="P2873" t="s">
        <v>70</v>
      </c>
      <c r="Q2873">
        <v>3</v>
      </c>
      <c r="R2873" t="s">
        <v>214</v>
      </c>
      <c r="S2873" s="2" t="s">
        <v>15</v>
      </c>
      <c r="T2873">
        <v>3</v>
      </c>
      <c r="U2873" t="s">
        <v>28</v>
      </c>
      <c r="V2873" t="s">
        <v>28</v>
      </c>
      <c r="W2873">
        <v>24</v>
      </c>
      <c r="X2873">
        <v>100</v>
      </c>
      <c r="Y2873">
        <v>0</v>
      </c>
      <c r="AA2873" s="6"/>
      <c r="AB2873" s="6"/>
    </row>
    <row r="2874" spans="1:28" x14ac:dyDescent="0.2">
      <c r="A2874" t="s">
        <v>383</v>
      </c>
      <c r="B2874">
        <v>2013</v>
      </c>
      <c r="C2874" t="s">
        <v>807</v>
      </c>
      <c r="D2874" t="s">
        <v>825</v>
      </c>
      <c r="E2874" t="s">
        <v>35</v>
      </c>
      <c r="F2874" t="s">
        <v>353</v>
      </c>
      <c r="G2874">
        <v>34.216667000000001</v>
      </c>
      <c r="H2874">
        <v>135.61666700000001</v>
      </c>
      <c r="I2874" t="s">
        <v>761</v>
      </c>
      <c r="J2874" s="2" t="s">
        <v>14</v>
      </c>
      <c r="K2874" t="s">
        <v>385</v>
      </c>
      <c r="L2874" t="s">
        <v>143</v>
      </c>
      <c r="M2874" t="s">
        <v>12</v>
      </c>
      <c r="N2874" t="s">
        <v>85</v>
      </c>
      <c r="O2874" s="6" t="s">
        <v>12</v>
      </c>
      <c r="P2874" t="s">
        <v>70</v>
      </c>
      <c r="Q2874">
        <v>4</v>
      </c>
      <c r="R2874" t="s">
        <v>214</v>
      </c>
      <c r="S2874" s="2" t="s">
        <v>15</v>
      </c>
      <c r="T2874">
        <v>3</v>
      </c>
      <c r="U2874" t="s">
        <v>28</v>
      </c>
      <c r="V2874" t="s">
        <v>28</v>
      </c>
      <c r="W2874">
        <v>24</v>
      </c>
      <c r="X2874">
        <v>100</v>
      </c>
      <c r="Y2874">
        <v>0</v>
      </c>
      <c r="AA2874" s="6"/>
      <c r="AB2874" s="6"/>
    </row>
    <row r="2875" spans="1:28" x14ac:dyDescent="0.2">
      <c r="A2875" t="s">
        <v>383</v>
      </c>
      <c r="B2875">
        <v>2013</v>
      </c>
      <c r="C2875" t="s">
        <v>807</v>
      </c>
      <c r="D2875" t="s">
        <v>825</v>
      </c>
      <c r="E2875" t="s">
        <v>35</v>
      </c>
      <c r="F2875" t="s">
        <v>353</v>
      </c>
      <c r="G2875">
        <v>34.216667000000001</v>
      </c>
      <c r="H2875">
        <v>135.61666700000001</v>
      </c>
      <c r="I2875" t="s">
        <v>761</v>
      </c>
      <c r="J2875" s="2" t="s">
        <v>14</v>
      </c>
      <c r="K2875" t="s">
        <v>385</v>
      </c>
      <c r="L2875" t="s">
        <v>143</v>
      </c>
      <c r="M2875" t="s">
        <v>12</v>
      </c>
      <c r="N2875" t="s">
        <v>85</v>
      </c>
      <c r="O2875" s="6" t="s">
        <v>12</v>
      </c>
      <c r="P2875" t="s">
        <v>70</v>
      </c>
      <c r="Q2875">
        <v>5</v>
      </c>
      <c r="R2875" t="s">
        <v>214</v>
      </c>
      <c r="S2875" s="2" t="s">
        <v>15</v>
      </c>
      <c r="T2875">
        <v>3</v>
      </c>
      <c r="U2875" t="s">
        <v>28</v>
      </c>
      <c r="V2875" t="s">
        <v>28</v>
      </c>
      <c r="W2875">
        <v>24</v>
      </c>
      <c r="X2875">
        <v>100</v>
      </c>
      <c r="Y2875">
        <v>0</v>
      </c>
      <c r="AA2875" s="6"/>
      <c r="AB2875" s="6"/>
    </row>
    <row r="2876" spans="1:28" x14ac:dyDescent="0.2">
      <c r="A2876" t="s">
        <v>383</v>
      </c>
      <c r="B2876">
        <v>2013</v>
      </c>
      <c r="C2876" t="s">
        <v>807</v>
      </c>
      <c r="D2876" t="s">
        <v>825</v>
      </c>
      <c r="E2876" t="s">
        <v>35</v>
      </c>
      <c r="F2876" t="s">
        <v>353</v>
      </c>
      <c r="G2876">
        <v>34.216667000000001</v>
      </c>
      <c r="H2876">
        <v>135.61666700000001</v>
      </c>
      <c r="I2876" t="s">
        <v>761</v>
      </c>
      <c r="J2876" s="2" t="s">
        <v>14</v>
      </c>
      <c r="K2876" t="s">
        <v>385</v>
      </c>
      <c r="L2876" t="s">
        <v>143</v>
      </c>
      <c r="M2876" t="s">
        <v>12</v>
      </c>
      <c r="N2876" t="s">
        <v>85</v>
      </c>
      <c r="O2876" s="6" t="s">
        <v>12</v>
      </c>
      <c r="P2876" t="s">
        <v>70</v>
      </c>
      <c r="Q2876">
        <v>6</v>
      </c>
      <c r="R2876" t="s">
        <v>214</v>
      </c>
      <c r="S2876" s="2" t="s">
        <v>15</v>
      </c>
      <c r="T2876">
        <v>3</v>
      </c>
      <c r="U2876" t="s">
        <v>28</v>
      </c>
      <c r="V2876" t="s">
        <v>28</v>
      </c>
      <c r="W2876">
        <v>24</v>
      </c>
      <c r="X2876">
        <v>100</v>
      </c>
      <c r="Y2876">
        <v>0</v>
      </c>
      <c r="AA2876" s="6"/>
      <c r="AB2876" s="6"/>
    </row>
    <row r="2877" spans="1:28" x14ac:dyDescent="0.2">
      <c r="A2877" t="s">
        <v>383</v>
      </c>
      <c r="B2877">
        <v>2013</v>
      </c>
      <c r="C2877" t="s">
        <v>807</v>
      </c>
      <c r="D2877" t="s">
        <v>825</v>
      </c>
      <c r="E2877" t="s">
        <v>35</v>
      </c>
      <c r="F2877" t="s">
        <v>353</v>
      </c>
      <c r="G2877">
        <v>34.216667000000001</v>
      </c>
      <c r="H2877">
        <v>135.61666700000001</v>
      </c>
      <c r="I2877" t="s">
        <v>761</v>
      </c>
      <c r="J2877" s="2" t="s">
        <v>14</v>
      </c>
      <c r="K2877" t="s">
        <v>385</v>
      </c>
      <c r="L2877" t="s">
        <v>143</v>
      </c>
      <c r="M2877" t="s">
        <v>12</v>
      </c>
      <c r="N2877" t="s">
        <v>85</v>
      </c>
      <c r="O2877" s="6" t="s">
        <v>12</v>
      </c>
      <c r="P2877" t="s">
        <v>70</v>
      </c>
      <c r="Q2877">
        <v>7</v>
      </c>
      <c r="R2877" t="s">
        <v>214</v>
      </c>
      <c r="S2877" s="2" t="s">
        <v>15</v>
      </c>
      <c r="T2877">
        <v>3</v>
      </c>
      <c r="U2877" t="s">
        <v>28</v>
      </c>
      <c r="V2877" t="s">
        <v>28</v>
      </c>
      <c r="W2877">
        <v>24</v>
      </c>
      <c r="X2877">
        <v>100</v>
      </c>
      <c r="Y2877">
        <v>0</v>
      </c>
      <c r="AA2877" s="6"/>
      <c r="AB2877" s="6"/>
    </row>
    <row r="2878" spans="1:28" x14ac:dyDescent="0.2">
      <c r="A2878" t="s">
        <v>383</v>
      </c>
      <c r="B2878">
        <v>2013</v>
      </c>
      <c r="C2878" t="s">
        <v>807</v>
      </c>
      <c r="D2878" t="s">
        <v>825</v>
      </c>
      <c r="E2878" t="s">
        <v>35</v>
      </c>
      <c r="F2878" t="s">
        <v>353</v>
      </c>
      <c r="G2878">
        <v>34.216667000000001</v>
      </c>
      <c r="H2878">
        <v>135.61666700000001</v>
      </c>
      <c r="I2878" t="s">
        <v>761</v>
      </c>
      <c r="J2878" s="2" t="s">
        <v>14</v>
      </c>
      <c r="K2878" t="s">
        <v>385</v>
      </c>
      <c r="L2878" t="s">
        <v>143</v>
      </c>
      <c r="M2878" t="s">
        <v>12</v>
      </c>
      <c r="N2878" t="s">
        <v>85</v>
      </c>
      <c r="O2878" s="6" t="s">
        <v>12</v>
      </c>
      <c r="P2878" t="s">
        <v>70</v>
      </c>
      <c r="Q2878">
        <v>8</v>
      </c>
      <c r="R2878" t="s">
        <v>214</v>
      </c>
      <c r="S2878" s="2" t="s">
        <v>15</v>
      </c>
      <c r="T2878">
        <v>3</v>
      </c>
      <c r="U2878" t="s">
        <v>28</v>
      </c>
      <c r="V2878" t="s">
        <v>28</v>
      </c>
      <c r="W2878">
        <v>24</v>
      </c>
      <c r="X2878">
        <v>100</v>
      </c>
      <c r="Y2878">
        <v>0</v>
      </c>
      <c r="AA2878" s="6"/>
      <c r="AB2878" s="6"/>
    </row>
    <row r="2879" spans="1:28" x14ac:dyDescent="0.2">
      <c r="A2879" t="s">
        <v>383</v>
      </c>
      <c r="B2879">
        <v>2013</v>
      </c>
      <c r="C2879" t="s">
        <v>807</v>
      </c>
      <c r="D2879" t="s">
        <v>825</v>
      </c>
      <c r="E2879" t="s">
        <v>35</v>
      </c>
      <c r="F2879" t="s">
        <v>353</v>
      </c>
      <c r="G2879">
        <v>34.216667000000001</v>
      </c>
      <c r="H2879">
        <v>135.61666700000001</v>
      </c>
      <c r="I2879" t="s">
        <v>761</v>
      </c>
      <c r="J2879" s="2" t="s">
        <v>14</v>
      </c>
      <c r="K2879" t="s">
        <v>385</v>
      </c>
      <c r="L2879" t="s">
        <v>143</v>
      </c>
      <c r="M2879" t="s">
        <v>12</v>
      </c>
      <c r="N2879" t="s">
        <v>85</v>
      </c>
      <c r="O2879" s="6" t="s">
        <v>12</v>
      </c>
      <c r="P2879" t="s">
        <v>70</v>
      </c>
      <c r="Q2879">
        <v>9</v>
      </c>
      <c r="R2879" t="s">
        <v>214</v>
      </c>
      <c r="S2879" s="2" t="s">
        <v>15</v>
      </c>
      <c r="T2879">
        <v>3</v>
      </c>
      <c r="U2879" t="s">
        <v>28</v>
      </c>
      <c r="V2879" t="s">
        <v>28</v>
      </c>
      <c r="W2879">
        <v>24</v>
      </c>
      <c r="X2879">
        <v>100</v>
      </c>
      <c r="Y2879">
        <v>0</v>
      </c>
      <c r="AA2879" s="6"/>
      <c r="AB2879" s="6"/>
    </row>
    <row r="2880" spans="1:28" x14ac:dyDescent="0.2">
      <c r="A2880" t="s">
        <v>383</v>
      </c>
      <c r="B2880">
        <v>2013</v>
      </c>
      <c r="C2880" t="s">
        <v>807</v>
      </c>
      <c r="D2880" t="s">
        <v>825</v>
      </c>
      <c r="E2880" t="s">
        <v>35</v>
      </c>
      <c r="F2880" t="s">
        <v>353</v>
      </c>
      <c r="G2880">
        <v>34.216667000000001</v>
      </c>
      <c r="H2880">
        <v>135.61666700000001</v>
      </c>
      <c r="I2880" t="s">
        <v>761</v>
      </c>
      <c r="J2880" s="2" t="s">
        <v>14</v>
      </c>
      <c r="K2880" t="s">
        <v>385</v>
      </c>
      <c r="L2880" t="s">
        <v>143</v>
      </c>
      <c r="M2880" t="s">
        <v>12</v>
      </c>
      <c r="N2880" t="s">
        <v>85</v>
      </c>
      <c r="O2880" s="6" t="s">
        <v>12</v>
      </c>
      <c r="P2880" t="s">
        <v>70</v>
      </c>
      <c r="Q2880">
        <v>10</v>
      </c>
      <c r="R2880" t="s">
        <v>214</v>
      </c>
      <c r="S2880" s="2" t="s">
        <v>15</v>
      </c>
      <c r="T2880">
        <v>3</v>
      </c>
      <c r="U2880" t="s">
        <v>28</v>
      </c>
      <c r="V2880" t="s">
        <v>28</v>
      </c>
      <c r="W2880">
        <v>24</v>
      </c>
      <c r="X2880">
        <v>100</v>
      </c>
      <c r="Y2880">
        <v>0</v>
      </c>
      <c r="AA2880" s="6"/>
      <c r="AB2880" s="6"/>
    </row>
    <row r="2881" spans="1:28" x14ac:dyDescent="0.2">
      <c r="A2881" t="s">
        <v>383</v>
      </c>
      <c r="B2881">
        <v>2013</v>
      </c>
      <c r="C2881" t="s">
        <v>807</v>
      </c>
      <c r="D2881" t="s">
        <v>825</v>
      </c>
      <c r="E2881" t="s">
        <v>35</v>
      </c>
      <c r="F2881" t="s">
        <v>353</v>
      </c>
      <c r="G2881">
        <v>34.216667000000001</v>
      </c>
      <c r="H2881">
        <v>135.61666700000001</v>
      </c>
      <c r="I2881" t="s">
        <v>761</v>
      </c>
      <c r="J2881" s="2" t="s">
        <v>14</v>
      </c>
      <c r="K2881" t="s">
        <v>385</v>
      </c>
      <c r="L2881" t="s">
        <v>143</v>
      </c>
      <c r="M2881" t="s">
        <v>12</v>
      </c>
      <c r="N2881" t="s">
        <v>85</v>
      </c>
      <c r="O2881" s="6" t="s">
        <v>12</v>
      </c>
      <c r="P2881" t="s">
        <v>70</v>
      </c>
      <c r="Q2881">
        <v>11</v>
      </c>
      <c r="R2881" t="s">
        <v>214</v>
      </c>
      <c r="S2881" s="2" t="s">
        <v>15</v>
      </c>
      <c r="T2881">
        <v>3</v>
      </c>
      <c r="U2881" t="s">
        <v>28</v>
      </c>
      <c r="V2881" t="s">
        <v>28</v>
      </c>
      <c r="W2881">
        <v>24</v>
      </c>
      <c r="X2881">
        <v>100</v>
      </c>
      <c r="Y2881">
        <v>0</v>
      </c>
      <c r="AA2881" s="6"/>
      <c r="AB2881" s="6"/>
    </row>
    <row r="2882" spans="1:28" x14ac:dyDescent="0.2">
      <c r="A2882" t="s">
        <v>383</v>
      </c>
      <c r="B2882">
        <v>2013</v>
      </c>
      <c r="C2882" t="s">
        <v>807</v>
      </c>
      <c r="D2882" t="s">
        <v>825</v>
      </c>
      <c r="E2882" t="s">
        <v>35</v>
      </c>
      <c r="F2882" t="s">
        <v>353</v>
      </c>
      <c r="G2882">
        <v>34.216667000000001</v>
      </c>
      <c r="H2882">
        <v>135.61666700000001</v>
      </c>
      <c r="I2882" t="s">
        <v>761</v>
      </c>
      <c r="J2882" s="2" t="s">
        <v>14</v>
      </c>
      <c r="K2882" t="s">
        <v>385</v>
      </c>
      <c r="L2882" t="s">
        <v>143</v>
      </c>
      <c r="M2882" t="s">
        <v>12</v>
      </c>
      <c r="N2882" t="s">
        <v>85</v>
      </c>
      <c r="O2882" s="6" t="s">
        <v>12</v>
      </c>
      <c r="P2882" t="s">
        <v>70</v>
      </c>
      <c r="Q2882">
        <v>12</v>
      </c>
      <c r="R2882" t="s">
        <v>213</v>
      </c>
      <c r="S2882" s="2" t="s">
        <v>15</v>
      </c>
      <c r="T2882">
        <v>3</v>
      </c>
      <c r="U2882" t="s">
        <v>28</v>
      </c>
      <c r="V2882" t="s">
        <v>28</v>
      </c>
      <c r="W2882">
        <v>24</v>
      </c>
      <c r="X2882">
        <v>100</v>
      </c>
      <c r="Y2882">
        <v>0</v>
      </c>
      <c r="AA2882" s="6"/>
      <c r="AB2882" s="6"/>
    </row>
    <row r="2883" spans="1:28" x14ac:dyDescent="0.2">
      <c r="A2883" t="s">
        <v>383</v>
      </c>
      <c r="B2883">
        <v>2013</v>
      </c>
      <c r="C2883" t="s">
        <v>807</v>
      </c>
      <c r="D2883" t="s">
        <v>825</v>
      </c>
      <c r="E2883" t="s">
        <v>35</v>
      </c>
      <c r="F2883" t="s">
        <v>384</v>
      </c>
      <c r="G2883">
        <v>39.083333000000003</v>
      </c>
      <c r="H2883">
        <v>142.85</v>
      </c>
      <c r="I2883" t="s">
        <v>761</v>
      </c>
      <c r="J2883" s="2" t="s">
        <v>7</v>
      </c>
      <c r="K2883" t="s">
        <v>385</v>
      </c>
      <c r="L2883" t="s">
        <v>143</v>
      </c>
      <c r="M2883" t="s">
        <v>638</v>
      </c>
      <c r="N2883" t="s">
        <v>85</v>
      </c>
      <c r="O2883" s="6" t="s">
        <v>107</v>
      </c>
      <c r="P2883" t="s">
        <v>108</v>
      </c>
      <c r="Q2883">
        <v>12</v>
      </c>
      <c r="R2883" t="s">
        <v>213</v>
      </c>
      <c r="S2883" s="2" t="s">
        <v>7</v>
      </c>
      <c r="T2883">
        <v>8</v>
      </c>
      <c r="U2883" t="s">
        <v>28</v>
      </c>
      <c r="V2883" t="s">
        <v>28</v>
      </c>
      <c r="W2883">
        <v>16</v>
      </c>
      <c r="X2883">
        <v>3.1469999999999998E-2</v>
      </c>
      <c r="Y2883">
        <f>0.0332-X2883</f>
        <v>1.7300000000000024E-3</v>
      </c>
      <c r="AA2883" s="6"/>
      <c r="AB2883" s="6"/>
    </row>
    <row r="2884" spans="1:28" x14ac:dyDescent="0.2">
      <c r="A2884" t="s">
        <v>383</v>
      </c>
      <c r="B2884">
        <v>2013</v>
      </c>
      <c r="C2884" t="s">
        <v>807</v>
      </c>
      <c r="D2884" t="s">
        <v>825</v>
      </c>
      <c r="E2884" t="s">
        <v>35</v>
      </c>
      <c r="F2884" t="s">
        <v>352</v>
      </c>
      <c r="G2884">
        <v>38.533332999999999</v>
      </c>
      <c r="H2884">
        <v>141.51666700000001</v>
      </c>
      <c r="I2884" t="s">
        <v>761</v>
      </c>
      <c r="J2884" s="2" t="s">
        <v>7</v>
      </c>
      <c r="K2884" t="s">
        <v>385</v>
      </c>
      <c r="L2884" t="s">
        <v>143</v>
      </c>
      <c r="M2884" t="s">
        <v>638</v>
      </c>
      <c r="N2884" t="s">
        <v>85</v>
      </c>
      <c r="O2884" s="6" t="s">
        <v>107</v>
      </c>
      <c r="P2884" t="s">
        <v>108</v>
      </c>
      <c r="Q2884">
        <v>12</v>
      </c>
      <c r="R2884" t="s">
        <v>213</v>
      </c>
      <c r="S2884" s="2" t="s">
        <v>7</v>
      </c>
      <c r="T2884">
        <v>8</v>
      </c>
      <c r="U2884" t="s">
        <v>28</v>
      </c>
      <c r="V2884" t="s">
        <v>28</v>
      </c>
      <c r="W2884">
        <v>16</v>
      </c>
      <c r="X2884">
        <v>3.0839999999999999E-2</v>
      </c>
      <c r="Y2884">
        <f>0.03658-X2884</f>
        <v>5.740000000000002E-3</v>
      </c>
      <c r="AA2884" s="6"/>
      <c r="AB2884" s="6"/>
    </row>
    <row r="2885" spans="1:28" x14ac:dyDescent="0.2">
      <c r="A2885" t="s">
        <v>383</v>
      </c>
      <c r="B2885">
        <v>2013</v>
      </c>
      <c r="C2885" t="s">
        <v>807</v>
      </c>
      <c r="D2885" t="s">
        <v>825</v>
      </c>
      <c r="E2885" t="s">
        <v>35</v>
      </c>
      <c r="F2885" t="s">
        <v>353</v>
      </c>
      <c r="G2885">
        <v>34.216667000000001</v>
      </c>
      <c r="H2885">
        <v>135.61666700000001</v>
      </c>
      <c r="I2885" t="s">
        <v>761</v>
      </c>
      <c r="J2885" s="2" t="s">
        <v>7</v>
      </c>
      <c r="K2885" t="s">
        <v>385</v>
      </c>
      <c r="L2885" t="s">
        <v>143</v>
      </c>
      <c r="M2885" t="s">
        <v>638</v>
      </c>
      <c r="N2885" t="s">
        <v>85</v>
      </c>
      <c r="O2885" s="6" t="s">
        <v>107</v>
      </c>
      <c r="P2885" t="s">
        <v>108</v>
      </c>
      <c r="Q2885">
        <v>12</v>
      </c>
      <c r="R2885" t="s">
        <v>213</v>
      </c>
      <c r="S2885" s="2" t="s">
        <v>7</v>
      </c>
      <c r="T2885">
        <v>8</v>
      </c>
      <c r="U2885" t="s">
        <v>28</v>
      </c>
      <c r="V2885" t="s">
        <v>28</v>
      </c>
      <c r="W2885">
        <v>16</v>
      </c>
      <c r="X2885">
        <v>3.6170000000000001E-2</v>
      </c>
      <c r="Y2885">
        <f>0.03942-X2885</f>
        <v>3.2499999999999959E-3</v>
      </c>
      <c r="AA2885" s="6"/>
      <c r="AB2885" s="6"/>
    </row>
    <row r="2886" spans="1:28" x14ac:dyDescent="0.2">
      <c r="A2886" t="s">
        <v>383</v>
      </c>
      <c r="B2886">
        <v>2013</v>
      </c>
      <c r="C2886" t="s">
        <v>807</v>
      </c>
      <c r="D2886" t="s">
        <v>825</v>
      </c>
      <c r="E2886" t="s">
        <v>35</v>
      </c>
      <c r="F2886" t="s">
        <v>384</v>
      </c>
      <c r="G2886">
        <v>39.083333000000003</v>
      </c>
      <c r="H2886">
        <v>142.85</v>
      </c>
      <c r="I2886" t="s">
        <v>761</v>
      </c>
      <c r="J2886" s="2" t="s">
        <v>14</v>
      </c>
      <c r="K2886" t="s">
        <v>385</v>
      </c>
      <c r="L2886" t="s">
        <v>143</v>
      </c>
      <c r="M2886" t="s">
        <v>638</v>
      </c>
      <c r="N2886" t="s">
        <v>85</v>
      </c>
      <c r="O2886" s="6" t="s">
        <v>107</v>
      </c>
      <c r="P2886" t="s">
        <v>108</v>
      </c>
      <c r="Q2886">
        <v>12</v>
      </c>
      <c r="R2886" t="s">
        <v>213</v>
      </c>
      <c r="S2886" s="2" t="s">
        <v>9</v>
      </c>
      <c r="T2886">
        <v>8</v>
      </c>
      <c r="U2886" t="s">
        <v>28</v>
      </c>
      <c r="V2886" t="s">
        <v>28</v>
      </c>
      <c r="W2886">
        <v>18</v>
      </c>
      <c r="X2886">
        <v>2.9669999999999998E-2</v>
      </c>
      <c r="Y2886">
        <f>0.0343-X2886</f>
        <v>4.6299999999999987E-3</v>
      </c>
      <c r="AA2886" s="6"/>
      <c r="AB2886" s="6"/>
    </row>
    <row r="2887" spans="1:28" x14ac:dyDescent="0.2">
      <c r="A2887" t="s">
        <v>383</v>
      </c>
      <c r="B2887">
        <v>2013</v>
      </c>
      <c r="C2887" t="s">
        <v>807</v>
      </c>
      <c r="D2887" t="s">
        <v>825</v>
      </c>
      <c r="E2887" t="s">
        <v>35</v>
      </c>
      <c r="F2887" t="s">
        <v>352</v>
      </c>
      <c r="G2887">
        <v>38.533332999999999</v>
      </c>
      <c r="H2887">
        <v>141.51666700000001</v>
      </c>
      <c r="I2887" t="s">
        <v>761</v>
      </c>
      <c r="J2887" s="2" t="s">
        <v>14</v>
      </c>
      <c r="K2887" t="s">
        <v>385</v>
      </c>
      <c r="L2887" t="s">
        <v>143</v>
      </c>
      <c r="M2887" t="s">
        <v>638</v>
      </c>
      <c r="N2887" t="s">
        <v>85</v>
      </c>
      <c r="O2887" s="6" t="s">
        <v>107</v>
      </c>
      <c r="P2887" t="s">
        <v>108</v>
      </c>
      <c r="Q2887">
        <v>12</v>
      </c>
      <c r="R2887" t="s">
        <v>213</v>
      </c>
      <c r="S2887" s="2" t="s">
        <v>9</v>
      </c>
      <c r="T2887">
        <v>8</v>
      </c>
      <c r="U2887" t="s">
        <v>28</v>
      </c>
      <c r="V2887" t="s">
        <v>28</v>
      </c>
      <c r="W2887">
        <v>18</v>
      </c>
      <c r="X2887">
        <v>2.9049999999999999E-2</v>
      </c>
      <c r="Y2887">
        <f>0.0334-X2887</f>
        <v>4.3499999999999997E-3</v>
      </c>
      <c r="AA2887" s="6"/>
      <c r="AB2887" s="6"/>
    </row>
    <row r="2888" spans="1:28" x14ac:dyDescent="0.2">
      <c r="A2888" t="s">
        <v>383</v>
      </c>
      <c r="B2888">
        <v>2013</v>
      </c>
      <c r="C2888" t="s">
        <v>807</v>
      </c>
      <c r="D2888" t="s">
        <v>825</v>
      </c>
      <c r="E2888" t="s">
        <v>35</v>
      </c>
      <c r="F2888" t="s">
        <v>353</v>
      </c>
      <c r="G2888">
        <v>34.216667000000001</v>
      </c>
      <c r="H2888">
        <v>135.61666700000001</v>
      </c>
      <c r="I2888" t="s">
        <v>761</v>
      </c>
      <c r="J2888" s="2" t="s">
        <v>14</v>
      </c>
      <c r="K2888" t="s">
        <v>385</v>
      </c>
      <c r="L2888" t="s">
        <v>143</v>
      </c>
      <c r="M2888" t="s">
        <v>638</v>
      </c>
      <c r="N2888" t="s">
        <v>85</v>
      </c>
      <c r="O2888" s="6" t="s">
        <v>107</v>
      </c>
      <c r="P2888" t="s">
        <v>108</v>
      </c>
      <c r="Q2888">
        <v>12</v>
      </c>
      <c r="R2888" t="s">
        <v>213</v>
      </c>
      <c r="S2888" s="2" t="s">
        <v>9</v>
      </c>
      <c r="T2888">
        <v>8</v>
      </c>
      <c r="U2888" t="s">
        <v>28</v>
      </c>
      <c r="V2888" t="s">
        <v>28</v>
      </c>
      <c r="W2888">
        <v>18</v>
      </c>
      <c r="X2888">
        <v>3.7969999999999997E-2</v>
      </c>
      <c r="Y2888">
        <f>0.04053-X2888</f>
        <v>2.5599999999999998E-3</v>
      </c>
      <c r="AA2888" s="6"/>
      <c r="AB2888" s="6"/>
    </row>
    <row r="2889" spans="1:28" x14ac:dyDescent="0.2">
      <c r="A2889" t="s">
        <v>383</v>
      </c>
      <c r="B2889">
        <v>2013</v>
      </c>
      <c r="C2889" t="s">
        <v>807</v>
      </c>
      <c r="D2889" t="s">
        <v>825</v>
      </c>
      <c r="E2889" t="s">
        <v>35</v>
      </c>
      <c r="F2889" t="s">
        <v>384</v>
      </c>
      <c r="G2889">
        <v>39.083333000000003</v>
      </c>
      <c r="H2889">
        <v>142.85</v>
      </c>
      <c r="I2889" t="s">
        <v>761</v>
      </c>
      <c r="J2889" s="2" t="s">
        <v>14</v>
      </c>
      <c r="K2889" t="s">
        <v>385</v>
      </c>
      <c r="L2889" t="s">
        <v>143</v>
      </c>
      <c r="M2889" t="s">
        <v>638</v>
      </c>
      <c r="N2889" t="s">
        <v>85</v>
      </c>
      <c r="O2889" s="6" t="s">
        <v>107</v>
      </c>
      <c r="P2889" t="s">
        <v>108</v>
      </c>
      <c r="Q2889">
        <v>12</v>
      </c>
      <c r="R2889" t="s">
        <v>213</v>
      </c>
      <c r="S2889" s="2" t="s">
        <v>27</v>
      </c>
      <c r="T2889">
        <v>8</v>
      </c>
      <c r="U2889" t="s">
        <v>28</v>
      </c>
      <c r="V2889" t="s">
        <v>28</v>
      </c>
      <c r="W2889">
        <v>20</v>
      </c>
      <c r="X2889">
        <v>2.988E-2</v>
      </c>
      <c r="Y2889">
        <f>0.03264-X2889</f>
        <v>2.760000000000002E-3</v>
      </c>
      <c r="AA2889" s="6"/>
      <c r="AB2889" s="6"/>
    </row>
    <row r="2890" spans="1:28" x14ac:dyDescent="0.2">
      <c r="A2890" t="s">
        <v>383</v>
      </c>
      <c r="B2890">
        <v>2013</v>
      </c>
      <c r="C2890" t="s">
        <v>807</v>
      </c>
      <c r="D2890" t="s">
        <v>825</v>
      </c>
      <c r="E2890" t="s">
        <v>35</v>
      </c>
      <c r="F2890" t="s">
        <v>352</v>
      </c>
      <c r="G2890">
        <v>38.533332999999999</v>
      </c>
      <c r="H2890">
        <v>141.51666700000001</v>
      </c>
      <c r="I2890" t="s">
        <v>761</v>
      </c>
      <c r="J2890" s="2" t="s">
        <v>14</v>
      </c>
      <c r="K2890" t="s">
        <v>385</v>
      </c>
      <c r="L2890" t="s">
        <v>143</v>
      </c>
      <c r="M2890" t="s">
        <v>638</v>
      </c>
      <c r="N2890" t="s">
        <v>85</v>
      </c>
      <c r="O2890" s="6" t="s">
        <v>107</v>
      </c>
      <c r="P2890" t="s">
        <v>108</v>
      </c>
      <c r="Q2890">
        <v>12</v>
      </c>
      <c r="R2890" t="s">
        <v>213</v>
      </c>
      <c r="S2890" s="2" t="s">
        <v>27</v>
      </c>
      <c r="T2890">
        <v>8</v>
      </c>
      <c r="U2890" t="s">
        <v>28</v>
      </c>
      <c r="V2890" t="s">
        <v>28</v>
      </c>
      <c r="W2890">
        <v>20</v>
      </c>
      <c r="X2890">
        <v>2.946E-2</v>
      </c>
      <c r="Y2890">
        <f>0.0316-X2890</f>
        <v>2.140000000000003E-3</v>
      </c>
      <c r="AA2890" s="6"/>
      <c r="AB2890" s="6"/>
    </row>
    <row r="2891" spans="1:28" x14ac:dyDescent="0.2">
      <c r="A2891" t="s">
        <v>383</v>
      </c>
      <c r="B2891">
        <v>2013</v>
      </c>
      <c r="C2891" t="s">
        <v>807</v>
      </c>
      <c r="D2891" t="s">
        <v>825</v>
      </c>
      <c r="E2891" t="s">
        <v>35</v>
      </c>
      <c r="F2891" t="s">
        <v>353</v>
      </c>
      <c r="G2891">
        <v>34.216667000000001</v>
      </c>
      <c r="H2891">
        <v>135.61666700000001</v>
      </c>
      <c r="I2891" t="s">
        <v>761</v>
      </c>
      <c r="J2891" s="2" t="s">
        <v>14</v>
      </c>
      <c r="K2891" t="s">
        <v>385</v>
      </c>
      <c r="L2891" t="s">
        <v>143</v>
      </c>
      <c r="M2891" t="s">
        <v>638</v>
      </c>
      <c r="N2891" t="s">
        <v>85</v>
      </c>
      <c r="O2891" s="6" t="s">
        <v>107</v>
      </c>
      <c r="P2891" t="s">
        <v>108</v>
      </c>
      <c r="Q2891">
        <v>12</v>
      </c>
      <c r="R2891" t="s">
        <v>213</v>
      </c>
      <c r="S2891" s="2" t="s">
        <v>27</v>
      </c>
      <c r="T2891">
        <v>8</v>
      </c>
      <c r="U2891" t="s">
        <v>28</v>
      </c>
      <c r="V2891" t="s">
        <v>28</v>
      </c>
      <c r="W2891">
        <v>20</v>
      </c>
      <c r="X2891">
        <v>3.8170000000000003E-2</v>
      </c>
      <c r="Y2891">
        <f>0.04032-X2891</f>
        <v>2.1499999999999991E-3</v>
      </c>
      <c r="AA2891" s="6"/>
      <c r="AB2891" s="6"/>
    </row>
    <row r="2892" spans="1:28" x14ac:dyDescent="0.2">
      <c r="A2892" t="s">
        <v>383</v>
      </c>
      <c r="B2892">
        <v>2013</v>
      </c>
      <c r="C2892" t="s">
        <v>807</v>
      </c>
      <c r="D2892" t="s">
        <v>825</v>
      </c>
      <c r="E2892" t="s">
        <v>35</v>
      </c>
      <c r="F2892" t="s">
        <v>384</v>
      </c>
      <c r="G2892">
        <v>39.083333000000003</v>
      </c>
      <c r="H2892">
        <v>142.85</v>
      </c>
      <c r="I2892" t="s">
        <v>761</v>
      </c>
      <c r="J2892" s="2" t="s">
        <v>14</v>
      </c>
      <c r="K2892" t="s">
        <v>385</v>
      </c>
      <c r="L2892" t="s">
        <v>143</v>
      </c>
      <c r="M2892" t="s">
        <v>638</v>
      </c>
      <c r="N2892" t="s">
        <v>85</v>
      </c>
      <c r="O2892" s="6" t="s">
        <v>107</v>
      </c>
      <c r="P2892" t="s">
        <v>108</v>
      </c>
      <c r="Q2892">
        <v>12</v>
      </c>
      <c r="R2892" t="s">
        <v>213</v>
      </c>
      <c r="S2892" s="2" t="s">
        <v>13</v>
      </c>
      <c r="T2892">
        <v>8</v>
      </c>
      <c r="U2892" t="s">
        <v>28</v>
      </c>
      <c r="V2892" t="s">
        <v>28</v>
      </c>
      <c r="W2892">
        <v>22</v>
      </c>
      <c r="X2892">
        <v>2.946E-2</v>
      </c>
      <c r="Y2892">
        <f>0.0305-X2892</f>
        <v>1.0399999999999993E-3</v>
      </c>
      <c r="AA2892" s="6"/>
      <c r="AB2892" s="6"/>
    </row>
    <row r="2893" spans="1:28" x14ac:dyDescent="0.2">
      <c r="A2893" t="s">
        <v>383</v>
      </c>
      <c r="B2893">
        <v>2013</v>
      </c>
      <c r="C2893" t="s">
        <v>807</v>
      </c>
      <c r="D2893" t="s">
        <v>825</v>
      </c>
      <c r="E2893" t="s">
        <v>35</v>
      </c>
      <c r="F2893" t="s">
        <v>352</v>
      </c>
      <c r="G2893">
        <v>38.533332999999999</v>
      </c>
      <c r="H2893">
        <v>141.51666700000001</v>
      </c>
      <c r="I2893" t="s">
        <v>761</v>
      </c>
      <c r="J2893" s="2" t="s">
        <v>14</v>
      </c>
      <c r="K2893" t="s">
        <v>385</v>
      </c>
      <c r="L2893" t="s">
        <v>143</v>
      </c>
      <c r="M2893" t="s">
        <v>638</v>
      </c>
      <c r="N2893" t="s">
        <v>85</v>
      </c>
      <c r="O2893" s="6" t="s">
        <v>107</v>
      </c>
      <c r="P2893" t="s">
        <v>108</v>
      </c>
      <c r="Q2893">
        <v>12</v>
      </c>
      <c r="R2893" t="s">
        <v>213</v>
      </c>
      <c r="S2893" s="2" t="s">
        <v>13</v>
      </c>
      <c r="T2893">
        <v>8</v>
      </c>
      <c r="U2893" t="s">
        <v>28</v>
      </c>
      <c r="V2893" t="s">
        <v>28</v>
      </c>
      <c r="W2893">
        <v>22</v>
      </c>
      <c r="X2893">
        <v>2.9180000000000001E-2</v>
      </c>
      <c r="Y2893">
        <f>0.03147-X2893</f>
        <v>2.2899999999999969E-3</v>
      </c>
      <c r="AA2893" s="6"/>
      <c r="AB2893" s="6"/>
    </row>
    <row r="2894" spans="1:28" x14ac:dyDescent="0.2">
      <c r="A2894" t="s">
        <v>383</v>
      </c>
      <c r="B2894">
        <v>2013</v>
      </c>
      <c r="C2894" t="s">
        <v>807</v>
      </c>
      <c r="D2894" t="s">
        <v>825</v>
      </c>
      <c r="E2894" t="s">
        <v>35</v>
      </c>
      <c r="F2894" t="s">
        <v>353</v>
      </c>
      <c r="G2894">
        <v>34.216667000000001</v>
      </c>
      <c r="H2894">
        <v>135.61666700000001</v>
      </c>
      <c r="I2894" t="s">
        <v>761</v>
      </c>
      <c r="J2894" s="2" t="s">
        <v>14</v>
      </c>
      <c r="K2894" t="s">
        <v>385</v>
      </c>
      <c r="L2894" t="s">
        <v>143</v>
      </c>
      <c r="M2894" t="s">
        <v>638</v>
      </c>
      <c r="N2894" t="s">
        <v>85</v>
      </c>
      <c r="O2894" s="6" t="s">
        <v>107</v>
      </c>
      <c r="P2894" t="s">
        <v>108</v>
      </c>
      <c r="Q2894">
        <v>12</v>
      </c>
      <c r="R2894" t="s">
        <v>213</v>
      </c>
      <c r="S2894" s="2" t="s">
        <v>13</v>
      </c>
      <c r="T2894">
        <v>8</v>
      </c>
      <c r="U2894" t="s">
        <v>28</v>
      </c>
      <c r="V2894" t="s">
        <v>28</v>
      </c>
      <c r="W2894">
        <v>22</v>
      </c>
      <c r="X2894">
        <v>3.8039999999999997E-2</v>
      </c>
      <c r="Y2894">
        <f>0.03963-X2894</f>
        <v>1.5900000000000011E-3</v>
      </c>
      <c r="AA2894" s="6"/>
      <c r="AB2894" s="6"/>
    </row>
    <row r="2895" spans="1:28" x14ac:dyDescent="0.2">
      <c r="A2895" t="s">
        <v>383</v>
      </c>
      <c r="B2895">
        <v>2013</v>
      </c>
      <c r="C2895" t="s">
        <v>807</v>
      </c>
      <c r="D2895" t="s">
        <v>825</v>
      </c>
      <c r="E2895" t="s">
        <v>35</v>
      </c>
      <c r="F2895" t="s">
        <v>384</v>
      </c>
      <c r="G2895">
        <v>39.083333000000003</v>
      </c>
      <c r="H2895">
        <v>142.85</v>
      </c>
      <c r="I2895" t="s">
        <v>761</v>
      </c>
      <c r="J2895" s="2" t="s">
        <v>14</v>
      </c>
      <c r="K2895" t="s">
        <v>385</v>
      </c>
      <c r="L2895" t="s">
        <v>143</v>
      </c>
      <c r="M2895" t="s">
        <v>638</v>
      </c>
      <c r="N2895" t="s">
        <v>85</v>
      </c>
      <c r="O2895" s="6" t="s">
        <v>107</v>
      </c>
      <c r="P2895" t="s">
        <v>108</v>
      </c>
      <c r="Q2895">
        <v>12</v>
      </c>
      <c r="R2895" t="s">
        <v>213</v>
      </c>
      <c r="S2895" s="2" t="s">
        <v>15</v>
      </c>
      <c r="T2895">
        <v>8</v>
      </c>
      <c r="U2895" t="s">
        <v>28</v>
      </c>
      <c r="V2895" t="s">
        <v>28</v>
      </c>
      <c r="W2895">
        <v>24</v>
      </c>
      <c r="X2895">
        <v>2.981E-2</v>
      </c>
      <c r="Y2895">
        <f>0.03071-X2895</f>
        <v>9.0000000000000149E-4</v>
      </c>
      <c r="AA2895" s="6"/>
      <c r="AB2895" s="6"/>
    </row>
    <row r="2896" spans="1:28" x14ac:dyDescent="0.2">
      <c r="A2896" t="s">
        <v>383</v>
      </c>
      <c r="B2896">
        <v>2013</v>
      </c>
      <c r="C2896" t="s">
        <v>807</v>
      </c>
      <c r="D2896" t="s">
        <v>825</v>
      </c>
      <c r="E2896" t="s">
        <v>35</v>
      </c>
      <c r="F2896" t="s">
        <v>352</v>
      </c>
      <c r="G2896">
        <v>38.533332999999999</v>
      </c>
      <c r="H2896">
        <v>141.51666700000001</v>
      </c>
      <c r="I2896" t="s">
        <v>761</v>
      </c>
      <c r="J2896" s="2" t="s">
        <v>14</v>
      </c>
      <c r="K2896" t="s">
        <v>385</v>
      </c>
      <c r="L2896" t="s">
        <v>143</v>
      </c>
      <c r="M2896" t="s">
        <v>638</v>
      </c>
      <c r="N2896" t="s">
        <v>85</v>
      </c>
      <c r="O2896" s="6" t="s">
        <v>107</v>
      </c>
      <c r="P2896" t="s">
        <v>108</v>
      </c>
      <c r="Q2896">
        <v>12</v>
      </c>
      <c r="R2896" t="s">
        <v>213</v>
      </c>
      <c r="S2896" s="2" t="s">
        <v>15</v>
      </c>
      <c r="T2896">
        <v>8</v>
      </c>
      <c r="U2896" t="s">
        <v>28</v>
      </c>
      <c r="V2896" t="s">
        <v>28</v>
      </c>
      <c r="W2896">
        <v>24</v>
      </c>
      <c r="X2896">
        <v>2.8910000000000002E-2</v>
      </c>
      <c r="Y2896">
        <f>0.03306-X2896</f>
        <v>4.1499999999999974E-3</v>
      </c>
      <c r="AA2896" s="6"/>
      <c r="AB2896" s="6"/>
    </row>
    <row r="2897" spans="1:28" x14ac:dyDescent="0.2">
      <c r="A2897" t="s">
        <v>383</v>
      </c>
      <c r="B2897">
        <v>2013</v>
      </c>
      <c r="C2897" t="s">
        <v>807</v>
      </c>
      <c r="D2897" t="s">
        <v>825</v>
      </c>
      <c r="E2897" t="s">
        <v>35</v>
      </c>
      <c r="F2897" t="s">
        <v>353</v>
      </c>
      <c r="G2897">
        <v>34.216667000000001</v>
      </c>
      <c r="H2897">
        <v>135.61666700000001</v>
      </c>
      <c r="I2897" t="s">
        <v>761</v>
      </c>
      <c r="J2897" s="2" t="s">
        <v>14</v>
      </c>
      <c r="K2897" t="s">
        <v>385</v>
      </c>
      <c r="L2897" t="s">
        <v>143</v>
      </c>
      <c r="M2897" t="s">
        <v>638</v>
      </c>
      <c r="N2897" t="s">
        <v>85</v>
      </c>
      <c r="O2897" s="6" t="s">
        <v>107</v>
      </c>
      <c r="P2897" t="s">
        <v>108</v>
      </c>
      <c r="Q2897">
        <v>12</v>
      </c>
      <c r="R2897" t="s">
        <v>213</v>
      </c>
      <c r="S2897" s="2" t="s">
        <v>15</v>
      </c>
      <c r="T2897">
        <v>8</v>
      </c>
      <c r="U2897" t="s">
        <v>28</v>
      </c>
      <c r="V2897" t="s">
        <v>28</v>
      </c>
      <c r="W2897">
        <v>24</v>
      </c>
      <c r="X2897">
        <v>3.7969999999999997E-2</v>
      </c>
      <c r="Y2897">
        <f>0.03887-X2897</f>
        <v>9.0000000000000496E-4</v>
      </c>
      <c r="AA2897" s="6"/>
      <c r="AB2897" s="6"/>
    </row>
    <row r="2898" spans="1:28" x14ac:dyDescent="0.2">
      <c r="A2898" t="s">
        <v>383</v>
      </c>
      <c r="B2898">
        <v>2013</v>
      </c>
      <c r="C2898" t="s">
        <v>807</v>
      </c>
      <c r="D2898" t="s">
        <v>825</v>
      </c>
      <c r="E2898" t="s">
        <v>35</v>
      </c>
      <c r="F2898" t="s">
        <v>384</v>
      </c>
      <c r="G2898">
        <v>39.083333000000003</v>
      </c>
      <c r="H2898">
        <v>142.85</v>
      </c>
      <c r="I2898" t="s">
        <v>761</v>
      </c>
      <c r="J2898" s="2" t="s">
        <v>7</v>
      </c>
      <c r="K2898" t="s">
        <v>385</v>
      </c>
      <c r="L2898" t="s">
        <v>143</v>
      </c>
      <c r="M2898" t="s">
        <v>73</v>
      </c>
      <c r="N2898" t="s">
        <v>85</v>
      </c>
      <c r="O2898" s="6" t="s">
        <v>410</v>
      </c>
      <c r="P2898" t="s">
        <v>386</v>
      </c>
      <c r="Q2898">
        <f>0.5/24</f>
        <v>2.0833333333333332E-2</v>
      </c>
      <c r="R2898" t="s">
        <v>213</v>
      </c>
      <c r="S2898" s="2" t="s">
        <v>7</v>
      </c>
      <c r="T2898">
        <v>8</v>
      </c>
      <c r="U2898" t="s">
        <v>28</v>
      </c>
      <c r="V2898" t="s">
        <v>28</v>
      </c>
      <c r="W2898">
        <v>15</v>
      </c>
      <c r="X2898">
        <v>31.73</v>
      </c>
      <c r="Y2898">
        <f>48.04-X2898</f>
        <v>16.309999999999999</v>
      </c>
      <c r="AA2898" s="6"/>
      <c r="AB2898" s="6"/>
    </row>
    <row r="2899" spans="1:28" x14ac:dyDescent="0.2">
      <c r="A2899" t="s">
        <v>383</v>
      </c>
      <c r="B2899">
        <v>2013</v>
      </c>
      <c r="C2899" t="s">
        <v>807</v>
      </c>
      <c r="D2899" t="s">
        <v>825</v>
      </c>
      <c r="E2899" t="s">
        <v>35</v>
      </c>
      <c r="F2899" t="s">
        <v>384</v>
      </c>
      <c r="G2899">
        <v>39.083333000000003</v>
      </c>
      <c r="H2899">
        <v>142.85</v>
      </c>
      <c r="I2899" t="s">
        <v>761</v>
      </c>
      <c r="J2899" s="2" t="s">
        <v>14</v>
      </c>
      <c r="K2899" t="s">
        <v>385</v>
      </c>
      <c r="L2899" t="s">
        <v>143</v>
      </c>
      <c r="M2899" t="s">
        <v>73</v>
      </c>
      <c r="N2899" t="s">
        <v>85</v>
      </c>
      <c r="O2899" s="6" t="s">
        <v>410</v>
      </c>
      <c r="P2899" t="s">
        <v>386</v>
      </c>
      <c r="Q2899">
        <f t="shared" ref="Q2899:Q2927" si="55">0.5/24</f>
        <v>2.0833333333333332E-2</v>
      </c>
      <c r="R2899" t="s">
        <v>213</v>
      </c>
      <c r="S2899" s="2" t="s">
        <v>9</v>
      </c>
      <c r="T2899">
        <v>8</v>
      </c>
      <c r="U2899" t="s">
        <v>28</v>
      </c>
      <c r="V2899" t="s">
        <v>28</v>
      </c>
      <c r="W2899">
        <v>20</v>
      </c>
      <c r="X2899">
        <v>47.37</v>
      </c>
      <c r="Y2899">
        <f>68.83-X2899</f>
        <v>21.46</v>
      </c>
      <c r="AA2899" s="6"/>
      <c r="AB2899" s="6"/>
    </row>
    <row r="2900" spans="1:28" x14ac:dyDescent="0.2">
      <c r="A2900" t="s">
        <v>383</v>
      </c>
      <c r="B2900">
        <v>2013</v>
      </c>
      <c r="C2900" t="s">
        <v>807</v>
      </c>
      <c r="D2900" t="s">
        <v>825</v>
      </c>
      <c r="E2900" t="s">
        <v>35</v>
      </c>
      <c r="F2900" t="s">
        <v>384</v>
      </c>
      <c r="G2900">
        <v>39.083333000000003</v>
      </c>
      <c r="H2900">
        <v>142.85</v>
      </c>
      <c r="I2900" t="s">
        <v>761</v>
      </c>
      <c r="J2900" s="2" t="s">
        <v>14</v>
      </c>
      <c r="K2900" t="s">
        <v>385</v>
      </c>
      <c r="L2900" t="s">
        <v>143</v>
      </c>
      <c r="M2900" t="s">
        <v>73</v>
      </c>
      <c r="N2900" t="s">
        <v>85</v>
      </c>
      <c r="O2900" s="6" t="s">
        <v>410</v>
      </c>
      <c r="P2900" t="s">
        <v>386</v>
      </c>
      <c r="Q2900">
        <f t="shared" si="55"/>
        <v>2.0833333333333332E-2</v>
      </c>
      <c r="R2900" t="s">
        <v>213</v>
      </c>
      <c r="S2900" s="2" t="s">
        <v>27</v>
      </c>
      <c r="T2900">
        <v>8</v>
      </c>
      <c r="U2900" t="s">
        <v>28</v>
      </c>
      <c r="V2900" t="s">
        <v>28</v>
      </c>
      <c r="W2900">
        <v>25</v>
      </c>
      <c r="X2900">
        <v>69.72</v>
      </c>
      <c r="Y2900">
        <f>90.73-X2900</f>
        <v>21.010000000000005</v>
      </c>
      <c r="AA2900" s="6"/>
      <c r="AB2900" s="6"/>
    </row>
    <row r="2901" spans="1:28" x14ac:dyDescent="0.2">
      <c r="A2901" t="s">
        <v>383</v>
      </c>
      <c r="B2901">
        <v>2013</v>
      </c>
      <c r="C2901" t="s">
        <v>807</v>
      </c>
      <c r="D2901" t="s">
        <v>825</v>
      </c>
      <c r="E2901" t="s">
        <v>35</v>
      </c>
      <c r="F2901" t="s">
        <v>384</v>
      </c>
      <c r="G2901">
        <v>39.083333000000003</v>
      </c>
      <c r="H2901">
        <v>142.85</v>
      </c>
      <c r="I2901" t="s">
        <v>761</v>
      </c>
      <c r="J2901" s="2" t="s">
        <v>14</v>
      </c>
      <c r="K2901" t="s">
        <v>385</v>
      </c>
      <c r="L2901" t="s">
        <v>143</v>
      </c>
      <c r="M2901" t="s">
        <v>73</v>
      </c>
      <c r="N2901" t="s">
        <v>85</v>
      </c>
      <c r="O2901" s="6" t="s">
        <v>410</v>
      </c>
      <c r="P2901" t="s">
        <v>386</v>
      </c>
      <c r="Q2901">
        <f t="shared" si="55"/>
        <v>2.0833333333333332E-2</v>
      </c>
      <c r="R2901" t="s">
        <v>213</v>
      </c>
      <c r="S2901" s="2" t="s">
        <v>13</v>
      </c>
      <c r="T2901">
        <v>8</v>
      </c>
      <c r="U2901" t="s">
        <v>28</v>
      </c>
      <c r="V2901" t="s">
        <v>28</v>
      </c>
      <c r="W2901">
        <v>30</v>
      </c>
      <c r="X2901">
        <v>37.99</v>
      </c>
      <c r="Y2901">
        <f>50.28-X2901</f>
        <v>12.29</v>
      </c>
      <c r="AA2901" s="6"/>
      <c r="AB2901" s="6"/>
    </row>
    <row r="2902" spans="1:28" x14ac:dyDescent="0.2">
      <c r="A2902" t="s">
        <v>383</v>
      </c>
      <c r="B2902">
        <v>2013</v>
      </c>
      <c r="C2902" t="s">
        <v>807</v>
      </c>
      <c r="D2902" t="s">
        <v>825</v>
      </c>
      <c r="E2902" t="s">
        <v>35</v>
      </c>
      <c r="F2902" t="s">
        <v>384</v>
      </c>
      <c r="G2902">
        <v>39.083333000000003</v>
      </c>
      <c r="H2902">
        <v>142.85</v>
      </c>
      <c r="I2902" t="s">
        <v>761</v>
      </c>
      <c r="J2902" s="2" t="s">
        <v>14</v>
      </c>
      <c r="K2902" t="s">
        <v>385</v>
      </c>
      <c r="L2902" t="s">
        <v>143</v>
      </c>
      <c r="M2902" t="s">
        <v>73</v>
      </c>
      <c r="N2902" t="s">
        <v>85</v>
      </c>
      <c r="O2902" s="6" t="s">
        <v>410</v>
      </c>
      <c r="P2902" t="s">
        <v>386</v>
      </c>
      <c r="Q2902">
        <f t="shared" si="55"/>
        <v>2.0833333333333332E-2</v>
      </c>
      <c r="R2902" t="s">
        <v>213</v>
      </c>
      <c r="S2902" s="2" t="s">
        <v>15</v>
      </c>
      <c r="T2902">
        <v>8</v>
      </c>
      <c r="U2902" t="s">
        <v>28</v>
      </c>
      <c r="V2902" t="s">
        <v>28</v>
      </c>
      <c r="W2902">
        <v>35</v>
      </c>
      <c r="X2902">
        <v>32.18</v>
      </c>
      <c r="Y2902">
        <f>47.37-X2902</f>
        <v>15.189999999999998</v>
      </c>
      <c r="AA2902" s="6"/>
      <c r="AB2902" s="6"/>
    </row>
    <row r="2903" spans="1:28" x14ac:dyDescent="0.2">
      <c r="A2903" t="s">
        <v>383</v>
      </c>
      <c r="B2903">
        <v>2013</v>
      </c>
      <c r="C2903" t="s">
        <v>807</v>
      </c>
      <c r="D2903" t="s">
        <v>825</v>
      </c>
      <c r="E2903" t="s">
        <v>35</v>
      </c>
      <c r="F2903" t="s">
        <v>352</v>
      </c>
      <c r="G2903">
        <v>38.533332999999999</v>
      </c>
      <c r="H2903">
        <v>141.51666700000001</v>
      </c>
      <c r="I2903" t="s">
        <v>761</v>
      </c>
      <c r="J2903" s="2" t="s">
        <v>7</v>
      </c>
      <c r="K2903" t="s">
        <v>385</v>
      </c>
      <c r="L2903" t="s">
        <v>143</v>
      </c>
      <c r="M2903" t="s">
        <v>73</v>
      </c>
      <c r="N2903" t="s">
        <v>85</v>
      </c>
      <c r="O2903" s="6" t="s">
        <v>410</v>
      </c>
      <c r="P2903" t="s">
        <v>386</v>
      </c>
      <c r="Q2903">
        <f t="shared" si="55"/>
        <v>2.0833333333333332E-2</v>
      </c>
      <c r="R2903" t="s">
        <v>213</v>
      </c>
      <c r="S2903" s="2" t="s">
        <v>7</v>
      </c>
      <c r="T2903">
        <v>8</v>
      </c>
      <c r="U2903" t="s">
        <v>28</v>
      </c>
      <c r="V2903" t="s">
        <v>28</v>
      </c>
      <c r="W2903">
        <v>15</v>
      </c>
      <c r="X2903">
        <v>31.73</v>
      </c>
      <c r="Y2903">
        <f>51.4-X2903</f>
        <v>19.669999999999998</v>
      </c>
      <c r="AA2903" s="6"/>
      <c r="AB2903" s="6"/>
    </row>
    <row r="2904" spans="1:28" x14ac:dyDescent="0.2">
      <c r="A2904" t="s">
        <v>383</v>
      </c>
      <c r="B2904">
        <v>2013</v>
      </c>
      <c r="C2904" t="s">
        <v>807</v>
      </c>
      <c r="D2904" t="s">
        <v>825</v>
      </c>
      <c r="E2904" t="s">
        <v>35</v>
      </c>
      <c r="F2904" t="s">
        <v>352</v>
      </c>
      <c r="G2904">
        <v>38.533332999999999</v>
      </c>
      <c r="H2904">
        <v>141.51666700000001</v>
      </c>
      <c r="I2904" t="s">
        <v>761</v>
      </c>
      <c r="J2904" s="2" t="s">
        <v>14</v>
      </c>
      <c r="K2904" t="s">
        <v>385</v>
      </c>
      <c r="L2904" t="s">
        <v>143</v>
      </c>
      <c r="M2904" t="s">
        <v>73</v>
      </c>
      <c r="N2904" t="s">
        <v>85</v>
      </c>
      <c r="O2904" s="6" t="s">
        <v>410</v>
      </c>
      <c r="P2904" t="s">
        <v>386</v>
      </c>
      <c r="Q2904">
        <f t="shared" si="55"/>
        <v>2.0833333333333332E-2</v>
      </c>
      <c r="R2904" t="s">
        <v>213</v>
      </c>
      <c r="S2904" s="2" t="s">
        <v>9</v>
      </c>
      <c r="T2904">
        <v>8</v>
      </c>
      <c r="U2904" t="s">
        <v>28</v>
      </c>
      <c r="V2904" t="s">
        <v>28</v>
      </c>
      <c r="W2904">
        <v>20</v>
      </c>
      <c r="X2904">
        <v>47.37</v>
      </c>
      <c r="Y2904">
        <f>68.83-X2904</f>
        <v>21.46</v>
      </c>
      <c r="AA2904" s="6"/>
      <c r="AB2904" s="6"/>
    </row>
    <row r="2905" spans="1:28" x14ac:dyDescent="0.2">
      <c r="A2905" t="s">
        <v>383</v>
      </c>
      <c r="B2905">
        <v>2013</v>
      </c>
      <c r="C2905" t="s">
        <v>807</v>
      </c>
      <c r="D2905" t="s">
        <v>825</v>
      </c>
      <c r="E2905" t="s">
        <v>35</v>
      </c>
      <c r="F2905" t="s">
        <v>352</v>
      </c>
      <c r="G2905">
        <v>38.533332999999999</v>
      </c>
      <c r="H2905">
        <v>141.51666700000001</v>
      </c>
      <c r="I2905" t="s">
        <v>761</v>
      </c>
      <c r="J2905" s="2" t="s">
        <v>14</v>
      </c>
      <c r="K2905" t="s">
        <v>385</v>
      </c>
      <c r="L2905" t="s">
        <v>143</v>
      </c>
      <c r="M2905" t="s">
        <v>73</v>
      </c>
      <c r="N2905" t="s">
        <v>85</v>
      </c>
      <c r="O2905" s="6" t="s">
        <v>410</v>
      </c>
      <c r="P2905" t="s">
        <v>386</v>
      </c>
      <c r="Q2905">
        <f t="shared" si="55"/>
        <v>2.0833333333333332E-2</v>
      </c>
      <c r="R2905" t="s">
        <v>213</v>
      </c>
      <c r="S2905" s="2" t="s">
        <v>27</v>
      </c>
      <c r="T2905">
        <v>8</v>
      </c>
      <c r="U2905" t="s">
        <v>28</v>
      </c>
      <c r="V2905" t="s">
        <v>28</v>
      </c>
      <c r="W2905">
        <v>25</v>
      </c>
      <c r="X2905">
        <v>66.59</v>
      </c>
      <c r="Y2905">
        <f>90.73-X2905</f>
        <v>24.14</v>
      </c>
      <c r="AA2905" s="6"/>
      <c r="AB2905" s="6"/>
    </row>
    <row r="2906" spans="1:28" x14ac:dyDescent="0.2">
      <c r="A2906" t="s">
        <v>383</v>
      </c>
      <c r="B2906">
        <v>2013</v>
      </c>
      <c r="C2906" t="s">
        <v>807</v>
      </c>
      <c r="D2906" t="s">
        <v>825</v>
      </c>
      <c r="E2906" t="s">
        <v>35</v>
      </c>
      <c r="F2906" t="s">
        <v>352</v>
      </c>
      <c r="G2906">
        <v>38.533332999999999</v>
      </c>
      <c r="H2906">
        <v>141.51666700000001</v>
      </c>
      <c r="I2906" t="s">
        <v>761</v>
      </c>
      <c r="J2906" s="2" t="s">
        <v>14</v>
      </c>
      <c r="K2906" t="s">
        <v>385</v>
      </c>
      <c r="L2906" t="s">
        <v>143</v>
      </c>
      <c r="M2906" t="s">
        <v>73</v>
      </c>
      <c r="N2906" t="s">
        <v>85</v>
      </c>
      <c r="O2906" s="6" t="s">
        <v>410</v>
      </c>
      <c r="P2906" t="s">
        <v>386</v>
      </c>
      <c r="Q2906">
        <f t="shared" si="55"/>
        <v>2.0833333333333332E-2</v>
      </c>
      <c r="R2906" t="s">
        <v>213</v>
      </c>
      <c r="S2906" s="2" t="s">
        <v>13</v>
      </c>
      <c r="T2906">
        <v>8</v>
      </c>
      <c r="U2906" t="s">
        <v>28</v>
      </c>
      <c r="V2906" t="s">
        <v>28</v>
      </c>
      <c r="W2906">
        <v>30</v>
      </c>
      <c r="X2906">
        <v>39.33</v>
      </c>
      <c r="Y2906">
        <f>50.28-X2906</f>
        <v>10.950000000000003</v>
      </c>
      <c r="AA2906" s="6"/>
      <c r="AB2906" s="6"/>
    </row>
    <row r="2907" spans="1:28" x14ac:dyDescent="0.2">
      <c r="A2907" t="s">
        <v>383</v>
      </c>
      <c r="B2907">
        <v>2013</v>
      </c>
      <c r="C2907" t="s">
        <v>807</v>
      </c>
      <c r="D2907" t="s">
        <v>825</v>
      </c>
      <c r="E2907" t="s">
        <v>35</v>
      </c>
      <c r="F2907" t="s">
        <v>352</v>
      </c>
      <c r="G2907">
        <v>38.533332999999999</v>
      </c>
      <c r="H2907">
        <v>141.51666700000001</v>
      </c>
      <c r="I2907" t="s">
        <v>761</v>
      </c>
      <c r="J2907" s="2" t="s">
        <v>14</v>
      </c>
      <c r="K2907" t="s">
        <v>385</v>
      </c>
      <c r="L2907" t="s">
        <v>143</v>
      </c>
      <c r="M2907" t="s">
        <v>73</v>
      </c>
      <c r="N2907" t="s">
        <v>85</v>
      </c>
      <c r="O2907" s="6" t="s">
        <v>410</v>
      </c>
      <c r="P2907" t="s">
        <v>386</v>
      </c>
      <c r="Q2907">
        <f t="shared" si="55"/>
        <v>2.0833333333333332E-2</v>
      </c>
      <c r="R2907" t="s">
        <v>213</v>
      </c>
      <c r="S2907" s="2" t="s">
        <v>15</v>
      </c>
      <c r="T2907">
        <v>8</v>
      </c>
      <c r="U2907" t="s">
        <v>28</v>
      </c>
      <c r="V2907" t="s">
        <v>28</v>
      </c>
      <c r="W2907">
        <v>35</v>
      </c>
      <c r="X2907">
        <v>32.18</v>
      </c>
      <c r="Y2907">
        <f>42.01-X2907</f>
        <v>9.8299999999999983</v>
      </c>
      <c r="AA2907" s="6"/>
      <c r="AB2907" s="6"/>
    </row>
    <row r="2908" spans="1:28" x14ac:dyDescent="0.2">
      <c r="A2908" t="s">
        <v>383</v>
      </c>
      <c r="B2908">
        <v>2013</v>
      </c>
      <c r="C2908" t="s">
        <v>807</v>
      </c>
      <c r="D2908" t="s">
        <v>825</v>
      </c>
      <c r="E2908" t="s">
        <v>35</v>
      </c>
      <c r="F2908" t="s">
        <v>353</v>
      </c>
      <c r="G2908">
        <v>34.216667000000001</v>
      </c>
      <c r="H2908">
        <v>135.61666700000001</v>
      </c>
      <c r="I2908" t="s">
        <v>761</v>
      </c>
      <c r="J2908" s="2" t="s">
        <v>7</v>
      </c>
      <c r="K2908" t="s">
        <v>385</v>
      </c>
      <c r="L2908" t="s">
        <v>143</v>
      </c>
      <c r="M2908" t="s">
        <v>73</v>
      </c>
      <c r="N2908" t="s">
        <v>85</v>
      </c>
      <c r="O2908" s="6" t="s">
        <v>410</v>
      </c>
      <c r="P2908" t="s">
        <v>386</v>
      </c>
      <c r="Q2908">
        <f t="shared" si="55"/>
        <v>2.0833333333333332E-2</v>
      </c>
      <c r="R2908" t="s">
        <v>213</v>
      </c>
      <c r="S2908" s="2" t="s">
        <v>7</v>
      </c>
      <c r="T2908">
        <v>8</v>
      </c>
      <c r="U2908" t="s">
        <v>28</v>
      </c>
      <c r="V2908" t="s">
        <v>28</v>
      </c>
      <c r="W2908">
        <v>15</v>
      </c>
      <c r="X2908">
        <v>36.65</v>
      </c>
      <c r="Y2908">
        <f>59.89-X2908</f>
        <v>23.240000000000002</v>
      </c>
      <c r="AA2908" s="6"/>
      <c r="AB2908" s="6"/>
    </row>
    <row r="2909" spans="1:28" x14ac:dyDescent="0.2">
      <c r="A2909" t="s">
        <v>383</v>
      </c>
      <c r="B2909">
        <v>2013</v>
      </c>
      <c r="C2909" t="s">
        <v>807</v>
      </c>
      <c r="D2909" t="s">
        <v>825</v>
      </c>
      <c r="E2909" t="s">
        <v>35</v>
      </c>
      <c r="F2909" t="s">
        <v>353</v>
      </c>
      <c r="G2909">
        <v>34.216667000000001</v>
      </c>
      <c r="H2909">
        <v>135.61666700000001</v>
      </c>
      <c r="I2909" t="s">
        <v>761</v>
      </c>
      <c r="J2909" s="2" t="s">
        <v>14</v>
      </c>
      <c r="K2909" t="s">
        <v>385</v>
      </c>
      <c r="L2909" t="s">
        <v>143</v>
      </c>
      <c r="M2909" t="s">
        <v>73</v>
      </c>
      <c r="N2909" t="s">
        <v>85</v>
      </c>
      <c r="O2909" s="6" t="s">
        <v>410</v>
      </c>
      <c r="P2909" t="s">
        <v>386</v>
      </c>
      <c r="Q2909">
        <f t="shared" si="55"/>
        <v>2.0833333333333332E-2</v>
      </c>
      <c r="R2909" t="s">
        <v>213</v>
      </c>
      <c r="S2909" s="2" t="s">
        <v>9</v>
      </c>
      <c r="T2909">
        <v>8</v>
      </c>
      <c r="U2909" t="s">
        <v>28</v>
      </c>
      <c r="V2909" t="s">
        <v>28</v>
      </c>
      <c r="W2909">
        <v>20</v>
      </c>
      <c r="X2909">
        <v>63.69</v>
      </c>
      <c r="Y2909">
        <f>84.02-X2909</f>
        <v>20.329999999999998</v>
      </c>
      <c r="AA2909" s="6"/>
      <c r="AB2909" s="6"/>
    </row>
    <row r="2910" spans="1:28" x14ac:dyDescent="0.2">
      <c r="A2910" t="s">
        <v>383</v>
      </c>
      <c r="B2910">
        <v>2013</v>
      </c>
      <c r="C2910" t="s">
        <v>807</v>
      </c>
      <c r="D2910" t="s">
        <v>825</v>
      </c>
      <c r="E2910" t="s">
        <v>35</v>
      </c>
      <c r="F2910" t="s">
        <v>353</v>
      </c>
      <c r="G2910">
        <v>34.216667000000001</v>
      </c>
      <c r="H2910">
        <v>135.61666700000001</v>
      </c>
      <c r="I2910" t="s">
        <v>761</v>
      </c>
      <c r="J2910" s="2" t="s">
        <v>14</v>
      </c>
      <c r="K2910" t="s">
        <v>385</v>
      </c>
      <c r="L2910" t="s">
        <v>143</v>
      </c>
      <c r="M2910" t="s">
        <v>73</v>
      </c>
      <c r="N2910" t="s">
        <v>85</v>
      </c>
      <c r="O2910" s="6" t="s">
        <v>410</v>
      </c>
      <c r="P2910" t="s">
        <v>386</v>
      </c>
      <c r="Q2910">
        <f t="shared" si="55"/>
        <v>2.0833333333333332E-2</v>
      </c>
      <c r="R2910" t="s">
        <v>213</v>
      </c>
      <c r="S2910" s="2" t="s">
        <v>27</v>
      </c>
      <c r="T2910">
        <v>8</v>
      </c>
      <c r="U2910" t="s">
        <v>28</v>
      </c>
      <c r="V2910" t="s">
        <v>28</v>
      </c>
      <c r="W2910">
        <v>25</v>
      </c>
      <c r="X2910">
        <v>90.28</v>
      </c>
      <c r="Y2910">
        <f>103.02-X2910</f>
        <v>12.739999999999995</v>
      </c>
      <c r="AA2910" s="6"/>
      <c r="AB2910" s="6"/>
    </row>
    <row r="2911" spans="1:28" x14ac:dyDescent="0.2">
      <c r="A2911" t="s">
        <v>383</v>
      </c>
      <c r="B2911">
        <v>2013</v>
      </c>
      <c r="C2911" t="s">
        <v>807</v>
      </c>
      <c r="D2911" t="s">
        <v>825</v>
      </c>
      <c r="E2911" t="s">
        <v>35</v>
      </c>
      <c r="F2911" t="s">
        <v>353</v>
      </c>
      <c r="G2911">
        <v>34.216667000000001</v>
      </c>
      <c r="H2911">
        <v>135.61666700000001</v>
      </c>
      <c r="I2911" t="s">
        <v>761</v>
      </c>
      <c r="J2911" s="2" t="s">
        <v>14</v>
      </c>
      <c r="K2911" t="s">
        <v>385</v>
      </c>
      <c r="L2911" t="s">
        <v>143</v>
      </c>
      <c r="M2911" t="s">
        <v>73</v>
      </c>
      <c r="N2911" t="s">
        <v>85</v>
      </c>
      <c r="O2911" s="6" t="s">
        <v>410</v>
      </c>
      <c r="P2911" t="s">
        <v>386</v>
      </c>
      <c r="Q2911">
        <f t="shared" si="55"/>
        <v>2.0833333333333332E-2</v>
      </c>
      <c r="R2911" t="s">
        <v>213</v>
      </c>
      <c r="S2911" s="2" t="s">
        <v>13</v>
      </c>
      <c r="T2911">
        <v>8</v>
      </c>
      <c r="U2911" t="s">
        <v>28</v>
      </c>
      <c r="V2911" t="s">
        <v>28</v>
      </c>
      <c r="W2911">
        <v>30</v>
      </c>
      <c r="X2911">
        <v>58.1</v>
      </c>
      <c r="Y2911">
        <f>67.04-X2911</f>
        <v>8.9400000000000048</v>
      </c>
      <c r="AA2911" s="6"/>
      <c r="AB2911" s="6"/>
    </row>
    <row r="2912" spans="1:28" x14ac:dyDescent="0.2">
      <c r="A2912" t="s">
        <v>383</v>
      </c>
      <c r="B2912">
        <v>2013</v>
      </c>
      <c r="C2912" t="s">
        <v>807</v>
      </c>
      <c r="D2912" t="s">
        <v>825</v>
      </c>
      <c r="E2912" t="s">
        <v>35</v>
      </c>
      <c r="F2912" t="s">
        <v>353</v>
      </c>
      <c r="G2912">
        <v>34.216667000000001</v>
      </c>
      <c r="H2912">
        <v>135.61666700000001</v>
      </c>
      <c r="I2912" t="s">
        <v>761</v>
      </c>
      <c r="J2912" s="2" t="s">
        <v>14</v>
      </c>
      <c r="K2912" t="s">
        <v>385</v>
      </c>
      <c r="L2912" t="s">
        <v>143</v>
      </c>
      <c r="M2912" t="s">
        <v>73</v>
      </c>
      <c r="N2912" t="s">
        <v>85</v>
      </c>
      <c r="O2912" s="6" t="s">
        <v>410</v>
      </c>
      <c r="P2912" t="s">
        <v>386</v>
      </c>
      <c r="Q2912">
        <f t="shared" si="55"/>
        <v>2.0833333333333332E-2</v>
      </c>
      <c r="R2912" t="s">
        <v>213</v>
      </c>
      <c r="S2912" s="2" t="s">
        <v>15</v>
      </c>
      <c r="T2912">
        <v>8</v>
      </c>
      <c r="U2912" t="s">
        <v>28</v>
      </c>
      <c r="V2912" t="s">
        <v>28</v>
      </c>
      <c r="W2912">
        <v>35</v>
      </c>
      <c r="X2912">
        <v>52.96</v>
      </c>
      <c r="Y2912">
        <f>75.31-X2912</f>
        <v>22.35</v>
      </c>
      <c r="AA2912" s="6"/>
      <c r="AB2912" s="6"/>
    </row>
    <row r="2913" spans="1:28" x14ac:dyDescent="0.2">
      <c r="A2913" t="s">
        <v>383</v>
      </c>
      <c r="B2913">
        <v>2013</v>
      </c>
      <c r="C2913" t="s">
        <v>807</v>
      </c>
      <c r="D2913" t="s">
        <v>825</v>
      </c>
      <c r="E2913" t="s">
        <v>35</v>
      </c>
      <c r="F2913" t="s">
        <v>384</v>
      </c>
      <c r="G2913">
        <v>39.083333000000003</v>
      </c>
      <c r="H2913">
        <v>142.85</v>
      </c>
      <c r="I2913" t="s">
        <v>761</v>
      </c>
      <c r="J2913" s="2" t="s">
        <v>7</v>
      </c>
      <c r="K2913" t="s">
        <v>385</v>
      </c>
      <c r="L2913" t="s">
        <v>143</v>
      </c>
      <c r="M2913" t="s">
        <v>172</v>
      </c>
      <c r="N2913" t="s">
        <v>86</v>
      </c>
      <c r="O2913" s="6" t="s">
        <v>62</v>
      </c>
      <c r="P2913" t="s">
        <v>386</v>
      </c>
      <c r="Q2913">
        <f t="shared" si="55"/>
        <v>2.0833333333333332E-2</v>
      </c>
      <c r="R2913" t="s">
        <v>213</v>
      </c>
      <c r="S2913" s="2" t="s">
        <v>7</v>
      </c>
      <c r="T2913">
        <v>8</v>
      </c>
      <c r="U2913" t="s">
        <v>28</v>
      </c>
      <c r="V2913" t="s">
        <v>28</v>
      </c>
      <c r="W2913">
        <v>15</v>
      </c>
      <c r="X2913">
        <v>-10.73</v>
      </c>
      <c r="Y2913">
        <f>X2913--19.66</f>
        <v>8.93</v>
      </c>
      <c r="AA2913" s="6"/>
      <c r="AB2913" s="6"/>
    </row>
    <row r="2914" spans="1:28" x14ac:dyDescent="0.2">
      <c r="A2914" t="s">
        <v>383</v>
      </c>
      <c r="B2914">
        <v>2013</v>
      </c>
      <c r="C2914" t="s">
        <v>807</v>
      </c>
      <c r="D2914" t="s">
        <v>825</v>
      </c>
      <c r="E2914" t="s">
        <v>35</v>
      </c>
      <c r="F2914" t="s">
        <v>384</v>
      </c>
      <c r="G2914">
        <v>39.083333000000003</v>
      </c>
      <c r="H2914">
        <v>142.85</v>
      </c>
      <c r="I2914" t="s">
        <v>761</v>
      </c>
      <c r="J2914" s="2" t="s">
        <v>14</v>
      </c>
      <c r="K2914" t="s">
        <v>385</v>
      </c>
      <c r="L2914" t="s">
        <v>143</v>
      </c>
      <c r="M2914" t="s">
        <v>172</v>
      </c>
      <c r="N2914" t="s">
        <v>86</v>
      </c>
      <c r="O2914" s="6" t="s">
        <v>62</v>
      </c>
      <c r="P2914" t="s">
        <v>386</v>
      </c>
      <c r="Q2914">
        <f t="shared" si="55"/>
        <v>2.0833333333333332E-2</v>
      </c>
      <c r="R2914" t="s">
        <v>213</v>
      </c>
      <c r="S2914" s="2" t="s">
        <v>9</v>
      </c>
      <c r="T2914">
        <v>8</v>
      </c>
      <c r="U2914" t="s">
        <v>28</v>
      </c>
      <c r="V2914" t="s">
        <v>28</v>
      </c>
      <c r="W2914">
        <v>20</v>
      </c>
      <c r="X2914">
        <v>-11.17</v>
      </c>
      <c r="Y2914">
        <f>X2914--19.22</f>
        <v>8.0499999999999989</v>
      </c>
      <c r="AA2914" s="6"/>
      <c r="AB2914" s="6"/>
    </row>
    <row r="2915" spans="1:28" x14ac:dyDescent="0.2">
      <c r="A2915" t="s">
        <v>383</v>
      </c>
      <c r="B2915">
        <v>2013</v>
      </c>
      <c r="C2915" t="s">
        <v>807</v>
      </c>
      <c r="D2915" t="s">
        <v>825</v>
      </c>
      <c r="E2915" t="s">
        <v>35</v>
      </c>
      <c r="F2915" t="s">
        <v>384</v>
      </c>
      <c r="G2915">
        <v>39.083333000000003</v>
      </c>
      <c r="H2915">
        <v>142.85</v>
      </c>
      <c r="I2915" t="s">
        <v>761</v>
      </c>
      <c r="J2915" s="2" t="s">
        <v>14</v>
      </c>
      <c r="K2915" t="s">
        <v>385</v>
      </c>
      <c r="L2915" t="s">
        <v>143</v>
      </c>
      <c r="M2915" t="s">
        <v>172</v>
      </c>
      <c r="N2915" t="s">
        <v>86</v>
      </c>
      <c r="O2915" s="6" t="s">
        <v>62</v>
      </c>
      <c r="P2915" t="s">
        <v>386</v>
      </c>
      <c r="Q2915">
        <f t="shared" si="55"/>
        <v>2.0833333333333332E-2</v>
      </c>
      <c r="R2915" t="s">
        <v>213</v>
      </c>
      <c r="S2915" s="2" t="s">
        <v>27</v>
      </c>
      <c r="T2915">
        <v>8</v>
      </c>
      <c r="U2915" t="s">
        <v>28</v>
      </c>
      <c r="V2915" t="s">
        <v>28</v>
      </c>
      <c r="W2915">
        <v>25</v>
      </c>
      <c r="X2915">
        <v>-13.18</v>
      </c>
      <c r="Y2915">
        <f>X2915--25.7</f>
        <v>12.52</v>
      </c>
      <c r="AA2915" s="6"/>
      <c r="AB2915" s="6"/>
    </row>
    <row r="2916" spans="1:28" x14ac:dyDescent="0.2">
      <c r="A2916" t="s">
        <v>383</v>
      </c>
      <c r="B2916">
        <v>2013</v>
      </c>
      <c r="C2916" t="s">
        <v>807</v>
      </c>
      <c r="D2916" t="s">
        <v>825</v>
      </c>
      <c r="E2916" t="s">
        <v>35</v>
      </c>
      <c r="F2916" t="s">
        <v>384</v>
      </c>
      <c r="G2916">
        <v>39.083333000000003</v>
      </c>
      <c r="H2916">
        <v>142.85</v>
      </c>
      <c r="I2916" t="s">
        <v>761</v>
      </c>
      <c r="J2916" s="2" t="s">
        <v>14</v>
      </c>
      <c r="K2916" t="s">
        <v>385</v>
      </c>
      <c r="L2916" t="s">
        <v>143</v>
      </c>
      <c r="M2916" t="s">
        <v>172</v>
      </c>
      <c r="N2916" t="s">
        <v>86</v>
      </c>
      <c r="O2916" s="6" t="s">
        <v>62</v>
      </c>
      <c r="P2916" t="s">
        <v>386</v>
      </c>
      <c r="Q2916">
        <f t="shared" si="55"/>
        <v>2.0833333333333332E-2</v>
      </c>
      <c r="R2916" t="s">
        <v>213</v>
      </c>
      <c r="S2916" s="2" t="s">
        <v>13</v>
      </c>
      <c r="T2916">
        <v>8</v>
      </c>
      <c r="U2916" t="s">
        <v>28</v>
      </c>
      <c r="V2916" t="s">
        <v>28</v>
      </c>
      <c r="W2916">
        <v>30</v>
      </c>
      <c r="X2916">
        <v>-14.3</v>
      </c>
      <c r="Y2916">
        <f>X2916--23.46</f>
        <v>9.16</v>
      </c>
      <c r="AA2916" s="6"/>
      <c r="AB2916" s="6"/>
    </row>
    <row r="2917" spans="1:28" x14ac:dyDescent="0.2">
      <c r="A2917" t="s">
        <v>383</v>
      </c>
      <c r="B2917">
        <v>2013</v>
      </c>
      <c r="C2917" t="s">
        <v>807</v>
      </c>
      <c r="D2917" t="s">
        <v>825</v>
      </c>
      <c r="E2917" t="s">
        <v>35</v>
      </c>
      <c r="F2917" t="s">
        <v>384</v>
      </c>
      <c r="G2917">
        <v>39.083333000000003</v>
      </c>
      <c r="H2917">
        <v>142.85</v>
      </c>
      <c r="I2917" t="s">
        <v>761</v>
      </c>
      <c r="J2917" s="2" t="s">
        <v>14</v>
      </c>
      <c r="K2917" t="s">
        <v>385</v>
      </c>
      <c r="L2917" t="s">
        <v>143</v>
      </c>
      <c r="M2917" t="s">
        <v>172</v>
      </c>
      <c r="N2917" t="s">
        <v>86</v>
      </c>
      <c r="O2917" s="6" t="s">
        <v>62</v>
      </c>
      <c r="P2917" t="s">
        <v>386</v>
      </c>
      <c r="Q2917">
        <f t="shared" si="55"/>
        <v>2.0833333333333332E-2</v>
      </c>
      <c r="R2917" t="s">
        <v>213</v>
      </c>
      <c r="S2917" s="2" t="s">
        <v>15</v>
      </c>
      <c r="T2917">
        <v>8</v>
      </c>
      <c r="U2917" t="s">
        <v>28</v>
      </c>
      <c r="V2917" t="s">
        <v>28</v>
      </c>
      <c r="W2917">
        <v>35</v>
      </c>
      <c r="X2917">
        <v>-15.42</v>
      </c>
      <c r="Y2917">
        <f>X2917--23.91</f>
        <v>8.49</v>
      </c>
      <c r="AA2917" s="6"/>
      <c r="AB2917" s="6"/>
    </row>
    <row r="2918" spans="1:28" x14ac:dyDescent="0.2">
      <c r="A2918" t="s">
        <v>383</v>
      </c>
      <c r="B2918">
        <v>2013</v>
      </c>
      <c r="C2918" t="s">
        <v>807</v>
      </c>
      <c r="D2918" t="s">
        <v>825</v>
      </c>
      <c r="E2918" t="s">
        <v>35</v>
      </c>
      <c r="F2918" t="s">
        <v>352</v>
      </c>
      <c r="G2918">
        <v>38.533332999999999</v>
      </c>
      <c r="H2918">
        <v>141.51666700000001</v>
      </c>
      <c r="I2918" t="s">
        <v>761</v>
      </c>
      <c r="J2918" s="2" t="s">
        <v>7</v>
      </c>
      <c r="K2918" t="s">
        <v>385</v>
      </c>
      <c r="L2918" t="s">
        <v>143</v>
      </c>
      <c r="M2918" t="s">
        <v>172</v>
      </c>
      <c r="N2918" t="s">
        <v>86</v>
      </c>
      <c r="O2918" s="6" t="s">
        <v>62</v>
      </c>
      <c r="P2918" t="s">
        <v>386</v>
      </c>
      <c r="Q2918">
        <f t="shared" si="55"/>
        <v>2.0833333333333332E-2</v>
      </c>
      <c r="R2918" t="s">
        <v>213</v>
      </c>
      <c r="S2918" s="2" t="s">
        <v>7</v>
      </c>
      <c r="T2918">
        <v>8</v>
      </c>
      <c r="U2918" t="s">
        <v>28</v>
      </c>
      <c r="V2918" t="s">
        <v>28</v>
      </c>
      <c r="W2918">
        <v>15</v>
      </c>
      <c r="X2918">
        <v>-10.73</v>
      </c>
      <c r="Y2918">
        <f>X2918--19.66</f>
        <v>8.93</v>
      </c>
      <c r="AA2918" s="6"/>
      <c r="AB2918" s="6"/>
    </row>
    <row r="2919" spans="1:28" x14ac:dyDescent="0.2">
      <c r="A2919" t="s">
        <v>383</v>
      </c>
      <c r="B2919">
        <v>2013</v>
      </c>
      <c r="C2919" t="s">
        <v>807</v>
      </c>
      <c r="D2919" t="s">
        <v>825</v>
      </c>
      <c r="E2919" t="s">
        <v>35</v>
      </c>
      <c r="F2919" t="s">
        <v>352</v>
      </c>
      <c r="G2919">
        <v>38.533332999999999</v>
      </c>
      <c r="H2919">
        <v>141.51666700000001</v>
      </c>
      <c r="I2919" t="s">
        <v>761</v>
      </c>
      <c r="J2919" s="2" t="s">
        <v>14</v>
      </c>
      <c r="K2919" t="s">
        <v>385</v>
      </c>
      <c r="L2919" t="s">
        <v>143</v>
      </c>
      <c r="M2919" t="s">
        <v>172</v>
      </c>
      <c r="N2919" t="s">
        <v>86</v>
      </c>
      <c r="O2919" s="6" t="s">
        <v>62</v>
      </c>
      <c r="P2919" t="s">
        <v>386</v>
      </c>
      <c r="Q2919">
        <f t="shared" si="55"/>
        <v>2.0833333333333332E-2</v>
      </c>
      <c r="R2919" t="s">
        <v>213</v>
      </c>
      <c r="S2919" s="2" t="s">
        <v>9</v>
      </c>
      <c r="T2919">
        <v>8</v>
      </c>
      <c r="U2919" t="s">
        <v>28</v>
      </c>
      <c r="V2919" t="s">
        <v>28</v>
      </c>
      <c r="W2919">
        <v>20</v>
      </c>
      <c r="X2919">
        <v>-11.17</v>
      </c>
      <c r="Y2919">
        <f>X2919--22.57</f>
        <v>11.4</v>
      </c>
      <c r="AA2919" s="6"/>
      <c r="AB2919" s="6"/>
    </row>
    <row r="2920" spans="1:28" x14ac:dyDescent="0.2">
      <c r="A2920" t="s">
        <v>383</v>
      </c>
      <c r="B2920">
        <v>2013</v>
      </c>
      <c r="C2920" t="s">
        <v>807</v>
      </c>
      <c r="D2920" t="s">
        <v>825</v>
      </c>
      <c r="E2920" t="s">
        <v>35</v>
      </c>
      <c r="F2920" t="s">
        <v>352</v>
      </c>
      <c r="G2920">
        <v>38.533332999999999</v>
      </c>
      <c r="H2920">
        <v>141.51666700000001</v>
      </c>
      <c r="I2920" t="s">
        <v>761</v>
      </c>
      <c r="J2920" s="2" t="s">
        <v>14</v>
      </c>
      <c r="K2920" t="s">
        <v>385</v>
      </c>
      <c r="L2920" t="s">
        <v>143</v>
      </c>
      <c r="M2920" t="s">
        <v>172</v>
      </c>
      <c r="N2920" t="s">
        <v>86</v>
      </c>
      <c r="O2920" s="6" t="s">
        <v>62</v>
      </c>
      <c r="P2920" t="s">
        <v>386</v>
      </c>
      <c r="Q2920">
        <f t="shared" si="55"/>
        <v>2.0833333333333332E-2</v>
      </c>
      <c r="R2920" t="s">
        <v>213</v>
      </c>
      <c r="S2920" s="2" t="s">
        <v>27</v>
      </c>
      <c r="T2920">
        <v>8</v>
      </c>
      <c r="U2920" t="s">
        <v>28</v>
      </c>
      <c r="V2920" t="s">
        <v>28</v>
      </c>
      <c r="W2920">
        <v>25</v>
      </c>
      <c r="X2920">
        <v>-13.18</v>
      </c>
      <c r="Y2920">
        <f>X2920--25.7</f>
        <v>12.52</v>
      </c>
      <c r="AA2920" s="6"/>
      <c r="AB2920" s="6"/>
    </row>
    <row r="2921" spans="1:28" x14ac:dyDescent="0.2">
      <c r="A2921" t="s">
        <v>383</v>
      </c>
      <c r="B2921">
        <v>2013</v>
      </c>
      <c r="C2921" t="s">
        <v>807</v>
      </c>
      <c r="D2921" t="s">
        <v>825</v>
      </c>
      <c r="E2921" t="s">
        <v>35</v>
      </c>
      <c r="F2921" t="s">
        <v>352</v>
      </c>
      <c r="G2921">
        <v>38.533332999999999</v>
      </c>
      <c r="H2921">
        <v>141.51666700000001</v>
      </c>
      <c r="I2921" t="s">
        <v>761</v>
      </c>
      <c r="J2921" s="2" t="s">
        <v>14</v>
      </c>
      <c r="K2921" t="s">
        <v>385</v>
      </c>
      <c r="L2921" t="s">
        <v>143</v>
      </c>
      <c r="M2921" t="s">
        <v>172</v>
      </c>
      <c r="N2921" t="s">
        <v>86</v>
      </c>
      <c r="O2921" s="6" t="s">
        <v>62</v>
      </c>
      <c r="P2921" t="s">
        <v>386</v>
      </c>
      <c r="Q2921">
        <f t="shared" si="55"/>
        <v>2.0833333333333332E-2</v>
      </c>
      <c r="R2921" t="s">
        <v>213</v>
      </c>
      <c r="S2921" s="2" t="s">
        <v>13</v>
      </c>
      <c r="T2921">
        <v>8</v>
      </c>
      <c r="U2921" t="s">
        <v>28</v>
      </c>
      <c r="V2921" t="s">
        <v>28</v>
      </c>
      <c r="W2921">
        <v>30</v>
      </c>
      <c r="X2921">
        <v>-14.3</v>
      </c>
      <c r="Y2921">
        <f>X2921--25.25</f>
        <v>10.95</v>
      </c>
      <c r="AA2921" s="6"/>
      <c r="AB2921" s="6"/>
    </row>
    <row r="2922" spans="1:28" x14ac:dyDescent="0.2">
      <c r="A2922" t="s">
        <v>383</v>
      </c>
      <c r="B2922">
        <v>2013</v>
      </c>
      <c r="C2922" t="s">
        <v>807</v>
      </c>
      <c r="D2922" t="s">
        <v>825</v>
      </c>
      <c r="E2922" t="s">
        <v>35</v>
      </c>
      <c r="F2922" t="s">
        <v>352</v>
      </c>
      <c r="G2922">
        <v>38.533332999999999</v>
      </c>
      <c r="H2922">
        <v>141.51666700000001</v>
      </c>
      <c r="I2922" t="s">
        <v>761</v>
      </c>
      <c r="J2922" s="2" t="s">
        <v>14</v>
      </c>
      <c r="K2922" t="s">
        <v>385</v>
      </c>
      <c r="L2922" t="s">
        <v>143</v>
      </c>
      <c r="M2922" t="s">
        <v>172</v>
      </c>
      <c r="N2922" t="s">
        <v>86</v>
      </c>
      <c r="O2922" s="6" t="s">
        <v>62</v>
      </c>
      <c r="P2922" t="s">
        <v>386</v>
      </c>
      <c r="Q2922">
        <f t="shared" si="55"/>
        <v>2.0833333333333332E-2</v>
      </c>
      <c r="R2922" t="s">
        <v>213</v>
      </c>
      <c r="S2922" s="2" t="s">
        <v>15</v>
      </c>
      <c r="T2922">
        <v>8</v>
      </c>
      <c r="U2922" t="s">
        <v>28</v>
      </c>
      <c r="V2922" t="s">
        <v>28</v>
      </c>
      <c r="W2922">
        <v>35</v>
      </c>
      <c r="X2922">
        <v>-15.42</v>
      </c>
      <c r="Y2922">
        <f>X2922--29.05</f>
        <v>13.63</v>
      </c>
      <c r="AA2922" s="6"/>
      <c r="AB2922" s="6"/>
    </row>
    <row r="2923" spans="1:28" x14ac:dyDescent="0.2">
      <c r="A2923" t="s">
        <v>383</v>
      </c>
      <c r="B2923">
        <v>2013</v>
      </c>
      <c r="C2923" t="s">
        <v>807</v>
      </c>
      <c r="D2923" t="s">
        <v>825</v>
      </c>
      <c r="E2923" t="s">
        <v>35</v>
      </c>
      <c r="F2923" t="s">
        <v>353</v>
      </c>
      <c r="G2923">
        <v>34.216667000000001</v>
      </c>
      <c r="H2923">
        <v>135.61666700000001</v>
      </c>
      <c r="I2923" t="s">
        <v>761</v>
      </c>
      <c r="J2923" s="2" t="s">
        <v>7</v>
      </c>
      <c r="K2923" t="s">
        <v>385</v>
      </c>
      <c r="L2923" t="s">
        <v>143</v>
      </c>
      <c r="M2923" t="s">
        <v>172</v>
      </c>
      <c r="N2923" t="s">
        <v>86</v>
      </c>
      <c r="O2923" s="6" t="s">
        <v>62</v>
      </c>
      <c r="P2923" t="s">
        <v>386</v>
      </c>
      <c r="Q2923">
        <f t="shared" si="55"/>
        <v>2.0833333333333332E-2</v>
      </c>
      <c r="R2923" t="s">
        <v>213</v>
      </c>
      <c r="S2923" s="2" t="s">
        <v>7</v>
      </c>
      <c r="T2923">
        <v>8</v>
      </c>
      <c r="U2923" t="s">
        <v>28</v>
      </c>
      <c r="V2923" t="s">
        <v>28</v>
      </c>
      <c r="W2923">
        <v>15</v>
      </c>
      <c r="X2923">
        <v>-19.89</v>
      </c>
      <c r="Y2923">
        <f>X2923--29.5</f>
        <v>9.61</v>
      </c>
      <c r="AA2923" s="6"/>
      <c r="AB2923" s="6"/>
    </row>
    <row r="2924" spans="1:28" x14ac:dyDescent="0.2">
      <c r="A2924" t="s">
        <v>383</v>
      </c>
      <c r="B2924">
        <v>2013</v>
      </c>
      <c r="C2924" t="s">
        <v>807</v>
      </c>
      <c r="D2924" t="s">
        <v>825</v>
      </c>
      <c r="E2924" t="s">
        <v>35</v>
      </c>
      <c r="F2924" t="s">
        <v>353</v>
      </c>
      <c r="G2924">
        <v>34.216667000000001</v>
      </c>
      <c r="H2924">
        <v>135.61666700000001</v>
      </c>
      <c r="I2924" t="s">
        <v>761</v>
      </c>
      <c r="J2924" s="2" t="s">
        <v>14</v>
      </c>
      <c r="K2924" t="s">
        <v>385</v>
      </c>
      <c r="L2924" t="s">
        <v>143</v>
      </c>
      <c r="M2924" t="s">
        <v>172</v>
      </c>
      <c r="N2924" t="s">
        <v>86</v>
      </c>
      <c r="O2924" s="6" t="s">
        <v>62</v>
      </c>
      <c r="P2924" t="s">
        <v>386</v>
      </c>
      <c r="Q2924">
        <f t="shared" si="55"/>
        <v>2.0833333333333332E-2</v>
      </c>
      <c r="R2924" t="s">
        <v>213</v>
      </c>
      <c r="S2924" s="2" t="s">
        <v>9</v>
      </c>
      <c r="T2924">
        <v>8</v>
      </c>
      <c r="U2924" t="s">
        <v>28</v>
      </c>
      <c r="V2924" t="s">
        <v>28</v>
      </c>
      <c r="W2924">
        <v>20</v>
      </c>
      <c r="X2924">
        <v>-27.04</v>
      </c>
      <c r="Y2924">
        <f>X2924--38.88</f>
        <v>11.840000000000003</v>
      </c>
      <c r="AA2924" s="6"/>
      <c r="AB2924" s="6"/>
    </row>
    <row r="2925" spans="1:28" x14ac:dyDescent="0.2">
      <c r="A2925" t="s">
        <v>383</v>
      </c>
      <c r="B2925">
        <v>2013</v>
      </c>
      <c r="C2925" t="s">
        <v>807</v>
      </c>
      <c r="D2925" t="s">
        <v>825</v>
      </c>
      <c r="E2925" t="s">
        <v>35</v>
      </c>
      <c r="F2925" t="s">
        <v>353</v>
      </c>
      <c r="G2925">
        <v>34.216667000000001</v>
      </c>
      <c r="H2925">
        <v>135.61666700000001</v>
      </c>
      <c r="I2925" t="s">
        <v>761</v>
      </c>
      <c r="J2925" s="2" t="s">
        <v>14</v>
      </c>
      <c r="K2925" t="s">
        <v>385</v>
      </c>
      <c r="L2925" t="s">
        <v>143</v>
      </c>
      <c r="M2925" t="s">
        <v>172</v>
      </c>
      <c r="N2925" t="s">
        <v>86</v>
      </c>
      <c r="O2925" s="6" t="s">
        <v>62</v>
      </c>
      <c r="P2925" t="s">
        <v>386</v>
      </c>
      <c r="Q2925">
        <f t="shared" si="55"/>
        <v>2.0833333333333332E-2</v>
      </c>
      <c r="R2925" t="s">
        <v>213</v>
      </c>
      <c r="S2925" s="2" t="s">
        <v>27</v>
      </c>
      <c r="T2925">
        <v>8</v>
      </c>
      <c r="U2925" t="s">
        <v>28</v>
      </c>
      <c r="V2925" t="s">
        <v>28</v>
      </c>
      <c r="W2925">
        <v>25</v>
      </c>
      <c r="X2925">
        <v>-29.94</v>
      </c>
      <c r="Y2925">
        <f>ABS(X2925-37.09)</f>
        <v>67.03</v>
      </c>
      <c r="AA2925" s="6"/>
      <c r="AB2925" s="6"/>
    </row>
    <row r="2926" spans="1:28" x14ac:dyDescent="0.2">
      <c r="A2926" t="s">
        <v>383</v>
      </c>
      <c r="B2926">
        <v>2013</v>
      </c>
      <c r="C2926" t="s">
        <v>807</v>
      </c>
      <c r="D2926" t="s">
        <v>825</v>
      </c>
      <c r="E2926" t="s">
        <v>35</v>
      </c>
      <c r="F2926" t="s">
        <v>353</v>
      </c>
      <c r="G2926">
        <v>34.216667000000001</v>
      </c>
      <c r="H2926">
        <v>135.61666700000001</v>
      </c>
      <c r="I2926" t="s">
        <v>761</v>
      </c>
      <c r="J2926" s="2" t="s">
        <v>14</v>
      </c>
      <c r="K2926" t="s">
        <v>385</v>
      </c>
      <c r="L2926" t="s">
        <v>143</v>
      </c>
      <c r="M2926" t="s">
        <v>172</v>
      </c>
      <c r="N2926" t="s">
        <v>86</v>
      </c>
      <c r="O2926" s="6" t="s">
        <v>62</v>
      </c>
      <c r="P2926" t="s">
        <v>386</v>
      </c>
      <c r="Q2926">
        <f t="shared" si="55"/>
        <v>2.0833333333333332E-2</v>
      </c>
      <c r="R2926" t="s">
        <v>213</v>
      </c>
      <c r="S2926" s="2" t="s">
        <v>13</v>
      </c>
      <c r="T2926">
        <v>8</v>
      </c>
      <c r="U2926" t="s">
        <v>28</v>
      </c>
      <c r="V2926" t="s">
        <v>28</v>
      </c>
      <c r="W2926">
        <v>30</v>
      </c>
      <c r="X2926">
        <v>-30.84</v>
      </c>
      <c r="Y2926">
        <f>X2926--42.01</f>
        <v>11.169999999999998</v>
      </c>
      <c r="AA2926" s="6"/>
      <c r="AB2926" s="6"/>
    </row>
    <row r="2927" spans="1:28" x14ac:dyDescent="0.2">
      <c r="A2927" t="s">
        <v>383</v>
      </c>
      <c r="B2927">
        <v>2013</v>
      </c>
      <c r="C2927" t="s">
        <v>807</v>
      </c>
      <c r="D2927" t="s">
        <v>825</v>
      </c>
      <c r="E2927" t="s">
        <v>35</v>
      </c>
      <c r="F2927" t="s">
        <v>353</v>
      </c>
      <c r="G2927">
        <v>34.216667000000001</v>
      </c>
      <c r="H2927">
        <v>135.61666700000001</v>
      </c>
      <c r="I2927" t="s">
        <v>761</v>
      </c>
      <c r="J2927" s="2" t="s">
        <v>14</v>
      </c>
      <c r="K2927" t="s">
        <v>385</v>
      </c>
      <c r="L2927" t="s">
        <v>143</v>
      </c>
      <c r="M2927" t="s">
        <v>172</v>
      </c>
      <c r="N2927" t="s">
        <v>86</v>
      </c>
      <c r="O2927" s="6" t="s">
        <v>62</v>
      </c>
      <c r="P2927" t="s">
        <v>386</v>
      </c>
      <c r="Q2927">
        <f t="shared" si="55"/>
        <v>2.0833333333333332E-2</v>
      </c>
      <c r="R2927" t="s">
        <v>213</v>
      </c>
      <c r="S2927" s="2" t="s">
        <v>15</v>
      </c>
      <c r="T2927">
        <v>8</v>
      </c>
      <c r="U2927" t="s">
        <v>28</v>
      </c>
      <c r="V2927" t="s">
        <v>28</v>
      </c>
      <c r="W2927">
        <v>35</v>
      </c>
      <c r="X2927">
        <v>-31.51</v>
      </c>
      <c r="Y2927">
        <f>X2927--41.79</f>
        <v>10.279999999999998</v>
      </c>
      <c r="AA2927" s="6"/>
      <c r="AB2927" s="6"/>
    </row>
    <row r="2928" spans="1:28" x14ac:dyDescent="0.2">
      <c r="A2928" t="s">
        <v>387</v>
      </c>
      <c r="B2928">
        <v>2017</v>
      </c>
      <c r="C2928" t="s">
        <v>826</v>
      </c>
      <c r="D2928" t="s">
        <v>824</v>
      </c>
      <c r="E2928" t="s">
        <v>114</v>
      </c>
      <c r="F2928" t="s">
        <v>388</v>
      </c>
      <c r="G2928">
        <v>41.883333</v>
      </c>
      <c r="H2928">
        <v>141.01666700000001</v>
      </c>
      <c r="J2928" s="2" t="s">
        <v>7</v>
      </c>
      <c r="K2928" t="s">
        <v>385</v>
      </c>
      <c r="L2928" t="s">
        <v>143</v>
      </c>
      <c r="M2928" t="s">
        <v>12</v>
      </c>
      <c r="N2928" t="s">
        <v>85</v>
      </c>
      <c r="O2928" s="6" t="s">
        <v>12</v>
      </c>
      <c r="P2928" t="s">
        <v>70</v>
      </c>
      <c r="Q2928">
        <v>1</v>
      </c>
      <c r="R2928" t="s">
        <v>214</v>
      </c>
      <c r="S2928" s="2" t="s">
        <v>7</v>
      </c>
      <c r="T2928">
        <v>32</v>
      </c>
      <c r="U2928" t="s">
        <v>28</v>
      </c>
      <c r="V2928" t="s">
        <v>28</v>
      </c>
      <c r="W2928">
        <v>15</v>
      </c>
      <c r="X2928">
        <v>100</v>
      </c>
      <c r="Y2928">
        <v>0</v>
      </c>
      <c r="AA2928" s="6"/>
      <c r="AB2928" s="6"/>
    </row>
    <row r="2929" spans="1:28" x14ac:dyDescent="0.2">
      <c r="A2929" t="s">
        <v>387</v>
      </c>
      <c r="B2929">
        <v>2017</v>
      </c>
      <c r="C2929" t="s">
        <v>826</v>
      </c>
      <c r="D2929" t="s">
        <v>824</v>
      </c>
      <c r="E2929" t="s">
        <v>114</v>
      </c>
      <c r="F2929" t="s">
        <v>388</v>
      </c>
      <c r="G2929">
        <v>41.883333</v>
      </c>
      <c r="H2929">
        <v>141.01666700000001</v>
      </c>
      <c r="J2929" s="2" t="s">
        <v>7</v>
      </c>
      <c r="K2929" t="s">
        <v>385</v>
      </c>
      <c r="L2929" t="s">
        <v>143</v>
      </c>
      <c r="M2929" t="s">
        <v>12</v>
      </c>
      <c r="N2929" t="s">
        <v>85</v>
      </c>
      <c r="O2929" s="6" t="s">
        <v>12</v>
      </c>
      <c r="P2929" t="s">
        <v>70</v>
      </c>
      <c r="Q2929">
        <v>2</v>
      </c>
      <c r="R2929" t="s">
        <v>214</v>
      </c>
      <c r="S2929" s="2" t="s">
        <v>7</v>
      </c>
      <c r="T2929">
        <v>32</v>
      </c>
      <c r="U2929" t="s">
        <v>28</v>
      </c>
      <c r="V2929" t="s">
        <v>28</v>
      </c>
      <c r="W2929">
        <v>15</v>
      </c>
      <c r="X2929">
        <v>100</v>
      </c>
      <c r="Y2929">
        <v>0</v>
      </c>
      <c r="AA2929" s="6"/>
      <c r="AB2929" s="6"/>
    </row>
    <row r="2930" spans="1:28" x14ac:dyDescent="0.2">
      <c r="A2930" t="s">
        <v>387</v>
      </c>
      <c r="B2930">
        <v>2017</v>
      </c>
      <c r="C2930" t="s">
        <v>826</v>
      </c>
      <c r="D2930" t="s">
        <v>824</v>
      </c>
      <c r="E2930" t="s">
        <v>114</v>
      </c>
      <c r="F2930" t="s">
        <v>388</v>
      </c>
      <c r="G2930">
        <v>41.883333</v>
      </c>
      <c r="H2930">
        <v>141.01666700000001</v>
      </c>
      <c r="J2930" s="2" t="s">
        <v>7</v>
      </c>
      <c r="K2930" t="s">
        <v>385</v>
      </c>
      <c r="L2930" t="s">
        <v>143</v>
      </c>
      <c r="M2930" t="s">
        <v>12</v>
      </c>
      <c r="N2930" t="s">
        <v>85</v>
      </c>
      <c r="O2930" s="6" t="s">
        <v>12</v>
      </c>
      <c r="P2930" t="s">
        <v>70</v>
      </c>
      <c r="Q2930">
        <v>3</v>
      </c>
      <c r="R2930" t="s">
        <v>214</v>
      </c>
      <c r="S2930" s="2" t="s">
        <v>7</v>
      </c>
      <c r="T2930">
        <v>32</v>
      </c>
      <c r="U2930" t="s">
        <v>28</v>
      </c>
      <c r="V2930" t="s">
        <v>28</v>
      </c>
      <c r="W2930">
        <v>15</v>
      </c>
      <c r="X2930">
        <v>100</v>
      </c>
      <c r="Y2930">
        <v>0</v>
      </c>
      <c r="AA2930" s="6"/>
      <c r="AB2930" s="6"/>
    </row>
    <row r="2931" spans="1:28" x14ac:dyDescent="0.2">
      <c r="A2931" t="s">
        <v>387</v>
      </c>
      <c r="B2931">
        <v>2017</v>
      </c>
      <c r="C2931" t="s">
        <v>826</v>
      </c>
      <c r="D2931" t="s">
        <v>824</v>
      </c>
      <c r="E2931" t="s">
        <v>114</v>
      </c>
      <c r="F2931" t="s">
        <v>388</v>
      </c>
      <c r="G2931">
        <v>41.883333</v>
      </c>
      <c r="H2931">
        <v>141.01666700000001</v>
      </c>
      <c r="J2931" s="2" t="s">
        <v>7</v>
      </c>
      <c r="K2931" t="s">
        <v>385</v>
      </c>
      <c r="L2931" t="s">
        <v>143</v>
      </c>
      <c r="M2931" t="s">
        <v>12</v>
      </c>
      <c r="N2931" t="s">
        <v>85</v>
      </c>
      <c r="O2931" s="6" t="s">
        <v>12</v>
      </c>
      <c r="P2931" t="s">
        <v>70</v>
      </c>
      <c r="Q2931">
        <v>4</v>
      </c>
      <c r="R2931" t="s">
        <v>214</v>
      </c>
      <c r="S2931" s="2" t="s">
        <v>7</v>
      </c>
      <c r="T2931">
        <v>32</v>
      </c>
      <c r="U2931" t="s">
        <v>28</v>
      </c>
      <c r="V2931" t="s">
        <v>28</v>
      </c>
      <c r="W2931">
        <v>15</v>
      </c>
      <c r="X2931">
        <v>100</v>
      </c>
      <c r="Y2931">
        <v>0</v>
      </c>
      <c r="AA2931" s="6"/>
      <c r="AB2931" s="6"/>
    </row>
    <row r="2932" spans="1:28" x14ac:dyDescent="0.2">
      <c r="A2932" t="s">
        <v>387</v>
      </c>
      <c r="B2932">
        <v>2017</v>
      </c>
      <c r="C2932" t="s">
        <v>826</v>
      </c>
      <c r="D2932" t="s">
        <v>824</v>
      </c>
      <c r="E2932" t="s">
        <v>114</v>
      </c>
      <c r="F2932" t="s">
        <v>388</v>
      </c>
      <c r="G2932">
        <v>41.883333</v>
      </c>
      <c r="H2932">
        <v>141.01666700000001</v>
      </c>
      <c r="J2932" s="2" t="s">
        <v>7</v>
      </c>
      <c r="K2932" t="s">
        <v>385</v>
      </c>
      <c r="L2932" t="s">
        <v>143</v>
      </c>
      <c r="M2932" t="s">
        <v>12</v>
      </c>
      <c r="N2932" t="s">
        <v>85</v>
      </c>
      <c r="O2932" s="6" t="s">
        <v>12</v>
      </c>
      <c r="P2932" t="s">
        <v>70</v>
      </c>
      <c r="Q2932">
        <v>5</v>
      </c>
      <c r="R2932" t="s">
        <v>214</v>
      </c>
      <c r="S2932" s="2" t="s">
        <v>7</v>
      </c>
      <c r="T2932">
        <v>32</v>
      </c>
      <c r="U2932" t="s">
        <v>28</v>
      </c>
      <c r="V2932" t="s">
        <v>28</v>
      </c>
      <c r="W2932">
        <v>15</v>
      </c>
      <c r="X2932">
        <v>100</v>
      </c>
      <c r="Y2932">
        <v>0</v>
      </c>
      <c r="AA2932" s="6"/>
      <c r="AB2932" s="6"/>
    </row>
    <row r="2933" spans="1:28" x14ac:dyDescent="0.2">
      <c r="A2933" t="s">
        <v>387</v>
      </c>
      <c r="B2933">
        <v>2017</v>
      </c>
      <c r="C2933" t="s">
        <v>826</v>
      </c>
      <c r="D2933" t="s">
        <v>824</v>
      </c>
      <c r="E2933" t="s">
        <v>114</v>
      </c>
      <c r="F2933" t="s">
        <v>388</v>
      </c>
      <c r="G2933">
        <v>41.883333</v>
      </c>
      <c r="H2933">
        <v>141.01666700000001</v>
      </c>
      <c r="J2933" s="2" t="s">
        <v>7</v>
      </c>
      <c r="K2933" t="s">
        <v>385</v>
      </c>
      <c r="L2933" t="s">
        <v>143</v>
      </c>
      <c r="M2933" t="s">
        <v>12</v>
      </c>
      <c r="N2933" t="s">
        <v>85</v>
      </c>
      <c r="O2933" s="6" t="s">
        <v>12</v>
      </c>
      <c r="P2933" t="s">
        <v>70</v>
      </c>
      <c r="Q2933">
        <v>6</v>
      </c>
      <c r="R2933" t="s">
        <v>214</v>
      </c>
      <c r="S2933" s="2" t="s">
        <v>7</v>
      </c>
      <c r="T2933">
        <v>32</v>
      </c>
      <c r="U2933" t="s">
        <v>28</v>
      </c>
      <c r="V2933" t="s">
        <v>28</v>
      </c>
      <c r="W2933">
        <v>15</v>
      </c>
      <c r="X2933">
        <v>100</v>
      </c>
      <c r="Y2933">
        <v>0</v>
      </c>
      <c r="AA2933" s="6"/>
      <c r="AB2933" s="6"/>
    </row>
    <row r="2934" spans="1:28" x14ac:dyDescent="0.2">
      <c r="A2934" t="s">
        <v>387</v>
      </c>
      <c r="B2934">
        <v>2017</v>
      </c>
      <c r="C2934" t="s">
        <v>826</v>
      </c>
      <c r="D2934" t="s">
        <v>824</v>
      </c>
      <c r="E2934" t="s">
        <v>114</v>
      </c>
      <c r="F2934" t="s">
        <v>388</v>
      </c>
      <c r="G2934">
        <v>41.883333</v>
      </c>
      <c r="H2934">
        <v>141.01666700000001</v>
      </c>
      <c r="J2934" s="2" t="s">
        <v>7</v>
      </c>
      <c r="K2934" t="s">
        <v>385</v>
      </c>
      <c r="L2934" t="s">
        <v>143</v>
      </c>
      <c r="M2934" t="s">
        <v>12</v>
      </c>
      <c r="N2934" t="s">
        <v>85</v>
      </c>
      <c r="O2934" s="6" t="s">
        <v>12</v>
      </c>
      <c r="P2934" t="s">
        <v>70</v>
      </c>
      <c r="Q2934">
        <v>7</v>
      </c>
      <c r="R2934" t="s">
        <v>214</v>
      </c>
      <c r="S2934" s="2" t="s">
        <v>7</v>
      </c>
      <c r="T2934">
        <v>32</v>
      </c>
      <c r="U2934" t="s">
        <v>28</v>
      </c>
      <c r="V2934" t="s">
        <v>28</v>
      </c>
      <c r="W2934">
        <v>15</v>
      </c>
      <c r="X2934">
        <v>100</v>
      </c>
      <c r="Y2934">
        <v>0</v>
      </c>
      <c r="AA2934" s="6"/>
      <c r="AB2934" s="6"/>
    </row>
    <row r="2935" spans="1:28" x14ac:dyDescent="0.2">
      <c r="A2935" t="s">
        <v>387</v>
      </c>
      <c r="B2935">
        <v>2017</v>
      </c>
      <c r="C2935" t="s">
        <v>826</v>
      </c>
      <c r="D2935" t="s">
        <v>824</v>
      </c>
      <c r="E2935" t="s">
        <v>114</v>
      </c>
      <c r="F2935" t="s">
        <v>388</v>
      </c>
      <c r="G2935">
        <v>41.883333</v>
      </c>
      <c r="H2935">
        <v>141.01666700000001</v>
      </c>
      <c r="J2935" s="2" t="s">
        <v>7</v>
      </c>
      <c r="K2935" t="s">
        <v>385</v>
      </c>
      <c r="L2935" t="s">
        <v>143</v>
      </c>
      <c r="M2935" t="s">
        <v>12</v>
      </c>
      <c r="N2935" t="s">
        <v>85</v>
      </c>
      <c r="O2935" s="6" t="s">
        <v>12</v>
      </c>
      <c r="P2935" t="s">
        <v>70</v>
      </c>
      <c r="Q2935">
        <v>8</v>
      </c>
      <c r="R2935" t="s">
        <v>214</v>
      </c>
      <c r="S2935" s="2" t="s">
        <v>7</v>
      </c>
      <c r="T2935">
        <v>32</v>
      </c>
      <c r="U2935" t="s">
        <v>28</v>
      </c>
      <c r="V2935" t="s">
        <v>28</v>
      </c>
      <c r="W2935">
        <v>15</v>
      </c>
      <c r="X2935">
        <v>100</v>
      </c>
      <c r="Y2935">
        <v>0</v>
      </c>
      <c r="AA2935" s="6"/>
      <c r="AB2935" s="6"/>
    </row>
    <row r="2936" spans="1:28" x14ac:dyDescent="0.2">
      <c r="A2936" t="s">
        <v>387</v>
      </c>
      <c r="B2936">
        <v>2017</v>
      </c>
      <c r="C2936" t="s">
        <v>826</v>
      </c>
      <c r="D2936" t="s">
        <v>824</v>
      </c>
      <c r="E2936" t="s">
        <v>114</v>
      </c>
      <c r="F2936" t="s">
        <v>388</v>
      </c>
      <c r="G2936">
        <v>41.883333</v>
      </c>
      <c r="H2936">
        <v>141.01666700000001</v>
      </c>
      <c r="J2936" s="2" t="s">
        <v>7</v>
      </c>
      <c r="K2936" t="s">
        <v>385</v>
      </c>
      <c r="L2936" t="s">
        <v>143</v>
      </c>
      <c r="M2936" t="s">
        <v>12</v>
      </c>
      <c r="N2936" t="s">
        <v>85</v>
      </c>
      <c r="O2936" s="6" t="s">
        <v>12</v>
      </c>
      <c r="P2936" t="s">
        <v>70</v>
      </c>
      <c r="Q2936">
        <v>9</v>
      </c>
      <c r="R2936" t="s">
        <v>214</v>
      </c>
      <c r="S2936" s="2" t="s">
        <v>7</v>
      </c>
      <c r="T2936">
        <v>32</v>
      </c>
      <c r="U2936" t="s">
        <v>28</v>
      </c>
      <c r="V2936" t="s">
        <v>28</v>
      </c>
      <c r="W2936">
        <v>15</v>
      </c>
      <c r="X2936">
        <v>100</v>
      </c>
      <c r="Y2936">
        <v>0</v>
      </c>
      <c r="AA2936" s="6"/>
      <c r="AB2936" s="6"/>
    </row>
    <row r="2937" spans="1:28" x14ac:dyDescent="0.2">
      <c r="A2937" t="s">
        <v>387</v>
      </c>
      <c r="B2937">
        <v>2017</v>
      </c>
      <c r="C2937" t="s">
        <v>826</v>
      </c>
      <c r="D2937" t="s">
        <v>824</v>
      </c>
      <c r="E2937" t="s">
        <v>114</v>
      </c>
      <c r="F2937" t="s">
        <v>388</v>
      </c>
      <c r="G2937">
        <v>41.883333</v>
      </c>
      <c r="H2937">
        <v>141.01666700000001</v>
      </c>
      <c r="J2937" s="2" t="s">
        <v>7</v>
      </c>
      <c r="K2937" t="s">
        <v>385</v>
      </c>
      <c r="L2937" t="s">
        <v>143</v>
      </c>
      <c r="M2937" t="s">
        <v>12</v>
      </c>
      <c r="N2937" t="s">
        <v>85</v>
      </c>
      <c r="O2937" s="6" t="s">
        <v>12</v>
      </c>
      <c r="P2937" t="s">
        <v>70</v>
      </c>
      <c r="Q2937">
        <v>10</v>
      </c>
      <c r="R2937" t="s">
        <v>214</v>
      </c>
      <c r="S2937" s="2" t="s">
        <v>7</v>
      </c>
      <c r="T2937">
        <v>32</v>
      </c>
      <c r="U2937" t="s">
        <v>28</v>
      </c>
      <c r="V2937" t="s">
        <v>28</v>
      </c>
      <c r="W2937">
        <v>15</v>
      </c>
      <c r="X2937">
        <v>100</v>
      </c>
      <c r="Y2937">
        <v>0</v>
      </c>
      <c r="AA2937" s="6"/>
      <c r="AB2937" s="6"/>
    </row>
    <row r="2938" spans="1:28" x14ac:dyDescent="0.2">
      <c r="A2938" t="s">
        <v>387</v>
      </c>
      <c r="B2938">
        <v>2017</v>
      </c>
      <c r="C2938" t="s">
        <v>826</v>
      </c>
      <c r="D2938" t="s">
        <v>824</v>
      </c>
      <c r="E2938" t="s">
        <v>114</v>
      </c>
      <c r="F2938" t="s">
        <v>388</v>
      </c>
      <c r="G2938">
        <v>41.883333</v>
      </c>
      <c r="H2938">
        <v>141.01666700000001</v>
      </c>
      <c r="J2938" s="2" t="s">
        <v>7</v>
      </c>
      <c r="K2938" t="s">
        <v>385</v>
      </c>
      <c r="L2938" t="s">
        <v>143</v>
      </c>
      <c r="M2938" t="s">
        <v>12</v>
      </c>
      <c r="N2938" t="s">
        <v>85</v>
      </c>
      <c r="O2938" s="6" t="s">
        <v>12</v>
      </c>
      <c r="P2938" t="s">
        <v>70</v>
      </c>
      <c r="Q2938">
        <v>11</v>
      </c>
      <c r="R2938" t="s">
        <v>214</v>
      </c>
      <c r="S2938" s="2" t="s">
        <v>7</v>
      </c>
      <c r="T2938">
        <v>32</v>
      </c>
      <c r="U2938" t="s">
        <v>28</v>
      </c>
      <c r="V2938" t="s">
        <v>28</v>
      </c>
      <c r="W2938">
        <v>15</v>
      </c>
      <c r="X2938">
        <v>100</v>
      </c>
      <c r="Y2938">
        <v>0</v>
      </c>
      <c r="AA2938" s="6"/>
      <c r="AB2938" s="6"/>
    </row>
    <row r="2939" spans="1:28" x14ac:dyDescent="0.2">
      <c r="A2939" t="s">
        <v>387</v>
      </c>
      <c r="B2939">
        <v>2017</v>
      </c>
      <c r="C2939" t="s">
        <v>826</v>
      </c>
      <c r="D2939" t="s">
        <v>824</v>
      </c>
      <c r="E2939" t="s">
        <v>114</v>
      </c>
      <c r="F2939" t="s">
        <v>388</v>
      </c>
      <c r="G2939">
        <v>41.883333</v>
      </c>
      <c r="H2939">
        <v>141.01666700000001</v>
      </c>
      <c r="J2939" s="2" t="s">
        <v>7</v>
      </c>
      <c r="K2939" t="s">
        <v>385</v>
      </c>
      <c r="L2939" t="s">
        <v>143</v>
      </c>
      <c r="M2939" t="s">
        <v>12</v>
      </c>
      <c r="N2939" t="s">
        <v>85</v>
      </c>
      <c r="O2939" s="6" t="s">
        <v>12</v>
      </c>
      <c r="P2939" t="s">
        <v>70</v>
      </c>
      <c r="Q2939">
        <v>12</v>
      </c>
      <c r="R2939" t="s">
        <v>213</v>
      </c>
      <c r="S2939" s="2" t="s">
        <v>7</v>
      </c>
      <c r="T2939">
        <v>32</v>
      </c>
      <c r="U2939" t="s">
        <v>28</v>
      </c>
      <c r="V2939" t="s">
        <v>28</v>
      </c>
      <c r="W2939">
        <v>15</v>
      </c>
      <c r="X2939">
        <v>100</v>
      </c>
      <c r="Y2939">
        <v>0</v>
      </c>
      <c r="AA2939" s="6"/>
      <c r="AB2939" s="6"/>
    </row>
    <row r="2940" spans="1:28" x14ac:dyDescent="0.2">
      <c r="A2940" t="s">
        <v>387</v>
      </c>
      <c r="B2940">
        <v>2017</v>
      </c>
      <c r="C2940" t="s">
        <v>826</v>
      </c>
      <c r="D2940" t="s">
        <v>824</v>
      </c>
      <c r="E2940" t="s">
        <v>114</v>
      </c>
      <c r="F2940" t="s">
        <v>388</v>
      </c>
      <c r="G2940">
        <v>41.883333</v>
      </c>
      <c r="H2940">
        <v>141.01666700000001</v>
      </c>
      <c r="J2940" s="2" t="s">
        <v>7</v>
      </c>
      <c r="K2940" t="s">
        <v>389</v>
      </c>
      <c r="L2940" t="s">
        <v>144</v>
      </c>
      <c r="M2940" t="s">
        <v>12</v>
      </c>
      <c r="N2940" t="s">
        <v>85</v>
      </c>
      <c r="O2940" s="6" t="s">
        <v>12</v>
      </c>
      <c r="P2940" t="s">
        <v>70</v>
      </c>
      <c r="Q2940">
        <v>1</v>
      </c>
      <c r="R2940" t="s">
        <v>214</v>
      </c>
      <c r="S2940" s="2" t="s">
        <v>7</v>
      </c>
      <c r="T2940">
        <v>32</v>
      </c>
      <c r="U2940" t="s">
        <v>28</v>
      </c>
      <c r="V2940" t="s">
        <v>28</v>
      </c>
      <c r="W2940">
        <v>15</v>
      </c>
      <c r="X2940">
        <v>100</v>
      </c>
      <c r="Y2940">
        <v>0</v>
      </c>
      <c r="AA2940" s="6"/>
      <c r="AB2940" s="6"/>
    </row>
    <row r="2941" spans="1:28" x14ac:dyDescent="0.2">
      <c r="A2941" t="s">
        <v>387</v>
      </c>
      <c r="B2941">
        <v>2017</v>
      </c>
      <c r="C2941" t="s">
        <v>826</v>
      </c>
      <c r="D2941" t="s">
        <v>824</v>
      </c>
      <c r="E2941" t="s">
        <v>114</v>
      </c>
      <c r="F2941" t="s">
        <v>388</v>
      </c>
      <c r="G2941">
        <v>41.883333</v>
      </c>
      <c r="H2941">
        <v>141.01666700000001</v>
      </c>
      <c r="J2941" s="2" t="s">
        <v>7</v>
      </c>
      <c r="K2941" t="s">
        <v>389</v>
      </c>
      <c r="L2941" t="s">
        <v>144</v>
      </c>
      <c r="M2941" t="s">
        <v>12</v>
      </c>
      <c r="N2941" t="s">
        <v>85</v>
      </c>
      <c r="O2941" s="6" t="s">
        <v>12</v>
      </c>
      <c r="P2941" t="s">
        <v>70</v>
      </c>
      <c r="Q2941">
        <v>2</v>
      </c>
      <c r="R2941" t="s">
        <v>214</v>
      </c>
      <c r="S2941" s="2" t="s">
        <v>7</v>
      </c>
      <c r="T2941">
        <v>32</v>
      </c>
      <c r="U2941" t="s">
        <v>28</v>
      </c>
      <c r="V2941" t="s">
        <v>28</v>
      </c>
      <c r="W2941">
        <v>15</v>
      </c>
      <c r="X2941">
        <v>100</v>
      </c>
      <c r="Y2941">
        <v>0</v>
      </c>
      <c r="AA2941" s="6"/>
      <c r="AB2941" s="6"/>
    </row>
    <row r="2942" spans="1:28" x14ac:dyDescent="0.2">
      <c r="A2942" t="s">
        <v>387</v>
      </c>
      <c r="B2942">
        <v>2017</v>
      </c>
      <c r="C2942" t="s">
        <v>826</v>
      </c>
      <c r="D2942" t="s">
        <v>824</v>
      </c>
      <c r="E2942" t="s">
        <v>114</v>
      </c>
      <c r="F2942" t="s">
        <v>388</v>
      </c>
      <c r="G2942">
        <v>41.883333</v>
      </c>
      <c r="H2942">
        <v>141.01666700000001</v>
      </c>
      <c r="J2942" s="2" t="s">
        <v>7</v>
      </c>
      <c r="K2942" t="s">
        <v>389</v>
      </c>
      <c r="L2942" t="s">
        <v>144</v>
      </c>
      <c r="M2942" t="s">
        <v>12</v>
      </c>
      <c r="N2942" t="s">
        <v>85</v>
      </c>
      <c r="O2942" s="6" t="s">
        <v>12</v>
      </c>
      <c r="P2942" t="s">
        <v>70</v>
      </c>
      <c r="Q2942">
        <v>3</v>
      </c>
      <c r="R2942" t="s">
        <v>214</v>
      </c>
      <c r="S2942" s="2" t="s">
        <v>7</v>
      </c>
      <c r="T2942">
        <v>32</v>
      </c>
      <c r="U2942" t="s">
        <v>28</v>
      </c>
      <c r="V2942" t="s">
        <v>28</v>
      </c>
      <c r="W2942">
        <v>15</v>
      </c>
      <c r="X2942">
        <v>100</v>
      </c>
      <c r="Y2942">
        <v>0</v>
      </c>
      <c r="AA2942" s="6"/>
      <c r="AB2942" s="6"/>
    </row>
    <row r="2943" spans="1:28" x14ac:dyDescent="0.2">
      <c r="A2943" t="s">
        <v>387</v>
      </c>
      <c r="B2943">
        <v>2017</v>
      </c>
      <c r="C2943" t="s">
        <v>826</v>
      </c>
      <c r="D2943" t="s">
        <v>824</v>
      </c>
      <c r="E2943" t="s">
        <v>114</v>
      </c>
      <c r="F2943" t="s">
        <v>388</v>
      </c>
      <c r="G2943">
        <v>41.883333</v>
      </c>
      <c r="H2943">
        <v>141.01666700000001</v>
      </c>
      <c r="J2943" s="2" t="s">
        <v>7</v>
      </c>
      <c r="K2943" t="s">
        <v>389</v>
      </c>
      <c r="L2943" t="s">
        <v>144</v>
      </c>
      <c r="M2943" t="s">
        <v>12</v>
      </c>
      <c r="N2943" t="s">
        <v>85</v>
      </c>
      <c r="O2943" s="6" t="s">
        <v>12</v>
      </c>
      <c r="P2943" t="s">
        <v>70</v>
      </c>
      <c r="Q2943">
        <v>4</v>
      </c>
      <c r="R2943" t="s">
        <v>214</v>
      </c>
      <c r="S2943" s="2" t="s">
        <v>7</v>
      </c>
      <c r="T2943">
        <v>32</v>
      </c>
      <c r="U2943" t="s">
        <v>28</v>
      </c>
      <c r="V2943" t="s">
        <v>28</v>
      </c>
      <c r="W2943">
        <v>15</v>
      </c>
      <c r="X2943">
        <v>100</v>
      </c>
      <c r="Y2943">
        <v>0</v>
      </c>
      <c r="AA2943" s="6"/>
      <c r="AB2943" s="6"/>
    </row>
    <row r="2944" spans="1:28" x14ac:dyDescent="0.2">
      <c r="A2944" t="s">
        <v>387</v>
      </c>
      <c r="B2944">
        <v>2017</v>
      </c>
      <c r="C2944" t="s">
        <v>826</v>
      </c>
      <c r="D2944" t="s">
        <v>824</v>
      </c>
      <c r="E2944" t="s">
        <v>114</v>
      </c>
      <c r="F2944" t="s">
        <v>388</v>
      </c>
      <c r="G2944">
        <v>41.883333</v>
      </c>
      <c r="H2944">
        <v>141.01666700000001</v>
      </c>
      <c r="J2944" s="2" t="s">
        <v>7</v>
      </c>
      <c r="K2944" t="s">
        <v>389</v>
      </c>
      <c r="L2944" t="s">
        <v>144</v>
      </c>
      <c r="M2944" t="s">
        <v>12</v>
      </c>
      <c r="N2944" t="s">
        <v>85</v>
      </c>
      <c r="O2944" s="6" t="s">
        <v>12</v>
      </c>
      <c r="P2944" t="s">
        <v>70</v>
      </c>
      <c r="Q2944">
        <v>5</v>
      </c>
      <c r="R2944" t="s">
        <v>214</v>
      </c>
      <c r="S2944" s="2" t="s">
        <v>7</v>
      </c>
      <c r="T2944">
        <v>32</v>
      </c>
      <c r="U2944" t="s">
        <v>28</v>
      </c>
      <c r="V2944" t="s">
        <v>28</v>
      </c>
      <c r="W2944">
        <v>15</v>
      </c>
      <c r="X2944">
        <v>100</v>
      </c>
      <c r="Y2944">
        <v>0</v>
      </c>
      <c r="AA2944" s="6"/>
      <c r="AB2944" s="6"/>
    </row>
    <row r="2945" spans="1:28" x14ac:dyDescent="0.2">
      <c r="A2945" t="s">
        <v>387</v>
      </c>
      <c r="B2945">
        <v>2017</v>
      </c>
      <c r="C2945" t="s">
        <v>826</v>
      </c>
      <c r="D2945" t="s">
        <v>824</v>
      </c>
      <c r="E2945" t="s">
        <v>114</v>
      </c>
      <c r="F2945" t="s">
        <v>388</v>
      </c>
      <c r="G2945">
        <v>41.883333</v>
      </c>
      <c r="H2945">
        <v>141.01666700000001</v>
      </c>
      <c r="J2945" s="2" t="s">
        <v>7</v>
      </c>
      <c r="K2945" t="s">
        <v>389</v>
      </c>
      <c r="L2945" t="s">
        <v>144</v>
      </c>
      <c r="M2945" t="s">
        <v>12</v>
      </c>
      <c r="N2945" t="s">
        <v>85</v>
      </c>
      <c r="O2945" s="6" t="s">
        <v>12</v>
      </c>
      <c r="P2945" t="s">
        <v>70</v>
      </c>
      <c r="Q2945">
        <v>6</v>
      </c>
      <c r="R2945" t="s">
        <v>214</v>
      </c>
      <c r="S2945" s="2" t="s">
        <v>7</v>
      </c>
      <c r="T2945">
        <v>32</v>
      </c>
      <c r="U2945" t="s">
        <v>28</v>
      </c>
      <c r="V2945" t="s">
        <v>28</v>
      </c>
      <c r="W2945">
        <v>15</v>
      </c>
      <c r="X2945">
        <v>100</v>
      </c>
      <c r="Y2945">
        <v>0</v>
      </c>
      <c r="AA2945" s="6"/>
      <c r="AB2945" s="6"/>
    </row>
    <row r="2946" spans="1:28" x14ac:dyDescent="0.2">
      <c r="A2946" t="s">
        <v>387</v>
      </c>
      <c r="B2946">
        <v>2017</v>
      </c>
      <c r="C2946" t="s">
        <v>826</v>
      </c>
      <c r="D2946" t="s">
        <v>824</v>
      </c>
      <c r="E2946" t="s">
        <v>114</v>
      </c>
      <c r="F2946" t="s">
        <v>388</v>
      </c>
      <c r="G2946">
        <v>41.883333</v>
      </c>
      <c r="H2946">
        <v>141.01666700000001</v>
      </c>
      <c r="J2946" s="2" t="s">
        <v>7</v>
      </c>
      <c r="K2946" t="s">
        <v>389</v>
      </c>
      <c r="L2946" t="s">
        <v>144</v>
      </c>
      <c r="M2946" t="s">
        <v>12</v>
      </c>
      <c r="N2946" t="s">
        <v>85</v>
      </c>
      <c r="O2946" s="6" t="s">
        <v>12</v>
      </c>
      <c r="P2946" t="s">
        <v>70</v>
      </c>
      <c r="Q2946">
        <v>7</v>
      </c>
      <c r="R2946" t="s">
        <v>214</v>
      </c>
      <c r="S2946" s="2" t="s">
        <v>7</v>
      </c>
      <c r="T2946">
        <v>32</v>
      </c>
      <c r="U2946" t="s">
        <v>28</v>
      </c>
      <c r="V2946" t="s">
        <v>28</v>
      </c>
      <c r="W2946">
        <v>15</v>
      </c>
      <c r="X2946">
        <v>100</v>
      </c>
      <c r="Y2946">
        <v>0</v>
      </c>
      <c r="AA2946" s="6"/>
      <c r="AB2946" s="6"/>
    </row>
    <row r="2947" spans="1:28" x14ac:dyDescent="0.2">
      <c r="A2947" t="s">
        <v>387</v>
      </c>
      <c r="B2947">
        <v>2017</v>
      </c>
      <c r="C2947" t="s">
        <v>826</v>
      </c>
      <c r="D2947" t="s">
        <v>824</v>
      </c>
      <c r="E2947" t="s">
        <v>114</v>
      </c>
      <c r="F2947" t="s">
        <v>388</v>
      </c>
      <c r="G2947">
        <v>41.883333</v>
      </c>
      <c r="H2947">
        <v>141.01666700000001</v>
      </c>
      <c r="J2947" s="2" t="s">
        <v>7</v>
      </c>
      <c r="K2947" t="s">
        <v>389</v>
      </c>
      <c r="L2947" t="s">
        <v>144</v>
      </c>
      <c r="M2947" t="s">
        <v>12</v>
      </c>
      <c r="N2947" t="s">
        <v>85</v>
      </c>
      <c r="O2947" s="6" t="s">
        <v>12</v>
      </c>
      <c r="P2947" t="s">
        <v>70</v>
      </c>
      <c r="Q2947">
        <v>8</v>
      </c>
      <c r="R2947" t="s">
        <v>214</v>
      </c>
      <c r="S2947" s="2" t="s">
        <v>7</v>
      </c>
      <c r="T2947">
        <v>32</v>
      </c>
      <c r="U2947" t="s">
        <v>28</v>
      </c>
      <c r="V2947" t="s">
        <v>28</v>
      </c>
      <c r="W2947">
        <v>15</v>
      </c>
      <c r="X2947">
        <v>100</v>
      </c>
      <c r="Y2947">
        <v>0</v>
      </c>
      <c r="AA2947" s="6"/>
      <c r="AB2947" s="6"/>
    </row>
    <row r="2948" spans="1:28" x14ac:dyDescent="0.2">
      <c r="A2948" t="s">
        <v>387</v>
      </c>
      <c r="B2948">
        <v>2017</v>
      </c>
      <c r="C2948" t="s">
        <v>826</v>
      </c>
      <c r="D2948" t="s">
        <v>824</v>
      </c>
      <c r="E2948" t="s">
        <v>114</v>
      </c>
      <c r="F2948" t="s">
        <v>388</v>
      </c>
      <c r="G2948">
        <v>41.883333</v>
      </c>
      <c r="H2948">
        <v>141.01666700000001</v>
      </c>
      <c r="J2948" s="2" t="s">
        <v>7</v>
      </c>
      <c r="K2948" t="s">
        <v>389</v>
      </c>
      <c r="L2948" t="s">
        <v>144</v>
      </c>
      <c r="M2948" t="s">
        <v>12</v>
      </c>
      <c r="N2948" t="s">
        <v>85</v>
      </c>
      <c r="O2948" s="6" t="s">
        <v>12</v>
      </c>
      <c r="P2948" t="s">
        <v>70</v>
      </c>
      <c r="Q2948">
        <v>9</v>
      </c>
      <c r="R2948" t="s">
        <v>214</v>
      </c>
      <c r="S2948" s="2" t="s">
        <v>7</v>
      </c>
      <c r="T2948">
        <v>32</v>
      </c>
      <c r="U2948" t="s">
        <v>28</v>
      </c>
      <c r="V2948" t="s">
        <v>28</v>
      </c>
      <c r="W2948">
        <v>15</v>
      </c>
      <c r="X2948">
        <v>100</v>
      </c>
      <c r="Y2948">
        <v>0</v>
      </c>
      <c r="AA2948" s="6"/>
      <c r="AB2948" s="6"/>
    </row>
    <row r="2949" spans="1:28" x14ac:dyDescent="0.2">
      <c r="A2949" t="s">
        <v>387</v>
      </c>
      <c r="B2949">
        <v>2017</v>
      </c>
      <c r="C2949" t="s">
        <v>826</v>
      </c>
      <c r="D2949" t="s">
        <v>824</v>
      </c>
      <c r="E2949" t="s">
        <v>114</v>
      </c>
      <c r="F2949" t="s">
        <v>388</v>
      </c>
      <c r="G2949">
        <v>41.883333</v>
      </c>
      <c r="H2949">
        <v>141.01666700000001</v>
      </c>
      <c r="J2949" s="2" t="s">
        <v>7</v>
      </c>
      <c r="K2949" t="s">
        <v>389</v>
      </c>
      <c r="L2949" t="s">
        <v>144</v>
      </c>
      <c r="M2949" t="s">
        <v>12</v>
      </c>
      <c r="N2949" t="s">
        <v>85</v>
      </c>
      <c r="O2949" s="6" t="s">
        <v>12</v>
      </c>
      <c r="P2949" t="s">
        <v>70</v>
      </c>
      <c r="Q2949">
        <v>10</v>
      </c>
      <c r="R2949" t="s">
        <v>214</v>
      </c>
      <c r="S2949" s="2" t="s">
        <v>7</v>
      </c>
      <c r="T2949">
        <v>32</v>
      </c>
      <c r="U2949" t="s">
        <v>28</v>
      </c>
      <c r="V2949" t="s">
        <v>28</v>
      </c>
      <c r="W2949">
        <v>15</v>
      </c>
      <c r="X2949">
        <v>100</v>
      </c>
      <c r="Y2949">
        <v>0</v>
      </c>
      <c r="AA2949" s="6"/>
      <c r="AB2949" s="6"/>
    </row>
    <row r="2950" spans="1:28" x14ac:dyDescent="0.2">
      <c r="A2950" t="s">
        <v>387</v>
      </c>
      <c r="B2950">
        <v>2017</v>
      </c>
      <c r="C2950" t="s">
        <v>826</v>
      </c>
      <c r="D2950" t="s">
        <v>824</v>
      </c>
      <c r="E2950" t="s">
        <v>114</v>
      </c>
      <c r="F2950" t="s">
        <v>388</v>
      </c>
      <c r="G2950">
        <v>41.883333</v>
      </c>
      <c r="H2950">
        <v>141.01666700000001</v>
      </c>
      <c r="J2950" s="2" t="s">
        <v>7</v>
      </c>
      <c r="K2950" t="s">
        <v>389</v>
      </c>
      <c r="L2950" t="s">
        <v>144</v>
      </c>
      <c r="M2950" t="s">
        <v>12</v>
      </c>
      <c r="N2950" t="s">
        <v>85</v>
      </c>
      <c r="O2950" s="6" t="s">
        <v>12</v>
      </c>
      <c r="P2950" t="s">
        <v>70</v>
      </c>
      <c r="Q2950">
        <v>11</v>
      </c>
      <c r="R2950" t="s">
        <v>214</v>
      </c>
      <c r="S2950" s="2" t="s">
        <v>7</v>
      </c>
      <c r="T2950">
        <v>32</v>
      </c>
      <c r="U2950" t="s">
        <v>28</v>
      </c>
      <c r="V2950" t="s">
        <v>28</v>
      </c>
      <c r="W2950">
        <v>15</v>
      </c>
      <c r="X2950">
        <v>100</v>
      </c>
      <c r="Y2950">
        <v>0</v>
      </c>
      <c r="AA2950" s="6"/>
      <c r="AB2950" s="6"/>
    </row>
    <row r="2951" spans="1:28" x14ac:dyDescent="0.2">
      <c r="A2951" t="s">
        <v>387</v>
      </c>
      <c r="B2951">
        <v>2017</v>
      </c>
      <c r="C2951" t="s">
        <v>826</v>
      </c>
      <c r="D2951" t="s">
        <v>824</v>
      </c>
      <c r="E2951" t="s">
        <v>114</v>
      </c>
      <c r="F2951" t="s">
        <v>388</v>
      </c>
      <c r="G2951">
        <v>41.883333</v>
      </c>
      <c r="H2951">
        <v>141.01666700000001</v>
      </c>
      <c r="J2951" s="2" t="s">
        <v>7</v>
      </c>
      <c r="K2951" t="s">
        <v>389</v>
      </c>
      <c r="L2951" t="s">
        <v>144</v>
      </c>
      <c r="M2951" t="s">
        <v>12</v>
      </c>
      <c r="N2951" t="s">
        <v>85</v>
      </c>
      <c r="O2951" s="6" t="s">
        <v>12</v>
      </c>
      <c r="P2951" t="s">
        <v>70</v>
      </c>
      <c r="Q2951">
        <v>12</v>
      </c>
      <c r="R2951" t="s">
        <v>213</v>
      </c>
      <c r="S2951" s="2" t="s">
        <v>7</v>
      </c>
      <c r="T2951">
        <v>32</v>
      </c>
      <c r="U2951" t="s">
        <v>28</v>
      </c>
      <c r="V2951" t="s">
        <v>28</v>
      </c>
      <c r="W2951">
        <v>15</v>
      </c>
      <c r="X2951">
        <v>100</v>
      </c>
      <c r="Y2951">
        <v>0</v>
      </c>
      <c r="AA2951" s="6"/>
      <c r="AB2951" s="6"/>
    </row>
    <row r="2952" spans="1:28" x14ac:dyDescent="0.2">
      <c r="A2952" t="s">
        <v>387</v>
      </c>
      <c r="B2952">
        <v>2017</v>
      </c>
      <c r="C2952" t="s">
        <v>826</v>
      </c>
      <c r="D2952" t="s">
        <v>824</v>
      </c>
      <c r="E2952" t="s">
        <v>114</v>
      </c>
      <c r="F2952" t="s">
        <v>388</v>
      </c>
      <c r="G2952">
        <v>41.883333</v>
      </c>
      <c r="H2952">
        <v>141.01666700000001</v>
      </c>
      <c r="J2952" s="2" t="s">
        <v>14</v>
      </c>
      <c r="K2952" t="s">
        <v>385</v>
      </c>
      <c r="L2952" t="s">
        <v>143</v>
      </c>
      <c r="M2952" t="s">
        <v>12</v>
      </c>
      <c r="N2952" t="s">
        <v>85</v>
      </c>
      <c r="O2952" s="6" t="s">
        <v>12</v>
      </c>
      <c r="P2952" t="s">
        <v>70</v>
      </c>
      <c r="Q2952">
        <v>1</v>
      </c>
      <c r="R2952" t="s">
        <v>214</v>
      </c>
      <c r="S2952" s="2" t="s">
        <v>9</v>
      </c>
      <c r="T2952">
        <v>32</v>
      </c>
      <c r="U2952" t="s">
        <v>28</v>
      </c>
      <c r="V2952" t="s">
        <v>28</v>
      </c>
      <c r="W2952">
        <v>20</v>
      </c>
      <c r="X2952">
        <v>100</v>
      </c>
      <c r="Y2952">
        <v>0</v>
      </c>
      <c r="AA2952" s="6"/>
      <c r="AB2952" s="6"/>
    </row>
    <row r="2953" spans="1:28" x14ac:dyDescent="0.2">
      <c r="A2953" t="s">
        <v>387</v>
      </c>
      <c r="B2953">
        <v>2017</v>
      </c>
      <c r="C2953" t="s">
        <v>826</v>
      </c>
      <c r="D2953" t="s">
        <v>824</v>
      </c>
      <c r="E2953" t="s">
        <v>114</v>
      </c>
      <c r="F2953" t="s">
        <v>388</v>
      </c>
      <c r="G2953">
        <v>41.883333</v>
      </c>
      <c r="H2953">
        <v>141.01666700000001</v>
      </c>
      <c r="J2953" s="2" t="s">
        <v>14</v>
      </c>
      <c r="K2953" t="s">
        <v>385</v>
      </c>
      <c r="L2953" t="s">
        <v>143</v>
      </c>
      <c r="M2953" t="s">
        <v>12</v>
      </c>
      <c r="N2953" t="s">
        <v>85</v>
      </c>
      <c r="O2953" s="6" t="s">
        <v>12</v>
      </c>
      <c r="P2953" t="s">
        <v>70</v>
      </c>
      <c r="Q2953">
        <v>2</v>
      </c>
      <c r="R2953" t="s">
        <v>214</v>
      </c>
      <c r="S2953" s="2" t="s">
        <v>9</v>
      </c>
      <c r="T2953">
        <v>32</v>
      </c>
      <c r="U2953" t="s">
        <v>28</v>
      </c>
      <c r="V2953" t="s">
        <v>28</v>
      </c>
      <c r="W2953">
        <v>20</v>
      </c>
      <c r="X2953">
        <v>100</v>
      </c>
      <c r="Y2953">
        <v>0</v>
      </c>
      <c r="AA2953" s="6"/>
      <c r="AB2953" s="6"/>
    </row>
    <row r="2954" spans="1:28" x14ac:dyDescent="0.2">
      <c r="A2954" t="s">
        <v>387</v>
      </c>
      <c r="B2954">
        <v>2017</v>
      </c>
      <c r="C2954" t="s">
        <v>826</v>
      </c>
      <c r="D2954" t="s">
        <v>824</v>
      </c>
      <c r="E2954" t="s">
        <v>114</v>
      </c>
      <c r="F2954" t="s">
        <v>388</v>
      </c>
      <c r="G2954">
        <v>41.883333</v>
      </c>
      <c r="H2954">
        <v>141.01666700000001</v>
      </c>
      <c r="J2954" s="2" t="s">
        <v>14</v>
      </c>
      <c r="K2954" t="s">
        <v>385</v>
      </c>
      <c r="L2954" t="s">
        <v>143</v>
      </c>
      <c r="M2954" t="s">
        <v>12</v>
      </c>
      <c r="N2954" t="s">
        <v>85</v>
      </c>
      <c r="O2954" s="6" t="s">
        <v>12</v>
      </c>
      <c r="P2954" t="s">
        <v>70</v>
      </c>
      <c r="Q2954">
        <v>3</v>
      </c>
      <c r="R2954" t="s">
        <v>214</v>
      </c>
      <c r="S2954" s="2" t="s">
        <v>9</v>
      </c>
      <c r="T2954">
        <v>32</v>
      </c>
      <c r="U2954" t="s">
        <v>28</v>
      </c>
      <c r="V2954" t="s">
        <v>28</v>
      </c>
      <c r="W2954">
        <v>20</v>
      </c>
      <c r="X2954">
        <v>100</v>
      </c>
      <c r="Y2954">
        <v>0</v>
      </c>
      <c r="AA2954" s="6"/>
      <c r="AB2954" s="6"/>
    </row>
    <row r="2955" spans="1:28" x14ac:dyDescent="0.2">
      <c r="A2955" t="s">
        <v>387</v>
      </c>
      <c r="B2955">
        <v>2017</v>
      </c>
      <c r="C2955" t="s">
        <v>826</v>
      </c>
      <c r="D2955" t="s">
        <v>824</v>
      </c>
      <c r="E2955" t="s">
        <v>114</v>
      </c>
      <c r="F2955" t="s">
        <v>388</v>
      </c>
      <c r="G2955">
        <v>41.883333</v>
      </c>
      <c r="H2955">
        <v>141.01666700000001</v>
      </c>
      <c r="J2955" s="2" t="s">
        <v>14</v>
      </c>
      <c r="K2955" t="s">
        <v>385</v>
      </c>
      <c r="L2955" t="s">
        <v>143</v>
      </c>
      <c r="M2955" t="s">
        <v>12</v>
      </c>
      <c r="N2955" t="s">
        <v>85</v>
      </c>
      <c r="O2955" s="6" t="s">
        <v>12</v>
      </c>
      <c r="P2955" t="s">
        <v>70</v>
      </c>
      <c r="Q2955">
        <v>4</v>
      </c>
      <c r="R2955" t="s">
        <v>214</v>
      </c>
      <c r="S2955" s="2" t="s">
        <v>9</v>
      </c>
      <c r="T2955">
        <v>32</v>
      </c>
      <c r="U2955" t="s">
        <v>28</v>
      </c>
      <c r="V2955" t="s">
        <v>28</v>
      </c>
      <c r="W2955">
        <v>20</v>
      </c>
      <c r="X2955">
        <v>100</v>
      </c>
      <c r="Y2955">
        <v>0</v>
      </c>
      <c r="AA2955" s="6"/>
      <c r="AB2955" s="6"/>
    </row>
    <row r="2956" spans="1:28" x14ac:dyDescent="0.2">
      <c r="A2956" t="s">
        <v>387</v>
      </c>
      <c r="B2956">
        <v>2017</v>
      </c>
      <c r="C2956" t="s">
        <v>826</v>
      </c>
      <c r="D2956" t="s">
        <v>824</v>
      </c>
      <c r="E2956" t="s">
        <v>114</v>
      </c>
      <c r="F2956" t="s">
        <v>388</v>
      </c>
      <c r="G2956">
        <v>41.883333</v>
      </c>
      <c r="H2956">
        <v>141.01666700000001</v>
      </c>
      <c r="J2956" s="2" t="s">
        <v>14</v>
      </c>
      <c r="K2956" t="s">
        <v>385</v>
      </c>
      <c r="L2956" t="s">
        <v>143</v>
      </c>
      <c r="M2956" t="s">
        <v>12</v>
      </c>
      <c r="N2956" t="s">
        <v>85</v>
      </c>
      <c r="O2956" s="6" t="s">
        <v>12</v>
      </c>
      <c r="P2956" t="s">
        <v>70</v>
      </c>
      <c r="Q2956">
        <v>5</v>
      </c>
      <c r="R2956" t="s">
        <v>214</v>
      </c>
      <c r="S2956" s="2" t="s">
        <v>9</v>
      </c>
      <c r="T2956">
        <v>32</v>
      </c>
      <c r="U2956" t="s">
        <v>28</v>
      </c>
      <c r="V2956" t="s">
        <v>28</v>
      </c>
      <c r="W2956">
        <v>20</v>
      </c>
      <c r="X2956">
        <v>100</v>
      </c>
      <c r="Y2956">
        <v>0</v>
      </c>
      <c r="AA2956" s="6"/>
      <c r="AB2956" s="6"/>
    </row>
    <row r="2957" spans="1:28" x14ac:dyDescent="0.2">
      <c r="A2957" t="s">
        <v>387</v>
      </c>
      <c r="B2957">
        <v>2017</v>
      </c>
      <c r="C2957" t="s">
        <v>826</v>
      </c>
      <c r="D2957" t="s">
        <v>824</v>
      </c>
      <c r="E2957" t="s">
        <v>114</v>
      </c>
      <c r="F2957" t="s">
        <v>388</v>
      </c>
      <c r="G2957">
        <v>41.883333</v>
      </c>
      <c r="H2957">
        <v>141.01666700000001</v>
      </c>
      <c r="J2957" s="2" t="s">
        <v>14</v>
      </c>
      <c r="K2957" t="s">
        <v>385</v>
      </c>
      <c r="L2957" t="s">
        <v>143</v>
      </c>
      <c r="M2957" t="s">
        <v>12</v>
      </c>
      <c r="N2957" t="s">
        <v>85</v>
      </c>
      <c r="O2957" s="6" t="s">
        <v>12</v>
      </c>
      <c r="P2957" t="s">
        <v>70</v>
      </c>
      <c r="Q2957">
        <v>6</v>
      </c>
      <c r="R2957" t="s">
        <v>214</v>
      </c>
      <c r="S2957" s="2" t="s">
        <v>9</v>
      </c>
      <c r="T2957">
        <v>32</v>
      </c>
      <c r="U2957" t="s">
        <v>28</v>
      </c>
      <c r="V2957" t="s">
        <v>28</v>
      </c>
      <c r="W2957">
        <v>20</v>
      </c>
      <c r="X2957">
        <v>100</v>
      </c>
      <c r="Y2957">
        <v>0</v>
      </c>
      <c r="AA2957" s="6"/>
      <c r="AB2957" s="6"/>
    </row>
    <row r="2958" spans="1:28" x14ac:dyDescent="0.2">
      <c r="A2958" t="s">
        <v>387</v>
      </c>
      <c r="B2958">
        <v>2017</v>
      </c>
      <c r="C2958" t="s">
        <v>826</v>
      </c>
      <c r="D2958" t="s">
        <v>824</v>
      </c>
      <c r="E2958" t="s">
        <v>114</v>
      </c>
      <c r="F2958" t="s">
        <v>388</v>
      </c>
      <c r="G2958">
        <v>41.883333</v>
      </c>
      <c r="H2958">
        <v>141.01666700000001</v>
      </c>
      <c r="J2958" s="2" t="s">
        <v>14</v>
      </c>
      <c r="K2958" t="s">
        <v>385</v>
      </c>
      <c r="L2958" t="s">
        <v>143</v>
      </c>
      <c r="M2958" t="s">
        <v>12</v>
      </c>
      <c r="N2958" t="s">
        <v>85</v>
      </c>
      <c r="O2958" s="6" t="s">
        <v>12</v>
      </c>
      <c r="P2958" t="s">
        <v>70</v>
      </c>
      <c r="Q2958">
        <v>7</v>
      </c>
      <c r="R2958" t="s">
        <v>214</v>
      </c>
      <c r="S2958" s="2" t="s">
        <v>9</v>
      </c>
      <c r="T2958">
        <v>32</v>
      </c>
      <c r="U2958" t="s">
        <v>28</v>
      </c>
      <c r="V2958" t="s">
        <v>28</v>
      </c>
      <c r="W2958">
        <v>20</v>
      </c>
      <c r="X2958">
        <v>100</v>
      </c>
      <c r="Y2958">
        <v>0</v>
      </c>
      <c r="AA2958" s="6"/>
      <c r="AB2958" s="6"/>
    </row>
    <row r="2959" spans="1:28" x14ac:dyDescent="0.2">
      <c r="A2959" t="s">
        <v>387</v>
      </c>
      <c r="B2959">
        <v>2017</v>
      </c>
      <c r="C2959" t="s">
        <v>826</v>
      </c>
      <c r="D2959" t="s">
        <v>824</v>
      </c>
      <c r="E2959" t="s">
        <v>114</v>
      </c>
      <c r="F2959" t="s">
        <v>388</v>
      </c>
      <c r="G2959">
        <v>41.883333</v>
      </c>
      <c r="H2959">
        <v>141.01666700000001</v>
      </c>
      <c r="J2959" s="2" t="s">
        <v>14</v>
      </c>
      <c r="K2959" t="s">
        <v>385</v>
      </c>
      <c r="L2959" t="s">
        <v>143</v>
      </c>
      <c r="M2959" t="s">
        <v>12</v>
      </c>
      <c r="N2959" t="s">
        <v>85</v>
      </c>
      <c r="O2959" s="6" t="s">
        <v>12</v>
      </c>
      <c r="P2959" t="s">
        <v>70</v>
      </c>
      <c r="Q2959">
        <v>8</v>
      </c>
      <c r="R2959" t="s">
        <v>214</v>
      </c>
      <c r="S2959" s="2" t="s">
        <v>9</v>
      </c>
      <c r="T2959">
        <v>32</v>
      </c>
      <c r="U2959" t="s">
        <v>28</v>
      </c>
      <c r="V2959" t="s">
        <v>28</v>
      </c>
      <c r="W2959">
        <v>20</v>
      </c>
      <c r="X2959">
        <v>100</v>
      </c>
      <c r="Y2959">
        <v>0</v>
      </c>
      <c r="AA2959" s="6"/>
      <c r="AB2959" s="6"/>
    </row>
    <row r="2960" spans="1:28" x14ac:dyDescent="0.2">
      <c r="A2960" t="s">
        <v>387</v>
      </c>
      <c r="B2960">
        <v>2017</v>
      </c>
      <c r="C2960" t="s">
        <v>826</v>
      </c>
      <c r="D2960" t="s">
        <v>824</v>
      </c>
      <c r="E2960" t="s">
        <v>114</v>
      </c>
      <c r="F2960" t="s">
        <v>388</v>
      </c>
      <c r="G2960">
        <v>41.883333</v>
      </c>
      <c r="H2960">
        <v>141.01666700000001</v>
      </c>
      <c r="J2960" s="2" t="s">
        <v>14</v>
      </c>
      <c r="K2960" t="s">
        <v>385</v>
      </c>
      <c r="L2960" t="s">
        <v>143</v>
      </c>
      <c r="M2960" t="s">
        <v>12</v>
      </c>
      <c r="N2960" t="s">
        <v>85</v>
      </c>
      <c r="O2960" s="6" t="s">
        <v>12</v>
      </c>
      <c r="P2960" t="s">
        <v>70</v>
      </c>
      <c r="Q2960">
        <v>9</v>
      </c>
      <c r="R2960" t="s">
        <v>214</v>
      </c>
      <c r="S2960" s="2" t="s">
        <v>9</v>
      </c>
      <c r="T2960">
        <v>32</v>
      </c>
      <c r="U2960" t="s">
        <v>28</v>
      </c>
      <c r="V2960" t="s">
        <v>28</v>
      </c>
      <c r="W2960">
        <v>20</v>
      </c>
      <c r="X2960">
        <v>100</v>
      </c>
      <c r="Y2960">
        <v>0</v>
      </c>
      <c r="AA2960" s="6"/>
      <c r="AB2960" s="6"/>
    </row>
    <row r="2961" spans="1:28" x14ac:dyDescent="0.2">
      <c r="A2961" t="s">
        <v>387</v>
      </c>
      <c r="B2961">
        <v>2017</v>
      </c>
      <c r="C2961" t="s">
        <v>826</v>
      </c>
      <c r="D2961" t="s">
        <v>824</v>
      </c>
      <c r="E2961" t="s">
        <v>114</v>
      </c>
      <c r="F2961" t="s">
        <v>388</v>
      </c>
      <c r="G2961">
        <v>41.883333</v>
      </c>
      <c r="H2961">
        <v>141.01666700000001</v>
      </c>
      <c r="J2961" s="2" t="s">
        <v>14</v>
      </c>
      <c r="K2961" t="s">
        <v>385</v>
      </c>
      <c r="L2961" t="s">
        <v>143</v>
      </c>
      <c r="M2961" t="s">
        <v>12</v>
      </c>
      <c r="N2961" t="s">
        <v>85</v>
      </c>
      <c r="O2961" s="6" t="s">
        <v>12</v>
      </c>
      <c r="P2961" t="s">
        <v>70</v>
      </c>
      <c r="Q2961">
        <v>10</v>
      </c>
      <c r="R2961" t="s">
        <v>214</v>
      </c>
      <c r="S2961" s="2" t="s">
        <v>9</v>
      </c>
      <c r="T2961">
        <v>32</v>
      </c>
      <c r="U2961" t="s">
        <v>28</v>
      </c>
      <c r="V2961" t="s">
        <v>28</v>
      </c>
      <c r="W2961">
        <v>20</v>
      </c>
      <c r="X2961">
        <v>100</v>
      </c>
      <c r="Y2961">
        <v>0</v>
      </c>
      <c r="AA2961" s="6"/>
      <c r="AB2961" s="6"/>
    </row>
    <row r="2962" spans="1:28" x14ac:dyDescent="0.2">
      <c r="A2962" t="s">
        <v>387</v>
      </c>
      <c r="B2962">
        <v>2017</v>
      </c>
      <c r="C2962" t="s">
        <v>826</v>
      </c>
      <c r="D2962" t="s">
        <v>824</v>
      </c>
      <c r="E2962" t="s">
        <v>114</v>
      </c>
      <c r="F2962" t="s">
        <v>388</v>
      </c>
      <c r="G2962">
        <v>41.883333</v>
      </c>
      <c r="H2962">
        <v>141.01666700000001</v>
      </c>
      <c r="J2962" s="2" t="s">
        <v>14</v>
      </c>
      <c r="K2962" t="s">
        <v>385</v>
      </c>
      <c r="L2962" t="s">
        <v>143</v>
      </c>
      <c r="M2962" t="s">
        <v>12</v>
      </c>
      <c r="N2962" t="s">
        <v>85</v>
      </c>
      <c r="O2962" s="6" t="s">
        <v>12</v>
      </c>
      <c r="P2962" t="s">
        <v>70</v>
      </c>
      <c r="Q2962">
        <v>11</v>
      </c>
      <c r="R2962" t="s">
        <v>214</v>
      </c>
      <c r="S2962" s="2" t="s">
        <v>9</v>
      </c>
      <c r="T2962">
        <v>32</v>
      </c>
      <c r="U2962" t="s">
        <v>28</v>
      </c>
      <c r="V2962" t="s">
        <v>28</v>
      </c>
      <c r="W2962">
        <v>20</v>
      </c>
      <c r="X2962">
        <v>100</v>
      </c>
      <c r="Y2962">
        <v>0</v>
      </c>
      <c r="AA2962" s="6"/>
      <c r="AB2962" s="6"/>
    </row>
    <row r="2963" spans="1:28" x14ac:dyDescent="0.2">
      <c r="A2963" t="s">
        <v>387</v>
      </c>
      <c r="B2963">
        <v>2017</v>
      </c>
      <c r="C2963" t="s">
        <v>826</v>
      </c>
      <c r="D2963" t="s">
        <v>824</v>
      </c>
      <c r="E2963" t="s">
        <v>114</v>
      </c>
      <c r="F2963" t="s">
        <v>388</v>
      </c>
      <c r="G2963">
        <v>41.883333</v>
      </c>
      <c r="H2963">
        <v>141.01666700000001</v>
      </c>
      <c r="J2963" s="2" t="s">
        <v>14</v>
      </c>
      <c r="K2963" t="s">
        <v>385</v>
      </c>
      <c r="L2963" t="s">
        <v>143</v>
      </c>
      <c r="M2963" t="s">
        <v>12</v>
      </c>
      <c r="N2963" t="s">
        <v>85</v>
      </c>
      <c r="O2963" s="6" t="s">
        <v>12</v>
      </c>
      <c r="P2963" t="s">
        <v>70</v>
      </c>
      <c r="Q2963">
        <v>12</v>
      </c>
      <c r="R2963" t="s">
        <v>213</v>
      </c>
      <c r="S2963" s="2" t="s">
        <v>9</v>
      </c>
      <c r="T2963">
        <v>32</v>
      </c>
      <c r="U2963" t="s">
        <v>28</v>
      </c>
      <c r="V2963" t="s">
        <v>28</v>
      </c>
      <c r="W2963">
        <v>20</v>
      </c>
      <c r="X2963">
        <v>100</v>
      </c>
      <c r="Y2963">
        <v>0</v>
      </c>
      <c r="AA2963" s="6"/>
      <c r="AB2963" s="6"/>
    </row>
    <row r="2964" spans="1:28" x14ac:dyDescent="0.2">
      <c r="A2964" t="s">
        <v>387</v>
      </c>
      <c r="B2964">
        <v>2017</v>
      </c>
      <c r="C2964" t="s">
        <v>826</v>
      </c>
      <c r="D2964" t="s">
        <v>824</v>
      </c>
      <c r="E2964" t="s">
        <v>114</v>
      </c>
      <c r="F2964" t="s">
        <v>388</v>
      </c>
      <c r="G2964">
        <v>41.883333</v>
      </c>
      <c r="H2964">
        <v>141.01666700000001</v>
      </c>
      <c r="J2964" s="2" t="s">
        <v>14</v>
      </c>
      <c r="K2964" t="s">
        <v>389</v>
      </c>
      <c r="L2964" t="s">
        <v>144</v>
      </c>
      <c r="M2964" t="s">
        <v>12</v>
      </c>
      <c r="N2964" t="s">
        <v>85</v>
      </c>
      <c r="O2964" s="6" t="s">
        <v>12</v>
      </c>
      <c r="P2964" t="s">
        <v>70</v>
      </c>
      <c r="Q2964">
        <v>1</v>
      </c>
      <c r="R2964" t="s">
        <v>214</v>
      </c>
      <c r="S2964" s="2" t="s">
        <v>9</v>
      </c>
      <c r="T2964">
        <v>32</v>
      </c>
      <c r="U2964" t="s">
        <v>28</v>
      </c>
      <c r="V2964" t="s">
        <v>28</v>
      </c>
      <c r="W2964">
        <v>20</v>
      </c>
      <c r="X2964">
        <v>100</v>
      </c>
      <c r="Y2964">
        <v>0</v>
      </c>
      <c r="AA2964" s="6"/>
      <c r="AB2964" s="6"/>
    </row>
    <row r="2965" spans="1:28" x14ac:dyDescent="0.2">
      <c r="A2965" t="s">
        <v>387</v>
      </c>
      <c r="B2965">
        <v>2017</v>
      </c>
      <c r="C2965" t="s">
        <v>826</v>
      </c>
      <c r="D2965" t="s">
        <v>824</v>
      </c>
      <c r="E2965" t="s">
        <v>114</v>
      </c>
      <c r="F2965" t="s">
        <v>388</v>
      </c>
      <c r="G2965">
        <v>41.883333</v>
      </c>
      <c r="H2965">
        <v>141.01666700000001</v>
      </c>
      <c r="J2965" s="2" t="s">
        <v>14</v>
      </c>
      <c r="K2965" t="s">
        <v>389</v>
      </c>
      <c r="L2965" t="s">
        <v>144</v>
      </c>
      <c r="M2965" t="s">
        <v>12</v>
      </c>
      <c r="N2965" t="s">
        <v>85</v>
      </c>
      <c r="O2965" s="6" t="s">
        <v>12</v>
      </c>
      <c r="P2965" t="s">
        <v>70</v>
      </c>
      <c r="Q2965">
        <v>2</v>
      </c>
      <c r="R2965" t="s">
        <v>214</v>
      </c>
      <c r="S2965" s="2" t="s">
        <v>9</v>
      </c>
      <c r="T2965">
        <v>32</v>
      </c>
      <c r="U2965" t="s">
        <v>28</v>
      </c>
      <c r="V2965" t="s">
        <v>28</v>
      </c>
      <c r="W2965">
        <v>20</v>
      </c>
      <c r="X2965">
        <v>100</v>
      </c>
      <c r="Y2965">
        <v>0</v>
      </c>
      <c r="AA2965" s="6"/>
      <c r="AB2965" s="6"/>
    </row>
    <row r="2966" spans="1:28" x14ac:dyDescent="0.2">
      <c r="A2966" t="s">
        <v>387</v>
      </c>
      <c r="B2966">
        <v>2017</v>
      </c>
      <c r="C2966" t="s">
        <v>826</v>
      </c>
      <c r="D2966" t="s">
        <v>824</v>
      </c>
      <c r="E2966" t="s">
        <v>114</v>
      </c>
      <c r="F2966" t="s">
        <v>388</v>
      </c>
      <c r="G2966">
        <v>41.883333</v>
      </c>
      <c r="H2966">
        <v>141.01666700000001</v>
      </c>
      <c r="J2966" s="2" t="s">
        <v>14</v>
      </c>
      <c r="K2966" t="s">
        <v>389</v>
      </c>
      <c r="L2966" t="s">
        <v>144</v>
      </c>
      <c r="M2966" t="s">
        <v>12</v>
      </c>
      <c r="N2966" t="s">
        <v>85</v>
      </c>
      <c r="O2966" s="6" t="s">
        <v>12</v>
      </c>
      <c r="P2966" t="s">
        <v>70</v>
      </c>
      <c r="Q2966">
        <v>3</v>
      </c>
      <c r="R2966" t="s">
        <v>214</v>
      </c>
      <c r="S2966" s="2" t="s">
        <v>9</v>
      </c>
      <c r="T2966">
        <v>32</v>
      </c>
      <c r="U2966" t="s">
        <v>28</v>
      </c>
      <c r="V2966" t="s">
        <v>28</v>
      </c>
      <c r="W2966">
        <v>20</v>
      </c>
      <c r="X2966">
        <v>100</v>
      </c>
      <c r="Y2966">
        <v>0</v>
      </c>
      <c r="AA2966" s="6"/>
      <c r="AB2966" s="6"/>
    </row>
    <row r="2967" spans="1:28" x14ac:dyDescent="0.2">
      <c r="A2967" t="s">
        <v>387</v>
      </c>
      <c r="B2967">
        <v>2017</v>
      </c>
      <c r="C2967" t="s">
        <v>826</v>
      </c>
      <c r="D2967" t="s">
        <v>824</v>
      </c>
      <c r="E2967" t="s">
        <v>114</v>
      </c>
      <c r="F2967" t="s">
        <v>388</v>
      </c>
      <c r="G2967">
        <v>41.883333</v>
      </c>
      <c r="H2967">
        <v>141.01666700000001</v>
      </c>
      <c r="J2967" s="2" t="s">
        <v>14</v>
      </c>
      <c r="K2967" t="s">
        <v>389</v>
      </c>
      <c r="L2967" t="s">
        <v>144</v>
      </c>
      <c r="M2967" t="s">
        <v>12</v>
      </c>
      <c r="N2967" t="s">
        <v>85</v>
      </c>
      <c r="O2967" s="6" t="s">
        <v>12</v>
      </c>
      <c r="P2967" t="s">
        <v>70</v>
      </c>
      <c r="Q2967">
        <v>4</v>
      </c>
      <c r="R2967" t="s">
        <v>214</v>
      </c>
      <c r="S2967" s="2" t="s">
        <v>9</v>
      </c>
      <c r="T2967">
        <v>32</v>
      </c>
      <c r="U2967" t="s">
        <v>28</v>
      </c>
      <c r="V2967" t="s">
        <v>28</v>
      </c>
      <c r="W2967">
        <v>20</v>
      </c>
      <c r="X2967">
        <v>100</v>
      </c>
      <c r="Y2967">
        <v>0</v>
      </c>
      <c r="AA2967" s="6"/>
      <c r="AB2967" s="6"/>
    </row>
    <row r="2968" spans="1:28" x14ac:dyDescent="0.2">
      <c r="A2968" t="s">
        <v>387</v>
      </c>
      <c r="B2968">
        <v>2017</v>
      </c>
      <c r="C2968" t="s">
        <v>826</v>
      </c>
      <c r="D2968" t="s">
        <v>824</v>
      </c>
      <c r="E2968" t="s">
        <v>114</v>
      </c>
      <c r="F2968" t="s">
        <v>388</v>
      </c>
      <c r="G2968">
        <v>41.883333</v>
      </c>
      <c r="H2968">
        <v>141.01666700000001</v>
      </c>
      <c r="J2968" s="2" t="s">
        <v>14</v>
      </c>
      <c r="K2968" t="s">
        <v>389</v>
      </c>
      <c r="L2968" t="s">
        <v>144</v>
      </c>
      <c r="M2968" t="s">
        <v>12</v>
      </c>
      <c r="N2968" t="s">
        <v>85</v>
      </c>
      <c r="O2968" s="6" t="s">
        <v>12</v>
      </c>
      <c r="P2968" t="s">
        <v>70</v>
      </c>
      <c r="Q2968">
        <v>5</v>
      </c>
      <c r="R2968" t="s">
        <v>214</v>
      </c>
      <c r="S2968" s="2" t="s">
        <v>9</v>
      </c>
      <c r="T2968">
        <v>32</v>
      </c>
      <c r="U2968" t="s">
        <v>28</v>
      </c>
      <c r="V2968" t="s">
        <v>28</v>
      </c>
      <c r="W2968">
        <v>20</v>
      </c>
      <c r="X2968">
        <v>100</v>
      </c>
      <c r="Y2968">
        <v>0</v>
      </c>
      <c r="AA2968" s="6"/>
      <c r="AB2968" s="6"/>
    </row>
    <row r="2969" spans="1:28" x14ac:dyDescent="0.2">
      <c r="A2969" t="s">
        <v>387</v>
      </c>
      <c r="B2969">
        <v>2017</v>
      </c>
      <c r="C2969" t="s">
        <v>826</v>
      </c>
      <c r="D2969" t="s">
        <v>824</v>
      </c>
      <c r="E2969" t="s">
        <v>114</v>
      </c>
      <c r="F2969" t="s">
        <v>388</v>
      </c>
      <c r="G2969">
        <v>41.883333</v>
      </c>
      <c r="H2969">
        <v>141.01666700000001</v>
      </c>
      <c r="J2969" s="2" t="s">
        <v>14</v>
      </c>
      <c r="K2969" t="s">
        <v>389</v>
      </c>
      <c r="L2969" t="s">
        <v>144</v>
      </c>
      <c r="M2969" t="s">
        <v>12</v>
      </c>
      <c r="N2969" t="s">
        <v>85</v>
      </c>
      <c r="O2969" s="6" t="s">
        <v>12</v>
      </c>
      <c r="P2969" t="s">
        <v>70</v>
      </c>
      <c r="Q2969">
        <v>6</v>
      </c>
      <c r="R2969" t="s">
        <v>214</v>
      </c>
      <c r="S2969" s="2" t="s">
        <v>9</v>
      </c>
      <c r="T2969">
        <v>32</v>
      </c>
      <c r="U2969" t="s">
        <v>28</v>
      </c>
      <c r="V2969" t="s">
        <v>28</v>
      </c>
      <c r="W2969">
        <v>20</v>
      </c>
      <c r="X2969">
        <v>100</v>
      </c>
      <c r="Y2969">
        <v>0</v>
      </c>
      <c r="AA2969" s="6"/>
      <c r="AB2969" s="6"/>
    </row>
    <row r="2970" spans="1:28" x14ac:dyDescent="0.2">
      <c r="A2970" t="s">
        <v>387</v>
      </c>
      <c r="B2970">
        <v>2017</v>
      </c>
      <c r="C2970" t="s">
        <v>826</v>
      </c>
      <c r="D2970" t="s">
        <v>824</v>
      </c>
      <c r="E2970" t="s">
        <v>114</v>
      </c>
      <c r="F2970" t="s">
        <v>388</v>
      </c>
      <c r="G2970">
        <v>41.883333</v>
      </c>
      <c r="H2970">
        <v>141.01666700000001</v>
      </c>
      <c r="J2970" s="2" t="s">
        <v>14</v>
      </c>
      <c r="K2970" t="s">
        <v>389</v>
      </c>
      <c r="L2970" t="s">
        <v>144</v>
      </c>
      <c r="M2970" t="s">
        <v>12</v>
      </c>
      <c r="N2970" t="s">
        <v>85</v>
      </c>
      <c r="O2970" s="6" t="s">
        <v>12</v>
      </c>
      <c r="P2970" t="s">
        <v>70</v>
      </c>
      <c r="Q2970">
        <v>7</v>
      </c>
      <c r="R2970" t="s">
        <v>214</v>
      </c>
      <c r="S2970" s="2" t="s">
        <v>9</v>
      </c>
      <c r="T2970">
        <v>32</v>
      </c>
      <c r="U2970" t="s">
        <v>28</v>
      </c>
      <c r="V2970" t="s">
        <v>28</v>
      </c>
      <c r="W2970">
        <v>20</v>
      </c>
      <c r="X2970">
        <v>100</v>
      </c>
      <c r="Y2970">
        <v>0</v>
      </c>
      <c r="AA2970" s="6"/>
      <c r="AB2970" s="6"/>
    </row>
    <row r="2971" spans="1:28" x14ac:dyDescent="0.2">
      <c r="A2971" t="s">
        <v>387</v>
      </c>
      <c r="B2971">
        <v>2017</v>
      </c>
      <c r="C2971" t="s">
        <v>826</v>
      </c>
      <c r="D2971" t="s">
        <v>824</v>
      </c>
      <c r="E2971" t="s">
        <v>114</v>
      </c>
      <c r="F2971" t="s">
        <v>388</v>
      </c>
      <c r="G2971">
        <v>41.883333</v>
      </c>
      <c r="H2971">
        <v>141.01666700000001</v>
      </c>
      <c r="J2971" s="2" t="s">
        <v>14</v>
      </c>
      <c r="K2971" t="s">
        <v>389</v>
      </c>
      <c r="L2971" t="s">
        <v>144</v>
      </c>
      <c r="M2971" t="s">
        <v>12</v>
      </c>
      <c r="N2971" t="s">
        <v>85</v>
      </c>
      <c r="O2971" s="6" t="s">
        <v>12</v>
      </c>
      <c r="P2971" t="s">
        <v>70</v>
      </c>
      <c r="Q2971">
        <v>8</v>
      </c>
      <c r="R2971" t="s">
        <v>214</v>
      </c>
      <c r="S2971" s="2" t="s">
        <v>9</v>
      </c>
      <c r="T2971">
        <v>32</v>
      </c>
      <c r="U2971" t="s">
        <v>28</v>
      </c>
      <c r="V2971" t="s">
        <v>28</v>
      </c>
      <c r="W2971">
        <v>20</v>
      </c>
      <c r="X2971">
        <v>100</v>
      </c>
      <c r="Y2971">
        <v>0</v>
      </c>
      <c r="AA2971" s="6"/>
      <c r="AB2971" s="6"/>
    </row>
    <row r="2972" spans="1:28" x14ac:dyDescent="0.2">
      <c r="A2972" t="s">
        <v>387</v>
      </c>
      <c r="B2972">
        <v>2017</v>
      </c>
      <c r="C2972" t="s">
        <v>826</v>
      </c>
      <c r="D2972" t="s">
        <v>824</v>
      </c>
      <c r="E2972" t="s">
        <v>114</v>
      </c>
      <c r="F2972" t="s">
        <v>388</v>
      </c>
      <c r="G2972">
        <v>41.883333</v>
      </c>
      <c r="H2972">
        <v>141.01666700000001</v>
      </c>
      <c r="J2972" s="2" t="s">
        <v>14</v>
      </c>
      <c r="K2972" t="s">
        <v>389</v>
      </c>
      <c r="L2972" t="s">
        <v>144</v>
      </c>
      <c r="M2972" t="s">
        <v>12</v>
      </c>
      <c r="N2972" t="s">
        <v>85</v>
      </c>
      <c r="O2972" s="6" t="s">
        <v>12</v>
      </c>
      <c r="P2972" t="s">
        <v>70</v>
      </c>
      <c r="Q2972">
        <v>9</v>
      </c>
      <c r="R2972" t="s">
        <v>214</v>
      </c>
      <c r="S2972" s="2" t="s">
        <v>9</v>
      </c>
      <c r="T2972">
        <v>32</v>
      </c>
      <c r="U2972" t="s">
        <v>28</v>
      </c>
      <c r="V2972" t="s">
        <v>28</v>
      </c>
      <c r="W2972">
        <v>20</v>
      </c>
      <c r="X2972">
        <v>100</v>
      </c>
      <c r="Y2972">
        <v>0</v>
      </c>
      <c r="AA2972" s="6"/>
      <c r="AB2972" s="6"/>
    </row>
    <row r="2973" spans="1:28" x14ac:dyDescent="0.2">
      <c r="A2973" t="s">
        <v>387</v>
      </c>
      <c r="B2973">
        <v>2017</v>
      </c>
      <c r="C2973" t="s">
        <v>826</v>
      </c>
      <c r="D2973" t="s">
        <v>824</v>
      </c>
      <c r="E2973" t="s">
        <v>114</v>
      </c>
      <c r="F2973" t="s">
        <v>388</v>
      </c>
      <c r="G2973">
        <v>41.883333</v>
      </c>
      <c r="H2973">
        <v>141.01666700000001</v>
      </c>
      <c r="J2973" s="2" t="s">
        <v>14</v>
      </c>
      <c r="K2973" t="s">
        <v>389</v>
      </c>
      <c r="L2973" t="s">
        <v>144</v>
      </c>
      <c r="M2973" t="s">
        <v>12</v>
      </c>
      <c r="N2973" t="s">
        <v>85</v>
      </c>
      <c r="O2973" s="6" t="s">
        <v>12</v>
      </c>
      <c r="P2973" t="s">
        <v>70</v>
      </c>
      <c r="Q2973">
        <v>10</v>
      </c>
      <c r="R2973" t="s">
        <v>214</v>
      </c>
      <c r="S2973" s="2" t="s">
        <v>9</v>
      </c>
      <c r="T2973">
        <v>32</v>
      </c>
      <c r="U2973" t="s">
        <v>28</v>
      </c>
      <c r="V2973" t="s">
        <v>28</v>
      </c>
      <c r="W2973">
        <v>20</v>
      </c>
      <c r="X2973">
        <v>100</v>
      </c>
      <c r="Y2973">
        <v>0</v>
      </c>
      <c r="AA2973" s="6"/>
      <c r="AB2973" s="6"/>
    </row>
    <row r="2974" spans="1:28" x14ac:dyDescent="0.2">
      <c r="A2974" t="s">
        <v>387</v>
      </c>
      <c r="B2974">
        <v>2017</v>
      </c>
      <c r="C2974" t="s">
        <v>826</v>
      </c>
      <c r="D2974" t="s">
        <v>824</v>
      </c>
      <c r="E2974" t="s">
        <v>114</v>
      </c>
      <c r="F2974" t="s">
        <v>388</v>
      </c>
      <c r="G2974">
        <v>41.883333</v>
      </c>
      <c r="H2974">
        <v>141.01666700000001</v>
      </c>
      <c r="J2974" s="2" t="s">
        <v>14</v>
      </c>
      <c r="K2974" t="s">
        <v>389</v>
      </c>
      <c r="L2974" t="s">
        <v>144</v>
      </c>
      <c r="M2974" t="s">
        <v>12</v>
      </c>
      <c r="N2974" t="s">
        <v>85</v>
      </c>
      <c r="O2974" s="6" t="s">
        <v>12</v>
      </c>
      <c r="P2974" t="s">
        <v>70</v>
      </c>
      <c r="Q2974">
        <v>11</v>
      </c>
      <c r="R2974" t="s">
        <v>214</v>
      </c>
      <c r="S2974" s="2" t="s">
        <v>9</v>
      </c>
      <c r="T2974">
        <v>32</v>
      </c>
      <c r="U2974" t="s">
        <v>28</v>
      </c>
      <c r="V2974" t="s">
        <v>28</v>
      </c>
      <c r="W2974">
        <v>20</v>
      </c>
      <c r="X2974">
        <v>100</v>
      </c>
      <c r="Y2974">
        <v>0</v>
      </c>
      <c r="AA2974" s="6"/>
      <c r="AB2974" s="6"/>
    </row>
    <row r="2975" spans="1:28" x14ac:dyDescent="0.2">
      <c r="A2975" t="s">
        <v>387</v>
      </c>
      <c r="B2975">
        <v>2017</v>
      </c>
      <c r="C2975" t="s">
        <v>826</v>
      </c>
      <c r="D2975" t="s">
        <v>824</v>
      </c>
      <c r="E2975" t="s">
        <v>114</v>
      </c>
      <c r="F2975" t="s">
        <v>388</v>
      </c>
      <c r="G2975">
        <v>41.883333</v>
      </c>
      <c r="H2975">
        <v>141.01666700000001</v>
      </c>
      <c r="J2975" s="2" t="s">
        <v>14</v>
      </c>
      <c r="K2975" t="s">
        <v>389</v>
      </c>
      <c r="L2975" t="s">
        <v>144</v>
      </c>
      <c r="M2975" t="s">
        <v>12</v>
      </c>
      <c r="N2975" t="s">
        <v>85</v>
      </c>
      <c r="O2975" s="6" t="s">
        <v>12</v>
      </c>
      <c r="P2975" t="s">
        <v>70</v>
      </c>
      <c r="Q2975">
        <v>12</v>
      </c>
      <c r="R2975" t="s">
        <v>213</v>
      </c>
      <c r="S2975" s="2" t="s">
        <v>9</v>
      </c>
      <c r="T2975">
        <v>32</v>
      </c>
      <c r="U2975" t="s">
        <v>28</v>
      </c>
      <c r="V2975" t="s">
        <v>28</v>
      </c>
      <c r="W2975">
        <v>20</v>
      </c>
      <c r="X2975">
        <v>100</v>
      </c>
      <c r="Y2975">
        <v>0</v>
      </c>
      <c r="AA2975" s="6"/>
      <c r="AB2975" s="6"/>
    </row>
    <row r="2976" spans="1:28" x14ac:dyDescent="0.2">
      <c r="A2976" t="s">
        <v>387</v>
      </c>
      <c r="B2976">
        <v>2017</v>
      </c>
      <c r="C2976" t="s">
        <v>826</v>
      </c>
      <c r="D2976" t="s">
        <v>824</v>
      </c>
      <c r="E2976" t="s">
        <v>114</v>
      </c>
      <c r="F2976" t="s">
        <v>388</v>
      </c>
      <c r="G2976">
        <v>41.883333</v>
      </c>
      <c r="H2976">
        <v>141.01666700000001</v>
      </c>
      <c r="J2976" s="2" t="s">
        <v>7</v>
      </c>
      <c r="K2976" t="s">
        <v>385</v>
      </c>
      <c r="L2976" t="s">
        <v>143</v>
      </c>
      <c r="M2976" t="s">
        <v>73</v>
      </c>
      <c r="N2976" t="s">
        <v>85</v>
      </c>
      <c r="O2976" s="6" t="s">
        <v>98</v>
      </c>
      <c r="P2976" t="s">
        <v>390</v>
      </c>
      <c r="Q2976">
        <f>0.5/24</f>
        <v>2.0833333333333332E-2</v>
      </c>
      <c r="R2976" t="s">
        <v>213</v>
      </c>
      <c r="S2976" s="2" t="s">
        <v>7</v>
      </c>
      <c r="T2976">
        <v>4</v>
      </c>
      <c r="U2976" t="s">
        <v>28</v>
      </c>
      <c r="V2976" t="s">
        <v>28</v>
      </c>
      <c r="W2976">
        <v>15</v>
      </c>
      <c r="X2976">
        <v>43.73</v>
      </c>
      <c r="Y2976">
        <f>47.65-X2976</f>
        <v>3.9200000000000017</v>
      </c>
      <c r="AA2976" s="6"/>
      <c r="AB2976" s="6"/>
    </row>
    <row r="2977" spans="1:28" x14ac:dyDescent="0.2">
      <c r="A2977" t="s">
        <v>387</v>
      </c>
      <c r="B2977">
        <v>2017</v>
      </c>
      <c r="C2977" t="s">
        <v>826</v>
      </c>
      <c r="D2977" t="s">
        <v>824</v>
      </c>
      <c r="E2977" t="s">
        <v>114</v>
      </c>
      <c r="F2977" t="s">
        <v>388</v>
      </c>
      <c r="G2977">
        <v>41.883333</v>
      </c>
      <c r="H2977">
        <v>141.01666700000001</v>
      </c>
      <c r="J2977" s="2" t="s">
        <v>14</v>
      </c>
      <c r="K2977" t="s">
        <v>385</v>
      </c>
      <c r="L2977" t="s">
        <v>143</v>
      </c>
      <c r="M2977" t="s">
        <v>73</v>
      </c>
      <c r="N2977" t="s">
        <v>85</v>
      </c>
      <c r="O2977" s="6" t="s">
        <v>98</v>
      </c>
      <c r="P2977" t="s">
        <v>390</v>
      </c>
      <c r="Q2977">
        <f>0.5/24</f>
        <v>2.0833333333333332E-2</v>
      </c>
      <c r="R2977" t="s">
        <v>213</v>
      </c>
      <c r="S2977" s="2" t="s">
        <v>9</v>
      </c>
      <c r="T2977">
        <v>4</v>
      </c>
      <c r="U2977" t="s">
        <v>28</v>
      </c>
      <c r="V2977" t="s">
        <v>28</v>
      </c>
      <c r="W2977">
        <v>20</v>
      </c>
      <c r="X2977">
        <v>46.27</v>
      </c>
      <c r="Y2977">
        <f>50.39-X2977</f>
        <v>4.1199999999999974</v>
      </c>
      <c r="AA2977" s="6"/>
      <c r="AB2977" s="6"/>
    </row>
    <row r="2978" spans="1:28" x14ac:dyDescent="0.2">
      <c r="A2978" t="s">
        <v>387</v>
      </c>
      <c r="B2978">
        <v>2017</v>
      </c>
      <c r="C2978" t="s">
        <v>826</v>
      </c>
      <c r="D2978" t="s">
        <v>824</v>
      </c>
      <c r="E2978" t="s">
        <v>114</v>
      </c>
      <c r="F2978" t="s">
        <v>388</v>
      </c>
      <c r="G2978">
        <v>41.883333</v>
      </c>
      <c r="H2978">
        <v>141.01666700000001</v>
      </c>
      <c r="J2978" s="2" t="s">
        <v>7</v>
      </c>
      <c r="K2978" t="s">
        <v>389</v>
      </c>
      <c r="L2978" t="s">
        <v>144</v>
      </c>
      <c r="M2978" t="s">
        <v>73</v>
      </c>
      <c r="N2978" t="s">
        <v>85</v>
      </c>
      <c r="O2978" s="6" t="s">
        <v>98</v>
      </c>
      <c r="P2978" t="s">
        <v>390</v>
      </c>
      <c r="Q2978">
        <f>0.5/24</f>
        <v>2.0833333333333332E-2</v>
      </c>
      <c r="R2978" t="s">
        <v>213</v>
      </c>
      <c r="S2978" s="2" t="s">
        <v>7</v>
      </c>
      <c r="T2978">
        <v>4</v>
      </c>
      <c r="U2978" t="s">
        <v>28</v>
      </c>
      <c r="V2978" t="s">
        <v>28</v>
      </c>
      <c r="W2978">
        <v>15</v>
      </c>
      <c r="X2978">
        <v>33.33</v>
      </c>
      <c r="Y2978">
        <f>36.62-X2978</f>
        <v>3.2899999999999991</v>
      </c>
      <c r="AA2978" s="6"/>
      <c r="AB2978" s="6"/>
    </row>
    <row r="2979" spans="1:28" x14ac:dyDescent="0.2">
      <c r="A2979" t="s">
        <v>387</v>
      </c>
      <c r="B2979">
        <v>2017</v>
      </c>
      <c r="C2979" t="s">
        <v>826</v>
      </c>
      <c r="D2979" t="s">
        <v>824</v>
      </c>
      <c r="E2979" t="s">
        <v>114</v>
      </c>
      <c r="F2979" t="s">
        <v>388</v>
      </c>
      <c r="G2979">
        <v>41.883333</v>
      </c>
      <c r="H2979">
        <v>141.01666700000001</v>
      </c>
      <c r="J2979" s="2" t="s">
        <v>14</v>
      </c>
      <c r="K2979" t="s">
        <v>389</v>
      </c>
      <c r="L2979" t="s">
        <v>144</v>
      </c>
      <c r="M2979" t="s">
        <v>73</v>
      </c>
      <c r="N2979" t="s">
        <v>85</v>
      </c>
      <c r="O2979" s="6" t="s">
        <v>98</v>
      </c>
      <c r="P2979" t="s">
        <v>390</v>
      </c>
      <c r="Q2979">
        <f>0.5/24</f>
        <v>2.0833333333333332E-2</v>
      </c>
      <c r="R2979" t="s">
        <v>213</v>
      </c>
      <c r="S2979" s="2" t="s">
        <v>9</v>
      </c>
      <c r="T2979">
        <v>4</v>
      </c>
      <c r="U2979" t="s">
        <v>28</v>
      </c>
      <c r="V2979" t="s">
        <v>28</v>
      </c>
      <c r="W2979">
        <v>20</v>
      </c>
      <c r="X2979">
        <v>40</v>
      </c>
      <c r="Y2979">
        <f>42.99-X2979</f>
        <v>2.990000000000002</v>
      </c>
      <c r="AA2979" s="6"/>
      <c r="AB2979" s="6"/>
    </row>
    <row r="2980" spans="1:28" x14ac:dyDescent="0.2">
      <c r="A2980" t="s">
        <v>387</v>
      </c>
      <c r="B2980">
        <v>2017</v>
      </c>
      <c r="C2980" t="s">
        <v>826</v>
      </c>
      <c r="D2980" t="s">
        <v>824</v>
      </c>
      <c r="E2980" t="s">
        <v>114</v>
      </c>
      <c r="F2980" t="s">
        <v>388</v>
      </c>
      <c r="G2980">
        <v>41.883333</v>
      </c>
      <c r="H2980">
        <v>141.01666700000001</v>
      </c>
      <c r="J2980" s="2" t="s">
        <v>7</v>
      </c>
      <c r="K2980" t="s">
        <v>385</v>
      </c>
      <c r="L2980" t="s">
        <v>143</v>
      </c>
      <c r="M2980" t="s">
        <v>26</v>
      </c>
      <c r="N2980" t="s">
        <v>85</v>
      </c>
      <c r="O2980" t="s">
        <v>839</v>
      </c>
      <c r="P2980" t="s">
        <v>72</v>
      </c>
      <c r="Q2980">
        <v>12</v>
      </c>
      <c r="R2980" t="s">
        <v>213</v>
      </c>
      <c r="S2980" s="2" t="s">
        <v>7</v>
      </c>
      <c r="T2980">
        <v>4</v>
      </c>
      <c r="U2980" t="s">
        <v>28</v>
      </c>
      <c r="V2980" t="s">
        <v>28</v>
      </c>
      <c r="W2980">
        <v>15</v>
      </c>
      <c r="X2980">
        <v>29.97</v>
      </c>
      <c r="Y2980">
        <f>31.2-X2980</f>
        <v>1.2300000000000004</v>
      </c>
      <c r="AA2980" s="6"/>
      <c r="AB2980" s="6"/>
    </row>
    <row r="2981" spans="1:28" x14ac:dyDescent="0.2">
      <c r="A2981" t="s">
        <v>387</v>
      </c>
      <c r="B2981">
        <v>2017</v>
      </c>
      <c r="C2981" t="s">
        <v>826</v>
      </c>
      <c r="D2981" t="s">
        <v>824</v>
      </c>
      <c r="E2981" t="s">
        <v>114</v>
      </c>
      <c r="F2981" t="s">
        <v>388</v>
      </c>
      <c r="G2981">
        <v>41.883333</v>
      </c>
      <c r="H2981">
        <v>141.01666700000001</v>
      </c>
      <c r="J2981" s="2" t="s">
        <v>14</v>
      </c>
      <c r="K2981" t="s">
        <v>385</v>
      </c>
      <c r="L2981" t="s">
        <v>143</v>
      </c>
      <c r="M2981" t="s">
        <v>26</v>
      </c>
      <c r="N2981" t="s">
        <v>85</v>
      </c>
      <c r="O2981" t="s">
        <v>839</v>
      </c>
      <c r="P2981" t="s">
        <v>72</v>
      </c>
      <c r="Q2981">
        <v>12</v>
      </c>
      <c r="R2981" t="s">
        <v>213</v>
      </c>
      <c r="S2981" s="2" t="s">
        <v>9</v>
      </c>
      <c r="T2981">
        <v>4</v>
      </c>
      <c r="U2981" t="s">
        <v>28</v>
      </c>
      <c r="V2981" t="s">
        <v>28</v>
      </c>
      <c r="W2981">
        <v>20</v>
      </c>
      <c r="X2981">
        <v>12.23</v>
      </c>
      <c r="Y2981">
        <f>14.3-X2981</f>
        <v>2.0700000000000003</v>
      </c>
      <c r="AA2981" s="6"/>
      <c r="AB2981" s="6"/>
    </row>
    <row r="2982" spans="1:28" x14ac:dyDescent="0.2">
      <c r="A2982" t="s">
        <v>387</v>
      </c>
      <c r="B2982">
        <v>2017</v>
      </c>
      <c r="C2982" t="s">
        <v>826</v>
      </c>
      <c r="D2982" t="s">
        <v>824</v>
      </c>
      <c r="E2982" t="s">
        <v>114</v>
      </c>
      <c r="F2982" t="s">
        <v>388</v>
      </c>
      <c r="G2982">
        <v>41.883333</v>
      </c>
      <c r="H2982">
        <v>141.01666700000001</v>
      </c>
      <c r="J2982" s="2" t="s">
        <v>7</v>
      </c>
      <c r="K2982" t="s">
        <v>389</v>
      </c>
      <c r="L2982" t="s">
        <v>144</v>
      </c>
      <c r="M2982" t="s">
        <v>26</v>
      </c>
      <c r="N2982" t="s">
        <v>85</v>
      </c>
      <c r="O2982" t="s">
        <v>839</v>
      </c>
      <c r="P2982" t="s">
        <v>72</v>
      </c>
      <c r="Q2982">
        <v>12</v>
      </c>
      <c r="R2982" t="s">
        <v>213</v>
      </c>
      <c r="S2982" s="2" t="s">
        <v>7</v>
      </c>
      <c r="T2982">
        <v>4</v>
      </c>
      <c r="U2982" t="s">
        <v>28</v>
      </c>
      <c r="V2982" t="s">
        <v>28</v>
      </c>
      <c r="W2982">
        <v>15</v>
      </c>
      <c r="X2982">
        <v>7.15</v>
      </c>
      <c r="Y2982">
        <f>7.67-X2982</f>
        <v>0.51999999999999957</v>
      </c>
      <c r="AA2982" s="6"/>
      <c r="AB2982" s="6"/>
    </row>
    <row r="2983" spans="1:28" x14ac:dyDescent="0.2">
      <c r="A2983" t="s">
        <v>387</v>
      </c>
      <c r="B2983">
        <v>2017</v>
      </c>
      <c r="C2983" t="s">
        <v>826</v>
      </c>
      <c r="D2983" t="s">
        <v>824</v>
      </c>
      <c r="E2983" t="s">
        <v>114</v>
      </c>
      <c r="F2983" t="s">
        <v>388</v>
      </c>
      <c r="G2983">
        <v>41.883333</v>
      </c>
      <c r="H2983">
        <v>141.01666700000001</v>
      </c>
      <c r="J2983" s="2" t="s">
        <v>14</v>
      </c>
      <c r="K2983" t="s">
        <v>389</v>
      </c>
      <c r="L2983" t="s">
        <v>144</v>
      </c>
      <c r="M2983" t="s">
        <v>26</v>
      </c>
      <c r="N2983" t="s">
        <v>85</v>
      </c>
      <c r="O2983" t="s">
        <v>839</v>
      </c>
      <c r="P2983" t="s">
        <v>72</v>
      </c>
      <c r="Q2983">
        <v>12</v>
      </c>
      <c r="R2983" t="s">
        <v>213</v>
      </c>
      <c r="S2983" s="2" t="s">
        <v>9</v>
      </c>
      <c r="T2983">
        <v>4</v>
      </c>
      <c r="U2983" t="s">
        <v>28</v>
      </c>
      <c r="V2983" t="s">
        <v>28</v>
      </c>
      <c r="W2983">
        <v>20</v>
      </c>
      <c r="X2983">
        <v>5.18</v>
      </c>
      <c r="Y2983">
        <f>5.84-X2983</f>
        <v>0.66000000000000014</v>
      </c>
      <c r="AA2983" s="6"/>
      <c r="AB2983" s="6"/>
    </row>
    <row r="2984" spans="1:28" x14ac:dyDescent="0.2">
      <c r="A2984" t="s">
        <v>387</v>
      </c>
      <c r="B2984">
        <v>2017</v>
      </c>
      <c r="C2984" t="s">
        <v>826</v>
      </c>
      <c r="D2984" t="s">
        <v>824</v>
      </c>
      <c r="E2984" t="s">
        <v>114</v>
      </c>
      <c r="F2984" t="s">
        <v>388</v>
      </c>
      <c r="G2984">
        <v>41.883333</v>
      </c>
      <c r="H2984">
        <v>141.01666700000001</v>
      </c>
      <c r="J2984" s="2" t="s">
        <v>7</v>
      </c>
      <c r="K2984" t="s">
        <v>385</v>
      </c>
      <c r="L2984" t="s">
        <v>143</v>
      </c>
      <c r="M2984" t="s">
        <v>638</v>
      </c>
      <c r="N2984" t="s">
        <v>85</v>
      </c>
      <c r="O2984" s="6" t="s">
        <v>107</v>
      </c>
      <c r="P2984" t="s">
        <v>108</v>
      </c>
      <c r="Q2984">
        <v>12</v>
      </c>
      <c r="R2984" t="s">
        <v>213</v>
      </c>
      <c r="S2984" s="2" t="s">
        <v>7</v>
      </c>
      <c r="T2984">
        <v>4</v>
      </c>
      <c r="U2984" t="s">
        <v>28</v>
      </c>
      <c r="V2984" t="s">
        <v>28</v>
      </c>
      <c r="W2984">
        <v>15</v>
      </c>
      <c r="X2984">
        <v>3.406E-2</v>
      </c>
      <c r="Y2984">
        <f>0.03957-X2984</f>
        <v>5.510000000000001E-3</v>
      </c>
      <c r="AA2984" s="6"/>
      <c r="AB2984" s="6"/>
    </row>
    <row r="2985" spans="1:28" x14ac:dyDescent="0.2">
      <c r="A2985" t="s">
        <v>387</v>
      </c>
      <c r="B2985">
        <v>2017</v>
      </c>
      <c r="C2985" t="s">
        <v>826</v>
      </c>
      <c r="D2985" t="s">
        <v>824</v>
      </c>
      <c r="E2985" t="s">
        <v>114</v>
      </c>
      <c r="F2985" t="s">
        <v>388</v>
      </c>
      <c r="G2985">
        <v>41.883333</v>
      </c>
      <c r="H2985">
        <v>141.01666700000001</v>
      </c>
      <c r="J2985" s="2" t="s">
        <v>14</v>
      </c>
      <c r="K2985" t="s">
        <v>385</v>
      </c>
      <c r="L2985" t="s">
        <v>143</v>
      </c>
      <c r="M2985" t="s">
        <v>638</v>
      </c>
      <c r="N2985" t="s">
        <v>85</v>
      </c>
      <c r="O2985" s="6" t="s">
        <v>107</v>
      </c>
      <c r="P2985" t="s">
        <v>108</v>
      </c>
      <c r="Q2985">
        <v>12</v>
      </c>
      <c r="R2985" t="s">
        <v>213</v>
      </c>
      <c r="S2985" s="2" t="s">
        <v>9</v>
      </c>
      <c r="T2985">
        <v>4</v>
      </c>
      <c r="U2985" t="s">
        <v>28</v>
      </c>
      <c r="V2985" t="s">
        <v>28</v>
      </c>
      <c r="W2985">
        <v>20</v>
      </c>
      <c r="X2985">
        <v>4.0770000000000001E-2</v>
      </c>
      <c r="Y2985">
        <f>0.04417-X2985</f>
        <v>3.4000000000000002E-3</v>
      </c>
      <c r="AA2985" s="6"/>
      <c r="AB2985" s="6"/>
    </row>
    <row r="2986" spans="1:28" x14ac:dyDescent="0.2">
      <c r="A2986" t="s">
        <v>387</v>
      </c>
      <c r="B2986">
        <v>2017</v>
      </c>
      <c r="C2986" t="s">
        <v>826</v>
      </c>
      <c r="D2986" t="s">
        <v>824</v>
      </c>
      <c r="E2986" t="s">
        <v>114</v>
      </c>
      <c r="F2986" t="s">
        <v>388</v>
      </c>
      <c r="G2986">
        <v>41.883333</v>
      </c>
      <c r="H2986">
        <v>141.01666700000001</v>
      </c>
      <c r="J2986" s="2" t="s">
        <v>7</v>
      </c>
      <c r="K2986" t="s">
        <v>389</v>
      </c>
      <c r="L2986" t="s">
        <v>144</v>
      </c>
      <c r="M2986" t="s">
        <v>638</v>
      </c>
      <c r="N2986" t="s">
        <v>85</v>
      </c>
      <c r="O2986" s="6" t="s">
        <v>107</v>
      </c>
      <c r="P2986" t="s">
        <v>108</v>
      </c>
      <c r="Q2986">
        <v>12</v>
      </c>
      <c r="R2986" t="s">
        <v>213</v>
      </c>
      <c r="S2986" s="2" t="s">
        <v>7</v>
      </c>
      <c r="T2986">
        <v>4</v>
      </c>
      <c r="U2986" t="s">
        <v>28</v>
      </c>
      <c r="V2986" t="s">
        <v>28</v>
      </c>
      <c r="W2986">
        <v>15</v>
      </c>
      <c r="X2986">
        <v>3.5900000000000001E-2</v>
      </c>
      <c r="Y2986">
        <f>0.04029-X2986</f>
        <v>4.3899999999999981E-3</v>
      </c>
      <c r="AA2986" s="6"/>
      <c r="AB2986" s="6"/>
    </row>
    <row r="2987" spans="1:28" x14ac:dyDescent="0.2">
      <c r="A2987" t="s">
        <v>387</v>
      </c>
      <c r="B2987">
        <v>2017</v>
      </c>
      <c r="C2987" t="s">
        <v>826</v>
      </c>
      <c r="D2987" t="s">
        <v>824</v>
      </c>
      <c r="E2987" t="s">
        <v>114</v>
      </c>
      <c r="F2987" t="s">
        <v>388</v>
      </c>
      <c r="G2987">
        <v>41.883333</v>
      </c>
      <c r="H2987">
        <v>141.01666700000001</v>
      </c>
      <c r="J2987" s="2" t="s">
        <v>14</v>
      </c>
      <c r="K2987" t="s">
        <v>389</v>
      </c>
      <c r="L2987" t="s">
        <v>144</v>
      </c>
      <c r="M2987" t="s">
        <v>638</v>
      </c>
      <c r="N2987" t="s">
        <v>85</v>
      </c>
      <c r="O2987" s="6" t="s">
        <v>107</v>
      </c>
      <c r="P2987" t="s">
        <v>108</v>
      </c>
      <c r="Q2987">
        <v>12</v>
      </c>
      <c r="R2987" t="s">
        <v>213</v>
      </c>
      <c r="S2987" s="2" t="s">
        <v>9</v>
      </c>
      <c r="T2987">
        <v>4</v>
      </c>
      <c r="U2987" t="s">
        <v>28</v>
      </c>
      <c r="V2987" t="s">
        <v>28</v>
      </c>
      <c r="W2987">
        <v>20</v>
      </c>
      <c r="X2987">
        <v>3.3849999999999998E-2</v>
      </c>
      <c r="Y2987">
        <f>0.03707-X2987</f>
        <v>3.2200000000000006E-3</v>
      </c>
      <c r="AA2987" s="6"/>
      <c r="AB2987" s="6"/>
    </row>
    <row r="2988" spans="1:28" x14ac:dyDescent="0.2">
      <c r="A2988" t="s">
        <v>387</v>
      </c>
      <c r="B2988">
        <v>2017</v>
      </c>
      <c r="C2988" t="s">
        <v>826</v>
      </c>
      <c r="D2988" t="s">
        <v>824</v>
      </c>
      <c r="E2988" t="s">
        <v>114</v>
      </c>
      <c r="F2988" t="s">
        <v>388</v>
      </c>
      <c r="G2988">
        <v>41.883333</v>
      </c>
      <c r="H2988">
        <v>141.01666700000001</v>
      </c>
      <c r="J2988" s="2" t="s">
        <v>7</v>
      </c>
      <c r="K2988" t="s">
        <v>385</v>
      </c>
      <c r="L2988" t="s">
        <v>143</v>
      </c>
      <c r="M2988" t="s">
        <v>553</v>
      </c>
      <c r="N2988" t="s">
        <v>85</v>
      </c>
      <c r="O2988" s="6" t="s">
        <v>61</v>
      </c>
      <c r="P2988" t="s">
        <v>391</v>
      </c>
      <c r="Q2988">
        <v>12</v>
      </c>
      <c r="R2988" t="s">
        <v>213</v>
      </c>
      <c r="S2988" s="2" t="s">
        <v>7</v>
      </c>
      <c r="T2988">
        <v>4</v>
      </c>
      <c r="U2988" t="s">
        <v>28</v>
      </c>
      <c r="V2988" t="s">
        <v>28</v>
      </c>
      <c r="W2988">
        <v>15</v>
      </c>
      <c r="X2988">
        <v>3.536</v>
      </c>
      <c r="Y2988">
        <f>3.864-X2988</f>
        <v>0.32799999999999985</v>
      </c>
      <c r="AA2988" s="6"/>
      <c r="AB2988" s="6"/>
    </row>
    <row r="2989" spans="1:28" x14ac:dyDescent="0.2">
      <c r="A2989" t="s">
        <v>387</v>
      </c>
      <c r="B2989">
        <v>2017</v>
      </c>
      <c r="C2989" t="s">
        <v>826</v>
      </c>
      <c r="D2989" t="s">
        <v>824</v>
      </c>
      <c r="E2989" t="s">
        <v>114</v>
      </c>
      <c r="F2989" t="s">
        <v>388</v>
      </c>
      <c r="G2989">
        <v>41.883333</v>
      </c>
      <c r="H2989">
        <v>141.01666700000001</v>
      </c>
      <c r="J2989" s="2" t="s">
        <v>14</v>
      </c>
      <c r="K2989" t="s">
        <v>385</v>
      </c>
      <c r="L2989" t="s">
        <v>143</v>
      </c>
      <c r="M2989" t="s">
        <v>553</v>
      </c>
      <c r="N2989" t="s">
        <v>85</v>
      </c>
      <c r="O2989" s="6" t="s">
        <v>61</v>
      </c>
      <c r="P2989" t="s">
        <v>391</v>
      </c>
      <c r="Q2989">
        <v>12</v>
      </c>
      <c r="R2989" t="s">
        <v>213</v>
      </c>
      <c r="S2989" s="2" t="s">
        <v>9</v>
      </c>
      <c r="T2989">
        <v>4</v>
      </c>
      <c r="U2989" t="s">
        <v>28</v>
      </c>
      <c r="V2989" t="s">
        <v>28</v>
      </c>
      <c r="W2989">
        <v>20</v>
      </c>
      <c r="X2989">
        <v>3.6459999999999999</v>
      </c>
      <c r="Y2989">
        <f>4.043-X2989</f>
        <v>0.39700000000000024</v>
      </c>
      <c r="AA2989" s="6"/>
      <c r="AB2989" s="6"/>
    </row>
    <row r="2990" spans="1:28" x14ac:dyDescent="0.2">
      <c r="A2990" t="s">
        <v>387</v>
      </c>
      <c r="B2990">
        <v>2017</v>
      </c>
      <c r="C2990" t="s">
        <v>826</v>
      </c>
      <c r="D2990" t="s">
        <v>824</v>
      </c>
      <c r="E2990" t="s">
        <v>114</v>
      </c>
      <c r="F2990" t="s">
        <v>388</v>
      </c>
      <c r="G2990">
        <v>41.883333</v>
      </c>
      <c r="H2990">
        <v>141.01666700000001</v>
      </c>
      <c r="J2990" s="2" t="s">
        <v>7</v>
      </c>
      <c r="K2990" t="s">
        <v>389</v>
      </c>
      <c r="L2990" t="s">
        <v>144</v>
      </c>
      <c r="M2990" t="s">
        <v>553</v>
      </c>
      <c r="N2990" t="s">
        <v>85</v>
      </c>
      <c r="O2990" s="6" t="s">
        <v>61</v>
      </c>
      <c r="P2990" t="s">
        <v>391</v>
      </c>
      <c r="Q2990">
        <v>12</v>
      </c>
      <c r="R2990" t="s">
        <v>213</v>
      </c>
      <c r="S2990" s="2" t="s">
        <v>7</v>
      </c>
      <c r="T2990">
        <v>4</v>
      </c>
      <c r="U2990" t="s">
        <v>28</v>
      </c>
      <c r="V2990" t="s">
        <v>28</v>
      </c>
      <c r="W2990">
        <v>15</v>
      </c>
      <c r="X2990">
        <v>4.1150000000000002</v>
      </c>
      <c r="Y2990">
        <f>4.409-X2990</f>
        <v>0.29399999999999959</v>
      </c>
      <c r="AA2990" s="6"/>
      <c r="AB2990" s="6"/>
    </row>
    <row r="2991" spans="1:28" x14ac:dyDescent="0.2">
      <c r="A2991" t="s">
        <v>387</v>
      </c>
      <c r="B2991">
        <v>2017</v>
      </c>
      <c r="C2991" t="s">
        <v>826</v>
      </c>
      <c r="D2991" t="s">
        <v>824</v>
      </c>
      <c r="E2991" t="s">
        <v>114</v>
      </c>
      <c r="F2991" t="s">
        <v>388</v>
      </c>
      <c r="G2991">
        <v>41.883333</v>
      </c>
      <c r="H2991">
        <v>141.01666700000001</v>
      </c>
      <c r="J2991" s="2" t="s">
        <v>14</v>
      </c>
      <c r="K2991" t="s">
        <v>389</v>
      </c>
      <c r="L2991" t="s">
        <v>144</v>
      </c>
      <c r="M2991" t="s">
        <v>553</v>
      </c>
      <c r="N2991" t="s">
        <v>85</v>
      </c>
      <c r="O2991" s="6" t="s">
        <v>61</v>
      </c>
      <c r="P2991" t="s">
        <v>391</v>
      </c>
      <c r="Q2991">
        <v>12</v>
      </c>
      <c r="R2991" t="s">
        <v>213</v>
      </c>
      <c r="S2991" s="2" t="s">
        <v>9</v>
      </c>
      <c r="T2991">
        <v>4</v>
      </c>
      <c r="U2991" t="s">
        <v>28</v>
      </c>
      <c r="V2991" t="s">
        <v>28</v>
      </c>
      <c r="W2991">
        <v>20</v>
      </c>
      <c r="X2991">
        <v>3.81</v>
      </c>
      <c r="Y2991">
        <f>4.173-X2991</f>
        <v>0.36299999999999999</v>
      </c>
      <c r="AA2991" s="6"/>
      <c r="AB2991" s="6"/>
    </row>
    <row r="2992" spans="1:28" x14ac:dyDescent="0.2">
      <c r="A2992" t="s">
        <v>393</v>
      </c>
      <c r="B2992">
        <v>2015</v>
      </c>
      <c r="C2992" t="s">
        <v>826</v>
      </c>
      <c r="D2992" t="s">
        <v>824</v>
      </c>
      <c r="E2992" t="s">
        <v>114</v>
      </c>
      <c r="F2992" t="s">
        <v>392</v>
      </c>
      <c r="G2992">
        <v>37.096927000000001</v>
      </c>
      <c r="H2992">
        <v>122.484748</v>
      </c>
      <c r="I2992" t="s">
        <v>761</v>
      </c>
      <c r="J2992" s="2" t="s">
        <v>7</v>
      </c>
      <c r="K2992" t="s">
        <v>36</v>
      </c>
      <c r="L2992" t="s">
        <v>300</v>
      </c>
      <c r="M2992" t="s">
        <v>727</v>
      </c>
      <c r="N2992" t="s">
        <v>85</v>
      </c>
      <c r="O2992" s="6" t="s">
        <v>71</v>
      </c>
      <c r="P2992" t="s">
        <v>70</v>
      </c>
      <c r="Q2992">
        <v>7</v>
      </c>
      <c r="R2992" t="s">
        <v>213</v>
      </c>
      <c r="S2992" s="2" t="s">
        <v>7</v>
      </c>
      <c r="T2992">
        <v>5</v>
      </c>
      <c r="U2992">
        <v>8.1</v>
      </c>
      <c r="V2992">
        <v>384.9</v>
      </c>
      <c r="W2992" t="s">
        <v>28</v>
      </c>
      <c r="X2992">
        <v>92.8</v>
      </c>
      <c r="Y2992">
        <f>101.11-X2992</f>
        <v>8.3100000000000023</v>
      </c>
      <c r="AA2992" s="6"/>
      <c r="AB2992" s="6"/>
    </row>
    <row r="2993" spans="1:28" x14ac:dyDescent="0.2">
      <c r="A2993" t="s">
        <v>393</v>
      </c>
      <c r="B2993">
        <v>2015</v>
      </c>
      <c r="C2993" t="s">
        <v>826</v>
      </c>
      <c r="D2993" t="s">
        <v>824</v>
      </c>
      <c r="E2993" t="s">
        <v>114</v>
      </c>
      <c r="F2993" t="s">
        <v>392</v>
      </c>
      <c r="G2993">
        <v>37.096927000000001</v>
      </c>
      <c r="H2993">
        <v>122.484748</v>
      </c>
      <c r="I2993" t="s">
        <v>761</v>
      </c>
      <c r="J2993" s="2" t="s">
        <v>5</v>
      </c>
      <c r="K2993" t="s">
        <v>36</v>
      </c>
      <c r="L2993" t="s">
        <v>300</v>
      </c>
      <c r="M2993" t="s">
        <v>727</v>
      </c>
      <c r="N2993" t="s">
        <v>85</v>
      </c>
      <c r="O2993" s="6" t="s">
        <v>71</v>
      </c>
      <c r="P2993" t="s">
        <v>70</v>
      </c>
      <c r="Q2993">
        <v>7</v>
      </c>
      <c r="R2993" t="s">
        <v>213</v>
      </c>
      <c r="S2993" s="2" t="s">
        <v>9</v>
      </c>
      <c r="T2993">
        <v>5</v>
      </c>
      <c r="U2993">
        <v>7.76</v>
      </c>
      <c r="V2993">
        <v>986.923</v>
      </c>
      <c r="W2993" t="s">
        <v>28</v>
      </c>
      <c r="X2993">
        <v>88.73</v>
      </c>
      <c r="Y2993">
        <f>96.71-X2993</f>
        <v>7.9799999999999898</v>
      </c>
      <c r="AA2993" s="6"/>
      <c r="AB2993" s="6"/>
    </row>
    <row r="2994" spans="1:28" x14ac:dyDescent="0.2">
      <c r="A2994" t="s">
        <v>393</v>
      </c>
      <c r="B2994">
        <v>2015</v>
      </c>
      <c r="C2994" t="s">
        <v>826</v>
      </c>
      <c r="D2994" t="s">
        <v>824</v>
      </c>
      <c r="E2994" t="s">
        <v>114</v>
      </c>
      <c r="F2994" t="s">
        <v>392</v>
      </c>
      <c r="G2994">
        <v>37.096927000000001</v>
      </c>
      <c r="H2994">
        <v>122.484748</v>
      </c>
      <c r="I2994" t="s">
        <v>761</v>
      </c>
      <c r="J2994" s="2" t="s">
        <v>5</v>
      </c>
      <c r="K2994" t="s">
        <v>36</v>
      </c>
      <c r="L2994" t="s">
        <v>300</v>
      </c>
      <c r="M2994" t="s">
        <v>727</v>
      </c>
      <c r="N2994" t="s">
        <v>85</v>
      </c>
      <c r="O2994" s="6" t="s">
        <v>71</v>
      </c>
      <c r="P2994" t="s">
        <v>70</v>
      </c>
      <c r="Q2994">
        <v>7</v>
      </c>
      <c r="R2994" t="s">
        <v>213</v>
      </c>
      <c r="S2994" s="2" t="s">
        <v>27</v>
      </c>
      <c r="T2994">
        <v>5</v>
      </c>
      <c r="U2994">
        <v>7.48</v>
      </c>
      <c r="V2994">
        <v>1973.85</v>
      </c>
      <c r="W2994" t="s">
        <v>28</v>
      </c>
      <c r="X2994">
        <v>84.62</v>
      </c>
      <c r="Y2994">
        <f>89.39-X2994</f>
        <v>4.769999999999996</v>
      </c>
      <c r="AA2994" s="6"/>
      <c r="AB2994" s="6"/>
    </row>
    <row r="2995" spans="1:28" x14ac:dyDescent="0.2">
      <c r="A2995" t="s">
        <v>393</v>
      </c>
      <c r="B2995">
        <v>2015</v>
      </c>
      <c r="C2995" t="s">
        <v>826</v>
      </c>
      <c r="D2995" t="s">
        <v>824</v>
      </c>
      <c r="E2995" t="s">
        <v>114</v>
      </c>
      <c r="F2995" t="s">
        <v>392</v>
      </c>
      <c r="G2995">
        <v>37.096927000000001</v>
      </c>
      <c r="H2995">
        <v>122.484748</v>
      </c>
      <c r="I2995" t="s">
        <v>761</v>
      </c>
      <c r="J2995" s="2" t="s">
        <v>7</v>
      </c>
      <c r="K2995" t="s">
        <v>3</v>
      </c>
      <c r="L2995" t="s">
        <v>3</v>
      </c>
      <c r="M2995" t="s">
        <v>727</v>
      </c>
      <c r="N2995" t="s">
        <v>85</v>
      </c>
      <c r="O2995" s="6" t="s">
        <v>42</v>
      </c>
      <c r="P2995" t="s">
        <v>743</v>
      </c>
      <c r="Q2995">
        <v>14</v>
      </c>
      <c r="R2995" t="s">
        <v>213</v>
      </c>
      <c r="S2995" s="2" t="s">
        <v>7</v>
      </c>
      <c r="T2995">
        <v>5</v>
      </c>
      <c r="U2995">
        <v>8.1</v>
      </c>
      <c r="V2995">
        <v>384.9</v>
      </c>
      <c r="W2995" t="s">
        <v>28</v>
      </c>
      <c r="X2995">
        <v>0.48420000000000002</v>
      </c>
      <c r="Y2995">
        <f>0.4969-X2995</f>
        <v>1.2699999999999989E-2</v>
      </c>
      <c r="AA2995" s="6"/>
      <c r="AB2995" s="6"/>
    </row>
    <row r="2996" spans="1:28" x14ac:dyDescent="0.2">
      <c r="A2996" t="s">
        <v>393</v>
      </c>
      <c r="B2996">
        <v>2015</v>
      </c>
      <c r="C2996" t="s">
        <v>826</v>
      </c>
      <c r="D2996" t="s">
        <v>824</v>
      </c>
      <c r="E2996" t="s">
        <v>114</v>
      </c>
      <c r="F2996" t="s">
        <v>392</v>
      </c>
      <c r="G2996">
        <v>37.096927000000001</v>
      </c>
      <c r="H2996">
        <v>122.484748</v>
      </c>
      <c r="I2996" t="s">
        <v>761</v>
      </c>
      <c r="J2996" s="2" t="s">
        <v>5</v>
      </c>
      <c r="K2996" t="s">
        <v>3</v>
      </c>
      <c r="L2996" t="s">
        <v>3</v>
      </c>
      <c r="M2996" t="s">
        <v>727</v>
      </c>
      <c r="N2996" t="s">
        <v>85</v>
      </c>
      <c r="O2996" s="6" t="s">
        <v>42</v>
      </c>
      <c r="P2996" t="s">
        <v>743</v>
      </c>
      <c r="Q2996">
        <v>14</v>
      </c>
      <c r="R2996" t="s">
        <v>213</v>
      </c>
      <c r="S2996" s="2" t="s">
        <v>9</v>
      </c>
      <c r="T2996">
        <v>5</v>
      </c>
      <c r="U2996">
        <v>7.76</v>
      </c>
      <c r="V2996">
        <v>986.923</v>
      </c>
      <c r="W2996" t="s">
        <v>28</v>
      </c>
      <c r="X2996">
        <v>0.43640000000000001</v>
      </c>
      <c r="Y2996">
        <f>0.4496-X2996</f>
        <v>1.319999999999999E-2</v>
      </c>
      <c r="AA2996" s="6"/>
      <c r="AB2996" s="6"/>
    </row>
    <row r="2997" spans="1:28" x14ac:dyDescent="0.2">
      <c r="A2997" t="s">
        <v>393</v>
      </c>
      <c r="B2997">
        <v>2015</v>
      </c>
      <c r="C2997" t="s">
        <v>826</v>
      </c>
      <c r="D2997" t="s">
        <v>824</v>
      </c>
      <c r="E2997" t="s">
        <v>114</v>
      </c>
      <c r="F2997" t="s">
        <v>392</v>
      </c>
      <c r="G2997">
        <v>37.096927000000001</v>
      </c>
      <c r="H2997">
        <v>122.484748</v>
      </c>
      <c r="I2997" t="s">
        <v>761</v>
      </c>
      <c r="J2997" s="2" t="s">
        <v>5</v>
      </c>
      <c r="K2997" t="s">
        <v>3</v>
      </c>
      <c r="L2997" t="s">
        <v>3</v>
      </c>
      <c r="M2997" t="s">
        <v>727</v>
      </c>
      <c r="N2997" t="s">
        <v>85</v>
      </c>
      <c r="O2997" s="6" t="s">
        <v>42</v>
      </c>
      <c r="P2997" t="s">
        <v>743</v>
      </c>
      <c r="Q2997">
        <v>14</v>
      </c>
      <c r="R2997" t="s">
        <v>213</v>
      </c>
      <c r="S2997" s="2" t="s">
        <v>27</v>
      </c>
      <c r="T2997">
        <v>5</v>
      </c>
      <c r="U2997">
        <v>7.48</v>
      </c>
      <c r="V2997">
        <v>1973.85</v>
      </c>
      <c r="W2997" t="s">
        <v>28</v>
      </c>
      <c r="X2997">
        <v>0.41670000000000001</v>
      </c>
      <c r="Y2997">
        <f>0.4461-X2997</f>
        <v>2.9399999999999982E-2</v>
      </c>
      <c r="AA2997" s="6"/>
      <c r="AB2997" s="6"/>
    </row>
    <row r="2998" spans="1:28" x14ac:dyDescent="0.2">
      <c r="A2998" t="s">
        <v>393</v>
      </c>
      <c r="B2998">
        <v>2015</v>
      </c>
      <c r="C2998" t="s">
        <v>826</v>
      </c>
      <c r="D2998" t="s">
        <v>824</v>
      </c>
      <c r="E2998" t="s">
        <v>114</v>
      </c>
      <c r="F2998" t="s">
        <v>392</v>
      </c>
      <c r="G2998">
        <v>37.096927000000001</v>
      </c>
      <c r="H2998">
        <v>122.484748</v>
      </c>
      <c r="I2998" t="s">
        <v>761</v>
      </c>
      <c r="J2998" s="2" t="s">
        <v>7</v>
      </c>
      <c r="K2998" t="s">
        <v>41</v>
      </c>
      <c r="L2998" t="s">
        <v>3</v>
      </c>
      <c r="M2998" t="s">
        <v>26</v>
      </c>
      <c r="N2998" t="s">
        <v>85</v>
      </c>
      <c r="O2998" s="6" t="s">
        <v>66</v>
      </c>
      <c r="P2998" t="s">
        <v>65</v>
      </c>
      <c r="Q2998">
        <v>14</v>
      </c>
      <c r="R2998" t="s">
        <v>213</v>
      </c>
      <c r="S2998" s="2" t="s">
        <v>7</v>
      </c>
      <c r="T2998">
        <v>5</v>
      </c>
      <c r="U2998">
        <v>8.1</v>
      </c>
      <c r="V2998">
        <v>384.9</v>
      </c>
      <c r="W2998" t="s">
        <v>28</v>
      </c>
      <c r="X2998">
        <v>17.72</v>
      </c>
      <c r="Y2998">
        <f>19.34-X2998</f>
        <v>1.620000000000001</v>
      </c>
      <c r="AA2998" s="6"/>
      <c r="AB2998" s="6"/>
    </row>
    <row r="2999" spans="1:28" x14ac:dyDescent="0.2">
      <c r="A2999" t="s">
        <v>393</v>
      </c>
      <c r="B2999">
        <v>2015</v>
      </c>
      <c r="C2999" t="s">
        <v>826</v>
      </c>
      <c r="D2999" t="s">
        <v>824</v>
      </c>
      <c r="E2999" t="s">
        <v>114</v>
      </c>
      <c r="F2999" t="s">
        <v>392</v>
      </c>
      <c r="G2999">
        <v>37.096927000000001</v>
      </c>
      <c r="H2999">
        <v>122.484748</v>
      </c>
      <c r="I2999" t="s">
        <v>761</v>
      </c>
      <c r="J2999" s="2" t="s">
        <v>5</v>
      </c>
      <c r="K2999" t="s">
        <v>41</v>
      </c>
      <c r="L2999" t="s">
        <v>3</v>
      </c>
      <c r="M2999" t="s">
        <v>26</v>
      </c>
      <c r="N2999" t="s">
        <v>85</v>
      </c>
      <c r="O2999" s="6" t="s">
        <v>66</v>
      </c>
      <c r="P2999" t="s">
        <v>65</v>
      </c>
      <c r="Q2999">
        <v>14</v>
      </c>
      <c r="R2999" t="s">
        <v>213</v>
      </c>
      <c r="S2999" s="2" t="s">
        <v>9</v>
      </c>
      <c r="T2999">
        <v>5</v>
      </c>
      <c r="U2999">
        <v>7.76</v>
      </c>
      <c r="V2999">
        <v>986.923</v>
      </c>
      <c r="W2999" t="s">
        <v>28</v>
      </c>
      <c r="X2999">
        <v>19.04</v>
      </c>
      <c r="Y2999">
        <f>20.99-X2999</f>
        <v>1.9499999999999993</v>
      </c>
      <c r="AA2999" s="6"/>
      <c r="AB2999" s="6"/>
    </row>
    <row r="3000" spans="1:28" x14ac:dyDescent="0.2">
      <c r="A3000" t="s">
        <v>393</v>
      </c>
      <c r="B3000">
        <v>2015</v>
      </c>
      <c r="C3000" t="s">
        <v>826</v>
      </c>
      <c r="D3000" t="s">
        <v>824</v>
      </c>
      <c r="E3000" t="s">
        <v>114</v>
      </c>
      <c r="F3000" t="s">
        <v>392</v>
      </c>
      <c r="G3000">
        <v>37.096927000000001</v>
      </c>
      <c r="H3000">
        <v>122.484748</v>
      </c>
      <c r="I3000" t="s">
        <v>761</v>
      </c>
      <c r="J3000" s="2" t="s">
        <v>5</v>
      </c>
      <c r="K3000" t="s">
        <v>41</v>
      </c>
      <c r="L3000" t="s">
        <v>3</v>
      </c>
      <c r="M3000" t="s">
        <v>26</v>
      </c>
      <c r="N3000" t="s">
        <v>85</v>
      </c>
      <c r="O3000" s="6" t="s">
        <v>66</v>
      </c>
      <c r="P3000" t="s">
        <v>65</v>
      </c>
      <c r="Q3000">
        <v>14</v>
      </c>
      <c r="R3000" t="s">
        <v>213</v>
      </c>
      <c r="S3000" s="2" t="s">
        <v>27</v>
      </c>
      <c r="T3000">
        <v>5</v>
      </c>
      <c r="U3000">
        <v>7.48</v>
      </c>
      <c r="V3000">
        <v>1973.85</v>
      </c>
      <c r="W3000" t="s">
        <v>28</v>
      </c>
      <c r="X3000">
        <v>19.239999999999998</v>
      </c>
      <c r="Y3000">
        <f>20.93-X3000</f>
        <v>1.6900000000000013</v>
      </c>
      <c r="AA3000" s="6"/>
      <c r="AB3000" s="6"/>
    </row>
    <row r="3001" spans="1:28" x14ac:dyDescent="0.2">
      <c r="A3001" t="s">
        <v>393</v>
      </c>
      <c r="B3001">
        <v>2015</v>
      </c>
      <c r="C3001" t="s">
        <v>826</v>
      </c>
      <c r="D3001" t="s">
        <v>824</v>
      </c>
      <c r="E3001" t="s">
        <v>114</v>
      </c>
      <c r="F3001" t="s">
        <v>392</v>
      </c>
      <c r="G3001">
        <v>37.096927000000001</v>
      </c>
      <c r="H3001">
        <v>122.484748</v>
      </c>
      <c r="I3001" t="s">
        <v>761</v>
      </c>
      <c r="J3001" s="2" t="s">
        <v>7</v>
      </c>
      <c r="K3001" t="s">
        <v>40</v>
      </c>
      <c r="L3001" t="s">
        <v>3</v>
      </c>
      <c r="M3001" t="s">
        <v>26</v>
      </c>
      <c r="N3001" t="s">
        <v>85</v>
      </c>
      <c r="O3001" s="6" t="s">
        <v>66</v>
      </c>
      <c r="P3001" t="s">
        <v>65</v>
      </c>
      <c r="Q3001">
        <v>14</v>
      </c>
      <c r="R3001" t="s">
        <v>213</v>
      </c>
      <c r="S3001" s="2" t="s">
        <v>7</v>
      </c>
      <c r="T3001">
        <v>5</v>
      </c>
      <c r="U3001">
        <v>8.1</v>
      </c>
      <c r="V3001">
        <v>384.9</v>
      </c>
      <c r="W3001" t="s">
        <v>28</v>
      </c>
      <c r="X3001">
        <v>5.7640000000000002</v>
      </c>
      <c r="Y3001">
        <f>6.678-X3001</f>
        <v>0.9139999999999997</v>
      </c>
      <c r="AA3001" s="6"/>
      <c r="AB3001" s="6"/>
    </row>
    <row r="3002" spans="1:28" x14ac:dyDescent="0.2">
      <c r="A3002" t="s">
        <v>393</v>
      </c>
      <c r="B3002">
        <v>2015</v>
      </c>
      <c r="C3002" t="s">
        <v>826</v>
      </c>
      <c r="D3002" t="s">
        <v>824</v>
      </c>
      <c r="E3002" t="s">
        <v>114</v>
      </c>
      <c r="F3002" t="s">
        <v>392</v>
      </c>
      <c r="G3002">
        <v>37.096927000000001</v>
      </c>
      <c r="H3002">
        <v>122.484748</v>
      </c>
      <c r="I3002" t="s">
        <v>761</v>
      </c>
      <c r="J3002" s="2" t="s">
        <v>5</v>
      </c>
      <c r="K3002" t="s">
        <v>40</v>
      </c>
      <c r="L3002" t="s">
        <v>3</v>
      </c>
      <c r="M3002" t="s">
        <v>26</v>
      </c>
      <c r="N3002" t="s">
        <v>85</v>
      </c>
      <c r="O3002" s="6" t="s">
        <v>66</v>
      </c>
      <c r="P3002" t="s">
        <v>65</v>
      </c>
      <c r="Q3002">
        <v>14</v>
      </c>
      <c r="R3002" t="s">
        <v>213</v>
      </c>
      <c r="S3002" s="2" t="s">
        <v>9</v>
      </c>
      <c r="T3002">
        <v>5</v>
      </c>
      <c r="U3002">
        <v>7.76</v>
      </c>
      <c r="V3002">
        <v>986.923</v>
      </c>
      <c r="W3002" t="s">
        <v>28</v>
      </c>
      <c r="X3002">
        <v>6.1879999999999997</v>
      </c>
      <c r="Y3002">
        <f>7.547-X3002</f>
        <v>1.359</v>
      </c>
      <c r="AA3002" s="6"/>
      <c r="AB3002" s="6"/>
    </row>
    <row r="3003" spans="1:28" x14ac:dyDescent="0.2">
      <c r="A3003" t="s">
        <v>393</v>
      </c>
      <c r="B3003">
        <v>2015</v>
      </c>
      <c r="C3003" t="s">
        <v>826</v>
      </c>
      <c r="D3003" t="s">
        <v>824</v>
      </c>
      <c r="E3003" t="s">
        <v>114</v>
      </c>
      <c r="F3003" t="s">
        <v>392</v>
      </c>
      <c r="G3003">
        <v>37.096927000000001</v>
      </c>
      <c r="H3003">
        <v>122.484748</v>
      </c>
      <c r="I3003" t="s">
        <v>761</v>
      </c>
      <c r="J3003" s="2" t="s">
        <v>5</v>
      </c>
      <c r="K3003" t="s">
        <v>40</v>
      </c>
      <c r="L3003" t="s">
        <v>3</v>
      </c>
      <c r="M3003" t="s">
        <v>26</v>
      </c>
      <c r="N3003" t="s">
        <v>85</v>
      </c>
      <c r="O3003" s="6" t="s">
        <v>66</v>
      </c>
      <c r="P3003" t="s">
        <v>65</v>
      </c>
      <c r="Q3003">
        <v>14</v>
      </c>
      <c r="R3003" t="s">
        <v>213</v>
      </c>
      <c r="S3003" s="2" t="s">
        <v>27</v>
      </c>
      <c r="T3003">
        <v>5</v>
      </c>
      <c r="U3003">
        <v>7.48</v>
      </c>
      <c r="V3003">
        <v>1973.85</v>
      </c>
      <c r="W3003" t="s">
        <v>28</v>
      </c>
      <c r="X3003">
        <v>6.3470000000000004</v>
      </c>
      <c r="Y3003">
        <f>7.308-X3003</f>
        <v>0.96099999999999941</v>
      </c>
      <c r="AA3003" s="6"/>
      <c r="AB3003" s="6"/>
    </row>
    <row r="3004" spans="1:28" x14ac:dyDescent="0.2">
      <c r="A3004" t="s">
        <v>393</v>
      </c>
      <c r="B3004">
        <v>2015</v>
      </c>
      <c r="C3004" t="s">
        <v>826</v>
      </c>
      <c r="D3004" t="s">
        <v>824</v>
      </c>
      <c r="E3004" t="s">
        <v>114</v>
      </c>
      <c r="F3004" t="s">
        <v>392</v>
      </c>
      <c r="G3004">
        <v>37.096927000000001</v>
      </c>
      <c r="H3004">
        <v>122.484748</v>
      </c>
      <c r="I3004" t="s">
        <v>761</v>
      </c>
      <c r="J3004" s="2" t="s">
        <v>7</v>
      </c>
      <c r="K3004" t="s">
        <v>41</v>
      </c>
      <c r="L3004" t="s">
        <v>3</v>
      </c>
      <c r="M3004" t="s">
        <v>26</v>
      </c>
      <c r="N3004" t="s">
        <v>85</v>
      </c>
      <c r="O3004" s="6" t="s">
        <v>207</v>
      </c>
      <c r="P3004" t="s">
        <v>206</v>
      </c>
      <c r="Q3004">
        <v>26</v>
      </c>
      <c r="R3004" t="s">
        <v>213</v>
      </c>
      <c r="S3004" s="2" t="s">
        <v>7</v>
      </c>
      <c r="T3004">
        <v>5</v>
      </c>
      <c r="U3004">
        <v>8.1</v>
      </c>
      <c r="V3004">
        <v>384.9</v>
      </c>
      <c r="W3004" t="s">
        <v>28</v>
      </c>
      <c r="X3004">
        <v>158.21</v>
      </c>
      <c r="Y3004">
        <f>164.05-X3004</f>
        <v>5.8400000000000034</v>
      </c>
      <c r="AA3004" s="6"/>
      <c r="AB3004" s="6"/>
    </row>
    <row r="3005" spans="1:28" x14ac:dyDescent="0.2">
      <c r="A3005" t="s">
        <v>393</v>
      </c>
      <c r="B3005">
        <v>2015</v>
      </c>
      <c r="C3005" t="s">
        <v>826</v>
      </c>
      <c r="D3005" t="s">
        <v>824</v>
      </c>
      <c r="E3005" t="s">
        <v>114</v>
      </c>
      <c r="F3005" t="s">
        <v>392</v>
      </c>
      <c r="G3005">
        <v>37.096927000000001</v>
      </c>
      <c r="H3005">
        <v>122.484748</v>
      </c>
      <c r="I3005" t="s">
        <v>761</v>
      </c>
      <c r="J3005" s="2" t="s">
        <v>5</v>
      </c>
      <c r="K3005" t="s">
        <v>41</v>
      </c>
      <c r="L3005" t="s">
        <v>3</v>
      </c>
      <c r="M3005" t="s">
        <v>26</v>
      </c>
      <c r="N3005" t="s">
        <v>85</v>
      </c>
      <c r="O3005" s="6" t="s">
        <v>207</v>
      </c>
      <c r="P3005" t="s">
        <v>206</v>
      </c>
      <c r="Q3005">
        <v>26</v>
      </c>
      <c r="R3005" t="s">
        <v>213</v>
      </c>
      <c r="S3005" s="2" t="s">
        <v>9</v>
      </c>
      <c r="T3005">
        <v>5</v>
      </c>
      <c r="U3005">
        <v>7.76</v>
      </c>
      <c r="V3005">
        <v>986.923</v>
      </c>
      <c r="W3005" t="s">
        <v>28</v>
      </c>
      <c r="X3005">
        <v>143.04</v>
      </c>
      <c r="Y3005">
        <f>184.82-X3005</f>
        <v>41.78</v>
      </c>
      <c r="AA3005" s="6"/>
      <c r="AB3005" s="6"/>
    </row>
    <row r="3006" spans="1:28" x14ac:dyDescent="0.2">
      <c r="A3006" t="s">
        <v>393</v>
      </c>
      <c r="B3006">
        <v>2015</v>
      </c>
      <c r="C3006" t="s">
        <v>826</v>
      </c>
      <c r="D3006" t="s">
        <v>824</v>
      </c>
      <c r="E3006" t="s">
        <v>114</v>
      </c>
      <c r="F3006" t="s">
        <v>392</v>
      </c>
      <c r="G3006">
        <v>37.096927000000001</v>
      </c>
      <c r="H3006">
        <v>122.484748</v>
      </c>
      <c r="I3006" t="s">
        <v>761</v>
      </c>
      <c r="J3006" s="2" t="s">
        <v>5</v>
      </c>
      <c r="K3006" t="s">
        <v>41</v>
      </c>
      <c r="L3006" t="s">
        <v>3</v>
      </c>
      <c r="M3006" t="s">
        <v>26</v>
      </c>
      <c r="N3006" t="s">
        <v>85</v>
      </c>
      <c r="O3006" s="6" t="s">
        <v>207</v>
      </c>
      <c r="P3006" t="s">
        <v>206</v>
      </c>
      <c r="Q3006">
        <v>26</v>
      </c>
      <c r="R3006" t="s">
        <v>213</v>
      </c>
      <c r="S3006" s="2" t="s">
        <v>27</v>
      </c>
      <c r="T3006">
        <v>5</v>
      </c>
      <c r="U3006">
        <v>7.48</v>
      </c>
      <c r="V3006">
        <v>1973.85</v>
      </c>
      <c r="W3006" t="s">
        <v>28</v>
      </c>
      <c r="X3006">
        <v>57.59</v>
      </c>
      <c r="Y3006">
        <f>74.63-X3006</f>
        <v>17.039999999999992</v>
      </c>
      <c r="AA3006" s="6"/>
      <c r="AB3006" s="6"/>
    </row>
    <row r="3007" spans="1:28" x14ac:dyDescent="0.2">
      <c r="A3007" t="s">
        <v>393</v>
      </c>
      <c r="B3007">
        <v>2015</v>
      </c>
      <c r="C3007" t="s">
        <v>826</v>
      </c>
      <c r="D3007" t="s">
        <v>824</v>
      </c>
      <c r="E3007" t="s">
        <v>114</v>
      </c>
      <c r="F3007" t="s">
        <v>392</v>
      </c>
      <c r="G3007">
        <v>37.096927000000001</v>
      </c>
      <c r="H3007">
        <v>122.484748</v>
      </c>
      <c r="I3007" t="s">
        <v>761</v>
      </c>
      <c r="J3007" s="2" t="s">
        <v>7</v>
      </c>
      <c r="K3007" t="s">
        <v>41</v>
      </c>
      <c r="L3007" t="s">
        <v>3</v>
      </c>
      <c r="M3007" t="s">
        <v>727</v>
      </c>
      <c r="N3007" t="s">
        <v>85</v>
      </c>
      <c r="O3007" t="s">
        <v>142</v>
      </c>
      <c r="P3007" t="s">
        <v>70</v>
      </c>
      <c r="Q3007">
        <v>26</v>
      </c>
      <c r="R3007" t="s">
        <v>213</v>
      </c>
      <c r="S3007" s="2" t="s">
        <v>7</v>
      </c>
      <c r="T3007">
        <v>5</v>
      </c>
      <c r="U3007">
        <v>8.1</v>
      </c>
      <c r="V3007">
        <v>384.9</v>
      </c>
      <c r="W3007" t="s">
        <v>28</v>
      </c>
      <c r="X3007">
        <v>58.96</v>
      </c>
      <c r="Y3007">
        <v>0</v>
      </c>
      <c r="AA3007" s="6"/>
      <c r="AB3007" s="6"/>
    </row>
    <row r="3008" spans="1:28" x14ac:dyDescent="0.2">
      <c r="A3008" t="s">
        <v>393</v>
      </c>
      <c r="B3008">
        <v>2015</v>
      </c>
      <c r="C3008" t="s">
        <v>826</v>
      </c>
      <c r="D3008" t="s">
        <v>824</v>
      </c>
      <c r="E3008" t="s">
        <v>114</v>
      </c>
      <c r="F3008" t="s">
        <v>392</v>
      </c>
      <c r="G3008">
        <v>37.096927000000001</v>
      </c>
      <c r="H3008">
        <v>122.484748</v>
      </c>
      <c r="I3008" t="s">
        <v>761</v>
      </c>
      <c r="J3008" s="2" t="s">
        <v>5</v>
      </c>
      <c r="K3008" t="s">
        <v>41</v>
      </c>
      <c r="L3008" t="s">
        <v>3</v>
      </c>
      <c r="M3008" t="s">
        <v>727</v>
      </c>
      <c r="N3008" t="s">
        <v>85</v>
      </c>
      <c r="O3008" t="s">
        <v>142</v>
      </c>
      <c r="P3008" t="s">
        <v>70</v>
      </c>
      <c r="Q3008">
        <v>26</v>
      </c>
      <c r="R3008" t="s">
        <v>213</v>
      </c>
      <c r="S3008" s="2" t="s">
        <v>9</v>
      </c>
      <c r="T3008">
        <v>5</v>
      </c>
      <c r="U3008">
        <v>7.76</v>
      </c>
      <c r="V3008">
        <v>986.923</v>
      </c>
      <c r="W3008" t="s">
        <v>28</v>
      </c>
      <c r="X3008">
        <v>52.89</v>
      </c>
      <c r="Y3008">
        <f>79.73-X3008</f>
        <v>26.840000000000003</v>
      </c>
      <c r="AA3008" s="6"/>
      <c r="AB3008" s="6"/>
    </row>
    <row r="3009" spans="1:28" x14ac:dyDescent="0.2">
      <c r="A3009" t="s">
        <v>393</v>
      </c>
      <c r="B3009">
        <v>2015</v>
      </c>
      <c r="C3009" t="s">
        <v>826</v>
      </c>
      <c r="D3009" t="s">
        <v>824</v>
      </c>
      <c r="E3009" t="s">
        <v>114</v>
      </c>
      <c r="F3009" t="s">
        <v>392</v>
      </c>
      <c r="G3009">
        <v>37.096927000000001</v>
      </c>
      <c r="H3009">
        <v>122.484748</v>
      </c>
      <c r="I3009" t="s">
        <v>761</v>
      </c>
      <c r="J3009" s="2" t="s">
        <v>5</v>
      </c>
      <c r="K3009" t="s">
        <v>41</v>
      </c>
      <c r="L3009" t="s">
        <v>3</v>
      </c>
      <c r="M3009" t="s">
        <v>727</v>
      </c>
      <c r="N3009" t="s">
        <v>85</v>
      </c>
      <c r="O3009" t="s">
        <v>142</v>
      </c>
      <c r="P3009" t="s">
        <v>70</v>
      </c>
      <c r="Q3009">
        <v>26</v>
      </c>
      <c r="R3009" t="s">
        <v>213</v>
      </c>
      <c r="S3009" s="2" t="s">
        <v>27</v>
      </c>
      <c r="T3009">
        <v>5</v>
      </c>
      <c r="U3009">
        <v>7.48</v>
      </c>
      <c r="V3009">
        <v>1973.85</v>
      </c>
      <c r="W3009" t="s">
        <v>28</v>
      </c>
      <c r="X3009">
        <v>9.75</v>
      </c>
      <c r="Y3009">
        <f>14.22-X3009</f>
        <v>4.4700000000000006</v>
      </c>
      <c r="AA3009" s="6"/>
      <c r="AB3009" s="6"/>
    </row>
    <row r="3010" spans="1:28" x14ac:dyDescent="0.2">
      <c r="A3010" t="s">
        <v>393</v>
      </c>
      <c r="B3010">
        <v>2015</v>
      </c>
      <c r="C3010" t="s">
        <v>826</v>
      </c>
      <c r="D3010" t="s">
        <v>824</v>
      </c>
      <c r="E3010" t="s">
        <v>114</v>
      </c>
      <c r="F3010" t="s">
        <v>392</v>
      </c>
      <c r="G3010">
        <v>37.096927000000001</v>
      </c>
      <c r="H3010">
        <v>122.484748</v>
      </c>
      <c r="I3010" t="s">
        <v>761</v>
      </c>
      <c r="J3010" s="2" t="s">
        <v>7</v>
      </c>
      <c r="K3010" t="s">
        <v>41</v>
      </c>
      <c r="L3010" t="s">
        <v>3</v>
      </c>
      <c r="M3010" t="s">
        <v>727</v>
      </c>
      <c r="N3010" t="s">
        <v>85</v>
      </c>
      <c r="O3010" s="6" t="s">
        <v>374</v>
      </c>
      <c r="P3010" t="s">
        <v>70</v>
      </c>
      <c r="Q3010">
        <v>32</v>
      </c>
      <c r="R3010" t="s">
        <v>213</v>
      </c>
      <c r="S3010" s="2" t="s">
        <v>7</v>
      </c>
      <c r="T3010">
        <v>5</v>
      </c>
      <c r="U3010">
        <v>8.1</v>
      </c>
      <c r="V3010">
        <v>384.9</v>
      </c>
      <c r="W3010" t="s">
        <v>28</v>
      </c>
      <c r="X3010">
        <v>12.72</v>
      </c>
      <c r="Y3010">
        <f>15.29-X3010</f>
        <v>2.5699999999999985</v>
      </c>
      <c r="AA3010" s="6"/>
      <c r="AB3010" s="6"/>
    </row>
    <row r="3011" spans="1:28" x14ac:dyDescent="0.2">
      <c r="A3011" t="s">
        <v>393</v>
      </c>
      <c r="B3011">
        <v>2015</v>
      </c>
      <c r="C3011" t="s">
        <v>826</v>
      </c>
      <c r="D3011" t="s">
        <v>824</v>
      </c>
      <c r="E3011" t="s">
        <v>114</v>
      </c>
      <c r="F3011" t="s">
        <v>392</v>
      </c>
      <c r="G3011">
        <v>37.096927000000001</v>
      </c>
      <c r="H3011">
        <v>122.484748</v>
      </c>
      <c r="I3011" t="s">
        <v>761</v>
      </c>
      <c r="J3011" s="2" t="s">
        <v>5</v>
      </c>
      <c r="K3011" t="s">
        <v>41</v>
      </c>
      <c r="L3011" t="s">
        <v>3</v>
      </c>
      <c r="M3011" t="s">
        <v>727</v>
      </c>
      <c r="N3011" t="s">
        <v>85</v>
      </c>
      <c r="O3011" s="6" t="s">
        <v>374</v>
      </c>
      <c r="P3011" t="s">
        <v>70</v>
      </c>
      <c r="Q3011">
        <v>32</v>
      </c>
      <c r="R3011" t="s">
        <v>213</v>
      </c>
      <c r="S3011" s="2" t="s">
        <v>9</v>
      </c>
      <c r="T3011">
        <v>5</v>
      </c>
      <c r="U3011">
        <v>7.76</v>
      </c>
      <c r="V3011">
        <v>986.923</v>
      </c>
      <c r="W3011" t="s">
        <v>28</v>
      </c>
      <c r="X3011">
        <v>1.35</v>
      </c>
      <c r="Y3011">
        <v>0</v>
      </c>
      <c r="AA3011" s="6"/>
      <c r="AB3011" s="6"/>
    </row>
    <row r="3012" spans="1:28" x14ac:dyDescent="0.2">
      <c r="A3012" t="s">
        <v>393</v>
      </c>
      <c r="B3012">
        <v>2015</v>
      </c>
      <c r="C3012" t="s">
        <v>826</v>
      </c>
      <c r="D3012" t="s">
        <v>824</v>
      </c>
      <c r="E3012" t="s">
        <v>114</v>
      </c>
      <c r="F3012" t="s">
        <v>392</v>
      </c>
      <c r="G3012">
        <v>37.096927000000001</v>
      </c>
      <c r="H3012">
        <v>122.484748</v>
      </c>
      <c r="I3012" t="s">
        <v>761</v>
      </c>
      <c r="J3012" s="2" t="s">
        <v>5</v>
      </c>
      <c r="K3012" t="s">
        <v>41</v>
      </c>
      <c r="L3012" t="s">
        <v>3</v>
      </c>
      <c r="M3012" t="s">
        <v>727</v>
      </c>
      <c r="N3012" t="s">
        <v>85</v>
      </c>
      <c r="O3012" s="6" t="s">
        <v>374</v>
      </c>
      <c r="P3012" t="s">
        <v>70</v>
      </c>
      <c r="Q3012">
        <v>32</v>
      </c>
      <c r="R3012" t="s">
        <v>213</v>
      </c>
      <c r="S3012" s="2" t="s">
        <v>27</v>
      </c>
      <c r="T3012">
        <v>5</v>
      </c>
      <c r="U3012">
        <v>7.48</v>
      </c>
      <c r="V3012">
        <v>1973.85</v>
      </c>
      <c r="W3012" t="s">
        <v>28</v>
      </c>
      <c r="X3012">
        <v>0</v>
      </c>
      <c r="Y3012">
        <v>0</v>
      </c>
      <c r="AA3012" s="6"/>
      <c r="AB3012" s="6"/>
    </row>
    <row r="3013" spans="1:28" x14ac:dyDescent="0.2">
      <c r="A3013" t="s">
        <v>393</v>
      </c>
      <c r="B3013">
        <v>2015</v>
      </c>
      <c r="C3013" t="s">
        <v>826</v>
      </c>
      <c r="D3013" t="s">
        <v>824</v>
      </c>
      <c r="E3013" t="s">
        <v>114</v>
      </c>
      <c r="F3013" t="s">
        <v>392</v>
      </c>
      <c r="G3013">
        <v>37.096927000000001</v>
      </c>
      <c r="H3013">
        <v>122.484748</v>
      </c>
      <c r="I3013" t="s">
        <v>761</v>
      </c>
      <c r="J3013" s="2" t="s">
        <v>7</v>
      </c>
      <c r="K3013" t="s">
        <v>41</v>
      </c>
      <c r="L3013" t="s">
        <v>3</v>
      </c>
      <c r="M3013" t="s">
        <v>727</v>
      </c>
      <c r="N3013" t="s">
        <v>85</v>
      </c>
      <c r="O3013" s="6" t="s">
        <v>394</v>
      </c>
      <c r="P3013" t="s">
        <v>395</v>
      </c>
      <c r="Q3013">
        <v>26</v>
      </c>
      <c r="R3013" t="s">
        <v>213</v>
      </c>
      <c r="S3013" s="2" t="s">
        <v>7</v>
      </c>
      <c r="T3013">
        <v>5</v>
      </c>
      <c r="U3013">
        <v>8.1</v>
      </c>
      <c r="V3013">
        <v>384.9</v>
      </c>
      <c r="W3013" t="s">
        <v>28</v>
      </c>
      <c r="X3013">
        <v>1.077</v>
      </c>
      <c r="Y3013">
        <f>1.35-X3013</f>
        <v>0.27300000000000013</v>
      </c>
      <c r="AA3013" s="6"/>
      <c r="AB3013" s="6"/>
    </row>
    <row r="3014" spans="1:28" x14ac:dyDescent="0.2">
      <c r="A3014" t="s">
        <v>393</v>
      </c>
      <c r="B3014">
        <v>2015</v>
      </c>
      <c r="C3014" t="s">
        <v>826</v>
      </c>
      <c r="D3014" t="s">
        <v>824</v>
      </c>
      <c r="E3014" t="s">
        <v>114</v>
      </c>
      <c r="F3014" t="s">
        <v>392</v>
      </c>
      <c r="G3014">
        <v>37.096927000000001</v>
      </c>
      <c r="H3014">
        <v>122.484748</v>
      </c>
      <c r="I3014" t="s">
        <v>761</v>
      </c>
      <c r="J3014" s="2" t="s">
        <v>5</v>
      </c>
      <c r="K3014" t="s">
        <v>41</v>
      </c>
      <c r="L3014" t="s">
        <v>3</v>
      </c>
      <c r="M3014" t="s">
        <v>727</v>
      </c>
      <c r="N3014" t="s">
        <v>85</v>
      </c>
      <c r="O3014" s="6" t="s">
        <v>394</v>
      </c>
      <c r="P3014" t="s">
        <v>395</v>
      </c>
      <c r="Q3014">
        <v>26</v>
      </c>
      <c r="R3014" t="s">
        <v>213</v>
      </c>
      <c r="S3014" s="2" t="s">
        <v>9</v>
      </c>
      <c r="T3014">
        <v>5</v>
      </c>
      <c r="U3014">
        <v>7.76</v>
      </c>
      <c r="V3014">
        <v>986.923</v>
      </c>
      <c r="W3014" t="s">
        <v>28</v>
      </c>
      <c r="X3014">
        <v>1.5960000000000001</v>
      </c>
      <c r="Y3014">
        <f>2.271-X3014</f>
        <v>0.67499999999999982</v>
      </c>
      <c r="AA3014" s="6"/>
      <c r="AB3014" s="6"/>
    </row>
    <row r="3015" spans="1:28" x14ac:dyDescent="0.2">
      <c r="A3015" t="s">
        <v>393</v>
      </c>
      <c r="B3015">
        <v>2015</v>
      </c>
      <c r="C3015" t="s">
        <v>826</v>
      </c>
      <c r="D3015" t="s">
        <v>824</v>
      </c>
      <c r="E3015" t="s">
        <v>114</v>
      </c>
      <c r="F3015" t="s">
        <v>392</v>
      </c>
      <c r="G3015">
        <v>37.096927000000001</v>
      </c>
      <c r="H3015">
        <v>122.484748</v>
      </c>
      <c r="I3015" t="s">
        <v>761</v>
      </c>
      <c r="J3015" s="2" t="s">
        <v>5</v>
      </c>
      <c r="K3015" t="s">
        <v>41</v>
      </c>
      <c r="L3015" t="s">
        <v>3</v>
      </c>
      <c r="M3015" t="s">
        <v>727</v>
      </c>
      <c r="N3015" t="s">
        <v>85</v>
      </c>
      <c r="O3015" s="6" t="s">
        <v>394</v>
      </c>
      <c r="P3015" t="s">
        <v>395</v>
      </c>
      <c r="Q3015">
        <v>26</v>
      </c>
      <c r="R3015" t="s">
        <v>213</v>
      </c>
      <c r="S3015" s="2" t="s">
        <v>27</v>
      </c>
      <c r="T3015">
        <v>5</v>
      </c>
      <c r="U3015">
        <v>7.48</v>
      </c>
      <c r="V3015">
        <v>1973.85</v>
      </c>
      <c r="W3015" t="s">
        <v>28</v>
      </c>
      <c r="X3015">
        <v>1.0169999999999999</v>
      </c>
      <c r="Y3015">
        <f>1.159-X3015</f>
        <v>0.14200000000000013</v>
      </c>
      <c r="AA3015" s="6"/>
      <c r="AB3015" s="6"/>
    </row>
    <row r="3016" spans="1:28" x14ac:dyDescent="0.2">
      <c r="A3016" t="s">
        <v>393</v>
      </c>
      <c r="B3016">
        <v>2015</v>
      </c>
      <c r="C3016" t="s">
        <v>826</v>
      </c>
      <c r="D3016" t="s">
        <v>824</v>
      </c>
      <c r="E3016" t="s">
        <v>114</v>
      </c>
      <c r="F3016" t="s">
        <v>392</v>
      </c>
      <c r="G3016">
        <v>37.096927000000001</v>
      </c>
      <c r="H3016">
        <v>122.484748</v>
      </c>
      <c r="I3016" t="s">
        <v>761</v>
      </c>
      <c r="J3016" s="2" t="s">
        <v>7</v>
      </c>
      <c r="K3016" t="s">
        <v>41</v>
      </c>
      <c r="L3016" t="s">
        <v>3</v>
      </c>
      <c r="M3016" t="s">
        <v>726</v>
      </c>
      <c r="N3016" t="s">
        <v>85</v>
      </c>
      <c r="O3016" s="6" t="s">
        <v>84</v>
      </c>
      <c r="Q3016">
        <v>14</v>
      </c>
      <c r="R3016" t="s">
        <v>213</v>
      </c>
      <c r="S3016" s="2" t="s">
        <v>7</v>
      </c>
      <c r="T3016">
        <v>5</v>
      </c>
      <c r="U3016">
        <v>8.1</v>
      </c>
      <c r="V3016">
        <v>384.9</v>
      </c>
      <c r="W3016" t="s">
        <v>28</v>
      </c>
      <c r="X3016">
        <v>0.35770000000000002</v>
      </c>
      <c r="Y3016">
        <v>0</v>
      </c>
      <c r="AA3016" s="6"/>
      <c r="AB3016" s="6"/>
    </row>
    <row r="3017" spans="1:28" x14ac:dyDescent="0.2">
      <c r="A3017" t="s">
        <v>393</v>
      </c>
      <c r="B3017">
        <v>2015</v>
      </c>
      <c r="C3017" t="s">
        <v>826</v>
      </c>
      <c r="D3017" t="s">
        <v>824</v>
      </c>
      <c r="E3017" t="s">
        <v>114</v>
      </c>
      <c r="F3017" t="s">
        <v>392</v>
      </c>
      <c r="G3017">
        <v>37.096927000000001</v>
      </c>
      <c r="H3017">
        <v>122.484748</v>
      </c>
      <c r="I3017" t="s">
        <v>761</v>
      </c>
      <c r="J3017" s="2" t="s">
        <v>5</v>
      </c>
      <c r="K3017" t="s">
        <v>41</v>
      </c>
      <c r="L3017" t="s">
        <v>3</v>
      </c>
      <c r="M3017" t="s">
        <v>726</v>
      </c>
      <c r="N3017" t="s">
        <v>85</v>
      </c>
      <c r="O3017" s="6" t="s">
        <v>84</v>
      </c>
      <c r="Q3017">
        <v>14</v>
      </c>
      <c r="R3017" t="s">
        <v>213</v>
      </c>
      <c r="S3017" s="2" t="s">
        <v>9</v>
      </c>
      <c r="T3017">
        <v>5</v>
      </c>
      <c r="U3017">
        <v>7.76</v>
      </c>
      <c r="V3017">
        <v>986.923</v>
      </c>
      <c r="W3017" t="s">
        <v>28</v>
      </c>
      <c r="X3017">
        <v>0.36890000000000001</v>
      </c>
      <c r="Y3017">
        <f>0.3877-X3017</f>
        <v>1.8799999999999983E-2</v>
      </c>
      <c r="AA3017" s="6"/>
      <c r="AB3017" s="6"/>
    </row>
    <row r="3018" spans="1:28" x14ac:dyDescent="0.2">
      <c r="A3018" t="s">
        <v>393</v>
      </c>
      <c r="B3018">
        <v>2015</v>
      </c>
      <c r="C3018" t="s">
        <v>826</v>
      </c>
      <c r="D3018" t="s">
        <v>824</v>
      </c>
      <c r="E3018" t="s">
        <v>114</v>
      </c>
      <c r="F3018" t="s">
        <v>392</v>
      </c>
      <c r="G3018">
        <v>37.096927000000001</v>
      </c>
      <c r="H3018">
        <v>122.484748</v>
      </c>
      <c r="I3018" t="s">
        <v>761</v>
      </c>
      <c r="J3018" s="2" t="s">
        <v>5</v>
      </c>
      <c r="K3018" t="s">
        <v>41</v>
      </c>
      <c r="L3018" t="s">
        <v>3</v>
      </c>
      <c r="M3018" t="s">
        <v>726</v>
      </c>
      <c r="N3018" t="s">
        <v>85</v>
      </c>
      <c r="O3018" s="6" t="s">
        <v>84</v>
      </c>
      <c r="Q3018">
        <v>14</v>
      </c>
      <c r="R3018" t="s">
        <v>213</v>
      </c>
      <c r="S3018" s="2" t="s">
        <v>27</v>
      </c>
      <c r="T3018">
        <v>5</v>
      </c>
      <c r="U3018">
        <v>7.48</v>
      </c>
      <c r="V3018">
        <v>1973.85</v>
      </c>
      <c r="W3018" t="s">
        <v>28</v>
      </c>
      <c r="X3018">
        <v>0.40079999999999999</v>
      </c>
      <c r="Y3018">
        <f>0.4308-X3018</f>
        <v>3.0000000000000027E-2</v>
      </c>
      <c r="AA3018" s="6"/>
      <c r="AB3018" s="6"/>
    </row>
    <row r="3019" spans="1:28" x14ac:dyDescent="0.2">
      <c r="A3019" t="s">
        <v>393</v>
      </c>
      <c r="B3019">
        <v>2015</v>
      </c>
      <c r="C3019" t="s">
        <v>826</v>
      </c>
      <c r="D3019" t="s">
        <v>824</v>
      </c>
      <c r="E3019" t="s">
        <v>114</v>
      </c>
      <c r="F3019" t="s">
        <v>392</v>
      </c>
      <c r="G3019">
        <v>37.096927000000001</v>
      </c>
      <c r="H3019">
        <v>122.484748</v>
      </c>
      <c r="I3019" t="s">
        <v>761</v>
      </c>
      <c r="J3019" s="2" t="s">
        <v>7</v>
      </c>
      <c r="K3019" t="s">
        <v>40</v>
      </c>
      <c r="L3019" t="s">
        <v>3</v>
      </c>
      <c r="M3019" t="s">
        <v>726</v>
      </c>
      <c r="N3019" t="s">
        <v>85</v>
      </c>
      <c r="O3019" s="6" t="s">
        <v>84</v>
      </c>
      <c r="Q3019">
        <v>14</v>
      </c>
      <c r="R3019" t="s">
        <v>213</v>
      </c>
      <c r="S3019" s="2" t="s">
        <v>7</v>
      </c>
      <c r="T3019">
        <v>5</v>
      </c>
      <c r="U3019">
        <v>8.1</v>
      </c>
      <c r="V3019">
        <v>384.9</v>
      </c>
      <c r="W3019" t="s">
        <v>28</v>
      </c>
      <c r="X3019">
        <v>0.31309999999999999</v>
      </c>
      <c r="Y3019">
        <v>0</v>
      </c>
      <c r="AA3019" s="6"/>
      <c r="AB3019" s="6"/>
    </row>
    <row r="3020" spans="1:28" x14ac:dyDescent="0.2">
      <c r="A3020" t="s">
        <v>393</v>
      </c>
      <c r="B3020">
        <v>2015</v>
      </c>
      <c r="C3020" t="s">
        <v>826</v>
      </c>
      <c r="D3020" t="s">
        <v>824</v>
      </c>
      <c r="E3020" t="s">
        <v>114</v>
      </c>
      <c r="F3020" t="s">
        <v>392</v>
      </c>
      <c r="G3020">
        <v>37.096927000000001</v>
      </c>
      <c r="H3020">
        <v>122.484748</v>
      </c>
      <c r="I3020" t="s">
        <v>761</v>
      </c>
      <c r="J3020" s="2" t="s">
        <v>5</v>
      </c>
      <c r="K3020" t="s">
        <v>40</v>
      </c>
      <c r="L3020" t="s">
        <v>3</v>
      </c>
      <c r="M3020" t="s">
        <v>726</v>
      </c>
      <c r="N3020" t="s">
        <v>85</v>
      </c>
      <c r="O3020" s="6" t="s">
        <v>84</v>
      </c>
      <c r="Q3020">
        <v>14</v>
      </c>
      <c r="R3020" t="s">
        <v>213</v>
      </c>
      <c r="S3020" s="2" t="s">
        <v>9</v>
      </c>
      <c r="T3020">
        <v>5</v>
      </c>
      <c r="U3020">
        <v>7.76</v>
      </c>
      <c r="V3020">
        <v>986.923</v>
      </c>
      <c r="W3020" t="s">
        <v>28</v>
      </c>
      <c r="X3020">
        <v>0.39019999999999999</v>
      </c>
      <c r="Y3020">
        <f>0.48-X3020</f>
        <v>8.9799999999999991E-2</v>
      </c>
      <c r="AA3020" s="6"/>
      <c r="AB3020" s="6"/>
    </row>
    <row r="3021" spans="1:28" x14ac:dyDescent="0.2">
      <c r="A3021" t="s">
        <v>393</v>
      </c>
      <c r="B3021">
        <v>2015</v>
      </c>
      <c r="C3021" t="s">
        <v>826</v>
      </c>
      <c r="D3021" t="s">
        <v>824</v>
      </c>
      <c r="E3021" t="s">
        <v>114</v>
      </c>
      <c r="F3021" t="s">
        <v>392</v>
      </c>
      <c r="G3021">
        <v>37.096927000000001</v>
      </c>
      <c r="H3021">
        <v>122.484748</v>
      </c>
      <c r="I3021" t="s">
        <v>761</v>
      </c>
      <c r="J3021" s="2" t="s">
        <v>5</v>
      </c>
      <c r="K3021" t="s">
        <v>40</v>
      </c>
      <c r="L3021" t="s">
        <v>3</v>
      </c>
      <c r="M3021" t="s">
        <v>726</v>
      </c>
      <c r="N3021" t="s">
        <v>85</v>
      </c>
      <c r="O3021" s="6" t="s">
        <v>84</v>
      </c>
      <c r="Q3021">
        <v>14</v>
      </c>
      <c r="R3021" t="s">
        <v>213</v>
      </c>
      <c r="S3021" s="2" t="s">
        <v>27</v>
      </c>
      <c r="T3021">
        <v>5</v>
      </c>
      <c r="U3021">
        <v>7.48</v>
      </c>
      <c r="V3021">
        <v>1973.85</v>
      </c>
      <c r="W3021" t="s">
        <v>28</v>
      </c>
      <c r="X3021">
        <v>0.34200000000000003</v>
      </c>
      <c r="Y3021">
        <f>0.3721-X3021</f>
        <v>3.009999999999996E-2</v>
      </c>
      <c r="AA3021" s="6"/>
      <c r="AB3021" s="6"/>
    </row>
    <row r="3022" spans="1:28" x14ac:dyDescent="0.2">
      <c r="A3022" t="s">
        <v>393</v>
      </c>
      <c r="B3022">
        <v>2015</v>
      </c>
      <c r="C3022" t="s">
        <v>826</v>
      </c>
      <c r="D3022" t="s">
        <v>824</v>
      </c>
      <c r="E3022" t="s">
        <v>114</v>
      </c>
      <c r="F3022" t="s">
        <v>392</v>
      </c>
      <c r="G3022">
        <v>37.096927000000001</v>
      </c>
      <c r="H3022">
        <v>122.484748</v>
      </c>
      <c r="I3022" t="s">
        <v>761</v>
      </c>
      <c r="J3022" s="2" t="s">
        <v>7</v>
      </c>
      <c r="K3022" t="s">
        <v>41</v>
      </c>
      <c r="L3022" t="s">
        <v>3</v>
      </c>
      <c r="M3022" t="s">
        <v>726</v>
      </c>
      <c r="N3022" t="s">
        <v>85</v>
      </c>
      <c r="O3022" s="6" t="s">
        <v>396</v>
      </c>
      <c r="Q3022">
        <v>14</v>
      </c>
      <c r="R3022" t="s">
        <v>213</v>
      </c>
      <c r="S3022" s="2" t="s">
        <v>7</v>
      </c>
      <c r="T3022">
        <v>5</v>
      </c>
      <c r="U3022">
        <v>8.1</v>
      </c>
      <c r="V3022">
        <v>384.9</v>
      </c>
      <c r="W3022" t="s">
        <v>28</v>
      </c>
      <c r="X3022">
        <v>0.2321</v>
      </c>
      <c r="Y3022">
        <v>0</v>
      </c>
      <c r="AA3022" s="6"/>
      <c r="AB3022" s="6"/>
    </row>
    <row r="3023" spans="1:28" x14ac:dyDescent="0.2">
      <c r="A3023" t="s">
        <v>393</v>
      </c>
      <c r="B3023">
        <v>2015</v>
      </c>
      <c r="C3023" t="s">
        <v>826</v>
      </c>
      <c r="D3023" t="s">
        <v>824</v>
      </c>
      <c r="E3023" t="s">
        <v>114</v>
      </c>
      <c r="F3023" t="s">
        <v>392</v>
      </c>
      <c r="G3023">
        <v>37.096927000000001</v>
      </c>
      <c r="H3023">
        <v>122.484748</v>
      </c>
      <c r="I3023" t="s">
        <v>761</v>
      </c>
      <c r="J3023" s="2" t="s">
        <v>5</v>
      </c>
      <c r="K3023" t="s">
        <v>41</v>
      </c>
      <c r="L3023" t="s">
        <v>3</v>
      </c>
      <c r="M3023" t="s">
        <v>726</v>
      </c>
      <c r="N3023" t="s">
        <v>85</v>
      </c>
      <c r="O3023" s="6" t="s">
        <v>396</v>
      </c>
      <c r="Q3023">
        <v>14</v>
      </c>
      <c r="R3023" t="s">
        <v>213</v>
      </c>
      <c r="S3023" s="2" t="s">
        <v>9</v>
      </c>
      <c r="T3023">
        <v>5</v>
      </c>
      <c r="U3023">
        <v>7.76</v>
      </c>
      <c r="V3023">
        <v>986.923</v>
      </c>
      <c r="W3023" t="s">
        <v>28</v>
      </c>
      <c r="X3023">
        <v>0.26019999999999999</v>
      </c>
      <c r="Y3023">
        <v>0</v>
      </c>
      <c r="AA3023" s="6"/>
      <c r="AB3023" s="6"/>
    </row>
    <row r="3024" spans="1:28" x14ac:dyDescent="0.2">
      <c r="A3024" t="s">
        <v>393</v>
      </c>
      <c r="B3024">
        <v>2015</v>
      </c>
      <c r="C3024" t="s">
        <v>826</v>
      </c>
      <c r="D3024" t="s">
        <v>824</v>
      </c>
      <c r="E3024" t="s">
        <v>114</v>
      </c>
      <c r="F3024" t="s">
        <v>392</v>
      </c>
      <c r="G3024">
        <v>37.096927000000001</v>
      </c>
      <c r="H3024">
        <v>122.484748</v>
      </c>
      <c r="I3024" t="s">
        <v>761</v>
      </c>
      <c r="J3024" s="2" t="s">
        <v>5</v>
      </c>
      <c r="K3024" t="s">
        <v>41</v>
      </c>
      <c r="L3024" t="s">
        <v>3</v>
      </c>
      <c r="M3024" t="s">
        <v>726</v>
      </c>
      <c r="N3024" t="s">
        <v>85</v>
      </c>
      <c r="O3024" s="6" t="s">
        <v>396</v>
      </c>
      <c r="Q3024">
        <v>14</v>
      </c>
      <c r="R3024" t="s">
        <v>213</v>
      </c>
      <c r="S3024" s="2" t="s">
        <v>27</v>
      </c>
      <c r="T3024">
        <v>5</v>
      </c>
      <c r="U3024">
        <v>7.48</v>
      </c>
      <c r="V3024">
        <v>1973.85</v>
      </c>
      <c r="W3024" t="s">
        <v>28</v>
      </c>
      <c r="X3024">
        <v>0.27229999999999999</v>
      </c>
      <c r="Y3024">
        <f>0.3044-X3024</f>
        <v>3.2100000000000017E-2</v>
      </c>
      <c r="AA3024" s="6"/>
      <c r="AB3024" s="6"/>
    </row>
    <row r="3025" spans="1:28" x14ac:dyDescent="0.2">
      <c r="A3025" t="s">
        <v>393</v>
      </c>
      <c r="B3025">
        <v>2015</v>
      </c>
      <c r="C3025" t="s">
        <v>826</v>
      </c>
      <c r="D3025" t="s">
        <v>824</v>
      </c>
      <c r="E3025" t="s">
        <v>114</v>
      </c>
      <c r="F3025" t="s">
        <v>392</v>
      </c>
      <c r="G3025">
        <v>37.096927000000001</v>
      </c>
      <c r="H3025">
        <v>122.484748</v>
      </c>
      <c r="I3025" t="s">
        <v>761</v>
      </c>
      <c r="J3025" s="2" t="s">
        <v>7</v>
      </c>
      <c r="K3025" t="s">
        <v>40</v>
      </c>
      <c r="L3025" t="s">
        <v>3</v>
      </c>
      <c r="M3025" t="s">
        <v>726</v>
      </c>
      <c r="N3025" t="s">
        <v>85</v>
      </c>
      <c r="O3025" s="6" t="s">
        <v>396</v>
      </c>
      <c r="Q3025">
        <v>14</v>
      </c>
      <c r="R3025" t="s">
        <v>213</v>
      </c>
      <c r="S3025" s="2" t="s">
        <v>7</v>
      </c>
      <c r="T3025">
        <v>5</v>
      </c>
      <c r="U3025">
        <v>8.1</v>
      </c>
      <c r="V3025">
        <v>384.9</v>
      </c>
      <c r="W3025" t="s">
        <v>28</v>
      </c>
      <c r="X3025">
        <v>0.20880000000000001</v>
      </c>
      <c r="Y3025">
        <v>0</v>
      </c>
      <c r="AA3025" s="6"/>
      <c r="AB3025" s="6"/>
    </row>
    <row r="3026" spans="1:28" x14ac:dyDescent="0.2">
      <c r="A3026" t="s">
        <v>393</v>
      </c>
      <c r="B3026">
        <v>2015</v>
      </c>
      <c r="C3026" t="s">
        <v>826</v>
      </c>
      <c r="D3026" t="s">
        <v>824</v>
      </c>
      <c r="E3026" t="s">
        <v>114</v>
      </c>
      <c r="F3026" t="s">
        <v>392</v>
      </c>
      <c r="G3026">
        <v>37.096927000000001</v>
      </c>
      <c r="H3026">
        <v>122.484748</v>
      </c>
      <c r="I3026" t="s">
        <v>761</v>
      </c>
      <c r="J3026" s="2" t="s">
        <v>5</v>
      </c>
      <c r="K3026" t="s">
        <v>40</v>
      </c>
      <c r="L3026" t="s">
        <v>3</v>
      </c>
      <c r="M3026" t="s">
        <v>726</v>
      </c>
      <c r="N3026" t="s">
        <v>85</v>
      </c>
      <c r="O3026" s="6" t="s">
        <v>396</v>
      </c>
      <c r="Q3026">
        <v>14</v>
      </c>
      <c r="R3026" t="s">
        <v>213</v>
      </c>
      <c r="S3026" s="2" t="s">
        <v>9</v>
      </c>
      <c r="T3026">
        <v>5</v>
      </c>
      <c r="U3026">
        <v>7.76</v>
      </c>
      <c r="V3026">
        <v>986.923</v>
      </c>
      <c r="W3026" t="s">
        <v>28</v>
      </c>
      <c r="X3026">
        <v>0.28849999999999998</v>
      </c>
      <c r="Y3026">
        <f>0.3628-X3026</f>
        <v>7.4300000000000033E-2</v>
      </c>
      <c r="AA3026" s="6"/>
      <c r="AB3026" s="6"/>
    </row>
    <row r="3027" spans="1:28" x14ac:dyDescent="0.2">
      <c r="A3027" t="s">
        <v>393</v>
      </c>
      <c r="B3027">
        <v>2015</v>
      </c>
      <c r="C3027" t="s">
        <v>826</v>
      </c>
      <c r="D3027" t="s">
        <v>824</v>
      </c>
      <c r="E3027" t="s">
        <v>114</v>
      </c>
      <c r="F3027" t="s">
        <v>392</v>
      </c>
      <c r="G3027">
        <v>37.096927000000001</v>
      </c>
      <c r="H3027">
        <v>122.484748</v>
      </c>
      <c r="I3027" t="s">
        <v>761</v>
      </c>
      <c r="J3027" s="2" t="s">
        <v>5</v>
      </c>
      <c r="K3027" t="s">
        <v>40</v>
      </c>
      <c r="L3027" t="s">
        <v>3</v>
      </c>
      <c r="M3027" t="s">
        <v>726</v>
      </c>
      <c r="N3027" t="s">
        <v>85</v>
      </c>
      <c r="O3027" s="6" t="s">
        <v>396</v>
      </c>
      <c r="Q3027">
        <v>14</v>
      </c>
      <c r="R3027" t="s">
        <v>213</v>
      </c>
      <c r="S3027" s="2" t="s">
        <v>27</v>
      </c>
      <c r="T3027">
        <v>5</v>
      </c>
      <c r="U3027">
        <v>7.48</v>
      </c>
      <c r="V3027">
        <v>1973.85</v>
      </c>
      <c r="W3027" t="s">
        <v>28</v>
      </c>
      <c r="X3027">
        <v>0.24629999999999999</v>
      </c>
      <c r="Y3027">
        <f>0.2751-X3027</f>
        <v>2.880000000000002E-2</v>
      </c>
      <c r="AA3027" s="6"/>
      <c r="AB3027" s="6"/>
    </row>
    <row r="3028" spans="1:28" x14ac:dyDescent="0.2">
      <c r="A3028" t="s">
        <v>393</v>
      </c>
      <c r="B3028">
        <v>2015</v>
      </c>
      <c r="C3028" t="s">
        <v>826</v>
      </c>
      <c r="D3028" t="s">
        <v>824</v>
      </c>
      <c r="E3028" t="s">
        <v>114</v>
      </c>
      <c r="F3028" t="s">
        <v>392</v>
      </c>
      <c r="G3028">
        <v>37.096927000000001</v>
      </c>
      <c r="H3028">
        <v>122.484748</v>
      </c>
      <c r="I3028" t="s">
        <v>761</v>
      </c>
      <c r="J3028" s="2" t="s">
        <v>7</v>
      </c>
      <c r="K3028" t="s">
        <v>41</v>
      </c>
      <c r="L3028" t="s">
        <v>3</v>
      </c>
      <c r="M3028" t="s">
        <v>726</v>
      </c>
      <c r="N3028" t="s">
        <v>85</v>
      </c>
      <c r="O3028" s="6" t="s">
        <v>836</v>
      </c>
      <c r="Q3028">
        <v>14</v>
      </c>
      <c r="R3028" t="s">
        <v>213</v>
      </c>
      <c r="S3028" s="2" t="s">
        <v>7</v>
      </c>
      <c r="T3028">
        <v>5</v>
      </c>
      <c r="U3028">
        <v>8.1</v>
      </c>
      <c r="V3028">
        <v>384.9</v>
      </c>
      <c r="W3028" t="s">
        <v>28</v>
      </c>
      <c r="X3028">
        <v>2.3490000000000002</v>
      </c>
      <c r="Y3028">
        <v>0</v>
      </c>
      <c r="AA3028" s="6"/>
      <c r="AB3028" s="6"/>
    </row>
    <row r="3029" spans="1:28" x14ac:dyDescent="0.2">
      <c r="A3029" t="s">
        <v>393</v>
      </c>
      <c r="B3029">
        <v>2015</v>
      </c>
      <c r="C3029" t="s">
        <v>826</v>
      </c>
      <c r="D3029" t="s">
        <v>824</v>
      </c>
      <c r="E3029" t="s">
        <v>114</v>
      </c>
      <c r="F3029" t="s">
        <v>392</v>
      </c>
      <c r="G3029">
        <v>37.096927000000001</v>
      </c>
      <c r="H3029">
        <v>122.484748</v>
      </c>
      <c r="I3029" t="s">
        <v>761</v>
      </c>
      <c r="J3029" s="2" t="s">
        <v>5</v>
      </c>
      <c r="K3029" t="s">
        <v>41</v>
      </c>
      <c r="L3029" t="s">
        <v>3</v>
      </c>
      <c r="M3029" t="s">
        <v>726</v>
      </c>
      <c r="N3029" t="s">
        <v>85</v>
      </c>
      <c r="O3029" s="6" t="s">
        <v>836</v>
      </c>
      <c r="Q3029">
        <v>14</v>
      </c>
      <c r="R3029" t="s">
        <v>213</v>
      </c>
      <c r="S3029" s="2" t="s">
        <v>9</v>
      </c>
      <c r="T3029">
        <v>5</v>
      </c>
      <c r="U3029">
        <v>7.76</v>
      </c>
      <c r="V3029">
        <v>986.923</v>
      </c>
      <c r="W3029" t="s">
        <v>28</v>
      </c>
      <c r="X3029">
        <v>2.6509999999999998</v>
      </c>
      <c r="Y3029">
        <v>0</v>
      </c>
      <c r="AA3029" s="6"/>
      <c r="AB3029" s="6"/>
    </row>
    <row r="3030" spans="1:28" x14ac:dyDescent="0.2">
      <c r="A3030" t="s">
        <v>393</v>
      </c>
      <c r="B3030">
        <v>2015</v>
      </c>
      <c r="C3030" t="s">
        <v>826</v>
      </c>
      <c r="D3030" t="s">
        <v>824</v>
      </c>
      <c r="E3030" t="s">
        <v>114</v>
      </c>
      <c r="F3030" t="s">
        <v>392</v>
      </c>
      <c r="G3030">
        <v>37.096927000000001</v>
      </c>
      <c r="H3030">
        <v>122.484748</v>
      </c>
      <c r="I3030" t="s">
        <v>761</v>
      </c>
      <c r="J3030" s="2" t="s">
        <v>5</v>
      </c>
      <c r="K3030" t="s">
        <v>41</v>
      </c>
      <c r="L3030" t="s">
        <v>3</v>
      </c>
      <c r="M3030" t="s">
        <v>726</v>
      </c>
      <c r="N3030" t="s">
        <v>85</v>
      </c>
      <c r="O3030" s="6" t="s">
        <v>836</v>
      </c>
      <c r="Q3030">
        <v>14</v>
      </c>
      <c r="R3030" t="s">
        <v>213</v>
      </c>
      <c r="S3030" s="2" t="s">
        <v>27</v>
      </c>
      <c r="T3030">
        <v>5</v>
      </c>
      <c r="U3030">
        <v>7.48</v>
      </c>
      <c r="V3030">
        <v>1973.85</v>
      </c>
      <c r="W3030" t="s">
        <v>28</v>
      </c>
      <c r="X3030">
        <v>2.7469999999999999</v>
      </c>
      <c r="Y3030">
        <f>3.108-X3030</f>
        <v>0.36100000000000021</v>
      </c>
      <c r="AA3030" s="6"/>
      <c r="AB3030" s="6"/>
    </row>
    <row r="3031" spans="1:28" x14ac:dyDescent="0.2">
      <c r="A3031" t="s">
        <v>393</v>
      </c>
      <c r="B3031">
        <v>2015</v>
      </c>
      <c r="C3031" t="s">
        <v>826</v>
      </c>
      <c r="D3031" t="s">
        <v>824</v>
      </c>
      <c r="E3031" t="s">
        <v>114</v>
      </c>
      <c r="F3031" t="s">
        <v>392</v>
      </c>
      <c r="G3031">
        <v>37.096927000000001</v>
      </c>
      <c r="H3031">
        <v>122.484748</v>
      </c>
      <c r="I3031" t="s">
        <v>761</v>
      </c>
      <c r="J3031" s="2" t="s">
        <v>7</v>
      </c>
      <c r="K3031" t="s">
        <v>40</v>
      </c>
      <c r="L3031" t="s">
        <v>3</v>
      </c>
      <c r="M3031" t="s">
        <v>726</v>
      </c>
      <c r="N3031" t="s">
        <v>85</v>
      </c>
      <c r="O3031" s="6" t="s">
        <v>836</v>
      </c>
      <c r="Q3031">
        <v>14</v>
      </c>
      <c r="R3031" t="s">
        <v>213</v>
      </c>
      <c r="S3031" s="2" t="s">
        <v>7</v>
      </c>
      <c r="T3031">
        <v>5</v>
      </c>
      <c r="U3031">
        <v>8.1</v>
      </c>
      <c r="V3031">
        <v>384.9</v>
      </c>
      <c r="W3031" t="s">
        <v>28</v>
      </c>
      <c r="X3031">
        <v>2.1269999999999998</v>
      </c>
      <c r="Y3031">
        <v>0</v>
      </c>
      <c r="AA3031" s="6"/>
      <c r="AB3031" s="6"/>
    </row>
    <row r="3032" spans="1:28" x14ac:dyDescent="0.2">
      <c r="A3032" t="s">
        <v>393</v>
      </c>
      <c r="B3032">
        <v>2015</v>
      </c>
      <c r="C3032" t="s">
        <v>826</v>
      </c>
      <c r="D3032" t="s">
        <v>824</v>
      </c>
      <c r="E3032" t="s">
        <v>114</v>
      </c>
      <c r="F3032" t="s">
        <v>392</v>
      </c>
      <c r="G3032">
        <v>37.096927000000001</v>
      </c>
      <c r="H3032">
        <v>122.484748</v>
      </c>
      <c r="I3032" t="s">
        <v>761</v>
      </c>
      <c r="J3032" s="2" t="s">
        <v>5</v>
      </c>
      <c r="K3032" t="s">
        <v>40</v>
      </c>
      <c r="L3032" t="s">
        <v>3</v>
      </c>
      <c r="M3032" t="s">
        <v>726</v>
      </c>
      <c r="N3032" t="s">
        <v>85</v>
      </c>
      <c r="O3032" s="6" t="s">
        <v>836</v>
      </c>
      <c r="Q3032">
        <v>14</v>
      </c>
      <c r="R3032" t="s">
        <v>213</v>
      </c>
      <c r="S3032" s="2" t="s">
        <v>9</v>
      </c>
      <c r="T3032">
        <v>5</v>
      </c>
      <c r="U3032">
        <v>7.76</v>
      </c>
      <c r="V3032">
        <v>986.923</v>
      </c>
      <c r="W3032" t="s">
        <v>28</v>
      </c>
      <c r="X3032">
        <v>2.9369999999999998</v>
      </c>
      <c r="Y3032">
        <f>3.668-X3032</f>
        <v>0.73100000000000032</v>
      </c>
      <c r="AA3032" s="6"/>
      <c r="AB3032" s="6"/>
    </row>
    <row r="3033" spans="1:28" x14ac:dyDescent="0.2">
      <c r="A3033" t="s">
        <v>393</v>
      </c>
      <c r="B3033">
        <v>2015</v>
      </c>
      <c r="C3033" t="s">
        <v>826</v>
      </c>
      <c r="D3033" t="s">
        <v>824</v>
      </c>
      <c r="E3033" t="s">
        <v>114</v>
      </c>
      <c r="F3033" t="s">
        <v>392</v>
      </c>
      <c r="G3033">
        <v>37.096927000000001</v>
      </c>
      <c r="H3033">
        <v>122.484748</v>
      </c>
      <c r="I3033" t="s">
        <v>761</v>
      </c>
      <c r="J3033" s="2" t="s">
        <v>5</v>
      </c>
      <c r="K3033" t="s">
        <v>40</v>
      </c>
      <c r="L3033" t="s">
        <v>3</v>
      </c>
      <c r="M3033" t="s">
        <v>726</v>
      </c>
      <c r="N3033" t="s">
        <v>85</v>
      </c>
      <c r="O3033" s="6" t="s">
        <v>836</v>
      </c>
      <c r="Q3033">
        <v>14</v>
      </c>
      <c r="R3033" t="s">
        <v>213</v>
      </c>
      <c r="S3033" s="2" t="s">
        <v>27</v>
      </c>
      <c r="T3033">
        <v>5</v>
      </c>
      <c r="U3033">
        <v>7.48</v>
      </c>
      <c r="V3033">
        <v>1973.85</v>
      </c>
      <c r="W3033" t="s">
        <v>28</v>
      </c>
      <c r="X3033">
        <v>2.496</v>
      </c>
      <c r="Y3033">
        <f>2.801-X3033</f>
        <v>0.30500000000000016</v>
      </c>
      <c r="AA3033" s="6"/>
      <c r="AB3033" s="6"/>
    </row>
    <row r="3034" spans="1:28" x14ac:dyDescent="0.2">
      <c r="A3034" t="s">
        <v>393</v>
      </c>
      <c r="B3034">
        <v>2015</v>
      </c>
      <c r="C3034" t="s">
        <v>826</v>
      </c>
      <c r="D3034" t="s">
        <v>824</v>
      </c>
      <c r="E3034" t="s">
        <v>114</v>
      </c>
      <c r="F3034" t="s">
        <v>392</v>
      </c>
      <c r="G3034">
        <v>37.096927000000001</v>
      </c>
      <c r="H3034">
        <v>122.484748</v>
      </c>
      <c r="I3034" t="s">
        <v>761</v>
      </c>
      <c r="J3034" s="2" t="s">
        <v>7</v>
      </c>
      <c r="K3034" t="s">
        <v>41</v>
      </c>
      <c r="L3034" t="s">
        <v>3</v>
      </c>
      <c r="M3034" t="s">
        <v>726</v>
      </c>
      <c r="N3034" t="s">
        <v>85</v>
      </c>
      <c r="O3034" s="6" t="s">
        <v>58</v>
      </c>
      <c r="Q3034">
        <v>14</v>
      </c>
      <c r="R3034" t="s">
        <v>213</v>
      </c>
      <c r="S3034" s="2" t="s">
        <v>7</v>
      </c>
      <c r="T3034">
        <v>5</v>
      </c>
      <c r="U3034">
        <v>8.1</v>
      </c>
      <c r="V3034">
        <v>384.9</v>
      </c>
      <c r="W3034" t="s">
        <v>28</v>
      </c>
      <c r="X3034">
        <v>0.15110000000000001</v>
      </c>
      <c r="Y3034">
        <v>0</v>
      </c>
      <c r="AA3034" s="6"/>
      <c r="AB3034" s="6"/>
    </row>
    <row r="3035" spans="1:28" x14ac:dyDescent="0.2">
      <c r="A3035" t="s">
        <v>393</v>
      </c>
      <c r="B3035">
        <v>2015</v>
      </c>
      <c r="C3035" t="s">
        <v>826</v>
      </c>
      <c r="D3035" t="s">
        <v>824</v>
      </c>
      <c r="E3035" t="s">
        <v>114</v>
      </c>
      <c r="F3035" t="s">
        <v>392</v>
      </c>
      <c r="G3035">
        <v>37.096927000000001</v>
      </c>
      <c r="H3035">
        <v>122.484748</v>
      </c>
      <c r="I3035" t="s">
        <v>761</v>
      </c>
      <c r="J3035" s="2" t="s">
        <v>5</v>
      </c>
      <c r="K3035" t="s">
        <v>41</v>
      </c>
      <c r="L3035" t="s">
        <v>3</v>
      </c>
      <c r="M3035" t="s">
        <v>726</v>
      </c>
      <c r="N3035" t="s">
        <v>85</v>
      </c>
      <c r="O3035" s="6" t="s">
        <v>58</v>
      </c>
      <c r="Q3035">
        <v>14</v>
      </c>
      <c r="R3035" t="s">
        <v>213</v>
      </c>
      <c r="S3035" s="2" t="s">
        <v>9</v>
      </c>
      <c r="T3035">
        <v>5</v>
      </c>
      <c r="U3035">
        <v>7.76</v>
      </c>
      <c r="V3035">
        <v>986.923</v>
      </c>
      <c r="W3035" t="s">
        <v>28</v>
      </c>
      <c r="X3035">
        <v>0.1671</v>
      </c>
      <c r="Y3035">
        <f>0.1763-X3035</f>
        <v>9.2000000000000137E-3</v>
      </c>
      <c r="AA3035" s="6"/>
      <c r="AB3035" s="6"/>
    </row>
    <row r="3036" spans="1:28" x14ac:dyDescent="0.2">
      <c r="A3036" t="s">
        <v>393</v>
      </c>
      <c r="B3036">
        <v>2015</v>
      </c>
      <c r="C3036" t="s">
        <v>826</v>
      </c>
      <c r="D3036" t="s">
        <v>824</v>
      </c>
      <c r="E3036" t="s">
        <v>114</v>
      </c>
      <c r="F3036" t="s">
        <v>392</v>
      </c>
      <c r="G3036">
        <v>37.096927000000001</v>
      </c>
      <c r="H3036">
        <v>122.484748</v>
      </c>
      <c r="I3036" t="s">
        <v>761</v>
      </c>
      <c r="J3036" s="2" t="s">
        <v>5</v>
      </c>
      <c r="K3036" t="s">
        <v>41</v>
      </c>
      <c r="L3036" t="s">
        <v>3</v>
      </c>
      <c r="M3036" t="s">
        <v>726</v>
      </c>
      <c r="N3036" t="s">
        <v>85</v>
      </c>
      <c r="O3036" s="6" t="s">
        <v>58</v>
      </c>
      <c r="Q3036">
        <v>14</v>
      </c>
      <c r="R3036" t="s">
        <v>213</v>
      </c>
      <c r="S3036" s="2" t="s">
        <v>27</v>
      </c>
      <c r="T3036">
        <v>5</v>
      </c>
      <c r="U3036">
        <v>7.48</v>
      </c>
      <c r="V3036">
        <v>1973.85</v>
      </c>
      <c r="W3036" t="s">
        <v>28</v>
      </c>
      <c r="X3036">
        <v>0.1479</v>
      </c>
      <c r="Y3036">
        <f>0.188-X3036</f>
        <v>4.0099999999999997E-2</v>
      </c>
      <c r="AA3036" s="6"/>
      <c r="AB3036" s="6"/>
    </row>
    <row r="3037" spans="1:28" x14ac:dyDescent="0.2">
      <c r="A3037" t="s">
        <v>393</v>
      </c>
      <c r="B3037">
        <v>2015</v>
      </c>
      <c r="C3037" t="s">
        <v>826</v>
      </c>
      <c r="D3037" t="s">
        <v>824</v>
      </c>
      <c r="E3037" t="s">
        <v>114</v>
      </c>
      <c r="F3037" t="s">
        <v>392</v>
      </c>
      <c r="G3037">
        <v>37.096927000000001</v>
      </c>
      <c r="H3037">
        <v>122.484748</v>
      </c>
      <c r="I3037" t="s">
        <v>761</v>
      </c>
      <c r="J3037" s="2" t="s">
        <v>7</v>
      </c>
      <c r="K3037" t="s">
        <v>40</v>
      </c>
      <c r="L3037" t="s">
        <v>3</v>
      </c>
      <c r="M3037" t="s">
        <v>726</v>
      </c>
      <c r="N3037" t="s">
        <v>85</v>
      </c>
      <c r="O3037" s="6" t="s">
        <v>58</v>
      </c>
      <c r="Q3037">
        <v>14</v>
      </c>
      <c r="R3037" t="s">
        <v>213</v>
      </c>
      <c r="S3037" s="2" t="s">
        <v>7</v>
      </c>
      <c r="T3037">
        <v>5</v>
      </c>
      <c r="U3037">
        <v>8.1</v>
      </c>
      <c r="V3037">
        <v>384.9</v>
      </c>
      <c r="W3037" t="s">
        <v>28</v>
      </c>
      <c r="X3037">
        <v>0.1452</v>
      </c>
      <c r="Y3037">
        <f>0.1645-X3037</f>
        <v>1.9300000000000012E-2</v>
      </c>
      <c r="AA3037" s="6"/>
      <c r="AB3037" s="6"/>
    </row>
    <row r="3038" spans="1:28" x14ac:dyDescent="0.2">
      <c r="A3038" t="s">
        <v>393</v>
      </c>
      <c r="B3038">
        <v>2015</v>
      </c>
      <c r="C3038" t="s">
        <v>826</v>
      </c>
      <c r="D3038" t="s">
        <v>824</v>
      </c>
      <c r="E3038" t="s">
        <v>114</v>
      </c>
      <c r="F3038" t="s">
        <v>392</v>
      </c>
      <c r="G3038">
        <v>37.096927000000001</v>
      </c>
      <c r="H3038">
        <v>122.484748</v>
      </c>
      <c r="I3038" t="s">
        <v>761</v>
      </c>
      <c r="J3038" s="2" t="s">
        <v>5</v>
      </c>
      <c r="K3038" t="s">
        <v>40</v>
      </c>
      <c r="L3038" t="s">
        <v>3</v>
      </c>
      <c r="M3038" t="s">
        <v>726</v>
      </c>
      <c r="N3038" t="s">
        <v>85</v>
      </c>
      <c r="O3038" s="6" t="s">
        <v>58</v>
      </c>
      <c r="Q3038">
        <v>14</v>
      </c>
      <c r="R3038" t="s">
        <v>213</v>
      </c>
      <c r="S3038" s="2" t="s">
        <v>9</v>
      </c>
      <c r="T3038">
        <v>5</v>
      </c>
      <c r="U3038">
        <v>7.76</v>
      </c>
      <c r="V3038">
        <v>986.923</v>
      </c>
      <c r="W3038" t="s">
        <v>28</v>
      </c>
      <c r="X3038">
        <v>0.16500000000000001</v>
      </c>
      <c r="Y3038">
        <f>0.1993-X3038</f>
        <v>3.4299999999999997E-2</v>
      </c>
      <c r="AA3038" s="6"/>
      <c r="AB3038" s="6"/>
    </row>
    <row r="3039" spans="1:28" x14ac:dyDescent="0.2">
      <c r="A3039" t="s">
        <v>393</v>
      </c>
      <c r="B3039">
        <v>2015</v>
      </c>
      <c r="C3039" t="s">
        <v>826</v>
      </c>
      <c r="D3039" t="s">
        <v>824</v>
      </c>
      <c r="E3039" t="s">
        <v>114</v>
      </c>
      <c r="F3039" t="s">
        <v>392</v>
      </c>
      <c r="G3039">
        <v>37.096927000000001</v>
      </c>
      <c r="H3039">
        <v>122.484748</v>
      </c>
      <c r="I3039" t="s">
        <v>761</v>
      </c>
      <c r="J3039" s="2" t="s">
        <v>5</v>
      </c>
      <c r="K3039" t="s">
        <v>40</v>
      </c>
      <c r="L3039" t="s">
        <v>3</v>
      </c>
      <c r="M3039" t="s">
        <v>726</v>
      </c>
      <c r="N3039" t="s">
        <v>85</v>
      </c>
      <c r="O3039" s="6" t="s">
        <v>58</v>
      </c>
      <c r="Q3039">
        <v>14</v>
      </c>
      <c r="R3039" t="s">
        <v>213</v>
      </c>
      <c r="S3039" s="2" t="s">
        <v>27</v>
      </c>
      <c r="T3039">
        <v>5</v>
      </c>
      <c r="U3039">
        <v>7.48</v>
      </c>
      <c r="V3039">
        <v>1973.85</v>
      </c>
      <c r="W3039" t="s">
        <v>28</v>
      </c>
      <c r="X3039">
        <v>0.13980000000000001</v>
      </c>
      <c r="Y3039">
        <f>0.1511-X3039</f>
        <v>1.1300000000000004E-2</v>
      </c>
      <c r="AA3039" s="6"/>
      <c r="AB3039" s="6"/>
    </row>
    <row r="3040" spans="1:28" x14ac:dyDescent="0.2">
      <c r="A3040" t="s">
        <v>393</v>
      </c>
      <c r="B3040">
        <v>2015</v>
      </c>
      <c r="C3040" t="s">
        <v>826</v>
      </c>
      <c r="D3040" t="s">
        <v>824</v>
      </c>
      <c r="E3040" t="s">
        <v>114</v>
      </c>
      <c r="F3040" t="s">
        <v>392</v>
      </c>
      <c r="G3040">
        <v>37.096927000000001</v>
      </c>
      <c r="H3040">
        <v>122.484748</v>
      </c>
      <c r="I3040" t="s">
        <v>761</v>
      </c>
      <c r="J3040" s="2" t="s">
        <v>7</v>
      </c>
      <c r="K3040" t="s">
        <v>95</v>
      </c>
      <c r="L3040" t="s">
        <v>143</v>
      </c>
      <c r="M3040" t="s">
        <v>26</v>
      </c>
      <c r="N3040" t="s">
        <v>85</v>
      </c>
      <c r="O3040" s="6" t="s">
        <v>356</v>
      </c>
      <c r="P3040" t="s">
        <v>65</v>
      </c>
      <c r="Q3040">
        <v>35</v>
      </c>
      <c r="R3040" t="s">
        <v>214</v>
      </c>
      <c r="S3040" s="2" t="s">
        <v>7</v>
      </c>
      <c r="T3040">
        <v>3</v>
      </c>
      <c r="U3040">
        <v>8.1</v>
      </c>
      <c r="V3040">
        <v>384.9</v>
      </c>
      <c r="W3040" t="s">
        <v>28</v>
      </c>
      <c r="X3040">
        <v>89</v>
      </c>
      <c r="Y3040">
        <f>109-X3040</f>
        <v>20</v>
      </c>
      <c r="AA3040" s="6"/>
      <c r="AB3040" s="6"/>
    </row>
    <row r="3041" spans="1:28" x14ac:dyDescent="0.2">
      <c r="A3041" t="s">
        <v>393</v>
      </c>
      <c r="B3041">
        <v>2015</v>
      </c>
      <c r="C3041" t="s">
        <v>826</v>
      </c>
      <c r="D3041" t="s">
        <v>824</v>
      </c>
      <c r="E3041" t="s">
        <v>114</v>
      </c>
      <c r="F3041" t="s">
        <v>392</v>
      </c>
      <c r="G3041">
        <v>37.096927000000001</v>
      </c>
      <c r="H3041">
        <v>122.484748</v>
      </c>
      <c r="I3041" t="s">
        <v>761</v>
      </c>
      <c r="J3041" s="2" t="s">
        <v>5</v>
      </c>
      <c r="K3041" t="s">
        <v>95</v>
      </c>
      <c r="L3041" t="s">
        <v>143</v>
      </c>
      <c r="M3041" t="s">
        <v>26</v>
      </c>
      <c r="N3041" t="s">
        <v>85</v>
      </c>
      <c r="O3041" s="6" t="s">
        <v>356</v>
      </c>
      <c r="P3041" t="s">
        <v>65</v>
      </c>
      <c r="Q3041">
        <v>35</v>
      </c>
      <c r="R3041" t="s">
        <v>214</v>
      </c>
      <c r="S3041" s="2" t="s">
        <v>9</v>
      </c>
      <c r="T3041">
        <v>3</v>
      </c>
      <c r="U3041">
        <v>7.76</v>
      </c>
      <c r="V3041">
        <v>986.923</v>
      </c>
      <c r="W3041" t="s">
        <v>28</v>
      </c>
      <c r="X3041">
        <v>118</v>
      </c>
      <c r="Y3041">
        <f>148-X3041</f>
        <v>30</v>
      </c>
      <c r="AA3041" s="6"/>
      <c r="AB3041" s="6"/>
    </row>
    <row r="3042" spans="1:28" x14ac:dyDescent="0.2">
      <c r="A3042" t="s">
        <v>393</v>
      </c>
      <c r="B3042">
        <v>2015</v>
      </c>
      <c r="C3042" t="s">
        <v>826</v>
      </c>
      <c r="D3042" t="s">
        <v>824</v>
      </c>
      <c r="E3042" t="s">
        <v>114</v>
      </c>
      <c r="F3042" t="s">
        <v>392</v>
      </c>
      <c r="G3042">
        <v>37.096927000000001</v>
      </c>
      <c r="H3042">
        <v>122.484748</v>
      </c>
      <c r="I3042" t="s">
        <v>761</v>
      </c>
      <c r="J3042" s="2" t="s">
        <v>5</v>
      </c>
      <c r="K3042" t="s">
        <v>95</v>
      </c>
      <c r="L3042" t="s">
        <v>143</v>
      </c>
      <c r="M3042" t="s">
        <v>26</v>
      </c>
      <c r="N3042" t="s">
        <v>85</v>
      </c>
      <c r="O3042" s="6" t="s">
        <v>356</v>
      </c>
      <c r="P3042" t="s">
        <v>65</v>
      </c>
      <c r="Q3042">
        <v>35</v>
      </c>
      <c r="R3042" t="s">
        <v>214</v>
      </c>
      <c r="S3042" s="2" t="s">
        <v>27</v>
      </c>
      <c r="T3042">
        <v>3</v>
      </c>
      <c r="U3042">
        <v>7.48</v>
      </c>
      <c r="V3042">
        <v>1973.85</v>
      </c>
      <c r="W3042" t="s">
        <v>28</v>
      </c>
      <c r="X3042">
        <v>109</v>
      </c>
      <c r="Y3042">
        <f>138-X3042</f>
        <v>29</v>
      </c>
      <c r="AA3042" s="6"/>
      <c r="AB3042" s="6"/>
    </row>
    <row r="3043" spans="1:28" x14ac:dyDescent="0.2">
      <c r="A3043" t="s">
        <v>393</v>
      </c>
      <c r="B3043">
        <v>2015</v>
      </c>
      <c r="C3043" t="s">
        <v>826</v>
      </c>
      <c r="D3043" t="s">
        <v>824</v>
      </c>
      <c r="E3043" t="s">
        <v>114</v>
      </c>
      <c r="F3043" t="s">
        <v>392</v>
      </c>
      <c r="G3043">
        <v>37.096927000000001</v>
      </c>
      <c r="H3043">
        <v>122.484748</v>
      </c>
      <c r="I3043" t="s">
        <v>761</v>
      </c>
      <c r="J3043" s="2" t="s">
        <v>7</v>
      </c>
      <c r="K3043" t="s">
        <v>95</v>
      </c>
      <c r="L3043" t="s">
        <v>143</v>
      </c>
      <c r="M3043" t="s">
        <v>26</v>
      </c>
      <c r="N3043" t="s">
        <v>85</v>
      </c>
      <c r="O3043" s="6" t="s">
        <v>356</v>
      </c>
      <c r="P3043" t="s">
        <v>65</v>
      </c>
      <c r="Q3043">
        <v>75</v>
      </c>
      <c r="R3043" t="s">
        <v>214</v>
      </c>
      <c r="S3043" s="2" t="s">
        <v>7</v>
      </c>
      <c r="T3043">
        <v>3</v>
      </c>
      <c r="U3043">
        <v>8.1</v>
      </c>
      <c r="V3043">
        <v>384.9</v>
      </c>
      <c r="W3043" t="s">
        <v>28</v>
      </c>
      <c r="X3043">
        <v>395</v>
      </c>
      <c r="Y3043">
        <f>552-X3043</f>
        <v>157</v>
      </c>
      <c r="AA3043" s="6"/>
      <c r="AB3043" s="6"/>
    </row>
    <row r="3044" spans="1:28" x14ac:dyDescent="0.2">
      <c r="A3044" t="s">
        <v>393</v>
      </c>
      <c r="B3044">
        <v>2015</v>
      </c>
      <c r="C3044" t="s">
        <v>826</v>
      </c>
      <c r="D3044" t="s">
        <v>824</v>
      </c>
      <c r="E3044" t="s">
        <v>114</v>
      </c>
      <c r="F3044" t="s">
        <v>392</v>
      </c>
      <c r="G3044">
        <v>37.096927000000001</v>
      </c>
      <c r="H3044">
        <v>122.484748</v>
      </c>
      <c r="I3044" t="s">
        <v>761</v>
      </c>
      <c r="J3044" s="2" t="s">
        <v>5</v>
      </c>
      <c r="K3044" t="s">
        <v>95</v>
      </c>
      <c r="L3044" t="s">
        <v>143</v>
      </c>
      <c r="M3044" t="s">
        <v>26</v>
      </c>
      <c r="N3044" t="s">
        <v>85</v>
      </c>
      <c r="O3044" s="6" t="s">
        <v>356</v>
      </c>
      <c r="P3044" t="s">
        <v>65</v>
      </c>
      <c r="Q3044">
        <v>75</v>
      </c>
      <c r="R3044" t="s">
        <v>214</v>
      </c>
      <c r="S3044" s="2" t="s">
        <v>9</v>
      </c>
      <c r="T3044">
        <v>3</v>
      </c>
      <c r="U3044">
        <v>7.76</v>
      </c>
      <c r="V3044">
        <v>986.923</v>
      </c>
      <c r="W3044" t="s">
        <v>28</v>
      </c>
      <c r="X3044">
        <v>404</v>
      </c>
      <c r="Y3044">
        <f>572-X3044</f>
        <v>168</v>
      </c>
      <c r="AA3044" s="6"/>
      <c r="AB3044" s="6"/>
    </row>
    <row r="3045" spans="1:28" x14ac:dyDescent="0.2">
      <c r="A3045" t="s">
        <v>393</v>
      </c>
      <c r="B3045">
        <v>2015</v>
      </c>
      <c r="C3045" t="s">
        <v>826</v>
      </c>
      <c r="D3045" t="s">
        <v>824</v>
      </c>
      <c r="E3045" t="s">
        <v>114</v>
      </c>
      <c r="F3045" t="s">
        <v>392</v>
      </c>
      <c r="G3045">
        <v>37.096927000000001</v>
      </c>
      <c r="H3045">
        <v>122.484748</v>
      </c>
      <c r="I3045" t="s">
        <v>761</v>
      </c>
      <c r="J3045" s="2" t="s">
        <v>5</v>
      </c>
      <c r="K3045" t="s">
        <v>95</v>
      </c>
      <c r="L3045" t="s">
        <v>143</v>
      </c>
      <c r="M3045" t="s">
        <v>26</v>
      </c>
      <c r="N3045" t="s">
        <v>85</v>
      </c>
      <c r="O3045" s="6" t="s">
        <v>356</v>
      </c>
      <c r="P3045" t="s">
        <v>65</v>
      </c>
      <c r="Q3045">
        <v>75</v>
      </c>
      <c r="R3045" t="s">
        <v>214</v>
      </c>
      <c r="S3045" s="2" t="s">
        <v>27</v>
      </c>
      <c r="T3045">
        <v>3</v>
      </c>
      <c r="U3045">
        <v>7.48</v>
      </c>
      <c r="V3045">
        <v>1973.85</v>
      </c>
      <c r="W3045" t="s">
        <v>28</v>
      </c>
      <c r="X3045">
        <v>414</v>
      </c>
      <c r="Y3045">
        <f>493-X3045</f>
        <v>79</v>
      </c>
      <c r="AA3045" s="6"/>
      <c r="AB3045" s="6"/>
    </row>
    <row r="3046" spans="1:28" x14ac:dyDescent="0.2">
      <c r="A3046" t="s">
        <v>393</v>
      </c>
      <c r="B3046">
        <v>2015</v>
      </c>
      <c r="C3046" t="s">
        <v>826</v>
      </c>
      <c r="D3046" t="s">
        <v>824</v>
      </c>
      <c r="E3046" t="s">
        <v>114</v>
      </c>
      <c r="F3046" t="s">
        <v>392</v>
      </c>
      <c r="G3046">
        <v>37.096927000000001</v>
      </c>
      <c r="H3046">
        <v>122.484748</v>
      </c>
      <c r="I3046" t="s">
        <v>761</v>
      </c>
      <c r="J3046" s="2" t="s">
        <v>7</v>
      </c>
      <c r="K3046" t="s">
        <v>95</v>
      </c>
      <c r="L3046" t="s">
        <v>143</v>
      </c>
      <c r="M3046" t="s">
        <v>26</v>
      </c>
      <c r="N3046" t="s">
        <v>85</v>
      </c>
      <c r="O3046" s="6" t="s">
        <v>356</v>
      </c>
      <c r="P3046" t="s">
        <v>65</v>
      </c>
      <c r="Q3046">
        <v>90</v>
      </c>
      <c r="R3046" t="s">
        <v>214</v>
      </c>
      <c r="S3046" s="2" t="s">
        <v>7</v>
      </c>
      <c r="T3046">
        <v>3</v>
      </c>
      <c r="U3046">
        <v>8.1</v>
      </c>
      <c r="V3046">
        <v>384.9</v>
      </c>
      <c r="W3046" t="s">
        <v>28</v>
      </c>
      <c r="X3046">
        <v>730</v>
      </c>
      <c r="Y3046">
        <f>1046-X3046</f>
        <v>316</v>
      </c>
      <c r="AA3046" s="6"/>
      <c r="AB3046" s="6"/>
    </row>
    <row r="3047" spans="1:28" x14ac:dyDescent="0.2">
      <c r="A3047" t="s">
        <v>393</v>
      </c>
      <c r="B3047">
        <v>2015</v>
      </c>
      <c r="C3047" t="s">
        <v>826</v>
      </c>
      <c r="D3047" t="s">
        <v>824</v>
      </c>
      <c r="E3047" t="s">
        <v>114</v>
      </c>
      <c r="F3047" t="s">
        <v>392</v>
      </c>
      <c r="G3047">
        <v>37.096927000000001</v>
      </c>
      <c r="H3047">
        <v>122.484748</v>
      </c>
      <c r="I3047" t="s">
        <v>761</v>
      </c>
      <c r="J3047" s="2" t="s">
        <v>5</v>
      </c>
      <c r="K3047" t="s">
        <v>95</v>
      </c>
      <c r="L3047" t="s">
        <v>143</v>
      </c>
      <c r="M3047" t="s">
        <v>26</v>
      </c>
      <c r="N3047" t="s">
        <v>85</v>
      </c>
      <c r="O3047" s="6" t="s">
        <v>356</v>
      </c>
      <c r="P3047" t="s">
        <v>65</v>
      </c>
      <c r="Q3047">
        <v>90</v>
      </c>
      <c r="R3047" t="s">
        <v>214</v>
      </c>
      <c r="S3047" s="2" t="s">
        <v>9</v>
      </c>
      <c r="T3047">
        <v>3</v>
      </c>
      <c r="U3047">
        <v>7.76</v>
      </c>
      <c r="V3047">
        <v>986.923</v>
      </c>
      <c r="W3047" t="s">
        <v>28</v>
      </c>
      <c r="X3047">
        <v>838</v>
      </c>
      <c r="Y3047">
        <f>1213-X3047</f>
        <v>375</v>
      </c>
      <c r="AA3047" s="6"/>
      <c r="AB3047" s="6"/>
    </row>
    <row r="3048" spans="1:28" x14ac:dyDescent="0.2">
      <c r="A3048" t="s">
        <v>393</v>
      </c>
      <c r="B3048">
        <v>2015</v>
      </c>
      <c r="C3048" t="s">
        <v>826</v>
      </c>
      <c r="D3048" t="s">
        <v>824</v>
      </c>
      <c r="E3048" t="s">
        <v>114</v>
      </c>
      <c r="F3048" t="s">
        <v>392</v>
      </c>
      <c r="G3048">
        <v>37.096927000000001</v>
      </c>
      <c r="H3048">
        <v>122.484748</v>
      </c>
      <c r="I3048" t="s">
        <v>761</v>
      </c>
      <c r="J3048" s="2" t="s">
        <v>5</v>
      </c>
      <c r="K3048" t="s">
        <v>95</v>
      </c>
      <c r="L3048" t="s">
        <v>143</v>
      </c>
      <c r="M3048" t="s">
        <v>26</v>
      </c>
      <c r="N3048" t="s">
        <v>85</v>
      </c>
      <c r="O3048" s="6" t="s">
        <v>356</v>
      </c>
      <c r="P3048" t="s">
        <v>65</v>
      </c>
      <c r="Q3048">
        <v>90</v>
      </c>
      <c r="R3048" t="s">
        <v>214</v>
      </c>
      <c r="S3048" s="2" t="s">
        <v>27</v>
      </c>
      <c r="T3048">
        <v>3</v>
      </c>
      <c r="U3048">
        <v>7.48</v>
      </c>
      <c r="V3048">
        <v>1973.85</v>
      </c>
      <c r="W3048" t="s">
        <v>28</v>
      </c>
      <c r="X3048">
        <v>888</v>
      </c>
      <c r="Y3048">
        <f>1134-X3048</f>
        <v>246</v>
      </c>
      <c r="AA3048" s="6"/>
      <c r="AB3048" s="6"/>
    </row>
    <row r="3049" spans="1:28" x14ac:dyDescent="0.2">
      <c r="A3049" t="s">
        <v>393</v>
      </c>
      <c r="B3049">
        <v>2015</v>
      </c>
      <c r="C3049" t="s">
        <v>826</v>
      </c>
      <c r="D3049" t="s">
        <v>824</v>
      </c>
      <c r="E3049" t="s">
        <v>114</v>
      </c>
      <c r="F3049" t="s">
        <v>392</v>
      </c>
      <c r="G3049">
        <v>37.096927000000001</v>
      </c>
      <c r="H3049">
        <v>122.484748</v>
      </c>
      <c r="I3049" t="s">
        <v>761</v>
      </c>
      <c r="J3049" s="2" t="s">
        <v>7</v>
      </c>
      <c r="K3049" t="s">
        <v>95</v>
      </c>
      <c r="L3049" t="s">
        <v>143</v>
      </c>
      <c r="M3049" t="s">
        <v>26</v>
      </c>
      <c r="N3049" t="s">
        <v>85</v>
      </c>
      <c r="O3049" s="6" t="s">
        <v>356</v>
      </c>
      <c r="P3049" t="s">
        <v>65</v>
      </c>
      <c r="Q3049">
        <v>105</v>
      </c>
      <c r="R3049" t="s">
        <v>213</v>
      </c>
      <c r="S3049" s="2" t="s">
        <v>7</v>
      </c>
      <c r="T3049">
        <v>3</v>
      </c>
      <c r="U3049">
        <v>8.1</v>
      </c>
      <c r="V3049">
        <v>384.9</v>
      </c>
      <c r="W3049" t="s">
        <v>28</v>
      </c>
      <c r="X3049">
        <v>4291</v>
      </c>
      <c r="Y3049">
        <f>5810-X3049</f>
        <v>1519</v>
      </c>
      <c r="AA3049" s="6"/>
      <c r="AB3049" s="6"/>
    </row>
    <row r="3050" spans="1:28" x14ac:dyDescent="0.2">
      <c r="A3050" t="s">
        <v>393</v>
      </c>
      <c r="B3050">
        <v>2015</v>
      </c>
      <c r="C3050" t="s">
        <v>826</v>
      </c>
      <c r="D3050" t="s">
        <v>824</v>
      </c>
      <c r="E3050" t="s">
        <v>114</v>
      </c>
      <c r="F3050" t="s">
        <v>392</v>
      </c>
      <c r="G3050">
        <v>37.096927000000001</v>
      </c>
      <c r="H3050">
        <v>122.484748</v>
      </c>
      <c r="I3050" t="s">
        <v>761</v>
      </c>
      <c r="J3050" s="2" t="s">
        <v>5</v>
      </c>
      <c r="K3050" t="s">
        <v>95</v>
      </c>
      <c r="L3050" t="s">
        <v>143</v>
      </c>
      <c r="M3050" t="s">
        <v>26</v>
      </c>
      <c r="N3050" t="s">
        <v>85</v>
      </c>
      <c r="O3050" s="6" t="s">
        <v>356</v>
      </c>
      <c r="P3050" t="s">
        <v>65</v>
      </c>
      <c r="Q3050">
        <v>105</v>
      </c>
      <c r="R3050" t="s">
        <v>213</v>
      </c>
      <c r="S3050" s="2" t="s">
        <v>9</v>
      </c>
      <c r="T3050">
        <v>3</v>
      </c>
      <c r="U3050">
        <v>7.76</v>
      </c>
      <c r="V3050">
        <v>986.923</v>
      </c>
      <c r="W3050" t="s">
        <v>28</v>
      </c>
      <c r="X3050">
        <v>5386</v>
      </c>
      <c r="Y3050">
        <f>6846-X3050</f>
        <v>1460</v>
      </c>
      <c r="AA3050" s="6"/>
      <c r="AB3050" s="6"/>
    </row>
    <row r="3051" spans="1:28" x14ac:dyDescent="0.2">
      <c r="A3051" t="s">
        <v>393</v>
      </c>
      <c r="B3051">
        <v>2015</v>
      </c>
      <c r="C3051" t="s">
        <v>826</v>
      </c>
      <c r="D3051" t="s">
        <v>824</v>
      </c>
      <c r="E3051" t="s">
        <v>114</v>
      </c>
      <c r="F3051" t="s">
        <v>392</v>
      </c>
      <c r="G3051">
        <v>37.096927000000001</v>
      </c>
      <c r="H3051">
        <v>122.484748</v>
      </c>
      <c r="I3051" t="s">
        <v>761</v>
      </c>
      <c r="J3051" s="2" t="s">
        <v>5</v>
      </c>
      <c r="K3051" t="s">
        <v>95</v>
      </c>
      <c r="L3051" t="s">
        <v>143</v>
      </c>
      <c r="M3051" t="s">
        <v>26</v>
      </c>
      <c r="N3051" t="s">
        <v>85</v>
      </c>
      <c r="O3051" s="6" t="s">
        <v>356</v>
      </c>
      <c r="P3051" t="s">
        <v>65</v>
      </c>
      <c r="Q3051">
        <v>105</v>
      </c>
      <c r="R3051" t="s">
        <v>213</v>
      </c>
      <c r="S3051" s="2" t="s">
        <v>27</v>
      </c>
      <c r="T3051">
        <v>3</v>
      </c>
      <c r="U3051">
        <v>7.48</v>
      </c>
      <c r="V3051">
        <v>1973.85</v>
      </c>
      <c r="W3051" t="s">
        <v>28</v>
      </c>
      <c r="X3051">
        <v>5928</v>
      </c>
      <c r="Y3051">
        <f>7398-X3051</f>
        <v>1470</v>
      </c>
      <c r="AA3051" s="6"/>
      <c r="AB3051" s="6"/>
    </row>
    <row r="3052" spans="1:28" x14ac:dyDescent="0.2">
      <c r="A3052" t="s">
        <v>393</v>
      </c>
      <c r="B3052">
        <v>2015</v>
      </c>
      <c r="C3052" t="s">
        <v>826</v>
      </c>
      <c r="D3052" t="s">
        <v>824</v>
      </c>
      <c r="E3052" t="s">
        <v>114</v>
      </c>
      <c r="F3052" t="s">
        <v>392</v>
      </c>
      <c r="G3052">
        <v>37.096927000000001</v>
      </c>
      <c r="H3052">
        <v>122.484748</v>
      </c>
      <c r="I3052" t="s">
        <v>761</v>
      </c>
      <c r="J3052" s="2" t="s">
        <v>7</v>
      </c>
      <c r="K3052" t="s">
        <v>95</v>
      </c>
      <c r="L3052" t="s">
        <v>143</v>
      </c>
      <c r="M3052" t="s">
        <v>12</v>
      </c>
      <c r="N3052" t="s">
        <v>85</v>
      </c>
      <c r="O3052" s="6" t="s">
        <v>141</v>
      </c>
      <c r="P3052" t="s">
        <v>397</v>
      </c>
      <c r="Q3052">
        <v>105</v>
      </c>
      <c r="R3052" t="s">
        <v>213</v>
      </c>
      <c r="S3052" s="2" t="s">
        <v>7</v>
      </c>
      <c r="T3052">
        <v>3</v>
      </c>
      <c r="U3052">
        <v>8.1</v>
      </c>
      <c r="V3052">
        <v>384.9</v>
      </c>
      <c r="W3052" t="s">
        <v>28</v>
      </c>
      <c r="X3052">
        <v>25.67</v>
      </c>
      <c r="Y3052">
        <f>34.31-X3052</f>
        <v>8.64</v>
      </c>
      <c r="AA3052" s="6"/>
      <c r="AB3052" s="6"/>
    </row>
    <row r="3053" spans="1:28" x14ac:dyDescent="0.2">
      <c r="A3053" t="s">
        <v>393</v>
      </c>
      <c r="B3053">
        <v>2015</v>
      </c>
      <c r="C3053" t="s">
        <v>826</v>
      </c>
      <c r="D3053" t="s">
        <v>824</v>
      </c>
      <c r="E3053" t="s">
        <v>114</v>
      </c>
      <c r="F3053" t="s">
        <v>392</v>
      </c>
      <c r="G3053">
        <v>37.096927000000001</v>
      </c>
      <c r="H3053">
        <v>122.484748</v>
      </c>
      <c r="I3053" t="s">
        <v>761</v>
      </c>
      <c r="J3053" s="2" t="s">
        <v>5</v>
      </c>
      <c r="K3053" t="s">
        <v>95</v>
      </c>
      <c r="L3053" t="s">
        <v>143</v>
      </c>
      <c r="M3053" t="s">
        <v>12</v>
      </c>
      <c r="N3053" t="s">
        <v>85</v>
      </c>
      <c r="O3053" s="6" t="s">
        <v>141</v>
      </c>
      <c r="P3053" t="s">
        <v>397</v>
      </c>
      <c r="Q3053">
        <v>105</v>
      </c>
      <c r="R3053" t="s">
        <v>213</v>
      </c>
      <c r="S3053" s="2" t="s">
        <v>9</v>
      </c>
      <c r="T3053">
        <v>3</v>
      </c>
      <c r="U3053">
        <v>7.76</v>
      </c>
      <c r="V3053">
        <v>986.923</v>
      </c>
      <c r="W3053" t="s">
        <v>28</v>
      </c>
      <c r="X3053">
        <v>14.03</v>
      </c>
      <c r="Y3053">
        <f>15.03-X3053</f>
        <v>1</v>
      </c>
      <c r="AA3053" s="6"/>
      <c r="AB3053" s="6"/>
    </row>
    <row r="3054" spans="1:28" x14ac:dyDescent="0.2">
      <c r="A3054" t="s">
        <v>393</v>
      </c>
      <c r="B3054">
        <v>2015</v>
      </c>
      <c r="C3054" t="s">
        <v>826</v>
      </c>
      <c r="D3054" t="s">
        <v>824</v>
      </c>
      <c r="E3054" t="s">
        <v>114</v>
      </c>
      <c r="F3054" t="s">
        <v>392</v>
      </c>
      <c r="G3054">
        <v>37.096927000000001</v>
      </c>
      <c r="H3054">
        <v>122.484748</v>
      </c>
      <c r="I3054" t="s">
        <v>761</v>
      </c>
      <c r="J3054" s="2" t="s">
        <v>5</v>
      </c>
      <c r="K3054" t="s">
        <v>95</v>
      </c>
      <c r="L3054" t="s">
        <v>143</v>
      </c>
      <c r="M3054" t="s">
        <v>12</v>
      </c>
      <c r="N3054" t="s">
        <v>85</v>
      </c>
      <c r="O3054" s="6" t="s">
        <v>141</v>
      </c>
      <c r="P3054" t="s">
        <v>397</v>
      </c>
      <c r="Q3054">
        <v>105</v>
      </c>
      <c r="R3054" t="s">
        <v>213</v>
      </c>
      <c r="S3054" s="2" t="s">
        <v>27</v>
      </c>
      <c r="T3054">
        <v>3</v>
      </c>
      <c r="U3054">
        <v>7.48</v>
      </c>
      <c r="V3054">
        <v>1973.85</v>
      </c>
      <c r="W3054" t="s">
        <v>28</v>
      </c>
      <c r="X3054">
        <v>9.59</v>
      </c>
      <c r="Y3054">
        <f>12.78-X3054</f>
        <v>3.1899999999999995</v>
      </c>
      <c r="AA3054" s="6"/>
      <c r="AB3054" s="6"/>
    </row>
    <row r="3055" spans="1:28" x14ac:dyDescent="0.2">
      <c r="A3055" t="s">
        <v>393</v>
      </c>
      <c r="B3055">
        <v>2015</v>
      </c>
      <c r="C3055" t="s">
        <v>826</v>
      </c>
      <c r="D3055" t="s">
        <v>824</v>
      </c>
      <c r="E3055" t="s">
        <v>114</v>
      </c>
      <c r="F3055" t="s">
        <v>392</v>
      </c>
      <c r="G3055">
        <v>37.096927000000001</v>
      </c>
      <c r="H3055">
        <v>122.484748</v>
      </c>
      <c r="I3055" t="s">
        <v>761</v>
      </c>
      <c r="J3055" s="2" t="s">
        <v>7</v>
      </c>
      <c r="K3055" t="s">
        <v>95</v>
      </c>
      <c r="L3055" t="s">
        <v>143</v>
      </c>
      <c r="M3055" t="s">
        <v>726</v>
      </c>
      <c r="N3055" t="s">
        <v>85</v>
      </c>
      <c r="O3055" s="6" t="s">
        <v>84</v>
      </c>
      <c r="Q3055">
        <v>105</v>
      </c>
      <c r="R3055" t="s">
        <v>213</v>
      </c>
      <c r="S3055" s="2" t="s">
        <v>7</v>
      </c>
      <c r="T3055">
        <v>3</v>
      </c>
      <c r="U3055">
        <v>8.1</v>
      </c>
      <c r="V3055">
        <v>384.9</v>
      </c>
      <c r="W3055" t="s">
        <v>28</v>
      </c>
      <c r="X3055">
        <v>0.71609999999999996</v>
      </c>
      <c r="Y3055">
        <f>0.7173-X3055</f>
        <v>1.2000000000000899E-3</v>
      </c>
      <c r="AA3055" s="6"/>
      <c r="AB3055" s="6"/>
    </row>
    <row r="3056" spans="1:28" x14ac:dyDescent="0.2">
      <c r="A3056" t="s">
        <v>393</v>
      </c>
      <c r="B3056">
        <v>2015</v>
      </c>
      <c r="C3056" t="s">
        <v>826</v>
      </c>
      <c r="D3056" t="s">
        <v>824</v>
      </c>
      <c r="E3056" t="s">
        <v>114</v>
      </c>
      <c r="F3056" t="s">
        <v>392</v>
      </c>
      <c r="G3056">
        <v>37.096927000000001</v>
      </c>
      <c r="H3056">
        <v>122.484748</v>
      </c>
      <c r="I3056" t="s">
        <v>761</v>
      </c>
      <c r="J3056" s="2" t="s">
        <v>5</v>
      </c>
      <c r="K3056" t="s">
        <v>95</v>
      </c>
      <c r="L3056" t="s">
        <v>143</v>
      </c>
      <c r="M3056" t="s">
        <v>726</v>
      </c>
      <c r="N3056" t="s">
        <v>85</v>
      </c>
      <c r="O3056" s="6" t="s">
        <v>84</v>
      </c>
      <c r="Q3056">
        <v>105</v>
      </c>
      <c r="R3056" t="s">
        <v>213</v>
      </c>
      <c r="S3056" s="2" t="s">
        <v>9</v>
      </c>
      <c r="T3056">
        <v>3</v>
      </c>
      <c r="U3056">
        <v>7.76</v>
      </c>
      <c r="V3056">
        <v>986.923</v>
      </c>
      <c r="W3056" t="s">
        <v>28</v>
      </c>
      <c r="X3056">
        <v>0.72619999999999996</v>
      </c>
      <c r="Y3056">
        <f>0.73-X3056</f>
        <v>3.8000000000000256E-3</v>
      </c>
      <c r="AA3056" s="6"/>
      <c r="AB3056" s="6"/>
    </row>
    <row r="3057" spans="1:28" x14ac:dyDescent="0.2">
      <c r="A3057" t="s">
        <v>393</v>
      </c>
      <c r="B3057">
        <v>2015</v>
      </c>
      <c r="C3057" t="s">
        <v>826</v>
      </c>
      <c r="D3057" t="s">
        <v>824</v>
      </c>
      <c r="E3057" t="s">
        <v>114</v>
      </c>
      <c r="F3057" t="s">
        <v>392</v>
      </c>
      <c r="G3057">
        <v>37.096927000000001</v>
      </c>
      <c r="H3057">
        <v>122.484748</v>
      </c>
      <c r="I3057" t="s">
        <v>761</v>
      </c>
      <c r="J3057" s="2" t="s">
        <v>5</v>
      </c>
      <c r="K3057" t="s">
        <v>95</v>
      </c>
      <c r="L3057" t="s">
        <v>143</v>
      </c>
      <c r="M3057" t="s">
        <v>726</v>
      </c>
      <c r="N3057" t="s">
        <v>85</v>
      </c>
      <c r="O3057" s="6" t="s">
        <v>84</v>
      </c>
      <c r="Q3057">
        <v>105</v>
      </c>
      <c r="R3057" t="s">
        <v>213</v>
      </c>
      <c r="S3057" s="2" t="s">
        <v>27</v>
      </c>
      <c r="T3057">
        <v>3</v>
      </c>
      <c r="U3057">
        <v>7.48</v>
      </c>
      <c r="V3057">
        <v>1973.85</v>
      </c>
      <c r="W3057" t="s">
        <v>28</v>
      </c>
      <c r="X3057">
        <v>0.73250000000000004</v>
      </c>
      <c r="Y3057">
        <f>0.7401-X3057</f>
        <v>7.5999999999999401E-3</v>
      </c>
      <c r="AA3057" s="6"/>
      <c r="AB3057" s="6"/>
    </row>
    <row r="3058" spans="1:28" x14ac:dyDescent="0.2">
      <c r="A3058" t="s">
        <v>393</v>
      </c>
      <c r="B3058">
        <v>2015</v>
      </c>
      <c r="C3058" t="s">
        <v>826</v>
      </c>
      <c r="D3058" t="s">
        <v>824</v>
      </c>
      <c r="E3058" t="s">
        <v>114</v>
      </c>
      <c r="F3058" t="s">
        <v>392</v>
      </c>
      <c r="G3058">
        <v>37.096927000000001</v>
      </c>
      <c r="H3058">
        <v>122.484748</v>
      </c>
      <c r="I3058" t="s">
        <v>761</v>
      </c>
      <c r="J3058" s="2" t="s">
        <v>7</v>
      </c>
      <c r="K3058" t="s">
        <v>95</v>
      </c>
      <c r="L3058" t="s">
        <v>143</v>
      </c>
      <c r="M3058" t="s">
        <v>726</v>
      </c>
      <c r="N3058" t="s">
        <v>85</v>
      </c>
      <c r="O3058" s="6" t="s">
        <v>396</v>
      </c>
      <c r="Q3058">
        <v>105</v>
      </c>
      <c r="R3058" t="s">
        <v>213</v>
      </c>
      <c r="S3058" s="2" t="s">
        <v>7</v>
      </c>
      <c r="T3058">
        <v>3</v>
      </c>
      <c r="U3058">
        <v>8.1</v>
      </c>
      <c r="V3058">
        <v>384.9</v>
      </c>
      <c r="W3058" t="s">
        <v>28</v>
      </c>
      <c r="X3058">
        <v>0.69079999999999997</v>
      </c>
      <c r="Y3058">
        <f>0.6959-X3058</f>
        <v>5.0999999999999934E-3</v>
      </c>
      <c r="AA3058" s="6"/>
      <c r="AB3058" s="6"/>
    </row>
    <row r="3059" spans="1:28" x14ac:dyDescent="0.2">
      <c r="A3059" t="s">
        <v>393</v>
      </c>
      <c r="B3059">
        <v>2015</v>
      </c>
      <c r="C3059" t="s">
        <v>826</v>
      </c>
      <c r="D3059" t="s">
        <v>824</v>
      </c>
      <c r="E3059" t="s">
        <v>114</v>
      </c>
      <c r="F3059" t="s">
        <v>392</v>
      </c>
      <c r="G3059">
        <v>37.096927000000001</v>
      </c>
      <c r="H3059">
        <v>122.484748</v>
      </c>
      <c r="I3059" t="s">
        <v>761</v>
      </c>
      <c r="J3059" s="2" t="s">
        <v>5</v>
      </c>
      <c r="K3059" t="s">
        <v>95</v>
      </c>
      <c r="L3059" t="s">
        <v>143</v>
      </c>
      <c r="M3059" t="s">
        <v>726</v>
      </c>
      <c r="N3059" t="s">
        <v>85</v>
      </c>
      <c r="O3059" s="6" t="s">
        <v>396</v>
      </c>
      <c r="Q3059">
        <v>105</v>
      </c>
      <c r="R3059" t="s">
        <v>213</v>
      </c>
      <c r="S3059" s="2" t="s">
        <v>9</v>
      </c>
      <c r="T3059">
        <v>3</v>
      </c>
      <c r="U3059">
        <v>7.76</v>
      </c>
      <c r="V3059">
        <v>986.923</v>
      </c>
      <c r="W3059" t="s">
        <v>28</v>
      </c>
      <c r="X3059">
        <v>0.69840000000000002</v>
      </c>
      <c r="Y3059">
        <f>0.7047-X3059</f>
        <v>6.2999999999999723E-3</v>
      </c>
      <c r="AA3059" s="6"/>
      <c r="AB3059" s="6"/>
    </row>
    <row r="3060" spans="1:28" x14ac:dyDescent="0.2">
      <c r="A3060" t="s">
        <v>393</v>
      </c>
      <c r="B3060">
        <v>2015</v>
      </c>
      <c r="C3060" t="s">
        <v>826</v>
      </c>
      <c r="D3060" t="s">
        <v>824</v>
      </c>
      <c r="E3060" t="s">
        <v>114</v>
      </c>
      <c r="F3060" t="s">
        <v>392</v>
      </c>
      <c r="G3060">
        <v>37.096927000000001</v>
      </c>
      <c r="H3060">
        <v>122.484748</v>
      </c>
      <c r="I3060" t="s">
        <v>761</v>
      </c>
      <c r="J3060" s="2" t="s">
        <v>5</v>
      </c>
      <c r="K3060" t="s">
        <v>95</v>
      </c>
      <c r="L3060" t="s">
        <v>143</v>
      </c>
      <c r="M3060" t="s">
        <v>726</v>
      </c>
      <c r="N3060" t="s">
        <v>85</v>
      </c>
      <c r="O3060" s="6" t="s">
        <v>396</v>
      </c>
      <c r="Q3060">
        <v>105</v>
      </c>
      <c r="R3060" t="s">
        <v>213</v>
      </c>
      <c r="S3060" s="2" t="s">
        <v>27</v>
      </c>
      <c r="T3060">
        <v>3</v>
      </c>
      <c r="U3060">
        <v>7.48</v>
      </c>
      <c r="V3060">
        <v>1973.85</v>
      </c>
      <c r="W3060" t="s">
        <v>28</v>
      </c>
      <c r="X3060">
        <v>0.71099999999999997</v>
      </c>
      <c r="Y3060">
        <f>0.7173-X3060</f>
        <v>6.3000000000000833E-3</v>
      </c>
      <c r="AA3060" s="6"/>
      <c r="AB3060" s="6"/>
    </row>
    <row r="3061" spans="1:28" x14ac:dyDescent="0.2">
      <c r="A3061" t="s">
        <v>393</v>
      </c>
      <c r="B3061">
        <v>2015</v>
      </c>
      <c r="C3061" t="s">
        <v>826</v>
      </c>
      <c r="D3061" t="s">
        <v>824</v>
      </c>
      <c r="E3061" t="s">
        <v>114</v>
      </c>
      <c r="F3061" t="s">
        <v>392</v>
      </c>
      <c r="G3061">
        <v>37.096927000000001</v>
      </c>
      <c r="H3061">
        <v>122.484748</v>
      </c>
      <c r="I3061" t="s">
        <v>761</v>
      </c>
      <c r="J3061" s="2" t="s">
        <v>7</v>
      </c>
      <c r="K3061" t="s">
        <v>95</v>
      </c>
      <c r="L3061" t="s">
        <v>143</v>
      </c>
      <c r="M3061" t="s">
        <v>726</v>
      </c>
      <c r="N3061" t="s">
        <v>85</v>
      </c>
      <c r="O3061" s="6" t="s">
        <v>58</v>
      </c>
      <c r="Q3061">
        <v>105</v>
      </c>
      <c r="R3061" t="s">
        <v>213</v>
      </c>
      <c r="S3061" s="2" t="s">
        <v>7</v>
      </c>
      <c r="T3061">
        <v>3</v>
      </c>
      <c r="U3061">
        <v>8.1</v>
      </c>
      <c r="V3061">
        <v>384.9</v>
      </c>
      <c r="W3061" t="s">
        <v>28</v>
      </c>
      <c r="X3061">
        <v>0.33589999999999998</v>
      </c>
      <c r="Y3061">
        <f>0.3397-X3061</f>
        <v>3.8000000000000256E-3</v>
      </c>
      <c r="AA3061" s="6"/>
      <c r="AB3061" s="6"/>
    </row>
    <row r="3062" spans="1:28" x14ac:dyDescent="0.2">
      <c r="A3062" t="s">
        <v>393</v>
      </c>
      <c r="B3062">
        <v>2015</v>
      </c>
      <c r="C3062" t="s">
        <v>826</v>
      </c>
      <c r="D3062" t="s">
        <v>824</v>
      </c>
      <c r="E3062" t="s">
        <v>114</v>
      </c>
      <c r="F3062" t="s">
        <v>392</v>
      </c>
      <c r="G3062">
        <v>37.096927000000001</v>
      </c>
      <c r="H3062">
        <v>122.484748</v>
      </c>
      <c r="I3062" t="s">
        <v>761</v>
      </c>
      <c r="J3062" s="2" t="s">
        <v>5</v>
      </c>
      <c r="K3062" t="s">
        <v>95</v>
      </c>
      <c r="L3062" t="s">
        <v>143</v>
      </c>
      <c r="M3062" t="s">
        <v>726</v>
      </c>
      <c r="N3062" t="s">
        <v>85</v>
      </c>
      <c r="O3062" s="6" t="s">
        <v>58</v>
      </c>
      <c r="Q3062">
        <v>105</v>
      </c>
      <c r="R3062" t="s">
        <v>213</v>
      </c>
      <c r="S3062" s="2" t="s">
        <v>9</v>
      </c>
      <c r="T3062">
        <v>3</v>
      </c>
      <c r="U3062">
        <v>7.76</v>
      </c>
      <c r="V3062">
        <v>986.923</v>
      </c>
      <c r="W3062" t="s">
        <v>28</v>
      </c>
      <c r="X3062">
        <v>0.3599</v>
      </c>
      <c r="Y3062">
        <f>0.3738-X3062</f>
        <v>1.3900000000000023E-2</v>
      </c>
      <c r="AA3062" s="6"/>
      <c r="AB3062" s="6"/>
    </row>
    <row r="3063" spans="1:28" x14ac:dyDescent="0.2">
      <c r="A3063" t="s">
        <v>393</v>
      </c>
      <c r="B3063">
        <v>2015</v>
      </c>
      <c r="C3063" t="s">
        <v>826</v>
      </c>
      <c r="D3063" t="s">
        <v>824</v>
      </c>
      <c r="E3063" t="s">
        <v>114</v>
      </c>
      <c r="F3063" t="s">
        <v>392</v>
      </c>
      <c r="G3063">
        <v>37.096927000000001</v>
      </c>
      <c r="H3063">
        <v>122.484748</v>
      </c>
      <c r="I3063" t="s">
        <v>761</v>
      </c>
      <c r="J3063" s="2" t="s">
        <v>5</v>
      </c>
      <c r="K3063" t="s">
        <v>95</v>
      </c>
      <c r="L3063" t="s">
        <v>143</v>
      </c>
      <c r="M3063" t="s">
        <v>726</v>
      </c>
      <c r="N3063" t="s">
        <v>85</v>
      </c>
      <c r="O3063" s="6" t="s">
        <v>58</v>
      </c>
      <c r="Q3063">
        <v>105</v>
      </c>
      <c r="R3063" t="s">
        <v>213</v>
      </c>
      <c r="S3063" s="2" t="s">
        <v>27</v>
      </c>
      <c r="T3063">
        <v>3</v>
      </c>
      <c r="U3063">
        <v>7.48</v>
      </c>
      <c r="V3063">
        <v>1973.85</v>
      </c>
      <c r="W3063" t="s">
        <v>28</v>
      </c>
      <c r="X3063">
        <v>0.33850000000000002</v>
      </c>
      <c r="Y3063">
        <f>0.3473-X3063</f>
        <v>8.7999999999999745E-3</v>
      </c>
      <c r="AA3063" s="6"/>
      <c r="AB3063" s="6"/>
    </row>
    <row r="3064" spans="1:28" x14ac:dyDescent="0.2">
      <c r="A3064" t="s">
        <v>393</v>
      </c>
      <c r="B3064">
        <v>2015</v>
      </c>
      <c r="C3064" t="s">
        <v>826</v>
      </c>
      <c r="D3064" t="s">
        <v>824</v>
      </c>
      <c r="E3064" t="s">
        <v>114</v>
      </c>
      <c r="F3064" t="s">
        <v>392</v>
      </c>
      <c r="G3064">
        <v>37.096927000000001</v>
      </c>
      <c r="H3064">
        <v>122.484748</v>
      </c>
      <c r="I3064" t="s">
        <v>761</v>
      </c>
      <c r="J3064" s="2" t="s">
        <v>7</v>
      </c>
      <c r="K3064" t="s">
        <v>95</v>
      </c>
      <c r="L3064" t="s">
        <v>143</v>
      </c>
      <c r="M3064" t="s">
        <v>726</v>
      </c>
      <c r="N3064" t="s">
        <v>85</v>
      </c>
      <c r="O3064" s="6" t="s">
        <v>836</v>
      </c>
      <c r="Q3064">
        <v>105</v>
      </c>
      <c r="R3064" t="s">
        <v>213</v>
      </c>
      <c r="S3064" s="2" t="s">
        <v>7</v>
      </c>
      <c r="T3064">
        <v>3</v>
      </c>
      <c r="U3064">
        <v>8.1</v>
      </c>
      <c r="V3064">
        <v>384.9</v>
      </c>
      <c r="W3064" t="s">
        <v>28</v>
      </c>
      <c r="X3064">
        <v>11.33</v>
      </c>
      <c r="Y3064">
        <v>0</v>
      </c>
      <c r="AA3064" s="6"/>
      <c r="AB3064" s="6"/>
    </row>
    <row r="3065" spans="1:28" x14ac:dyDescent="0.2">
      <c r="A3065" t="s">
        <v>393</v>
      </c>
      <c r="B3065">
        <v>2015</v>
      </c>
      <c r="C3065" t="s">
        <v>826</v>
      </c>
      <c r="D3065" t="s">
        <v>824</v>
      </c>
      <c r="E3065" t="s">
        <v>114</v>
      </c>
      <c r="F3065" t="s">
        <v>392</v>
      </c>
      <c r="G3065">
        <v>37.096927000000001</v>
      </c>
      <c r="H3065">
        <v>122.484748</v>
      </c>
      <c r="I3065" t="s">
        <v>761</v>
      </c>
      <c r="J3065" s="2" t="s">
        <v>5</v>
      </c>
      <c r="K3065" t="s">
        <v>95</v>
      </c>
      <c r="L3065" t="s">
        <v>143</v>
      </c>
      <c r="M3065" t="s">
        <v>726</v>
      </c>
      <c r="N3065" t="s">
        <v>85</v>
      </c>
      <c r="O3065" s="6" t="s">
        <v>836</v>
      </c>
      <c r="Q3065">
        <v>105</v>
      </c>
      <c r="R3065" t="s">
        <v>213</v>
      </c>
      <c r="S3065" s="2" t="s">
        <v>9</v>
      </c>
      <c r="T3065">
        <v>3</v>
      </c>
      <c r="U3065">
        <v>7.76</v>
      </c>
      <c r="V3065">
        <v>986.923</v>
      </c>
      <c r="W3065" t="s">
        <v>28</v>
      </c>
      <c r="X3065">
        <v>11.45</v>
      </c>
      <c r="Y3065">
        <v>0</v>
      </c>
      <c r="AA3065" s="6"/>
      <c r="AB3065" s="6"/>
    </row>
    <row r="3066" spans="1:28" x14ac:dyDescent="0.2">
      <c r="A3066" t="s">
        <v>393</v>
      </c>
      <c r="B3066">
        <v>2015</v>
      </c>
      <c r="C3066" t="s">
        <v>826</v>
      </c>
      <c r="D3066" t="s">
        <v>824</v>
      </c>
      <c r="E3066" t="s">
        <v>114</v>
      </c>
      <c r="F3066" t="s">
        <v>392</v>
      </c>
      <c r="G3066">
        <v>37.096927000000001</v>
      </c>
      <c r="H3066">
        <v>122.484748</v>
      </c>
      <c r="I3066" t="s">
        <v>761</v>
      </c>
      <c r="J3066" s="2" t="s">
        <v>5</v>
      </c>
      <c r="K3066" t="s">
        <v>95</v>
      </c>
      <c r="L3066" t="s">
        <v>143</v>
      </c>
      <c r="M3066" t="s">
        <v>726</v>
      </c>
      <c r="N3066" t="s">
        <v>85</v>
      </c>
      <c r="O3066" s="6" t="s">
        <v>836</v>
      </c>
      <c r="Q3066">
        <v>105</v>
      </c>
      <c r="R3066" t="s">
        <v>213</v>
      </c>
      <c r="S3066" s="2" t="s">
        <v>27</v>
      </c>
      <c r="T3066">
        <v>3</v>
      </c>
      <c r="U3066">
        <v>7.48</v>
      </c>
      <c r="V3066">
        <v>1973.85</v>
      </c>
      <c r="W3066" t="s">
        <v>28</v>
      </c>
      <c r="X3066">
        <v>11.63</v>
      </c>
      <c r="Y3066">
        <v>0</v>
      </c>
      <c r="AA3066" s="6"/>
      <c r="AB3066" s="6"/>
    </row>
    <row r="3067" spans="1:28" x14ac:dyDescent="0.2">
      <c r="A3067" t="s">
        <v>393</v>
      </c>
      <c r="B3067">
        <v>2015</v>
      </c>
      <c r="C3067" t="s">
        <v>826</v>
      </c>
      <c r="D3067" t="s">
        <v>824</v>
      </c>
      <c r="E3067" t="s">
        <v>114</v>
      </c>
      <c r="F3067" t="s">
        <v>392</v>
      </c>
      <c r="G3067">
        <v>37.096927000000001</v>
      </c>
      <c r="H3067">
        <v>122.484748</v>
      </c>
      <c r="I3067" t="s">
        <v>761</v>
      </c>
      <c r="J3067" s="2" t="s">
        <v>7</v>
      </c>
      <c r="K3067" t="s">
        <v>95</v>
      </c>
      <c r="L3067" t="s">
        <v>143</v>
      </c>
      <c r="M3067" t="s">
        <v>553</v>
      </c>
      <c r="N3067" t="s">
        <v>85</v>
      </c>
      <c r="O3067" s="6" t="s">
        <v>61</v>
      </c>
      <c r="P3067" t="s">
        <v>147</v>
      </c>
      <c r="Q3067">
        <v>105</v>
      </c>
      <c r="R3067" t="s">
        <v>213</v>
      </c>
      <c r="S3067" s="2" t="s">
        <v>7</v>
      </c>
      <c r="T3067">
        <v>3</v>
      </c>
      <c r="U3067">
        <v>8.1</v>
      </c>
      <c r="V3067">
        <v>384.9</v>
      </c>
      <c r="W3067" t="s">
        <v>28</v>
      </c>
      <c r="X3067">
        <v>9.157</v>
      </c>
      <c r="Y3067">
        <v>0</v>
      </c>
      <c r="AA3067" s="6"/>
      <c r="AB3067" s="6"/>
    </row>
    <row r="3068" spans="1:28" x14ac:dyDescent="0.2">
      <c r="A3068" t="s">
        <v>393</v>
      </c>
      <c r="B3068">
        <v>2015</v>
      </c>
      <c r="C3068" t="s">
        <v>826</v>
      </c>
      <c r="D3068" t="s">
        <v>824</v>
      </c>
      <c r="E3068" t="s">
        <v>114</v>
      </c>
      <c r="F3068" t="s">
        <v>392</v>
      </c>
      <c r="G3068">
        <v>37.096927000000001</v>
      </c>
      <c r="H3068">
        <v>122.484748</v>
      </c>
      <c r="I3068" t="s">
        <v>761</v>
      </c>
      <c r="J3068" s="2" t="s">
        <v>5</v>
      </c>
      <c r="K3068" t="s">
        <v>95</v>
      </c>
      <c r="L3068" t="s">
        <v>143</v>
      </c>
      <c r="M3068" t="s">
        <v>553</v>
      </c>
      <c r="N3068" t="s">
        <v>85</v>
      </c>
      <c r="O3068" s="6" t="s">
        <v>61</v>
      </c>
      <c r="P3068" t="s">
        <v>147</v>
      </c>
      <c r="Q3068">
        <v>105</v>
      </c>
      <c r="R3068" t="s">
        <v>213</v>
      </c>
      <c r="S3068" s="2" t="s">
        <v>9</v>
      </c>
      <c r="T3068">
        <v>3</v>
      </c>
      <c r="U3068">
        <v>7.76</v>
      </c>
      <c r="V3068">
        <v>986.923</v>
      </c>
      <c r="W3068" t="s">
        <v>28</v>
      </c>
      <c r="X3068">
        <v>17.088000000000001</v>
      </c>
      <c r="Y3068">
        <v>0</v>
      </c>
      <c r="AA3068" s="6"/>
      <c r="AB3068" s="6"/>
    </row>
    <row r="3069" spans="1:28" x14ac:dyDescent="0.2">
      <c r="A3069" t="s">
        <v>393</v>
      </c>
      <c r="B3069">
        <v>2015</v>
      </c>
      <c r="C3069" t="s">
        <v>826</v>
      </c>
      <c r="D3069" t="s">
        <v>824</v>
      </c>
      <c r="E3069" t="s">
        <v>114</v>
      </c>
      <c r="F3069" t="s">
        <v>392</v>
      </c>
      <c r="G3069">
        <v>37.096927000000001</v>
      </c>
      <c r="H3069">
        <v>122.484748</v>
      </c>
      <c r="I3069" t="s">
        <v>761</v>
      </c>
      <c r="J3069" s="2" t="s">
        <v>5</v>
      </c>
      <c r="K3069" t="s">
        <v>95</v>
      </c>
      <c r="L3069" t="s">
        <v>143</v>
      </c>
      <c r="M3069" t="s">
        <v>553</v>
      </c>
      <c r="N3069" t="s">
        <v>85</v>
      </c>
      <c r="O3069" s="6" t="s">
        <v>61</v>
      </c>
      <c r="P3069" t="s">
        <v>147</v>
      </c>
      <c r="Q3069">
        <v>105</v>
      </c>
      <c r="R3069" t="s">
        <v>213</v>
      </c>
      <c r="S3069" s="2" t="s">
        <v>27</v>
      </c>
      <c r="T3069">
        <v>3</v>
      </c>
      <c r="U3069">
        <v>7.48</v>
      </c>
      <c r="V3069">
        <v>1973.85</v>
      </c>
      <c r="W3069" t="s">
        <v>28</v>
      </c>
      <c r="X3069">
        <v>8.4760000000000009</v>
      </c>
      <c r="Y3069">
        <v>0</v>
      </c>
      <c r="AA3069" s="6"/>
      <c r="AB3069" s="6"/>
    </row>
    <row r="3070" spans="1:28" x14ac:dyDescent="0.2">
      <c r="A3070" t="s">
        <v>393</v>
      </c>
      <c r="B3070">
        <v>2015</v>
      </c>
      <c r="C3070" t="s">
        <v>826</v>
      </c>
      <c r="D3070" t="s">
        <v>824</v>
      </c>
      <c r="E3070" t="s">
        <v>114</v>
      </c>
      <c r="F3070" t="s">
        <v>392</v>
      </c>
      <c r="G3070">
        <v>37.096927000000001</v>
      </c>
      <c r="H3070">
        <v>122.484748</v>
      </c>
      <c r="I3070" t="s">
        <v>761</v>
      </c>
      <c r="J3070" s="2" t="s">
        <v>7</v>
      </c>
      <c r="K3070" t="s">
        <v>95</v>
      </c>
      <c r="L3070" t="s">
        <v>143</v>
      </c>
      <c r="M3070" t="s">
        <v>553</v>
      </c>
      <c r="N3070" t="s">
        <v>85</v>
      </c>
      <c r="O3070" s="6" t="s">
        <v>241</v>
      </c>
      <c r="P3070" t="s">
        <v>147</v>
      </c>
      <c r="Q3070">
        <v>105</v>
      </c>
      <c r="R3070" t="s">
        <v>213</v>
      </c>
      <c r="S3070" s="2" t="s">
        <v>7</v>
      </c>
      <c r="T3070">
        <v>3</v>
      </c>
      <c r="U3070">
        <v>8.1</v>
      </c>
      <c r="V3070">
        <v>384.9</v>
      </c>
      <c r="W3070" t="s">
        <v>28</v>
      </c>
      <c r="X3070">
        <v>1.472</v>
      </c>
      <c r="Y3070">
        <f>1.526-X3070</f>
        <v>5.4000000000000048E-2</v>
      </c>
      <c r="AA3070" s="6"/>
      <c r="AB3070" s="6"/>
    </row>
    <row r="3071" spans="1:28" x14ac:dyDescent="0.2">
      <c r="A3071" t="s">
        <v>393</v>
      </c>
      <c r="B3071">
        <v>2015</v>
      </c>
      <c r="C3071" t="s">
        <v>826</v>
      </c>
      <c r="D3071" t="s">
        <v>824</v>
      </c>
      <c r="E3071" t="s">
        <v>114</v>
      </c>
      <c r="F3071" t="s">
        <v>392</v>
      </c>
      <c r="G3071">
        <v>37.096927000000001</v>
      </c>
      <c r="H3071">
        <v>122.484748</v>
      </c>
      <c r="I3071" t="s">
        <v>761</v>
      </c>
      <c r="J3071" s="2" t="s">
        <v>5</v>
      </c>
      <c r="K3071" t="s">
        <v>95</v>
      </c>
      <c r="L3071" t="s">
        <v>143</v>
      </c>
      <c r="M3071" t="s">
        <v>553</v>
      </c>
      <c r="N3071" t="s">
        <v>85</v>
      </c>
      <c r="O3071" s="6" t="s">
        <v>241</v>
      </c>
      <c r="P3071" t="s">
        <v>147</v>
      </c>
      <c r="Q3071">
        <v>105</v>
      </c>
      <c r="R3071" t="s">
        <v>213</v>
      </c>
      <c r="S3071" s="2" t="s">
        <v>9</v>
      </c>
      <c r="T3071">
        <v>3</v>
      </c>
      <c r="U3071">
        <v>7.76</v>
      </c>
      <c r="V3071">
        <v>986.923</v>
      </c>
      <c r="W3071" t="s">
        <v>28</v>
      </c>
      <c r="X3071">
        <v>3.2160000000000002</v>
      </c>
      <c r="Y3071">
        <f>3.434-X3071</f>
        <v>0.21799999999999997</v>
      </c>
      <c r="AA3071" s="6"/>
      <c r="AB3071" s="6"/>
    </row>
    <row r="3072" spans="1:28" x14ac:dyDescent="0.2">
      <c r="A3072" t="s">
        <v>393</v>
      </c>
      <c r="B3072">
        <v>2015</v>
      </c>
      <c r="C3072" t="s">
        <v>826</v>
      </c>
      <c r="D3072" t="s">
        <v>824</v>
      </c>
      <c r="E3072" t="s">
        <v>114</v>
      </c>
      <c r="F3072" t="s">
        <v>392</v>
      </c>
      <c r="G3072">
        <v>37.096927000000001</v>
      </c>
      <c r="H3072">
        <v>122.484748</v>
      </c>
      <c r="I3072" t="s">
        <v>761</v>
      </c>
      <c r="J3072" s="2" t="s">
        <v>5</v>
      </c>
      <c r="K3072" t="s">
        <v>95</v>
      </c>
      <c r="L3072" t="s">
        <v>143</v>
      </c>
      <c r="M3072" t="s">
        <v>553</v>
      </c>
      <c r="N3072" t="s">
        <v>85</v>
      </c>
      <c r="O3072" s="6" t="s">
        <v>241</v>
      </c>
      <c r="P3072" t="s">
        <v>147</v>
      </c>
      <c r="Q3072">
        <v>105</v>
      </c>
      <c r="R3072" t="s">
        <v>213</v>
      </c>
      <c r="S3072" s="2" t="s">
        <v>27</v>
      </c>
      <c r="T3072">
        <v>3</v>
      </c>
      <c r="U3072">
        <v>7.48</v>
      </c>
      <c r="V3072">
        <v>1973.85</v>
      </c>
      <c r="W3072" t="s">
        <v>28</v>
      </c>
      <c r="X3072">
        <v>1.4990000000000001</v>
      </c>
      <c r="Y3072">
        <f>1.608-X3072</f>
        <v>0.10899999999999999</v>
      </c>
      <c r="AA3072" s="6"/>
      <c r="AB3072" s="6"/>
    </row>
    <row r="3073" spans="1:28" x14ac:dyDescent="0.2">
      <c r="A3073" t="s">
        <v>393</v>
      </c>
      <c r="B3073">
        <v>2015</v>
      </c>
      <c r="C3073" t="s">
        <v>826</v>
      </c>
      <c r="D3073" t="s">
        <v>824</v>
      </c>
      <c r="E3073" t="s">
        <v>114</v>
      </c>
      <c r="F3073" t="s">
        <v>392</v>
      </c>
      <c r="G3073">
        <v>37.096927000000001</v>
      </c>
      <c r="H3073">
        <v>122.484748</v>
      </c>
      <c r="I3073" t="s">
        <v>761</v>
      </c>
      <c r="J3073" s="2" t="s">
        <v>7</v>
      </c>
      <c r="K3073" t="s">
        <v>95</v>
      </c>
      <c r="L3073" t="s">
        <v>143</v>
      </c>
      <c r="M3073" t="s">
        <v>553</v>
      </c>
      <c r="N3073" t="s">
        <v>86</v>
      </c>
      <c r="O3073" s="6" t="s">
        <v>398</v>
      </c>
      <c r="Q3073">
        <v>105</v>
      </c>
      <c r="R3073" t="s">
        <v>213</v>
      </c>
      <c r="S3073" s="2" t="s">
        <v>7</v>
      </c>
      <c r="T3073">
        <v>3</v>
      </c>
      <c r="U3073">
        <v>8.1</v>
      </c>
      <c r="V3073">
        <v>384.9</v>
      </c>
      <c r="W3073" t="s">
        <v>28</v>
      </c>
      <c r="X3073">
        <v>6.2370000000000001</v>
      </c>
      <c r="Y3073">
        <f>6.377-X3073</f>
        <v>0.13999999999999968</v>
      </c>
      <c r="AA3073" s="6"/>
      <c r="AB3073" s="6"/>
    </row>
    <row r="3074" spans="1:28" x14ac:dyDescent="0.2">
      <c r="A3074" t="s">
        <v>393</v>
      </c>
      <c r="B3074">
        <v>2015</v>
      </c>
      <c r="C3074" t="s">
        <v>826</v>
      </c>
      <c r="D3074" t="s">
        <v>824</v>
      </c>
      <c r="E3074" t="s">
        <v>114</v>
      </c>
      <c r="F3074" t="s">
        <v>392</v>
      </c>
      <c r="G3074">
        <v>37.096927000000001</v>
      </c>
      <c r="H3074">
        <v>122.484748</v>
      </c>
      <c r="I3074" t="s">
        <v>761</v>
      </c>
      <c r="J3074" s="2" t="s">
        <v>5</v>
      </c>
      <c r="K3074" t="s">
        <v>95</v>
      </c>
      <c r="L3074" t="s">
        <v>143</v>
      </c>
      <c r="M3074" t="s">
        <v>553</v>
      </c>
      <c r="N3074" t="s">
        <v>86</v>
      </c>
      <c r="O3074" s="6" t="s">
        <v>398</v>
      </c>
      <c r="Q3074">
        <v>105</v>
      </c>
      <c r="R3074" t="s">
        <v>213</v>
      </c>
      <c r="S3074" s="2" t="s">
        <v>9</v>
      </c>
      <c r="T3074">
        <v>3</v>
      </c>
      <c r="U3074">
        <v>7.76</v>
      </c>
      <c r="V3074">
        <v>986.923</v>
      </c>
      <c r="W3074" t="s">
        <v>28</v>
      </c>
      <c r="X3074">
        <v>5.3419999999999996</v>
      </c>
      <c r="Y3074">
        <f>5.694-X3074</f>
        <v>0.35200000000000031</v>
      </c>
      <c r="AA3074" s="6"/>
      <c r="AB3074" s="6"/>
    </row>
    <row r="3075" spans="1:28" x14ac:dyDescent="0.2">
      <c r="A3075" t="s">
        <v>393</v>
      </c>
      <c r="B3075">
        <v>2015</v>
      </c>
      <c r="C3075" t="s">
        <v>826</v>
      </c>
      <c r="D3075" t="s">
        <v>824</v>
      </c>
      <c r="E3075" t="s">
        <v>114</v>
      </c>
      <c r="F3075" t="s">
        <v>392</v>
      </c>
      <c r="G3075">
        <v>37.096927000000001</v>
      </c>
      <c r="H3075">
        <v>122.484748</v>
      </c>
      <c r="I3075" t="s">
        <v>761</v>
      </c>
      <c r="J3075" s="2" t="s">
        <v>5</v>
      </c>
      <c r="K3075" t="s">
        <v>95</v>
      </c>
      <c r="L3075" t="s">
        <v>143</v>
      </c>
      <c r="M3075" t="s">
        <v>553</v>
      </c>
      <c r="N3075" t="s">
        <v>86</v>
      </c>
      <c r="O3075" s="6" t="s">
        <v>398</v>
      </c>
      <c r="Q3075">
        <v>105</v>
      </c>
      <c r="R3075" t="s">
        <v>213</v>
      </c>
      <c r="S3075" s="2" t="s">
        <v>27</v>
      </c>
      <c r="T3075">
        <v>3</v>
      </c>
      <c r="U3075">
        <v>7.48</v>
      </c>
      <c r="V3075">
        <v>1973.85</v>
      </c>
      <c r="W3075" t="s">
        <v>28</v>
      </c>
      <c r="X3075">
        <v>5.65</v>
      </c>
      <c r="Y3075">
        <f>6.024-X3075</f>
        <v>0.37399999999999967</v>
      </c>
      <c r="AA3075" s="6"/>
      <c r="AB3075" s="6"/>
    </row>
    <row r="3076" spans="1:28" x14ac:dyDescent="0.2">
      <c r="A3076" t="s">
        <v>393</v>
      </c>
      <c r="B3076">
        <v>2015</v>
      </c>
      <c r="C3076" t="s">
        <v>826</v>
      </c>
      <c r="D3076" t="s">
        <v>824</v>
      </c>
      <c r="E3076" t="s">
        <v>114</v>
      </c>
      <c r="F3076" t="s">
        <v>392</v>
      </c>
      <c r="G3076">
        <v>37.096927000000001</v>
      </c>
      <c r="H3076">
        <v>122.484748</v>
      </c>
      <c r="I3076" t="s">
        <v>761</v>
      </c>
      <c r="J3076" s="2" t="s">
        <v>7</v>
      </c>
      <c r="K3076" t="s">
        <v>95</v>
      </c>
      <c r="L3076" t="s">
        <v>143</v>
      </c>
      <c r="M3076" t="s">
        <v>638</v>
      </c>
      <c r="N3076" t="s">
        <v>85</v>
      </c>
      <c r="O3076" s="6" t="s">
        <v>107</v>
      </c>
      <c r="P3076" t="s">
        <v>70</v>
      </c>
      <c r="Q3076">
        <v>105</v>
      </c>
      <c r="R3076" t="s">
        <v>213</v>
      </c>
      <c r="S3076" s="2" t="s">
        <v>7</v>
      </c>
      <c r="T3076">
        <v>3</v>
      </c>
      <c r="U3076">
        <v>8.1</v>
      </c>
      <c r="V3076">
        <v>384.9</v>
      </c>
      <c r="W3076" t="s">
        <v>28</v>
      </c>
      <c r="X3076">
        <v>1.84</v>
      </c>
      <c r="Y3076">
        <f>1.96-X3076</f>
        <v>0.11999999999999988</v>
      </c>
      <c r="AA3076" s="6"/>
      <c r="AB3076" s="6"/>
    </row>
    <row r="3077" spans="1:28" x14ac:dyDescent="0.2">
      <c r="A3077" t="s">
        <v>393</v>
      </c>
      <c r="B3077">
        <v>2015</v>
      </c>
      <c r="C3077" t="s">
        <v>826</v>
      </c>
      <c r="D3077" t="s">
        <v>824</v>
      </c>
      <c r="E3077" t="s">
        <v>114</v>
      </c>
      <c r="F3077" t="s">
        <v>392</v>
      </c>
      <c r="G3077">
        <v>37.096927000000001</v>
      </c>
      <c r="H3077">
        <v>122.484748</v>
      </c>
      <c r="I3077" t="s">
        <v>761</v>
      </c>
      <c r="J3077" s="2" t="s">
        <v>5</v>
      </c>
      <c r="K3077" t="s">
        <v>95</v>
      </c>
      <c r="L3077" t="s">
        <v>143</v>
      </c>
      <c r="M3077" t="s">
        <v>638</v>
      </c>
      <c r="N3077" t="s">
        <v>85</v>
      </c>
      <c r="O3077" s="6" t="s">
        <v>107</v>
      </c>
      <c r="P3077" t="s">
        <v>70</v>
      </c>
      <c r="Q3077">
        <v>105</v>
      </c>
      <c r="R3077" t="s">
        <v>213</v>
      </c>
      <c r="S3077" s="2" t="s">
        <v>9</v>
      </c>
      <c r="T3077">
        <v>3</v>
      </c>
      <c r="U3077">
        <v>7.76</v>
      </c>
      <c r="V3077">
        <v>986.923</v>
      </c>
      <c r="W3077" t="s">
        <v>28</v>
      </c>
      <c r="X3077">
        <v>2.19</v>
      </c>
      <c r="Y3077">
        <f>2.29-X3077</f>
        <v>0.10000000000000009</v>
      </c>
      <c r="AA3077" s="6"/>
      <c r="AB3077" s="6"/>
    </row>
    <row r="3078" spans="1:28" x14ac:dyDescent="0.2">
      <c r="A3078" t="s">
        <v>393</v>
      </c>
      <c r="B3078">
        <v>2015</v>
      </c>
      <c r="C3078" t="s">
        <v>826</v>
      </c>
      <c r="D3078" t="s">
        <v>824</v>
      </c>
      <c r="E3078" t="s">
        <v>114</v>
      </c>
      <c r="F3078" t="s">
        <v>392</v>
      </c>
      <c r="G3078">
        <v>37.096927000000001</v>
      </c>
      <c r="H3078">
        <v>122.484748</v>
      </c>
      <c r="I3078" t="s">
        <v>761</v>
      </c>
      <c r="J3078" s="2" t="s">
        <v>5</v>
      </c>
      <c r="K3078" t="s">
        <v>95</v>
      </c>
      <c r="L3078" t="s">
        <v>143</v>
      </c>
      <c r="M3078" t="s">
        <v>638</v>
      </c>
      <c r="N3078" t="s">
        <v>85</v>
      </c>
      <c r="O3078" s="6" t="s">
        <v>107</v>
      </c>
      <c r="P3078" t="s">
        <v>70</v>
      </c>
      <c r="Q3078">
        <v>105</v>
      </c>
      <c r="R3078" t="s">
        <v>213</v>
      </c>
      <c r="S3078" s="2" t="s">
        <v>27</v>
      </c>
      <c r="T3078">
        <v>3</v>
      </c>
      <c r="U3078">
        <v>7.48</v>
      </c>
      <c r="V3078">
        <v>1973.85</v>
      </c>
      <c r="W3078" t="s">
        <v>28</v>
      </c>
      <c r="X3078">
        <v>2.0099999999999998</v>
      </c>
      <c r="Y3078">
        <v>0</v>
      </c>
      <c r="AA3078" s="6"/>
      <c r="AB3078" s="6"/>
    </row>
    <row r="3079" spans="1:28" x14ac:dyDescent="0.2">
      <c r="A3079" t="s">
        <v>393</v>
      </c>
      <c r="B3079">
        <v>2015</v>
      </c>
      <c r="C3079" t="s">
        <v>826</v>
      </c>
      <c r="D3079" t="s">
        <v>824</v>
      </c>
      <c r="E3079" t="s">
        <v>114</v>
      </c>
      <c r="F3079" t="s">
        <v>392</v>
      </c>
      <c r="G3079">
        <v>37.096927000000001</v>
      </c>
      <c r="H3079">
        <v>122.484748</v>
      </c>
      <c r="I3079" t="s">
        <v>761</v>
      </c>
      <c r="J3079" s="2" t="s">
        <v>7</v>
      </c>
      <c r="K3079" t="s">
        <v>95</v>
      </c>
      <c r="L3079" t="s">
        <v>143</v>
      </c>
      <c r="M3079" t="s">
        <v>638</v>
      </c>
      <c r="N3079" t="s">
        <v>85</v>
      </c>
      <c r="O3079" s="6" t="s">
        <v>221</v>
      </c>
      <c r="P3079" t="s">
        <v>70</v>
      </c>
      <c r="Q3079">
        <v>105</v>
      </c>
      <c r="R3079" t="s">
        <v>213</v>
      </c>
      <c r="S3079" s="2" t="s">
        <v>7</v>
      </c>
      <c r="T3079">
        <v>3</v>
      </c>
      <c r="U3079">
        <v>8.1</v>
      </c>
      <c r="V3079">
        <v>384.9</v>
      </c>
      <c r="W3079" t="s">
        <v>28</v>
      </c>
      <c r="X3079">
        <v>11.02</v>
      </c>
      <c r="Y3079">
        <f>11.95-X3079</f>
        <v>0.92999999999999972</v>
      </c>
      <c r="AA3079" s="6"/>
      <c r="AB3079" s="6"/>
    </row>
    <row r="3080" spans="1:28" x14ac:dyDescent="0.2">
      <c r="A3080" t="s">
        <v>393</v>
      </c>
      <c r="B3080">
        <v>2015</v>
      </c>
      <c r="C3080" t="s">
        <v>826</v>
      </c>
      <c r="D3080" t="s">
        <v>824</v>
      </c>
      <c r="E3080" t="s">
        <v>114</v>
      </c>
      <c r="F3080" t="s">
        <v>392</v>
      </c>
      <c r="G3080">
        <v>37.096927000000001</v>
      </c>
      <c r="H3080">
        <v>122.484748</v>
      </c>
      <c r="I3080" t="s">
        <v>761</v>
      </c>
      <c r="J3080" s="2" t="s">
        <v>5</v>
      </c>
      <c r="K3080" t="s">
        <v>95</v>
      </c>
      <c r="L3080" t="s">
        <v>143</v>
      </c>
      <c r="M3080" t="s">
        <v>638</v>
      </c>
      <c r="N3080" t="s">
        <v>85</v>
      </c>
      <c r="O3080" s="6" t="s">
        <v>221</v>
      </c>
      <c r="P3080" t="s">
        <v>70</v>
      </c>
      <c r="Q3080">
        <v>105</v>
      </c>
      <c r="R3080" t="s">
        <v>213</v>
      </c>
      <c r="S3080" s="2" t="s">
        <v>9</v>
      </c>
      <c r="T3080">
        <v>3</v>
      </c>
      <c r="U3080">
        <v>7.76</v>
      </c>
      <c r="V3080">
        <v>986.923</v>
      </c>
      <c r="W3080" t="s">
        <v>28</v>
      </c>
      <c r="X3080">
        <v>15.17</v>
      </c>
      <c r="Y3080">
        <f>16.08-X3080</f>
        <v>0.90999999999999837</v>
      </c>
      <c r="AA3080" s="6"/>
      <c r="AB3080" s="6"/>
    </row>
    <row r="3081" spans="1:28" x14ac:dyDescent="0.2">
      <c r="A3081" t="s">
        <v>393</v>
      </c>
      <c r="B3081">
        <v>2015</v>
      </c>
      <c r="C3081" t="s">
        <v>826</v>
      </c>
      <c r="D3081" t="s">
        <v>824</v>
      </c>
      <c r="E3081" t="s">
        <v>114</v>
      </c>
      <c r="F3081" t="s">
        <v>392</v>
      </c>
      <c r="G3081">
        <v>37.096927000000001</v>
      </c>
      <c r="H3081">
        <v>122.484748</v>
      </c>
      <c r="I3081" t="s">
        <v>761</v>
      </c>
      <c r="J3081" s="2" t="s">
        <v>5</v>
      </c>
      <c r="K3081" t="s">
        <v>95</v>
      </c>
      <c r="L3081" t="s">
        <v>143</v>
      </c>
      <c r="M3081" t="s">
        <v>638</v>
      </c>
      <c r="N3081" t="s">
        <v>85</v>
      </c>
      <c r="O3081" s="6" t="s">
        <v>221</v>
      </c>
      <c r="P3081" t="s">
        <v>70</v>
      </c>
      <c r="Q3081">
        <v>105</v>
      </c>
      <c r="R3081" t="s">
        <v>213</v>
      </c>
      <c r="S3081" s="2" t="s">
        <v>27</v>
      </c>
      <c r="T3081">
        <v>3</v>
      </c>
      <c r="U3081">
        <v>7.48</v>
      </c>
      <c r="V3081">
        <v>1973.85</v>
      </c>
      <c r="W3081" t="s">
        <v>28</v>
      </c>
      <c r="X3081">
        <v>11.02</v>
      </c>
      <c r="Y3081">
        <f>11.57-X3081</f>
        <v>0.55000000000000071</v>
      </c>
      <c r="AA3081" s="6"/>
      <c r="AB3081" s="6"/>
    </row>
    <row r="3082" spans="1:28" x14ac:dyDescent="0.2">
      <c r="A3082" t="s">
        <v>393</v>
      </c>
      <c r="B3082">
        <v>2015</v>
      </c>
      <c r="C3082" t="s">
        <v>826</v>
      </c>
      <c r="D3082" t="s">
        <v>824</v>
      </c>
      <c r="E3082" t="s">
        <v>114</v>
      </c>
      <c r="F3082" t="s">
        <v>392</v>
      </c>
      <c r="G3082">
        <v>37.096927000000001</v>
      </c>
      <c r="H3082">
        <v>122.484748</v>
      </c>
      <c r="I3082" t="s">
        <v>761</v>
      </c>
      <c r="J3082" s="2" t="s">
        <v>7</v>
      </c>
      <c r="K3082" t="s">
        <v>95</v>
      </c>
      <c r="L3082" t="s">
        <v>143</v>
      </c>
      <c r="M3082" t="s">
        <v>638</v>
      </c>
      <c r="N3082" t="s">
        <v>86</v>
      </c>
      <c r="O3082" s="6" t="s">
        <v>272</v>
      </c>
      <c r="Q3082">
        <v>105</v>
      </c>
      <c r="R3082" t="s">
        <v>213</v>
      </c>
      <c r="S3082" s="2" t="s">
        <v>7</v>
      </c>
      <c r="T3082">
        <v>3</v>
      </c>
      <c r="U3082">
        <v>8.1</v>
      </c>
      <c r="V3082">
        <v>384.9</v>
      </c>
      <c r="W3082" t="s">
        <v>28</v>
      </c>
      <c r="X3082">
        <v>5.9340000000000002</v>
      </c>
      <c r="Y3082">
        <f>6.132-X3082</f>
        <v>0.19799999999999951</v>
      </c>
      <c r="AA3082" s="6"/>
      <c r="AB3082" s="6"/>
    </row>
    <row r="3083" spans="1:28" x14ac:dyDescent="0.2">
      <c r="A3083" t="s">
        <v>393</v>
      </c>
      <c r="B3083">
        <v>2015</v>
      </c>
      <c r="C3083" t="s">
        <v>826</v>
      </c>
      <c r="D3083" t="s">
        <v>824</v>
      </c>
      <c r="E3083" t="s">
        <v>114</v>
      </c>
      <c r="F3083" t="s">
        <v>392</v>
      </c>
      <c r="G3083">
        <v>37.096927000000001</v>
      </c>
      <c r="H3083">
        <v>122.484748</v>
      </c>
      <c r="I3083" t="s">
        <v>761</v>
      </c>
      <c r="J3083" s="2" t="s">
        <v>5</v>
      </c>
      <c r="K3083" t="s">
        <v>95</v>
      </c>
      <c r="L3083" t="s">
        <v>143</v>
      </c>
      <c r="M3083" t="s">
        <v>638</v>
      </c>
      <c r="N3083" t="s">
        <v>86</v>
      </c>
      <c r="O3083" s="6" t="s">
        <v>272</v>
      </c>
      <c r="Q3083">
        <v>105</v>
      </c>
      <c r="R3083" t="s">
        <v>213</v>
      </c>
      <c r="S3083" s="2" t="s">
        <v>9</v>
      </c>
      <c r="T3083">
        <v>3</v>
      </c>
      <c r="U3083">
        <v>7.76</v>
      </c>
      <c r="V3083">
        <v>986.923</v>
      </c>
      <c r="W3083" t="s">
        <v>28</v>
      </c>
      <c r="X3083">
        <v>6.915</v>
      </c>
      <c r="Y3083">
        <v>0</v>
      </c>
      <c r="AA3083" s="6"/>
      <c r="AB3083" s="6"/>
    </row>
    <row r="3084" spans="1:28" x14ac:dyDescent="0.2">
      <c r="A3084" t="s">
        <v>393</v>
      </c>
      <c r="B3084">
        <v>2015</v>
      </c>
      <c r="C3084" t="s">
        <v>826</v>
      </c>
      <c r="D3084" t="s">
        <v>824</v>
      </c>
      <c r="E3084" t="s">
        <v>114</v>
      </c>
      <c r="F3084" t="s">
        <v>392</v>
      </c>
      <c r="G3084">
        <v>37.096927000000001</v>
      </c>
      <c r="H3084">
        <v>122.484748</v>
      </c>
      <c r="I3084" t="s">
        <v>761</v>
      </c>
      <c r="J3084" s="2" t="s">
        <v>5</v>
      </c>
      <c r="K3084" t="s">
        <v>95</v>
      </c>
      <c r="L3084" t="s">
        <v>143</v>
      </c>
      <c r="M3084" t="s">
        <v>638</v>
      </c>
      <c r="N3084" t="s">
        <v>86</v>
      </c>
      <c r="O3084" s="6" t="s">
        <v>272</v>
      </c>
      <c r="Q3084">
        <v>105</v>
      </c>
      <c r="R3084" t="s">
        <v>213</v>
      </c>
      <c r="S3084" s="2" t="s">
        <v>27</v>
      </c>
      <c r="T3084">
        <v>3</v>
      </c>
      <c r="U3084">
        <v>7.48</v>
      </c>
      <c r="V3084">
        <v>1973.85</v>
      </c>
      <c r="W3084" t="s">
        <v>28</v>
      </c>
      <c r="X3084">
        <v>5.4340000000000002</v>
      </c>
      <c r="Y3084">
        <f>5.642-X3084</f>
        <v>0.20800000000000018</v>
      </c>
      <c r="AA3084" s="6"/>
      <c r="AB3084" s="6"/>
    </row>
    <row r="3085" spans="1:28" x14ac:dyDescent="0.2">
      <c r="A3085" t="s">
        <v>635</v>
      </c>
      <c r="B3085">
        <v>2013</v>
      </c>
      <c r="C3085" t="s">
        <v>807</v>
      </c>
      <c r="D3085" t="s">
        <v>808</v>
      </c>
      <c r="E3085" t="s">
        <v>205</v>
      </c>
      <c r="F3085" t="s">
        <v>774</v>
      </c>
      <c r="G3085">
        <v>78.916666669999998</v>
      </c>
      <c r="H3085">
        <v>11.93333333</v>
      </c>
      <c r="I3085" t="s">
        <v>764</v>
      </c>
      <c r="J3085" s="2" t="s">
        <v>7</v>
      </c>
      <c r="K3085" t="s">
        <v>203</v>
      </c>
      <c r="L3085" t="s">
        <v>300</v>
      </c>
      <c r="M3085" t="s">
        <v>727</v>
      </c>
      <c r="N3085" t="s">
        <v>85</v>
      </c>
      <c r="O3085" s="6" t="s">
        <v>71</v>
      </c>
      <c r="P3085" t="s">
        <v>70</v>
      </c>
      <c r="Q3085">
        <f t="shared" ref="Q3085:Q3100" si="56">16/24</f>
        <v>0.66666666666666663</v>
      </c>
      <c r="R3085" t="s">
        <v>213</v>
      </c>
      <c r="S3085" s="2" t="s">
        <v>7</v>
      </c>
      <c r="T3085">
        <v>4</v>
      </c>
      <c r="U3085" t="s">
        <v>28</v>
      </c>
      <c r="V3085" t="s">
        <v>28</v>
      </c>
      <c r="W3085">
        <v>2</v>
      </c>
      <c r="X3085" s="6">
        <v>72.47</v>
      </c>
      <c r="Y3085">
        <f>84.82-X3085</f>
        <v>12.349999999999994</v>
      </c>
      <c r="Z3085" s="6"/>
      <c r="AA3085" s="6"/>
    </row>
    <row r="3086" spans="1:28" x14ac:dyDescent="0.2">
      <c r="A3086" t="s">
        <v>635</v>
      </c>
      <c r="B3086">
        <v>2013</v>
      </c>
      <c r="C3086" t="s">
        <v>807</v>
      </c>
      <c r="D3086" t="s">
        <v>808</v>
      </c>
      <c r="E3086" t="s">
        <v>205</v>
      </c>
      <c r="F3086" t="s">
        <v>774</v>
      </c>
      <c r="G3086">
        <v>78.916666669999998</v>
      </c>
      <c r="H3086">
        <v>11.93333333</v>
      </c>
      <c r="I3086" t="s">
        <v>764</v>
      </c>
      <c r="J3086" s="2" t="s">
        <v>14</v>
      </c>
      <c r="K3086" t="s">
        <v>203</v>
      </c>
      <c r="L3086" t="s">
        <v>300</v>
      </c>
      <c r="M3086" t="s">
        <v>727</v>
      </c>
      <c r="N3086" t="s">
        <v>85</v>
      </c>
      <c r="O3086" s="6" t="s">
        <v>71</v>
      </c>
      <c r="P3086" t="s">
        <v>70</v>
      </c>
      <c r="Q3086">
        <f t="shared" si="56"/>
        <v>0.66666666666666663</v>
      </c>
      <c r="R3086" t="s">
        <v>213</v>
      </c>
      <c r="S3086" s="2" t="s">
        <v>9</v>
      </c>
      <c r="T3086">
        <v>4</v>
      </c>
      <c r="U3086" t="s">
        <v>28</v>
      </c>
      <c r="V3086" t="s">
        <v>28</v>
      </c>
      <c r="W3086">
        <v>7</v>
      </c>
      <c r="X3086" s="6">
        <v>71.86</v>
      </c>
      <c r="Y3086">
        <f>81.78-X3086</f>
        <v>9.9200000000000017</v>
      </c>
      <c r="Z3086" s="6"/>
      <c r="AA3086" s="6"/>
    </row>
    <row r="3087" spans="1:28" x14ac:dyDescent="0.2">
      <c r="A3087" t="s">
        <v>635</v>
      </c>
      <c r="B3087">
        <v>2013</v>
      </c>
      <c r="C3087" t="s">
        <v>807</v>
      </c>
      <c r="D3087" t="s">
        <v>808</v>
      </c>
      <c r="E3087" t="s">
        <v>205</v>
      </c>
      <c r="F3087" t="s">
        <v>774</v>
      </c>
      <c r="G3087">
        <v>78.916666669999998</v>
      </c>
      <c r="H3087">
        <v>11.93333333</v>
      </c>
      <c r="I3087" s="26" t="s">
        <v>780</v>
      </c>
      <c r="J3087" s="2" t="s">
        <v>7</v>
      </c>
      <c r="K3087" t="s">
        <v>203</v>
      </c>
      <c r="L3087" t="s">
        <v>300</v>
      </c>
      <c r="M3087" t="s">
        <v>727</v>
      </c>
      <c r="N3087" t="s">
        <v>85</v>
      </c>
      <c r="O3087" s="6" t="s">
        <v>71</v>
      </c>
      <c r="P3087" t="s">
        <v>70</v>
      </c>
      <c r="Q3087">
        <f t="shared" si="56"/>
        <v>0.66666666666666663</v>
      </c>
      <c r="R3087" t="s">
        <v>213</v>
      </c>
      <c r="S3087" s="2" t="s">
        <v>7</v>
      </c>
      <c r="T3087">
        <v>4</v>
      </c>
      <c r="U3087" t="s">
        <v>28</v>
      </c>
      <c r="V3087" t="s">
        <v>28</v>
      </c>
      <c r="W3087">
        <v>2</v>
      </c>
      <c r="X3087" s="6">
        <v>72.47</v>
      </c>
      <c r="Y3087">
        <f>77.73-X3087</f>
        <v>5.2600000000000051</v>
      </c>
      <c r="Z3087" s="6"/>
      <c r="AA3087" s="6"/>
    </row>
    <row r="3088" spans="1:28" x14ac:dyDescent="0.2">
      <c r="A3088" t="s">
        <v>635</v>
      </c>
      <c r="B3088">
        <v>2013</v>
      </c>
      <c r="C3088" t="s">
        <v>807</v>
      </c>
      <c r="D3088" t="s">
        <v>808</v>
      </c>
      <c r="E3088" t="s">
        <v>205</v>
      </c>
      <c r="F3088" t="s">
        <v>774</v>
      </c>
      <c r="G3088">
        <v>78.916666669999998</v>
      </c>
      <c r="H3088">
        <v>11.93333333</v>
      </c>
      <c r="I3088" s="26" t="s">
        <v>780</v>
      </c>
      <c r="J3088" s="2" t="s">
        <v>14</v>
      </c>
      <c r="K3088" t="s">
        <v>203</v>
      </c>
      <c r="L3088" t="s">
        <v>300</v>
      </c>
      <c r="M3088" t="s">
        <v>727</v>
      </c>
      <c r="N3088" t="s">
        <v>85</v>
      </c>
      <c r="O3088" s="6" t="s">
        <v>71</v>
      </c>
      <c r="P3088" t="s">
        <v>70</v>
      </c>
      <c r="Q3088">
        <f t="shared" si="56"/>
        <v>0.66666666666666663</v>
      </c>
      <c r="R3088" t="s">
        <v>213</v>
      </c>
      <c r="S3088" s="2" t="s">
        <v>27</v>
      </c>
      <c r="T3088">
        <v>4</v>
      </c>
      <c r="U3088" t="s">
        <v>28</v>
      </c>
      <c r="V3088" t="s">
        <v>28</v>
      </c>
      <c r="W3088">
        <v>7</v>
      </c>
      <c r="X3088" s="6">
        <v>82.39</v>
      </c>
      <c r="Y3088">
        <f>87.85-X3088</f>
        <v>5.4599999999999937</v>
      </c>
      <c r="Z3088" s="6"/>
      <c r="AA3088" s="6"/>
    </row>
    <row r="3089" spans="1:27" x14ac:dyDescent="0.2">
      <c r="A3089" t="s">
        <v>635</v>
      </c>
      <c r="B3089">
        <v>2013</v>
      </c>
      <c r="C3089" t="s">
        <v>807</v>
      </c>
      <c r="D3089" t="s">
        <v>808</v>
      </c>
      <c r="E3089" t="s">
        <v>205</v>
      </c>
      <c r="F3089" t="s">
        <v>774</v>
      </c>
      <c r="G3089">
        <v>78.916666669999998</v>
      </c>
      <c r="H3089">
        <v>11.93333333</v>
      </c>
      <c r="I3089" s="26" t="s">
        <v>781</v>
      </c>
      <c r="J3089" s="2" t="s">
        <v>7</v>
      </c>
      <c r="K3089" t="s">
        <v>203</v>
      </c>
      <c r="L3089" t="s">
        <v>300</v>
      </c>
      <c r="M3089" t="s">
        <v>727</v>
      </c>
      <c r="N3089" t="s">
        <v>85</v>
      </c>
      <c r="O3089" s="6" t="s">
        <v>71</v>
      </c>
      <c r="P3089" t="s">
        <v>70</v>
      </c>
      <c r="Q3089">
        <f t="shared" si="56"/>
        <v>0.66666666666666663</v>
      </c>
      <c r="R3089" t="s">
        <v>213</v>
      </c>
      <c r="S3089" s="2" t="s">
        <v>7</v>
      </c>
      <c r="T3089">
        <v>4</v>
      </c>
      <c r="U3089" t="s">
        <v>28</v>
      </c>
      <c r="V3089" t="s">
        <v>28</v>
      </c>
      <c r="W3089">
        <v>2</v>
      </c>
      <c r="X3089" s="6">
        <v>56.07</v>
      </c>
      <c r="Y3089">
        <f>73.08-X3089</f>
        <v>17.009999999999998</v>
      </c>
      <c r="Z3089" s="6"/>
      <c r="AA3089" s="6"/>
    </row>
    <row r="3090" spans="1:27" x14ac:dyDescent="0.2">
      <c r="A3090" t="s">
        <v>635</v>
      </c>
      <c r="B3090">
        <v>2013</v>
      </c>
      <c r="C3090" t="s">
        <v>807</v>
      </c>
      <c r="D3090" t="s">
        <v>808</v>
      </c>
      <c r="E3090" t="s">
        <v>205</v>
      </c>
      <c r="F3090" t="s">
        <v>774</v>
      </c>
      <c r="G3090">
        <v>78.916666669999998</v>
      </c>
      <c r="H3090">
        <v>11.93333333</v>
      </c>
      <c r="I3090" s="26" t="s">
        <v>781</v>
      </c>
      <c r="J3090" s="2" t="s">
        <v>14</v>
      </c>
      <c r="K3090" t="s">
        <v>203</v>
      </c>
      <c r="L3090" t="s">
        <v>300</v>
      </c>
      <c r="M3090" t="s">
        <v>727</v>
      </c>
      <c r="N3090" t="s">
        <v>85</v>
      </c>
      <c r="O3090" s="6" t="s">
        <v>71</v>
      </c>
      <c r="P3090" t="s">
        <v>70</v>
      </c>
      <c r="Q3090">
        <f t="shared" si="56"/>
        <v>0.66666666666666663</v>
      </c>
      <c r="R3090" t="s">
        <v>213</v>
      </c>
      <c r="S3090" s="2" t="s">
        <v>13</v>
      </c>
      <c r="T3090">
        <v>4</v>
      </c>
      <c r="U3090" t="s">
        <v>28</v>
      </c>
      <c r="V3090" t="s">
        <v>28</v>
      </c>
      <c r="W3090">
        <v>7</v>
      </c>
      <c r="X3090" s="6">
        <v>57.09</v>
      </c>
      <c r="Y3090">
        <f>76.72-X3090</f>
        <v>19.629999999999995</v>
      </c>
      <c r="Z3090" s="6"/>
      <c r="AA3090" s="6"/>
    </row>
    <row r="3091" spans="1:27" x14ac:dyDescent="0.2">
      <c r="A3091" t="s">
        <v>635</v>
      </c>
      <c r="B3091">
        <v>2013</v>
      </c>
      <c r="C3091" t="s">
        <v>807</v>
      </c>
      <c r="D3091" t="s">
        <v>808</v>
      </c>
      <c r="E3091" t="s">
        <v>205</v>
      </c>
      <c r="F3091" t="s">
        <v>774</v>
      </c>
      <c r="G3091">
        <v>78.916666669999998</v>
      </c>
      <c r="H3091">
        <v>11.93333333</v>
      </c>
      <c r="I3091" t="s">
        <v>766</v>
      </c>
      <c r="J3091" s="2" t="s">
        <v>7</v>
      </c>
      <c r="K3091" t="s">
        <v>203</v>
      </c>
      <c r="L3091" t="s">
        <v>300</v>
      </c>
      <c r="M3091" t="s">
        <v>727</v>
      </c>
      <c r="N3091" t="s">
        <v>85</v>
      </c>
      <c r="O3091" s="6" t="s">
        <v>71</v>
      </c>
      <c r="P3091" t="s">
        <v>70</v>
      </c>
      <c r="Q3091">
        <f t="shared" si="56"/>
        <v>0.66666666666666663</v>
      </c>
      <c r="R3091" t="s">
        <v>213</v>
      </c>
      <c r="S3091" s="2" t="s">
        <v>7</v>
      </c>
      <c r="T3091">
        <v>4</v>
      </c>
      <c r="U3091" t="s">
        <v>28</v>
      </c>
      <c r="V3091" t="s">
        <v>28</v>
      </c>
      <c r="W3091">
        <v>2</v>
      </c>
      <c r="X3091" s="6">
        <v>65.180000000000007</v>
      </c>
      <c r="Y3091">
        <f>71.66-X3091</f>
        <v>6.4799999999999898</v>
      </c>
      <c r="Z3091" s="6"/>
      <c r="AA3091" s="6"/>
    </row>
    <row r="3092" spans="1:27" x14ac:dyDescent="0.2">
      <c r="A3092" t="s">
        <v>635</v>
      </c>
      <c r="B3092">
        <v>2013</v>
      </c>
      <c r="C3092" t="s">
        <v>807</v>
      </c>
      <c r="D3092" t="s">
        <v>808</v>
      </c>
      <c r="E3092" t="s">
        <v>205</v>
      </c>
      <c r="F3092" t="s">
        <v>774</v>
      </c>
      <c r="G3092">
        <v>78.916666669999998</v>
      </c>
      <c r="H3092">
        <v>11.93333333</v>
      </c>
      <c r="I3092" t="s">
        <v>766</v>
      </c>
      <c r="J3092" s="2" t="s">
        <v>14</v>
      </c>
      <c r="K3092" t="s">
        <v>203</v>
      </c>
      <c r="L3092" t="s">
        <v>300</v>
      </c>
      <c r="M3092" t="s">
        <v>727</v>
      </c>
      <c r="N3092" t="s">
        <v>85</v>
      </c>
      <c r="O3092" s="6" t="s">
        <v>71</v>
      </c>
      <c r="P3092" t="s">
        <v>70</v>
      </c>
      <c r="Q3092">
        <f t="shared" si="56"/>
        <v>0.66666666666666663</v>
      </c>
      <c r="R3092" t="s">
        <v>213</v>
      </c>
      <c r="S3092" s="2" t="s">
        <v>9</v>
      </c>
      <c r="T3092">
        <v>4</v>
      </c>
      <c r="U3092" t="s">
        <v>28</v>
      </c>
      <c r="V3092" t="s">
        <v>28</v>
      </c>
      <c r="W3092">
        <v>7</v>
      </c>
      <c r="X3092" s="6">
        <v>71.05</v>
      </c>
      <c r="Y3092">
        <f>80.16-X3092</f>
        <v>9.11</v>
      </c>
      <c r="Z3092" s="6"/>
      <c r="AA3092" s="6"/>
    </row>
    <row r="3093" spans="1:27" x14ac:dyDescent="0.2">
      <c r="A3093" t="s">
        <v>635</v>
      </c>
      <c r="B3093">
        <v>2013</v>
      </c>
      <c r="C3093" t="s">
        <v>807</v>
      </c>
      <c r="D3093" t="s">
        <v>808</v>
      </c>
      <c r="E3093" t="s">
        <v>205</v>
      </c>
      <c r="F3093" t="s">
        <v>774</v>
      </c>
      <c r="G3093">
        <v>78.916666669999998</v>
      </c>
      <c r="H3093">
        <v>11.93333333</v>
      </c>
      <c r="I3093" t="s">
        <v>765</v>
      </c>
      <c r="J3093" s="2" t="s">
        <v>7</v>
      </c>
      <c r="K3093" t="s">
        <v>203</v>
      </c>
      <c r="L3093" t="s">
        <v>300</v>
      </c>
      <c r="M3093" t="s">
        <v>727</v>
      </c>
      <c r="N3093" t="s">
        <v>85</v>
      </c>
      <c r="O3093" s="6" t="s">
        <v>71</v>
      </c>
      <c r="P3093" t="s">
        <v>70</v>
      </c>
      <c r="Q3093">
        <f t="shared" si="56"/>
        <v>0.66666666666666663</v>
      </c>
      <c r="R3093" t="s">
        <v>213</v>
      </c>
      <c r="S3093" s="2" t="s">
        <v>7</v>
      </c>
      <c r="T3093">
        <v>4</v>
      </c>
      <c r="U3093" t="s">
        <v>28</v>
      </c>
      <c r="V3093" t="s">
        <v>28</v>
      </c>
      <c r="W3093">
        <v>2</v>
      </c>
      <c r="X3093" s="6">
        <v>8.3000000000000007</v>
      </c>
      <c r="Y3093">
        <f>17.21-X3093</f>
        <v>8.91</v>
      </c>
      <c r="Z3093" s="6"/>
      <c r="AA3093" s="6"/>
    </row>
    <row r="3094" spans="1:27" x14ac:dyDescent="0.2">
      <c r="A3094" t="s">
        <v>635</v>
      </c>
      <c r="B3094">
        <v>2013</v>
      </c>
      <c r="C3094" t="s">
        <v>807</v>
      </c>
      <c r="D3094" t="s">
        <v>808</v>
      </c>
      <c r="E3094" t="s">
        <v>205</v>
      </c>
      <c r="F3094" t="s">
        <v>774</v>
      </c>
      <c r="G3094">
        <v>78.916666669999998</v>
      </c>
      <c r="H3094">
        <v>11.93333333</v>
      </c>
      <c r="I3094" t="s">
        <v>765</v>
      </c>
      <c r="J3094" s="2" t="s">
        <v>14</v>
      </c>
      <c r="K3094" t="s">
        <v>203</v>
      </c>
      <c r="L3094" t="s">
        <v>300</v>
      </c>
      <c r="M3094" t="s">
        <v>727</v>
      </c>
      <c r="N3094" t="s">
        <v>85</v>
      </c>
      <c r="O3094" s="6" t="s">
        <v>71</v>
      </c>
      <c r="P3094" t="s">
        <v>70</v>
      </c>
      <c r="Q3094">
        <f t="shared" si="56"/>
        <v>0.66666666666666663</v>
      </c>
      <c r="R3094" t="s">
        <v>213</v>
      </c>
      <c r="S3094" s="2" t="s">
        <v>9</v>
      </c>
      <c r="T3094">
        <v>4</v>
      </c>
      <c r="U3094" t="s">
        <v>28</v>
      </c>
      <c r="V3094" t="s">
        <v>28</v>
      </c>
      <c r="W3094">
        <v>7</v>
      </c>
      <c r="X3094" s="6">
        <v>15.18</v>
      </c>
      <c r="Y3094">
        <f>28.34-X3094</f>
        <v>13.16</v>
      </c>
      <c r="Z3094" s="6"/>
      <c r="AA3094" s="6"/>
    </row>
    <row r="3095" spans="1:27" x14ac:dyDescent="0.2">
      <c r="A3095" t="s">
        <v>635</v>
      </c>
      <c r="B3095">
        <v>2013</v>
      </c>
      <c r="C3095" t="s">
        <v>816</v>
      </c>
      <c r="D3095" t="s">
        <v>817</v>
      </c>
      <c r="E3095" t="s">
        <v>31</v>
      </c>
      <c r="F3095" t="s">
        <v>531</v>
      </c>
      <c r="G3095">
        <v>79.650000000000006</v>
      </c>
      <c r="H3095">
        <v>11.95</v>
      </c>
      <c r="I3095" t="s">
        <v>764</v>
      </c>
      <c r="J3095" s="2" t="s">
        <v>7</v>
      </c>
      <c r="K3095" t="s">
        <v>203</v>
      </c>
      <c r="L3095" t="s">
        <v>300</v>
      </c>
      <c r="M3095" t="s">
        <v>727</v>
      </c>
      <c r="N3095" t="s">
        <v>85</v>
      </c>
      <c r="O3095" s="6" t="s">
        <v>71</v>
      </c>
      <c r="P3095" t="s">
        <v>70</v>
      </c>
      <c r="Q3095">
        <f t="shared" si="56"/>
        <v>0.66666666666666663</v>
      </c>
      <c r="R3095" t="s">
        <v>213</v>
      </c>
      <c r="S3095" s="2" t="s">
        <v>7</v>
      </c>
      <c r="T3095">
        <v>4</v>
      </c>
      <c r="U3095" t="s">
        <v>28</v>
      </c>
      <c r="V3095" t="s">
        <v>28</v>
      </c>
      <c r="W3095">
        <v>2</v>
      </c>
      <c r="X3095">
        <v>18.02</v>
      </c>
      <c r="Y3095">
        <f>27.13-X3095</f>
        <v>9.11</v>
      </c>
    </row>
    <row r="3096" spans="1:27" x14ac:dyDescent="0.2">
      <c r="A3096" t="s">
        <v>635</v>
      </c>
      <c r="B3096">
        <v>2013</v>
      </c>
      <c r="C3096" t="s">
        <v>816</v>
      </c>
      <c r="D3096" t="s">
        <v>817</v>
      </c>
      <c r="E3096" t="s">
        <v>31</v>
      </c>
      <c r="F3096" t="s">
        <v>531</v>
      </c>
      <c r="G3096">
        <v>79.650000000000006</v>
      </c>
      <c r="H3096">
        <v>11.95</v>
      </c>
      <c r="I3096" t="s">
        <v>764</v>
      </c>
      <c r="J3096" s="2" t="s">
        <v>14</v>
      </c>
      <c r="K3096" t="s">
        <v>203</v>
      </c>
      <c r="L3096" t="s">
        <v>300</v>
      </c>
      <c r="M3096" t="s">
        <v>727</v>
      </c>
      <c r="N3096" t="s">
        <v>85</v>
      </c>
      <c r="O3096" s="6" t="s">
        <v>71</v>
      </c>
      <c r="P3096" t="s">
        <v>70</v>
      </c>
      <c r="Q3096">
        <f t="shared" si="56"/>
        <v>0.66666666666666663</v>
      </c>
      <c r="R3096" t="s">
        <v>213</v>
      </c>
      <c r="S3096" s="2" t="s">
        <v>9</v>
      </c>
      <c r="T3096">
        <v>4</v>
      </c>
      <c r="U3096" t="s">
        <v>28</v>
      </c>
      <c r="V3096" t="s">
        <v>28</v>
      </c>
      <c r="W3096">
        <v>7</v>
      </c>
      <c r="X3096">
        <v>41.5</v>
      </c>
      <c r="Y3096">
        <f>58.5-X3096</f>
        <v>17</v>
      </c>
    </row>
    <row r="3097" spans="1:27" x14ac:dyDescent="0.2">
      <c r="A3097" t="s">
        <v>635</v>
      </c>
      <c r="B3097">
        <v>2013</v>
      </c>
      <c r="C3097" t="s">
        <v>816</v>
      </c>
      <c r="D3097" t="s">
        <v>817</v>
      </c>
      <c r="E3097" t="s">
        <v>31</v>
      </c>
      <c r="F3097" t="s">
        <v>531</v>
      </c>
      <c r="G3097">
        <v>79.650000000000006</v>
      </c>
      <c r="H3097">
        <v>11.95</v>
      </c>
      <c r="I3097" t="s">
        <v>766</v>
      </c>
      <c r="J3097" s="2" t="s">
        <v>7</v>
      </c>
      <c r="K3097" t="s">
        <v>203</v>
      </c>
      <c r="L3097" t="s">
        <v>300</v>
      </c>
      <c r="M3097" t="s">
        <v>727</v>
      </c>
      <c r="N3097" t="s">
        <v>85</v>
      </c>
      <c r="O3097" s="6" t="s">
        <v>71</v>
      </c>
      <c r="P3097" t="s">
        <v>70</v>
      </c>
      <c r="Q3097">
        <f t="shared" si="56"/>
        <v>0.66666666666666663</v>
      </c>
      <c r="R3097" t="s">
        <v>213</v>
      </c>
      <c r="S3097" s="2" t="s">
        <v>7</v>
      </c>
      <c r="T3097">
        <v>4</v>
      </c>
      <c r="U3097" t="s">
        <v>28</v>
      </c>
      <c r="V3097" t="s">
        <v>28</v>
      </c>
      <c r="W3097">
        <v>2</v>
      </c>
      <c r="X3097">
        <v>36.64</v>
      </c>
      <c r="Y3097">
        <f>51.42-X3097</f>
        <v>14.780000000000001</v>
      </c>
    </row>
    <row r="3098" spans="1:27" x14ac:dyDescent="0.2">
      <c r="A3098" t="s">
        <v>635</v>
      </c>
      <c r="B3098">
        <v>2013</v>
      </c>
      <c r="C3098" t="s">
        <v>816</v>
      </c>
      <c r="D3098" t="s">
        <v>817</v>
      </c>
      <c r="E3098" t="s">
        <v>31</v>
      </c>
      <c r="F3098" t="s">
        <v>531</v>
      </c>
      <c r="G3098">
        <v>79.650000000000006</v>
      </c>
      <c r="H3098">
        <v>11.95</v>
      </c>
      <c r="I3098" t="s">
        <v>766</v>
      </c>
      <c r="J3098" s="2" t="s">
        <v>14</v>
      </c>
      <c r="K3098" t="s">
        <v>203</v>
      </c>
      <c r="L3098" t="s">
        <v>300</v>
      </c>
      <c r="M3098" t="s">
        <v>727</v>
      </c>
      <c r="N3098" t="s">
        <v>85</v>
      </c>
      <c r="O3098" s="6" t="s">
        <v>71</v>
      </c>
      <c r="P3098" t="s">
        <v>70</v>
      </c>
      <c r="Q3098">
        <f t="shared" si="56"/>
        <v>0.66666666666666663</v>
      </c>
      <c r="R3098" t="s">
        <v>213</v>
      </c>
      <c r="S3098" s="2" t="s">
        <v>9</v>
      </c>
      <c r="T3098">
        <v>4</v>
      </c>
      <c r="U3098" t="s">
        <v>28</v>
      </c>
      <c r="V3098" t="s">
        <v>28</v>
      </c>
      <c r="W3098">
        <v>7</v>
      </c>
      <c r="X3098">
        <v>52.83</v>
      </c>
      <c r="Y3098">
        <f>71.86-X3098</f>
        <v>19.03</v>
      </c>
    </row>
    <row r="3099" spans="1:27" x14ac:dyDescent="0.2">
      <c r="A3099" t="s">
        <v>635</v>
      </c>
      <c r="B3099">
        <v>2013</v>
      </c>
      <c r="C3099" t="s">
        <v>816</v>
      </c>
      <c r="D3099" t="s">
        <v>817</v>
      </c>
      <c r="E3099" t="s">
        <v>31</v>
      </c>
      <c r="F3099" t="s">
        <v>531</v>
      </c>
      <c r="G3099">
        <v>79.650000000000006</v>
      </c>
      <c r="H3099">
        <v>11.95</v>
      </c>
      <c r="I3099" t="s">
        <v>765</v>
      </c>
      <c r="J3099" s="2" t="s">
        <v>7</v>
      </c>
      <c r="K3099" t="s">
        <v>203</v>
      </c>
      <c r="L3099" t="s">
        <v>300</v>
      </c>
      <c r="M3099" t="s">
        <v>727</v>
      </c>
      <c r="N3099" t="s">
        <v>85</v>
      </c>
      <c r="O3099" s="6" t="s">
        <v>71</v>
      </c>
      <c r="P3099" t="s">
        <v>70</v>
      </c>
      <c r="Q3099">
        <f t="shared" si="56"/>
        <v>0.66666666666666663</v>
      </c>
      <c r="R3099" t="s">
        <v>213</v>
      </c>
      <c r="S3099" s="2" t="s">
        <v>7</v>
      </c>
      <c r="T3099">
        <v>4</v>
      </c>
      <c r="U3099" t="s">
        <v>28</v>
      </c>
      <c r="V3099" t="s">
        <v>28</v>
      </c>
      <c r="W3099">
        <v>2</v>
      </c>
      <c r="X3099">
        <v>21.05</v>
      </c>
      <c r="Y3099">
        <f>34.21-X3099</f>
        <v>13.16</v>
      </c>
      <c r="AA3099" s="6"/>
    </row>
    <row r="3100" spans="1:27" x14ac:dyDescent="0.2">
      <c r="A3100" t="s">
        <v>635</v>
      </c>
      <c r="B3100">
        <v>2013</v>
      </c>
      <c r="C3100" t="s">
        <v>816</v>
      </c>
      <c r="D3100" t="s">
        <v>817</v>
      </c>
      <c r="E3100" t="s">
        <v>31</v>
      </c>
      <c r="F3100" t="s">
        <v>531</v>
      </c>
      <c r="G3100">
        <v>79.650000000000006</v>
      </c>
      <c r="H3100">
        <v>11.95</v>
      </c>
      <c r="I3100" t="s">
        <v>765</v>
      </c>
      <c r="J3100" s="2" t="s">
        <v>14</v>
      </c>
      <c r="K3100" t="s">
        <v>203</v>
      </c>
      <c r="L3100" t="s">
        <v>300</v>
      </c>
      <c r="M3100" t="s">
        <v>727</v>
      </c>
      <c r="N3100" t="s">
        <v>85</v>
      </c>
      <c r="O3100" s="6" t="s">
        <v>71</v>
      </c>
      <c r="P3100" t="s">
        <v>70</v>
      </c>
      <c r="Q3100">
        <f t="shared" si="56"/>
        <v>0.66666666666666663</v>
      </c>
      <c r="R3100" t="s">
        <v>213</v>
      </c>
      <c r="S3100" s="2" t="s">
        <v>9</v>
      </c>
      <c r="T3100">
        <v>4</v>
      </c>
      <c r="U3100" t="s">
        <v>28</v>
      </c>
      <c r="V3100" t="s">
        <v>28</v>
      </c>
      <c r="W3100">
        <v>7</v>
      </c>
      <c r="X3100">
        <v>29.55</v>
      </c>
      <c r="Y3100">
        <f>45.34-X3100</f>
        <v>15.790000000000003</v>
      </c>
      <c r="AA3100" s="6"/>
    </row>
    <row r="3101" spans="1:27" x14ac:dyDescent="0.2">
      <c r="A3101" t="s">
        <v>399</v>
      </c>
      <c r="B3101">
        <v>2013</v>
      </c>
      <c r="C3101" t="s">
        <v>811</v>
      </c>
      <c r="D3101" t="s">
        <v>818</v>
      </c>
      <c r="E3101" t="s">
        <v>167</v>
      </c>
      <c r="F3101" t="s">
        <v>400</v>
      </c>
      <c r="G3101">
        <v>-39.85</v>
      </c>
      <c r="H3101">
        <v>-73.383333329999999</v>
      </c>
      <c r="I3101" t="s">
        <v>769</v>
      </c>
      <c r="J3101" s="2" t="s">
        <v>7</v>
      </c>
      <c r="K3101" t="s">
        <v>95</v>
      </c>
      <c r="L3101" t="s">
        <v>143</v>
      </c>
      <c r="M3101" t="s">
        <v>726</v>
      </c>
      <c r="N3101" t="s">
        <v>85</v>
      </c>
      <c r="O3101" s="6" t="s">
        <v>84</v>
      </c>
      <c r="Q3101">
        <f>2/24</f>
        <v>8.3333333333333329E-2</v>
      </c>
      <c r="R3101" t="s">
        <v>214</v>
      </c>
      <c r="S3101" s="2" t="s">
        <v>7</v>
      </c>
      <c r="T3101">
        <v>10</v>
      </c>
      <c r="U3101" t="s">
        <v>28</v>
      </c>
      <c r="V3101" t="s">
        <v>28</v>
      </c>
      <c r="W3101">
        <v>15</v>
      </c>
      <c r="X3101">
        <v>0.78310000000000002</v>
      </c>
      <c r="Y3101" s="6">
        <f t="shared" ref="Y3101:Y3132" si="57">Z3101*SQRT(T3101)</f>
        <v>3.2571459899734236E-2</v>
      </c>
      <c r="Z3101">
        <f>0.7934-X3101</f>
        <v>1.0299999999999976E-2</v>
      </c>
      <c r="AA3101" s="6"/>
    </row>
    <row r="3102" spans="1:27" x14ac:dyDescent="0.2">
      <c r="A3102" t="s">
        <v>399</v>
      </c>
      <c r="B3102">
        <v>2013</v>
      </c>
      <c r="C3102" t="s">
        <v>811</v>
      </c>
      <c r="D3102" t="s">
        <v>818</v>
      </c>
      <c r="E3102" t="s">
        <v>167</v>
      </c>
      <c r="F3102" t="s">
        <v>400</v>
      </c>
      <c r="G3102">
        <v>-39.85</v>
      </c>
      <c r="H3102">
        <v>-73.383333329999999</v>
      </c>
      <c r="I3102" t="s">
        <v>769</v>
      </c>
      <c r="J3102" s="2" t="s">
        <v>7</v>
      </c>
      <c r="K3102" t="s">
        <v>95</v>
      </c>
      <c r="L3102" t="s">
        <v>143</v>
      </c>
      <c r="M3102" t="s">
        <v>726</v>
      </c>
      <c r="N3102" t="s">
        <v>85</v>
      </c>
      <c r="O3102" s="6" t="s">
        <v>84</v>
      </c>
      <c r="Q3102">
        <f>4/24</f>
        <v>0.16666666666666666</v>
      </c>
      <c r="R3102" t="s">
        <v>214</v>
      </c>
      <c r="S3102" s="2" t="s">
        <v>7</v>
      </c>
      <c r="T3102">
        <v>10</v>
      </c>
      <c r="U3102" t="s">
        <v>28</v>
      </c>
      <c r="V3102" t="s">
        <v>28</v>
      </c>
      <c r="W3102">
        <v>15</v>
      </c>
      <c r="X3102">
        <v>0.7944</v>
      </c>
      <c r="Y3102" s="6">
        <f t="shared" si="57"/>
        <v>4.7434164902525736E-2</v>
      </c>
      <c r="Z3102">
        <f>0.8094-X3102</f>
        <v>1.5000000000000013E-2</v>
      </c>
      <c r="AA3102" s="6"/>
    </row>
    <row r="3103" spans="1:27" x14ac:dyDescent="0.2">
      <c r="A3103" t="s">
        <v>399</v>
      </c>
      <c r="B3103">
        <v>2013</v>
      </c>
      <c r="C3103" t="s">
        <v>811</v>
      </c>
      <c r="D3103" t="s">
        <v>818</v>
      </c>
      <c r="E3103" t="s">
        <v>167</v>
      </c>
      <c r="F3103" t="s">
        <v>400</v>
      </c>
      <c r="G3103">
        <v>-39.85</v>
      </c>
      <c r="H3103">
        <v>-73.383333329999999</v>
      </c>
      <c r="I3103" t="s">
        <v>769</v>
      </c>
      <c r="J3103" s="2" t="s">
        <v>7</v>
      </c>
      <c r="K3103" t="s">
        <v>95</v>
      </c>
      <c r="L3103" t="s">
        <v>143</v>
      </c>
      <c r="M3103" t="s">
        <v>726</v>
      </c>
      <c r="N3103" t="s">
        <v>85</v>
      </c>
      <c r="O3103" s="6" t="s">
        <v>84</v>
      </c>
      <c r="Q3103">
        <f>6/24</f>
        <v>0.25</v>
      </c>
      <c r="R3103" t="s">
        <v>214</v>
      </c>
      <c r="S3103" s="2" t="s">
        <v>7</v>
      </c>
      <c r="T3103">
        <v>10</v>
      </c>
      <c r="U3103" t="s">
        <v>28</v>
      </c>
      <c r="V3103" t="s">
        <v>28</v>
      </c>
      <c r="W3103">
        <v>15</v>
      </c>
      <c r="X3103">
        <v>0.76629999999999998</v>
      </c>
      <c r="Y3103" s="6">
        <f t="shared" si="57"/>
        <v>4.1425837348205777E-2</v>
      </c>
      <c r="Z3103">
        <f>0.7794-X3103</f>
        <v>1.3100000000000001E-2</v>
      </c>
      <c r="AA3103" s="6"/>
    </row>
    <row r="3104" spans="1:27" x14ac:dyDescent="0.2">
      <c r="A3104" t="s">
        <v>399</v>
      </c>
      <c r="B3104">
        <v>2013</v>
      </c>
      <c r="C3104" t="s">
        <v>811</v>
      </c>
      <c r="D3104" t="s">
        <v>818</v>
      </c>
      <c r="E3104" t="s">
        <v>167</v>
      </c>
      <c r="F3104" t="s">
        <v>400</v>
      </c>
      <c r="G3104">
        <v>-39.85</v>
      </c>
      <c r="H3104">
        <v>-73.383333329999999</v>
      </c>
      <c r="I3104" t="s">
        <v>769</v>
      </c>
      <c r="J3104" s="2" t="s">
        <v>7</v>
      </c>
      <c r="K3104" t="s">
        <v>95</v>
      </c>
      <c r="L3104" t="s">
        <v>143</v>
      </c>
      <c r="M3104" t="s">
        <v>726</v>
      </c>
      <c r="N3104" t="s">
        <v>85</v>
      </c>
      <c r="O3104" s="6" t="s">
        <v>84</v>
      </c>
      <c r="Q3104">
        <f>12/24</f>
        <v>0.5</v>
      </c>
      <c r="R3104" t="s">
        <v>214</v>
      </c>
      <c r="S3104" s="2" t="s">
        <v>7</v>
      </c>
      <c r="T3104">
        <v>10</v>
      </c>
      <c r="U3104" t="s">
        <v>28</v>
      </c>
      <c r="V3104" t="s">
        <v>28</v>
      </c>
      <c r="W3104">
        <v>15</v>
      </c>
      <c r="X3104">
        <v>0.76349999999999996</v>
      </c>
      <c r="Y3104" s="6">
        <f t="shared" si="57"/>
        <v>5.0280214796677311E-2</v>
      </c>
      <c r="Z3104">
        <f>0.7794-X3104</f>
        <v>1.5900000000000025E-2</v>
      </c>
      <c r="AA3104" s="6"/>
    </row>
    <row r="3105" spans="1:28" x14ac:dyDescent="0.2">
      <c r="A3105" t="s">
        <v>399</v>
      </c>
      <c r="B3105">
        <v>2013</v>
      </c>
      <c r="C3105" t="s">
        <v>811</v>
      </c>
      <c r="D3105" t="s">
        <v>818</v>
      </c>
      <c r="E3105" t="s">
        <v>167</v>
      </c>
      <c r="F3105" t="s">
        <v>400</v>
      </c>
      <c r="G3105">
        <v>-39.85</v>
      </c>
      <c r="H3105">
        <v>-73.383333329999999</v>
      </c>
      <c r="I3105" t="s">
        <v>769</v>
      </c>
      <c r="J3105" s="2" t="s">
        <v>7</v>
      </c>
      <c r="K3105" t="s">
        <v>95</v>
      </c>
      <c r="L3105" t="s">
        <v>143</v>
      </c>
      <c r="M3105" t="s">
        <v>726</v>
      </c>
      <c r="N3105" t="s">
        <v>85</v>
      </c>
      <c r="O3105" s="6" t="s">
        <v>84</v>
      </c>
      <c r="Q3105">
        <v>1</v>
      </c>
      <c r="R3105" t="s">
        <v>214</v>
      </c>
      <c r="S3105" s="2" t="s">
        <v>7</v>
      </c>
      <c r="T3105">
        <v>10</v>
      </c>
      <c r="U3105" t="s">
        <v>28</v>
      </c>
      <c r="V3105" t="s">
        <v>28</v>
      </c>
      <c r="W3105">
        <v>15</v>
      </c>
      <c r="X3105">
        <v>0.73909999999999998</v>
      </c>
      <c r="Y3105" s="6">
        <f t="shared" si="57"/>
        <v>5.0280214796677311E-2</v>
      </c>
      <c r="Z3105">
        <f>0.755-X3105</f>
        <v>1.5900000000000025E-2</v>
      </c>
      <c r="AA3105" s="6"/>
    </row>
    <row r="3106" spans="1:28" x14ac:dyDescent="0.2">
      <c r="A3106" t="s">
        <v>399</v>
      </c>
      <c r="B3106">
        <v>2013</v>
      </c>
      <c r="C3106" t="s">
        <v>811</v>
      </c>
      <c r="D3106" t="s">
        <v>818</v>
      </c>
      <c r="E3106" t="s">
        <v>167</v>
      </c>
      <c r="F3106" t="s">
        <v>400</v>
      </c>
      <c r="G3106">
        <v>-39.85</v>
      </c>
      <c r="H3106">
        <v>-73.383333329999999</v>
      </c>
      <c r="I3106" t="s">
        <v>769</v>
      </c>
      <c r="J3106" s="2" t="s">
        <v>7</v>
      </c>
      <c r="K3106" t="s">
        <v>95</v>
      </c>
      <c r="L3106" t="s">
        <v>143</v>
      </c>
      <c r="M3106" t="s">
        <v>726</v>
      </c>
      <c r="N3106" t="s">
        <v>85</v>
      </c>
      <c r="O3106" s="6" t="s">
        <v>84</v>
      </c>
      <c r="Q3106">
        <v>2</v>
      </c>
      <c r="R3106" t="s">
        <v>214</v>
      </c>
      <c r="S3106" s="2" t="s">
        <v>7</v>
      </c>
      <c r="T3106">
        <v>10</v>
      </c>
      <c r="U3106" t="s">
        <v>28</v>
      </c>
      <c r="V3106" t="s">
        <v>28</v>
      </c>
      <c r="W3106">
        <v>15</v>
      </c>
      <c r="X3106">
        <v>0.71850000000000003</v>
      </c>
      <c r="Y3106" s="6">
        <f t="shared" si="57"/>
        <v>5.6288542350996923E-2</v>
      </c>
      <c r="Z3106">
        <f>0.7363-X3106</f>
        <v>1.7799999999999927E-2</v>
      </c>
      <c r="AA3106" s="6"/>
    </row>
    <row r="3107" spans="1:28" x14ac:dyDescent="0.2">
      <c r="A3107" t="s">
        <v>399</v>
      </c>
      <c r="B3107">
        <v>2013</v>
      </c>
      <c r="C3107" t="s">
        <v>811</v>
      </c>
      <c r="D3107" t="s">
        <v>818</v>
      </c>
      <c r="E3107" t="s">
        <v>167</v>
      </c>
      <c r="F3107" t="s">
        <v>400</v>
      </c>
      <c r="G3107">
        <v>-39.85</v>
      </c>
      <c r="H3107">
        <v>-73.383333329999999</v>
      </c>
      <c r="I3107" t="s">
        <v>769</v>
      </c>
      <c r="J3107" s="2" t="s">
        <v>7</v>
      </c>
      <c r="K3107" t="s">
        <v>95</v>
      </c>
      <c r="L3107" t="s">
        <v>143</v>
      </c>
      <c r="M3107" t="s">
        <v>726</v>
      </c>
      <c r="N3107" t="s">
        <v>85</v>
      </c>
      <c r="O3107" s="6" t="s">
        <v>84</v>
      </c>
      <c r="Q3107">
        <v>3</v>
      </c>
      <c r="R3107" t="s">
        <v>213</v>
      </c>
      <c r="S3107" s="2" t="s">
        <v>7</v>
      </c>
      <c r="T3107">
        <v>10</v>
      </c>
      <c r="U3107" t="s">
        <v>28</v>
      </c>
      <c r="V3107" t="s">
        <v>28</v>
      </c>
      <c r="W3107">
        <v>15</v>
      </c>
      <c r="X3107">
        <v>0.71660000000000001</v>
      </c>
      <c r="Y3107" s="6">
        <f t="shared" si="57"/>
        <v>6.8305197459636854E-2</v>
      </c>
      <c r="Z3107">
        <f>0.7382-X3107</f>
        <v>2.1599999999999953E-2</v>
      </c>
      <c r="AA3107" s="6"/>
      <c r="AB3107" s="6"/>
    </row>
    <row r="3108" spans="1:28" x14ac:dyDescent="0.2">
      <c r="A3108" t="s">
        <v>399</v>
      </c>
      <c r="B3108">
        <v>2013</v>
      </c>
      <c r="C3108" t="s">
        <v>811</v>
      </c>
      <c r="D3108" t="s">
        <v>818</v>
      </c>
      <c r="E3108" t="s">
        <v>167</v>
      </c>
      <c r="F3108" t="s">
        <v>400</v>
      </c>
      <c r="G3108">
        <v>-39.85</v>
      </c>
      <c r="H3108">
        <v>-73.383333329999999</v>
      </c>
      <c r="I3108" t="s">
        <v>769</v>
      </c>
      <c r="J3108" s="2" t="s">
        <v>14</v>
      </c>
      <c r="K3108" t="s">
        <v>95</v>
      </c>
      <c r="L3108" t="s">
        <v>143</v>
      </c>
      <c r="M3108" t="s">
        <v>726</v>
      </c>
      <c r="N3108" t="s">
        <v>85</v>
      </c>
      <c r="O3108" s="6" t="s">
        <v>84</v>
      </c>
      <c r="Q3108">
        <f>2/24</f>
        <v>8.3333333333333329E-2</v>
      </c>
      <c r="R3108" t="s">
        <v>214</v>
      </c>
      <c r="S3108" s="2" t="s">
        <v>9</v>
      </c>
      <c r="T3108">
        <v>10</v>
      </c>
      <c r="U3108" t="s">
        <v>28</v>
      </c>
      <c r="V3108" t="s">
        <v>28</v>
      </c>
      <c r="W3108">
        <v>20</v>
      </c>
      <c r="X3108">
        <v>0.73909999999999998</v>
      </c>
      <c r="Y3108" s="6">
        <f t="shared" si="57"/>
        <v>5.6288542350996923E-2</v>
      </c>
      <c r="Z3108">
        <f>X3108-0.7213</f>
        <v>1.7799999999999927E-2</v>
      </c>
      <c r="AA3108" s="6"/>
      <c r="AB3108" s="6"/>
    </row>
    <row r="3109" spans="1:28" x14ac:dyDescent="0.2">
      <c r="A3109" t="s">
        <v>399</v>
      </c>
      <c r="B3109">
        <v>2013</v>
      </c>
      <c r="C3109" t="s">
        <v>811</v>
      </c>
      <c r="D3109" t="s">
        <v>818</v>
      </c>
      <c r="E3109" t="s">
        <v>167</v>
      </c>
      <c r="F3109" t="s">
        <v>400</v>
      </c>
      <c r="G3109">
        <v>-39.85</v>
      </c>
      <c r="H3109">
        <v>-73.383333329999999</v>
      </c>
      <c r="I3109" t="s">
        <v>769</v>
      </c>
      <c r="J3109" s="2" t="s">
        <v>14</v>
      </c>
      <c r="K3109" t="s">
        <v>95</v>
      </c>
      <c r="L3109" t="s">
        <v>143</v>
      </c>
      <c r="M3109" t="s">
        <v>726</v>
      </c>
      <c r="N3109" t="s">
        <v>85</v>
      </c>
      <c r="O3109" s="6" t="s">
        <v>84</v>
      </c>
      <c r="Q3109">
        <f>4/24</f>
        <v>0.16666666666666666</v>
      </c>
      <c r="R3109" t="s">
        <v>214</v>
      </c>
      <c r="S3109" s="2" t="s">
        <v>9</v>
      </c>
      <c r="T3109">
        <v>10</v>
      </c>
      <c r="U3109" t="s">
        <v>28</v>
      </c>
      <c r="V3109" t="s">
        <v>28</v>
      </c>
      <c r="W3109">
        <v>20</v>
      </c>
      <c r="X3109">
        <v>0.74099999999999999</v>
      </c>
      <c r="Y3109" s="6">
        <f t="shared" si="57"/>
        <v>5.6288542350997277E-2</v>
      </c>
      <c r="Z3109">
        <f>X3109-0.7232</f>
        <v>1.7800000000000038E-2</v>
      </c>
      <c r="AA3109" s="6"/>
      <c r="AB3109" s="6"/>
    </row>
    <row r="3110" spans="1:28" x14ac:dyDescent="0.2">
      <c r="A3110" t="s">
        <v>399</v>
      </c>
      <c r="B3110">
        <v>2013</v>
      </c>
      <c r="C3110" t="s">
        <v>811</v>
      </c>
      <c r="D3110" t="s">
        <v>818</v>
      </c>
      <c r="E3110" t="s">
        <v>167</v>
      </c>
      <c r="F3110" t="s">
        <v>400</v>
      </c>
      <c r="G3110">
        <v>-39.85</v>
      </c>
      <c r="H3110">
        <v>-73.383333329999999</v>
      </c>
      <c r="I3110" t="s">
        <v>769</v>
      </c>
      <c r="J3110" s="2" t="s">
        <v>14</v>
      </c>
      <c r="K3110" t="s">
        <v>95</v>
      </c>
      <c r="L3110" t="s">
        <v>143</v>
      </c>
      <c r="M3110" t="s">
        <v>726</v>
      </c>
      <c r="N3110" t="s">
        <v>85</v>
      </c>
      <c r="O3110" s="6" t="s">
        <v>84</v>
      </c>
      <c r="Q3110">
        <f>6/24</f>
        <v>0.25</v>
      </c>
      <c r="R3110" t="s">
        <v>214</v>
      </c>
      <c r="S3110" s="2" t="s">
        <v>9</v>
      </c>
      <c r="T3110">
        <v>10</v>
      </c>
      <c r="U3110" t="s">
        <v>28</v>
      </c>
      <c r="V3110" t="s">
        <v>28</v>
      </c>
      <c r="W3110">
        <v>20</v>
      </c>
      <c r="X3110">
        <v>0.75039999999999996</v>
      </c>
      <c r="Y3110" s="6">
        <f t="shared" si="57"/>
        <v>5.6288542350996923E-2</v>
      </c>
      <c r="Z3110">
        <f>X3110-0.7326</f>
        <v>1.7799999999999927E-2</v>
      </c>
      <c r="AA3110" s="6"/>
      <c r="AB3110" s="6"/>
    </row>
    <row r="3111" spans="1:28" x14ac:dyDescent="0.2">
      <c r="A3111" t="s">
        <v>399</v>
      </c>
      <c r="B3111">
        <v>2013</v>
      </c>
      <c r="C3111" t="s">
        <v>811</v>
      </c>
      <c r="D3111" t="s">
        <v>818</v>
      </c>
      <c r="E3111" t="s">
        <v>167</v>
      </c>
      <c r="F3111" t="s">
        <v>400</v>
      </c>
      <c r="G3111">
        <v>-39.85</v>
      </c>
      <c r="H3111">
        <v>-73.383333329999999</v>
      </c>
      <c r="I3111" t="s">
        <v>769</v>
      </c>
      <c r="J3111" s="2" t="s">
        <v>14</v>
      </c>
      <c r="K3111" t="s">
        <v>95</v>
      </c>
      <c r="L3111" t="s">
        <v>143</v>
      </c>
      <c r="M3111" t="s">
        <v>726</v>
      </c>
      <c r="N3111" t="s">
        <v>85</v>
      </c>
      <c r="O3111" s="6" t="s">
        <v>84</v>
      </c>
      <c r="Q3111">
        <f>12/24</f>
        <v>0.5</v>
      </c>
      <c r="R3111" t="s">
        <v>214</v>
      </c>
      <c r="S3111" s="2" t="s">
        <v>9</v>
      </c>
      <c r="T3111">
        <v>10</v>
      </c>
      <c r="U3111" t="s">
        <v>28</v>
      </c>
      <c r="V3111" t="s">
        <v>28</v>
      </c>
      <c r="W3111">
        <v>20</v>
      </c>
      <c r="X3111">
        <v>0.73909999999999998</v>
      </c>
      <c r="Y3111" s="6">
        <f t="shared" si="57"/>
        <v>5.9134592245148505E-2</v>
      </c>
      <c r="Z3111">
        <f>X3111-0.7204</f>
        <v>1.8699999999999939E-2</v>
      </c>
      <c r="AA3111" s="6"/>
      <c r="AB3111" s="6"/>
    </row>
    <row r="3112" spans="1:28" x14ac:dyDescent="0.2">
      <c r="A3112" t="s">
        <v>399</v>
      </c>
      <c r="B3112">
        <v>2013</v>
      </c>
      <c r="C3112" t="s">
        <v>811</v>
      </c>
      <c r="D3112" t="s">
        <v>818</v>
      </c>
      <c r="E3112" t="s">
        <v>167</v>
      </c>
      <c r="F3112" t="s">
        <v>400</v>
      </c>
      <c r="G3112">
        <v>-39.85</v>
      </c>
      <c r="H3112">
        <v>-73.383333329999999</v>
      </c>
      <c r="I3112" t="s">
        <v>769</v>
      </c>
      <c r="J3112" s="2" t="s">
        <v>14</v>
      </c>
      <c r="K3112" t="s">
        <v>95</v>
      </c>
      <c r="L3112" t="s">
        <v>143</v>
      </c>
      <c r="M3112" t="s">
        <v>726</v>
      </c>
      <c r="N3112" t="s">
        <v>85</v>
      </c>
      <c r="O3112" s="6" t="s">
        <v>84</v>
      </c>
      <c r="Q3112">
        <v>1</v>
      </c>
      <c r="R3112" t="s">
        <v>214</v>
      </c>
      <c r="S3112" s="2" t="s">
        <v>9</v>
      </c>
      <c r="T3112">
        <v>10</v>
      </c>
      <c r="U3112" t="s">
        <v>28</v>
      </c>
      <c r="V3112" t="s">
        <v>28</v>
      </c>
      <c r="W3112">
        <v>20</v>
      </c>
      <c r="X3112">
        <v>0.72040000000000004</v>
      </c>
      <c r="Y3112" s="6">
        <f t="shared" si="57"/>
        <v>4.7434164902525736E-2</v>
      </c>
      <c r="Z3112">
        <f>X3112-0.7054</f>
        <v>1.5000000000000013E-2</v>
      </c>
      <c r="AA3112" s="6"/>
      <c r="AB3112" s="6"/>
    </row>
    <row r="3113" spans="1:28" x14ac:dyDescent="0.2">
      <c r="A3113" t="s">
        <v>399</v>
      </c>
      <c r="B3113">
        <v>2013</v>
      </c>
      <c r="C3113" t="s">
        <v>811</v>
      </c>
      <c r="D3113" t="s">
        <v>818</v>
      </c>
      <c r="E3113" t="s">
        <v>167</v>
      </c>
      <c r="F3113" t="s">
        <v>400</v>
      </c>
      <c r="G3113">
        <v>-39.85</v>
      </c>
      <c r="H3113">
        <v>-73.383333329999999</v>
      </c>
      <c r="I3113" t="s">
        <v>769</v>
      </c>
      <c r="J3113" s="2" t="s">
        <v>14</v>
      </c>
      <c r="K3113" t="s">
        <v>95</v>
      </c>
      <c r="L3113" t="s">
        <v>143</v>
      </c>
      <c r="M3113" t="s">
        <v>726</v>
      </c>
      <c r="N3113" t="s">
        <v>85</v>
      </c>
      <c r="O3113" s="6" t="s">
        <v>84</v>
      </c>
      <c r="Q3113">
        <v>2</v>
      </c>
      <c r="R3113" t="s">
        <v>214</v>
      </c>
      <c r="S3113" s="2" t="s">
        <v>9</v>
      </c>
      <c r="T3113">
        <v>10</v>
      </c>
      <c r="U3113" t="s">
        <v>28</v>
      </c>
      <c r="V3113" t="s">
        <v>28</v>
      </c>
      <c r="W3113">
        <v>20</v>
      </c>
      <c r="X3113">
        <v>0.66700000000000004</v>
      </c>
      <c r="Y3113" s="6">
        <f t="shared" si="57"/>
        <v>6.2296869905317236E-2</v>
      </c>
      <c r="Z3113">
        <f>X3113-0.6473</f>
        <v>1.9700000000000051E-2</v>
      </c>
      <c r="AA3113" s="6"/>
      <c r="AB3113" s="6"/>
    </row>
    <row r="3114" spans="1:28" x14ac:dyDescent="0.2">
      <c r="A3114" t="s">
        <v>399</v>
      </c>
      <c r="B3114">
        <v>2013</v>
      </c>
      <c r="C3114" t="s">
        <v>811</v>
      </c>
      <c r="D3114" t="s">
        <v>818</v>
      </c>
      <c r="E3114" t="s">
        <v>167</v>
      </c>
      <c r="F3114" t="s">
        <v>400</v>
      </c>
      <c r="G3114">
        <v>-39.85</v>
      </c>
      <c r="H3114">
        <v>-73.383333329999999</v>
      </c>
      <c r="I3114" t="s">
        <v>769</v>
      </c>
      <c r="J3114" s="2" t="s">
        <v>14</v>
      </c>
      <c r="K3114" t="s">
        <v>95</v>
      </c>
      <c r="L3114" t="s">
        <v>143</v>
      </c>
      <c r="M3114" t="s">
        <v>726</v>
      </c>
      <c r="N3114" t="s">
        <v>85</v>
      </c>
      <c r="O3114" s="6" t="s">
        <v>84</v>
      </c>
      <c r="Q3114">
        <v>3</v>
      </c>
      <c r="R3114" t="s">
        <v>213</v>
      </c>
      <c r="S3114" s="2" t="s">
        <v>9</v>
      </c>
      <c r="T3114">
        <v>10</v>
      </c>
      <c r="U3114" t="s">
        <v>28</v>
      </c>
      <c r="V3114" t="s">
        <v>28</v>
      </c>
      <c r="W3114">
        <v>20</v>
      </c>
      <c r="X3114">
        <v>0.69979999999999998</v>
      </c>
      <c r="Y3114" s="6">
        <f t="shared" si="57"/>
        <v>4.1425837348205777E-2</v>
      </c>
      <c r="Z3114">
        <f>X3114-0.6867</f>
        <v>1.3100000000000001E-2</v>
      </c>
      <c r="AA3114" s="6"/>
      <c r="AB3114" s="6"/>
    </row>
    <row r="3115" spans="1:28" x14ac:dyDescent="0.2">
      <c r="A3115" t="s">
        <v>399</v>
      </c>
      <c r="B3115">
        <v>2013</v>
      </c>
      <c r="C3115" t="s">
        <v>811</v>
      </c>
      <c r="D3115" t="s">
        <v>818</v>
      </c>
      <c r="E3115" t="s">
        <v>167</v>
      </c>
      <c r="F3115" t="s">
        <v>400</v>
      </c>
      <c r="G3115">
        <v>-39.85</v>
      </c>
      <c r="H3115">
        <v>-73.383333329999999</v>
      </c>
      <c r="I3115" t="s">
        <v>769</v>
      </c>
      <c r="J3115" s="2" t="s">
        <v>7</v>
      </c>
      <c r="K3115" t="s">
        <v>95</v>
      </c>
      <c r="L3115" t="s">
        <v>143</v>
      </c>
      <c r="M3115" t="s">
        <v>726</v>
      </c>
      <c r="N3115" t="s">
        <v>85</v>
      </c>
      <c r="O3115" s="6" t="s">
        <v>835</v>
      </c>
      <c r="P3115" t="s">
        <v>83</v>
      </c>
      <c r="Q3115">
        <v>1</v>
      </c>
      <c r="R3115" t="s">
        <v>214</v>
      </c>
      <c r="S3115" s="2" t="s">
        <v>7</v>
      </c>
      <c r="T3115">
        <v>3.5</v>
      </c>
      <c r="U3115" t="s">
        <v>28</v>
      </c>
      <c r="V3115" t="s">
        <v>28</v>
      </c>
      <c r="W3115">
        <v>15</v>
      </c>
      <c r="X3115">
        <v>30.98</v>
      </c>
      <c r="Y3115" s="6">
        <f t="shared" si="57"/>
        <v>3.3861999350304144</v>
      </c>
      <c r="Z3115">
        <f>32.79-X3115</f>
        <v>1.8099999999999987</v>
      </c>
      <c r="AA3115" s="6"/>
      <c r="AB3115" s="6"/>
    </row>
    <row r="3116" spans="1:28" x14ac:dyDescent="0.2">
      <c r="A3116" t="s">
        <v>399</v>
      </c>
      <c r="B3116">
        <v>2013</v>
      </c>
      <c r="C3116" t="s">
        <v>811</v>
      </c>
      <c r="D3116" t="s">
        <v>818</v>
      </c>
      <c r="E3116" t="s">
        <v>167</v>
      </c>
      <c r="F3116" t="s">
        <v>400</v>
      </c>
      <c r="G3116">
        <v>-39.85</v>
      </c>
      <c r="H3116">
        <v>-73.383333329999999</v>
      </c>
      <c r="I3116" t="s">
        <v>769</v>
      </c>
      <c r="J3116" s="2" t="s">
        <v>7</v>
      </c>
      <c r="K3116" t="s">
        <v>95</v>
      </c>
      <c r="L3116" t="s">
        <v>143</v>
      </c>
      <c r="M3116" t="s">
        <v>726</v>
      </c>
      <c r="N3116" t="s">
        <v>85</v>
      </c>
      <c r="O3116" s="6" t="s">
        <v>835</v>
      </c>
      <c r="P3116" t="s">
        <v>83</v>
      </c>
      <c r="Q3116">
        <v>2</v>
      </c>
      <c r="R3116" t="s">
        <v>214</v>
      </c>
      <c r="S3116" s="2" t="s">
        <v>7</v>
      </c>
      <c r="T3116">
        <v>3.5</v>
      </c>
      <c r="U3116" t="s">
        <v>28</v>
      </c>
      <c r="V3116" t="s">
        <v>28</v>
      </c>
      <c r="W3116">
        <v>15</v>
      </c>
      <c r="X3116">
        <v>37.06</v>
      </c>
      <c r="Y3116" s="6">
        <f t="shared" si="57"/>
        <v>3.8539071083771503</v>
      </c>
      <c r="Z3116">
        <f>39.12-X3116</f>
        <v>2.0599999999999952</v>
      </c>
      <c r="AA3116" s="6"/>
      <c r="AB3116" s="6"/>
    </row>
    <row r="3117" spans="1:28" x14ac:dyDescent="0.2">
      <c r="A3117" t="s">
        <v>399</v>
      </c>
      <c r="B3117">
        <v>2013</v>
      </c>
      <c r="C3117" t="s">
        <v>811</v>
      </c>
      <c r="D3117" t="s">
        <v>818</v>
      </c>
      <c r="E3117" t="s">
        <v>167</v>
      </c>
      <c r="F3117" t="s">
        <v>400</v>
      </c>
      <c r="G3117">
        <v>-39.85</v>
      </c>
      <c r="H3117">
        <v>-73.383333329999999</v>
      </c>
      <c r="I3117" t="s">
        <v>769</v>
      </c>
      <c r="J3117" s="2" t="s">
        <v>7</v>
      </c>
      <c r="K3117" t="s">
        <v>95</v>
      </c>
      <c r="L3117" t="s">
        <v>143</v>
      </c>
      <c r="M3117" t="s">
        <v>726</v>
      </c>
      <c r="N3117" t="s">
        <v>85</v>
      </c>
      <c r="O3117" s="6" t="s">
        <v>835</v>
      </c>
      <c r="P3117" t="s">
        <v>83</v>
      </c>
      <c r="Q3117">
        <v>3</v>
      </c>
      <c r="R3117" t="s">
        <v>213</v>
      </c>
      <c r="S3117" s="2" t="s">
        <v>7</v>
      </c>
      <c r="T3117">
        <v>3.5</v>
      </c>
      <c r="U3117" t="s">
        <v>28</v>
      </c>
      <c r="V3117" t="s">
        <v>28</v>
      </c>
      <c r="W3117">
        <v>15</v>
      </c>
      <c r="X3117">
        <v>30.88</v>
      </c>
      <c r="Y3117" s="6">
        <f t="shared" si="57"/>
        <v>3.1242839179562374</v>
      </c>
      <c r="Z3117">
        <f>32.55-X3117</f>
        <v>1.6699999999999982</v>
      </c>
      <c r="AA3117" s="6"/>
      <c r="AB3117" s="6"/>
    </row>
    <row r="3118" spans="1:28" x14ac:dyDescent="0.2">
      <c r="A3118" t="s">
        <v>399</v>
      </c>
      <c r="B3118">
        <v>2013</v>
      </c>
      <c r="C3118" t="s">
        <v>811</v>
      </c>
      <c r="D3118" t="s">
        <v>818</v>
      </c>
      <c r="E3118" t="s">
        <v>167</v>
      </c>
      <c r="F3118" t="s">
        <v>400</v>
      </c>
      <c r="G3118">
        <v>-39.85</v>
      </c>
      <c r="H3118">
        <v>-73.383333329999999</v>
      </c>
      <c r="I3118" t="s">
        <v>769</v>
      </c>
      <c r="J3118" s="2" t="s">
        <v>14</v>
      </c>
      <c r="K3118" t="s">
        <v>95</v>
      </c>
      <c r="L3118" t="s">
        <v>143</v>
      </c>
      <c r="M3118" t="s">
        <v>726</v>
      </c>
      <c r="N3118" t="s">
        <v>85</v>
      </c>
      <c r="O3118" s="6" t="s">
        <v>835</v>
      </c>
      <c r="P3118" t="s">
        <v>83</v>
      </c>
      <c r="Q3118">
        <v>1</v>
      </c>
      <c r="R3118" t="s">
        <v>214</v>
      </c>
      <c r="S3118" s="2" t="s">
        <v>9</v>
      </c>
      <c r="T3118">
        <v>3.5</v>
      </c>
      <c r="U3118" t="s">
        <v>28</v>
      </c>
      <c r="V3118" t="s">
        <v>28</v>
      </c>
      <c r="W3118">
        <v>20</v>
      </c>
      <c r="X3118">
        <v>23.77</v>
      </c>
      <c r="Y3118" s="6">
        <f t="shared" si="57"/>
        <v>1.9269535541885818</v>
      </c>
      <c r="Z3118">
        <f>24.8-X3118</f>
        <v>1.0300000000000011</v>
      </c>
      <c r="AA3118" s="6"/>
      <c r="AB3118" s="6"/>
    </row>
    <row r="3119" spans="1:28" x14ac:dyDescent="0.2">
      <c r="A3119" t="s">
        <v>399</v>
      </c>
      <c r="B3119">
        <v>2013</v>
      </c>
      <c r="C3119" t="s">
        <v>811</v>
      </c>
      <c r="D3119" t="s">
        <v>818</v>
      </c>
      <c r="E3119" t="s">
        <v>167</v>
      </c>
      <c r="F3119" t="s">
        <v>400</v>
      </c>
      <c r="G3119">
        <v>-39.85</v>
      </c>
      <c r="H3119">
        <v>-73.383333329999999</v>
      </c>
      <c r="I3119" t="s">
        <v>769</v>
      </c>
      <c r="J3119" s="2" t="s">
        <v>14</v>
      </c>
      <c r="K3119" t="s">
        <v>95</v>
      </c>
      <c r="L3119" t="s">
        <v>143</v>
      </c>
      <c r="M3119" t="s">
        <v>726</v>
      </c>
      <c r="N3119" t="s">
        <v>85</v>
      </c>
      <c r="O3119" s="6" t="s">
        <v>835</v>
      </c>
      <c r="P3119" t="s">
        <v>83</v>
      </c>
      <c r="Q3119">
        <v>2</v>
      </c>
      <c r="R3119" t="s">
        <v>214</v>
      </c>
      <c r="S3119" s="2" t="s">
        <v>9</v>
      </c>
      <c r="T3119">
        <v>3.5</v>
      </c>
      <c r="U3119" t="s">
        <v>28</v>
      </c>
      <c r="V3119" t="s">
        <v>28</v>
      </c>
      <c r="W3119">
        <v>20</v>
      </c>
      <c r="X3119">
        <v>19.260000000000002</v>
      </c>
      <c r="Y3119" s="6">
        <f t="shared" si="57"/>
        <v>1.7585789717837481</v>
      </c>
      <c r="Z3119">
        <f>20.2-X3119</f>
        <v>0.93999999999999773</v>
      </c>
      <c r="AA3119" s="6"/>
      <c r="AB3119" s="6"/>
    </row>
    <row r="3120" spans="1:28" x14ac:dyDescent="0.2">
      <c r="A3120" t="s">
        <v>399</v>
      </c>
      <c r="B3120">
        <v>2013</v>
      </c>
      <c r="C3120" t="s">
        <v>811</v>
      </c>
      <c r="D3120" t="s">
        <v>818</v>
      </c>
      <c r="E3120" t="s">
        <v>167</v>
      </c>
      <c r="F3120" t="s">
        <v>400</v>
      </c>
      <c r="G3120">
        <v>-39.85</v>
      </c>
      <c r="H3120">
        <v>-73.383333329999999</v>
      </c>
      <c r="I3120" t="s">
        <v>769</v>
      </c>
      <c r="J3120" s="2" t="s">
        <v>14</v>
      </c>
      <c r="K3120" t="s">
        <v>95</v>
      </c>
      <c r="L3120" t="s">
        <v>143</v>
      </c>
      <c r="M3120" t="s">
        <v>726</v>
      </c>
      <c r="N3120" t="s">
        <v>85</v>
      </c>
      <c r="O3120" s="6" t="s">
        <v>835</v>
      </c>
      <c r="P3120" t="s">
        <v>83</v>
      </c>
      <c r="Q3120">
        <v>3</v>
      </c>
      <c r="R3120" t="s">
        <v>213</v>
      </c>
      <c r="S3120" s="2" t="s">
        <v>9</v>
      </c>
      <c r="T3120">
        <v>3.5</v>
      </c>
      <c r="U3120" t="s">
        <v>28</v>
      </c>
      <c r="V3120" t="s">
        <v>28</v>
      </c>
      <c r="W3120">
        <v>20</v>
      </c>
      <c r="X3120">
        <v>23.58</v>
      </c>
      <c r="Y3120" s="6">
        <f t="shared" si="57"/>
        <v>2.5630353099401515</v>
      </c>
      <c r="Z3120">
        <f>24.95-X3120</f>
        <v>1.370000000000001</v>
      </c>
      <c r="AA3120" s="6"/>
      <c r="AB3120" s="6"/>
    </row>
    <row r="3121" spans="1:28" x14ac:dyDescent="0.2">
      <c r="A3121" t="s">
        <v>399</v>
      </c>
      <c r="B3121">
        <v>2013</v>
      </c>
      <c r="C3121" t="s">
        <v>811</v>
      </c>
      <c r="D3121" t="s">
        <v>818</v>
      </c>
      <c r="E3121" t="s">
        <v>167</v>
      </c>
      <c r="F3121" t="s">
        <v>400</v>
      </c>
      <c r="G3121">
        <v>-39.85</v>
      </c>
      <c r="H3121">
        <v>-73.383333329999999</v>
      </c>
      <c r="I3121" t="s">
        <v>769</v>
      </c>
      <c r="J3121" s="2" t="s">
        <v>7</v>
      </c>
      <c r="K3121" t="s">
        <v>95</v>
      </c>
      <c r="L3121" t="s">
        <v>143</v>
      </c>
      <c r="M3121" t="s">
        <v>637</v>
      </c>
      <c r="N3121" t="s">
        <v>86</v>
      </c>
      <c r="O3121" s="6" t="s">
        <v>401</v>
      </c>
      <c r="P3121" t="s">
        <v>402</v>
      </c>
      <c r="Q3121">
        <f>2/24</f>
        <v>8.3333333333333329E-2</v>
      </c>
      <c r="R3121" t="s">
        <v>214</v>
      </c>
      <c r="S3121" s="2" t="s">
        <v>7</v>
      </c>
      <c r="T3121">
        <v>6</v>
      </c>
      <c r="U3121" t="s">
        <v>28</v>
      </c>
      <c r="V3121" t="s">
        <v>28</v>
      </c>
      <c r="W3121">
        <v>15</v>
      </c>
      <c r="X3121">
        <v>41.95</v>
      </c>
      <c r="Y3121" s="6">
        <f t="shared" si="57"/>
        <v>2.7189336144893259</v>
      </c>
      <c r="Z3121">
        <f>43.06-X3121</f>
        <v>1.1099999999999994</v>
      </c>
      <c r="AA3121" s="6"/>
      <c r="AB3121" s="6"/>
    </row>
    <row r="3122" spans="1:28" x14ac:dyDescent="0.2">
      <c r="A3122" t="s">
        <v>399</v>
      </c>
      <c r="B3122">
        <v>2013</v>
      </c>
      <c r="C3122" t="s">
        <v>811</v>
      </c>
      <c r="D3122" t="s">
        <v>818</v>
      </c>
      <c r="E3122" t="s">
        <v>167</v>
      </c>
      <c r="F3122" t="s">
        <v>400</v>
      </c>
      <c r="G3122">
        <v>-39.85</v>
      </c>
      <c r="H3122">
        <v>-73.383333329999999</v>
      </c>
      <c r="I3122" t="s">
        <v>769</v>
      </c>
      <c r="J3122" s="2" t="s">
        <v>7</v>
      </c>
      <c r="K3122" t="s">
        <v>95</v>
      </c>
      <c r="L3122" t="s">
        <v>143</v>
      </c>
      <c r="M3122" t="s">
        <v>637</v>
      </c>
      <c r="N3122" t="s">
        <v>86</v>
      </c>
      <c r="O3122" s="6" t="s">
        <v>401</v>
      </c>
      <c r="P3122" t="s">
        <v>402</v>
      </c>
      <c r="Q3122">
        <f>4/24</f>
        <v>0.16666666666666666</v>
      </c>
      <c r="R3122" t="s">
        <v>214</v>
      </c>
      <c r="S3122" s="2" t="s">
        <v>7</v>
      </c>
      <c r="T3122">
        <v>6</v>
      </c>
      <c r="U3122" t="s">
        <v>28</v>
      </c>
      <c r="V3122" t="s">
        <v>28</v>
      </c>
      <c r="W3122">
        <v>15</v>
      </c>
      <c r="X3122">
        <v>48.58</v>
      </c>
      <c r="Y3122" s="6">
        <f t="shared" si="57"/>
        <v>2.1555509736492029</v>
      </c>
      <c r="Z3122">
        <f>49.46-X3122</f>
        <v>0.88000000000000256</v>
      </c>
      <c r="AA3122" s="6"/>
      <c r="AB3122" s="6"/>
    </row>
    <row r="3123" spans="1:28" x14ac:dyDescent="0.2">
      <c r="A3123" t="s">
        <v>399</v>
      </c>
      <c r="B3123">
        <v>2013</v>
      </c>
      <c r="C3123" t="s">
        <v>811</v>
      </c>
      <c r="D3123" t="s">
        <v>818</v>
      </c>
      <c r="E3123" t="s">
        <v>167</v>
      </c>
      <c r="F3123" t="s">
        <v>400</v>
      </c>
      <c r="G3123">
        <v>-39.85</v>
      </c>
      <c r="H3123">
        <v>-73.383333329999999</v>
      </c>
      <c r="I3123" t="s">
        <v>769</v>
      </c>
      <c r="J3123" s="2" t="s">
        <v>7</v>
      </c>
      <c r="K3123" t="s">
        <v>95</v>
      </c>
      <c r="L3123" t="s">
        <v>143</v>
      </c>
      <c r="M3123" t="s">
        <v>637</v>
      </c>
      <c r="N3123" t="s">
        <v>86</v>
      </c>
      <c r="O3123" s="6" t="s">
        <v>401</v>
      </c>
      <c r="P3123" t="s">
        <v>402</v>
      </c>
      <c r="Q3123">
        <f>6/24</f>
        <v>0.25</v>
      </c>
      <c r="R3123" t="s">
        <v>214</v>
      </c>
      <c r="S3123" s="2" t="s">
        <v>7</v>
      </c>
      <c r="T3123">
        <v>6</v>
      </c>
      <c r="U3123" t="s">
        <v>28</v>
      </c>
      <c r="V3123" t="s">
        <v>28</v>
      </c>
      <c r="W3123">
        <v>15</v>
      </c>
      <c r="X3123">
        <v>50.13</v>
      </c>
      <c r="Y3123" s="6">
        <f t="shared" si="57"/>
        <v>2.6944387170614816</v>
      </c>
      <c r="Z3123">
        <f>51.23-X3123</f>
        <v>1.0999999999999943</v>
      </c>
      <c r="AA3123" s="6"/>
      <c r="AB3123" s="6"/>
    </row>
    <row r="3124" spans="1:28" x14ac:dyDescent="0.2">
      <c r="A3124" t="s">
        <v>399</v>
      </c>
      <c r="B3124">
        <v>2013</v>
      </c>
      <c r="C3124" t="s">
        <v>811</v>
      </c>
      <c r="D3124" t="s">
        <v>818</v>
      </c>
      <c r="E3124" t="s">
        <v>167</v>
      </c>
      <c r="F3124" t="s">
        <v>400</v>
      </c>
      <c r="G3124">
        <v>-39.85</v>
      </c>
      <c r="H3124">
        <v>-73.383333329999999</v>
      </c>
      <c r="I3124" t="s">
        <v>769</v>
      </c>
      <c r="J3124" s="2" t="s">
        <v>7</v>
      </c>
      <c r="K3124" t="s">
        <v>95</v>
      </c>
      <c r="L3124" t="s">
        <v>143</v>
      </c>
      <c r="M3124" t="s">
        <v>637</v>
      </c>
      <c r="N3124" t="s">
        <v>86</v>
      </c>
      <c r="O3124" s="6" t="s">
        <v>401</v>
      </c>
      <c r="P3124" t="s">
        <v>402</v>
      </c>
      <c r="Q3124">
        <f>12/24</f>
        <v>0.5</v>
      </c>
      <c r="R3124" t="s">
        <v>214</v>
      </c>
      <c r="S3124" s="2" t="s">
        <v>7</v>
      </c>
      <c r="T3124">
        <v>6</v>
      </c>
      <c r="U3124" t="s">
        <v>28</v>
      </c>
      <c r="V3124" t="s">
        <v>28</v>
      </c>
      <c r="W3124">
        <v>15</v>
      </c>
      <c r="X3124">
        <v>41.09</v>
      </c>
      <c r="Y3124" s="6">
        <f t="shared" si="57"/>
        <v>3.772214203886092</v>
      </c>
      <c r="Z3124">
        <f>42.63-X3124</f>
        <v>1.5399999999999991</v>
      </c>
      <c r="AA3124" s="6"/>
      <c r="AB3124" s="6"/>
    </row>
    <row r="3125" spans="1:28" x14ac:dyDescent="0.2">
      <c r="A3125" t="s">
        <v>399</v>
      </c>
      <c r="B3125">
        <v>2013</v>
      </c>
      <c r="C3125" t="s">
        <v>811</v>
      </c>
      <c r="D3125" t="s">
        <v>818</v>
      </c>
      <c r="E3125" t="s">
        <v>167</v>
      </c>
      <c r="F3125" t="s">
        <v>400</v>
      </c>
      <c r="G3125">
        <v>-39.85</v>
      </c>
      <c r="H3125">
        <v>-73.383333329999999</v>
      </c>
      <c r="I3125" t="s">
        <v>769</v>
      </c>
      <c r="J3125" s="2" t="s">
        <v>7</v>
      </c>
      <c r="K3125" t="s">
        <v>95</v>
      </c>
      <c r="L3125" t="s">
        <v>143</v>
      </c>
      <c r="M3125" t="s">
        <v>637</v>
      </c>
      <c r="N3125" t="s">
        <v>86</v>
      </c>
      <c r="O3125" s="6" t="s">
        <v>401</v>
      </c>
      <c r="P3125" t="s">
        <v>402</v>
      </c>
      <c r="Q3125">
        <v>1</v>
      </c>
      <c r="R3125" t="s">
        <v>214</v>
      </c>
      <c r="S3125" s="2" t="s">
        <v>7</v>
      </c>
      <c r="T3125">
        <v>6</v>
      </c>
      <c r="U3125" t="s">
        <v>28</v>
      </c>
      <c r="V3125" t="s">
        <v>28</v>
      </c>
      <c r="W3125">
        <v>15</v>
      </c>
      <c r="X3125">
        <v>45.08</v>
      </c>
      <c r="Y3125" s="6">
        <f t="shared" si="57"/>
        <v>3.2333264604737955</v>
      </c>
      <c r="Z3125">
        <f>46.4-X3125</f>
        <v>1.3200000000000003</v>
      </c>
      <c r="AA3125" s="6"/>
      <c r="AB3125" s="6"/>
    </row>
    <row r="3126" spans="1:28" x14ac:dyDescent="0.2">
      <c r="A3126" t="s">
        <v>399</v>
      </c>
      <c r="B3126">
        <v>2013</v>
      </c>
      <c r="C3126" t="s">
        <v>811</v>
      </c>
      <c r="D3126" t="s">
        <v>818</v>
      </c>
      <c r="E3126" t="s">
        <v>167</v>
      </c>
      <c r="F3126" t="s">
        <v>400</v>
      </c>
      <c r="G3126">
        <v>-39.85</v>
      </c>
      <c r="H3126">
        <v>-73.383333329999999</v>
      </c>
      <c r="I3126" t="s">
        <v>769</v>
      </c>
      <c r="J3126" s="2" t="s">
        <v>7</v>
      </c>
      <c r="K3126" t="s">
        <v>95</v>
      </c>
      <c r="L3126" t="s">
        <v>143</v>
      </c>
      <c r="M3126" t="s">
        <v>637</v>
      </c>
      <c r="N3126" t="s">
        <v>86</v>
      </c>
      <c r="O3126" s="6" t="s">
        <v>401</v>
      </c>
      <c r="P3126" t="s">
        <v>402</v>
      </c>
      <c r="Q3126">
        <v>2</v>
      </c>
      <c r="R3126" t="s">
        <v>214</v>
      </c>
      <c r="S3126" s="2" t="s">
        <v>7</v>
      </c>
      <c r="T3126">
        <v>6</v>
      </c>
      <c r="U3126" t="s">
        <v>28</v>
      </c>
      <c r="V3126" t="s">
        <v>28</v>
      </c>
      <c r="W3126">
        <v>15</v>
      </c>
      <c r="X3126">
        <v>39.71</v>
      </c>
      <c r="Y3126" s="6">
        <f t="shared" si="57"/>
        <v>3.5027703321799435</v>
      </c>
      <c r="Z3126">
        <f>41.14-X3126</f>
        <v>1.4299999999999997</v>
      </c>
      <c r="AA3126" s="6"/>
      <c r="AB3126" s="6"/>
    </row>
    <row r="3127" spans="1:28" x14ac:dyDescent="0.2">
      <c r="A3127" t="s">
        <v>399</v>
      </c>
      <c r="B3127">
        <v>2013</v>
      </c>
      <c r="C3127" t="s">
        <v>811</v>
      </c>
      <c r="D3127" t="s">
        <v>818</v>
      </c>
      <c r="E3127" t="s">
        <v>167</v>
      </c>
      <c r="F3127" t="s">
        <v>400</v>
      </c>
      <c r="G3127">
        <v>-39.85</v>
      </c>
      <c r="H3127">
        <v>-73.383333329999999</v>
      </c>
      <c r="I3127" t="s">
        <v>769</v>
      </c>
      <c r="J3127" s="2" t="s">
        <v>7</v>
      </c>
      <c r="K3127" t="s">
        <v>95</v>
      </c>
      <c r="L3127" t="s">
        <v>143</v>
      </c>
      <c r="M3127" t="s">
        <v>637</v>
      </c>
      <c r="N3127" t="s">
        <v>86</v>
      </c>
      <c r="O3127" s="6" t="s">
        <v>401</v>
      </c>
      <c r="P3127" t="s">
        <v>402</v>
      </c>
      <c r="Q3127">
        <v>3</v>
      </c>
      <c r="R3127" t="s">
        <v>213</v>
      </c>
      <c r="S3127" s="2" t="s">
        <v>7</v>
      </c>
      <c r="T3127">
        <v>6</v>
      </c>
      <c r="U3127" t="s">
        <v>28</v>
      </c>
      <c r="V3127" t="s">
        <v>28</v>
      </c>
      <c r="W3127">
        <v>15</v>
      </c>
      <c r="X3127">
        <v>50.34</v>
      </c>
      <c r="Y3127" s="6">
        <f t="shared" si="57"/>
        <v>3.772214203886092</v>
      </c>
      <c r="Z3127">
        <f>51.88-X3127</f>
        <v>1.5399999999999991</v>
      </c>
      <c r="AA3127" s="6"/>
      <c r="AB3127" s="6"/>
    </row>
    <row r="3128" spans="1:28" x14ac:dyDescent="0.2">
      <c r="A3128" t="s">
        <v>399</v>
      </c>
      <c r="B3128">
        <v>2013</v>
      </c>
      <c r="C3128" t="s">
        <v>811</v>
      </c>
      <c r="D3128" t="s">
        <v>818</v>
      </c>
      <c r="E3128" t="s">
        <v>167</v>
      </c>
      <c r="F3128" t="s">
        <v>400</v>
      </c>
      <c r="G3128">
        <v>-39.85</v>
      </c>
      <c r="H3128">
        <v>-73.383333329999999</v>
      </c>
      <c r="I3128" t="s">
        <v>769</v>
      </c>
      <c r="J3128" s="2" t="s">
        <v>14</v>
      </c>
      <c r="K3128" t="s">
        <v>95</v>
      </c>
      <c r="L3128" t="s">
        <v>143</v>
      </c>
      <c r="M3128" t="s">
        <v>637</v>
      </c>
      <c r="N3128" t="s">
        <v>86</v>
      </c>
      <c r="O3128" s="6" t="s">
        <v>401</v>
      </c>
      <c r="P3128" t="s">
        <v>402</v>
      </c>
      <c r="Q3128">
        <f>2/24</f>
        <v>8.3333333333333329E-2</v>
      </c>
      <c r="R3128" t="s">
        <v>214</v>
      </c>
      <c r="S3128" s="2" t="s">
        <v>9</v>
      </c>
      <c r="T3128">
        <v>6</v>
      </c>
      <c r="U3128" t="s">
        <v>28</v>
      </c>
      <c r="V3128" t="s">
        <v>28</v>
      </c>
      <c r="W3128">
        <v>20</v>
      </c>
      <c r="X3128">
        <v>46.15</v>
      </c>
      <c r="Y3128" s="6">
        <f t="shared" si="57"/>
        <v>2.9883774861954744</v>
      </c>
      <c r="Z3128">
        <f>X3128-44.93</f>
        <v>1.2199999999999989</v>
      </c>
      <c r="AA3128" s="6"/>
      <c r="AB3128" s="6"/>
    </row>
    <row r="3129" spans="1:28" x14ac:dyDescent="0.2">
      <c r="A3129" t="s">
        <v>399</v>
      </c>
      <c r="B3129">
        <v>2013</v>
      </c>
      <c r="C3129" t="s">
        <v>811</v>
      </c>
      <c r="D3129" t="s">
        <v>818</v>
      </c>
      <c r="E3129" t="s">
        <v>167</v>
      </c>
      <c r="F3129" t="s">
        <v>400</v>
      </c>
      <c r="G3129">
        <v>-39.85</v>
      </c>
      <c r="H3129">
        <v>-73.383333329999999</v>
      </c>
      <c r="I3129" t="s">
        <v>769</v>
      </c>
      <c r="J3129" s="2" t="s">
        <v>14</v>
      </c>
      <c r="K3129" t="s">
        <v>95</v>
      </c>
      <c r="L3129" t="s">
        <v>143</v>
      </c>
      <c r="M3129" t="s">
        <v>637</v>
      </c>
      <c r="N3129" t="s">
        <v>86</v>
      </c>
      <c r="O3129" s="6" t="s">
        <v>401</v>
      </c>
      <c r="P3129" t="s">
        <v>402</v>
      </c>
      <c r="Q3129">
        <f>4/24</f>
        <v>0.16666666666666666</v>
      </c>
      <c r="R3129" t="s">
        <v>214</v>
      </c>
      <c r="S3129" s="2" t="s">
        <v>9</v>
      </c>
      <c r="T3129">
        <v>6</v>
      </c>
      <c r="U3129" t="s">
        <v>28</v>
      </c>
      <c r="V3129" t="s">
        <v>28</v>
      </c>
      <c r="W3129">
        <v>20</v>
      </c>
      <c r="X3129">
        <v>53.88</v>
      </c>
      <c r="Y3129" s="6">
        <f t="shared" si="57"/>
        <v>2.1800458710770299</v>
      </c>
      <c r="Z3129">
        <f>X3129-52.99</f>
        <v>0.89000000000000057</v>
      </c>
      <c r="AA3129" s="6"/>
      <c r="AB3129" s="6"/>
    </row>
    <row r="3130" spans="1:28" x14ac:dyDescent="0.2">
      <c r="A3130" t="s">
        <v>399</v>
      </c>
      <c r="B3130">
        <v>2013</v>
      </c>
      <c r="C3130" t="s">
        <v>811</v>
      </c>
      <c r="D3130" t="s">
        <v>818</v>
      </c>
      <c r="E3130" t="s">
        <v>167</v>
      </c>
      <c r="F3130" t="s">
        <v>400</v>
      </c>
      <c r="G3130">
        <v>-39.85</v>
      </c>
      <c r="H3130">
        <v>-73.383333329999999</v>
      </c>
      <c r="I3130" t="s">
        <v>769</v>
      </c>
      <c r="J3130" s="2" t="s">
        <v>14</v>
      </c>
      <c r="K3130" t="s">
        <v>95</v>
      </c>
      <c r="L3130" t="s">
        <v>143</v>
      </c>
      <c r="M3130" t="s">
        <v>637</v>
      </c>
      <c r="N3130" t="s">
        <v>86</v>
      </c>
      <c r="O3130" s="6" t="s">
        <v>401</v>
      </c>
      <c r="P3130" t="s">
        <v>402</v>
      </c>
      <c r="Q3130">
        <f>6/24</f>
        <v>0.25</v>
      </c>
      <c r="R3130" t="s">
        <v>214</v>
      </c>
      <c r="S3130" s="2" t="s">
        <v>9</v>
      </c>
      <c r="T3130">
        <v>6</v>
      </c>
      <c r="U3130" t="s">
        <v>28</v>
      </c>
      <c r="V3130" t="s">
        <v>28</v>
      </c>
      <c r="W3130">
        <v>20</v>
      </c>
      <c r="X3130">
        <v>64.48</v>
      </c>
      <c r="Y3130" s="6">
        <f t="shared" si="57"/>
        <v>4.0661529730200847</v>
      </c>
      <c r="Z3130">
        <f>X3130-62.82</f>
        <v>1.6600000000000037</v>
      </c>
      <c r="AA3130" s="6"/>
      <c r="AB3130" s="6"/>
    </row>
    <row r="3131" spans="1:28" x14ac:dyDescent="0.2">
      <c r="A3131" t="s">
        <v>399</v>
      </c>
      <c r="B3131">
        <v>2013</v>
      </c>
      <c r="C3131" t="s">
        <v>811</v>
      </c>
      <c r="D3131" t="s">
        <v>818</v>
      </c>
      <c r="E3131" t="s">
        <v>167</v>
      </c>
      <c r="F3131" t="s">
        <v>400</v>
      </c>
      <c r="G3131">
        <v>-39.85</v>
      </c>
      <c r="H3131">
        <v>-73.383333329999999</v>
      </c>
      <c r="I3131" t="s">
        <v>769</v>
      </c>
      <c r="J3131" s="2" t="s">
        <v>14</v>
      </c>
      <c r="K3131" t="s">
        <v>95</v>
      </c>
      <c r="L3131" t="s">
        <v>143</v>
      </c>
      <c r="M3131" t="s">
        <v>637</v>
      </c>
      <c r="N3131" t="s">
        <v>86</v>
      </c>
      <c r="O3131" s="6" t="s">
        <v>401</v>
      </c>
      <c r="P3131" t="s">
        <v>402</v>
      </c>
      <c r="Q3131">
        <f>12/24</f>
        <v>0.5</v>
      </c>
      <c r="R3131" t="s">
        <v>214</v>
      </c>
      <c r="S3131" s="2" t="s">
        <v>9</v>
      </c>
      <c r="T3131">
        <v>6</v>
      </c>
      <c r="U3131" t="s">
        <v>28</v>
      </c>
      <c r="V3131" t="s">
        <v>28</v>
      </c>
      <c r="W3131">
        <v>20</v>
      </c>
      <c r="X3131">
        <v>66.91</v>
      </c>
      <c r="Y3131" s="6">
        <f t="shared" si="57"/>
        <v>3.7722142038860746</v>
      </c>
      <c r="Z3131">
        <f>X3131-65.37</f>
        <v>1.539999999999992</v>
      </c>
      <c r="AA3131" s="6"/>
      <c r="AB3131" s="6"/>
    </row>
    <row r="3132" spans="1:28" x14ac:dyDescent="0.2">
      <c r="A3132" t="s">
        <v>399</v>
      </c>
      <c r="B3132">
        <v>2013</v>
      </c>
      <c r="C3132" t="s">
        <v>811</v>
      </c>
      <c r="D3132" t="s">
        <v>818</v>
      </c>
      <c r="E3132" t="s">
        <v>167</v>
      </c>
      <c r="F3132" t="s">
        <v>400</v>
      </c>
      <c r="G3132">
        <v>-39.85</v>
      </c>
      <c r="H3132">
        <v>-73.383333329999999</v>
      </c>
      <c r="I3132" t="s">
        <v>769</v>
      </c>
      <c r="J3132" s="2" t="s">
        <v>14</v>
      </c>
      <c r="K3132" t="s">
        <v>95</v>
      </c>
      <c r="L3132" t="s">
        <v>143</v>
      </c>
      <c r="M3132" t="s">
        <v>637</v>
      </c>
      <c r="N3132" t="s">
        <v>86</v>
      </c>
      <c r="O3132" s="6" t="s">
        <v>401</v>
      </c>
      <c r="P3132" t="s">
        <v>402</v>
      </c>
      <c r="Q3132">
        <v>1</v>
      </c>
      <c r="R3132" t="s">
        <v>214</v>
      </c>
      <c r="S3132" s="2" t="s">
        <v>9</v>
      </c>
      <c r="T3132">
        <v>6</v>
      </c>
      <c r="U3132" t="s">
        <v>28</v>
      </c>
      <c r="V3132" t="s">
        <v>28</v>
      </c>
      <c r="W3132">
        <v>20</v>
      </c>
      <c r="X3132">
        <v>61.08</v>
      </c>
      <c r="Y3132" s="6">
        <f t="shared" si="57"/>
        <v>3.5027703321799435</v>
      </c>
      <c r="Z3132">
        <f>X3132-59.65</f>
        <v>1.4299999999999997</v>
      </c>
      <c r="AA3132" s="6"/>
      <c r="AB3132" s="6"/>
    </row>
    <row r="3133" spans="1:28" x14ac:dyDescent="0.2">
      <c r="A3133" t="s">
        <v>399</v>
      </c>
      <c r="B3133">
        <v>2013</v>
      </c>
      <c r="C3133" t="s">
        <v>811</v>
      </c>
      <c r="D3133" t="s">
        <v>818</v>
      </c>
      <c r="E3133" t="s">
        <v>167</v>
      </c>
      <c r="F3133" t="s">
        <v>400</v>
      </c>
      <c r="G3133">
        <v>-39.85</v>
      </c>
      <c r="H3133">
        <v>-73.383333329999999</v>
      </c>
      <c r="I3133" t="s">
        <v>769</v>
      </c>
      <c r="J3133" s="2" t="s">
        <v>14</v>
      </c>
      <c r="K3133" t="s">
        <v>95</v>
      </c>
      <c r="L3133" t="s">
        <v>143</v>
      </c>
      <c r="M3133" t="s">
        <v>637</v>
      </c>
      <c r="N3133" t="s">
        <v>86</v>
      </c>
      <c r="O3133" s="6" t="s">
        <v>401</v>
      </c>
      <c r="P3133" t="s">
        <v>402</v>
      </c>
      <c r="Q3133">
        <v>2</v>
      </c>
      <c r="R3133" t="s">
        <v>214</v>
      </c>
      <c r="S3133" s="2" t="s">
        <v>9</v>
      </c>
      <c r="T3133">
        <v>6</v>
      </c>
      <c r="U3133" t="s">
        <v>28</v>
      </c>
      <c r="V3133" t="s">
        <v>28</v>
      </c>
      <c r="W3133">
        <v>20</v>
      </c>
      <c r="X3133">
        <v>71.72</v>
      </c>
      <c r="Y3133" s="6">
        <f t="shared" ref="Y3133:Y3164" si="58">Z3133*SQRT(T3133)</f>
        <v>4.605040716432363</v>
      </c>
      <c r="Z3133">
        <f>X3133-69.84</f>
        <v>1.8799999999999955</v>
      </c>
      <c r="AA3133" s="6"/>
      <c r="AB3133" s="6"/>
    </row>
    <row r="3134" spans="1:28" x14ac:dyDescent="0.2">
      <c r="A3134" t="s">
        <v>399</v>
      </c>
      <c r="B3134">
        <v>2013</v>
      </c>
      <c r="C3134" t="s">
        <v>811</v>
      </c>
      <c r="D3134" t="s">
        <v>818</v>
      </c>
      <c r="E3134" t="s">
        <v>167</v>
      </c>
      <c r="F3134" t="s">
        <v>400</v>
      </c>
      <c r="G3134">
        <v>-39.85</v>
      </c>
      <c r="H3134">
        <v>-73.383333329999999</v>
      </c>
      <c r="I3134" t="s">
        <v>769</v>
      </c>
      <c r="J3134" s="2" t="s">
        <v>14</v>
      </c>
      <c r="K3134" t="s">
        <v>95</v>
      </c>
      <c r="L3134" t="s">
        <v>143</v>
      </c>
      <c r="M3134" t="s">
        <v>637</v>
      </c>
      <c r="N3134" t="s">
        <v>86</v>
      </c>
      <c r="O3134" s="6" t="s">
        <v>401</v>
      </c>
      <c r="P3134" t="s">
        <v>402</v>
      </c>
      <c r="Q3134">
        <v>3</v>
      </c>
      <c r="R3134" t="s">
        <v>213</v>
      </c>
      <c r="S3134" s="2" t="s">
        <v>9</v>
      </c>
      <c r="T3134">
        <v>6</v>
      </c>
      <c r="U3134" t="s">
        <v>28</v>
      </c>
      <c r="V3134" t="s">
        <v>28</v>
      </c>
      <c r="W3134">
        <v>20</v>
      </c>
      <c r="X3134">
        <v>68.66</v>
      </c>
      <c r="Y3134" s="6">
        <f t="shared" si="58"/>
        <v>5.14392845984466</v>
      </c>
      <c r="Z3134">
        <f>X3134-66.56</f>
        <v>2.0999999999999943</v>
      </c>
      <c r="AA3134" s="6"/>
      <c r="AB3134" s="6"/>
    </row>
    <row r="3135" spans="1:28" x14ac:dyDescent="0.2">
      <c r="A3135" t="s">
        <v>399</v>
      </c>
      <c r="B3135">
        <v>2013</v>
      </c>
      <c r="C3135" t="s">
        <v>811</v>
      </c>
      <c r="D3135" t="s">
        <v>818</v>
      </c>
      <c r="E3135" t="s">
        <v>167</v>
      </c>
      <c r="F3135" t="s">
        <v>400</v>
      </c>
      <c r="G3135">
        <v>-39.85</v>
      </c>
      <c r="H3135">
        <v>-73.383333329999999</v>
      </c>
      <c r="I3135" t="s">
        <v>769</v>
      </c>
      <c r="J3135" s="2" t="s">
        <v>7</v>
      </c>
      <c r="K3135" t="s">
        <v>95</v>
      </c>
      <c r="L3135" t="s">
        <v>143</v>
      </c>
      <c r="M3135" t="s">
        <v>637</v>
      </c>
      <c r="N3135" t="s">
        <v>86</v>
      </c>
      <c r="O3135" s="6" t="s">
        <v>403</v>
      </c>
      <c r="P3135" t="s">
        <v>147</v>
      </c>
      <c r="Q3135">
        <f>2/24</f>
        <v>8.3333333333333329E-2</v>
      </c>
      <c r="R3135" t="s">
        <v>214</v>
      </c>
      <c r="S3135" s="2" t="s">
        <v>7</v>
      </c>
      <c r="T3135">
        <v>6</v>
      </c>
      <c r="U3135" t="s">
        <v>28</v>
      </c>
      <c r="V3135" t="s">
        <v>28</v>
      </c>
      <c r="W3135">
        <v>15</v>
      </c>
      <c r="X3135">
        <v>97.2</v>
      </c>
      <c r="Y3135" s="6">
        <f t="shared" si="58"/>
        <v>7.1035202540711948</v>
      </c>
      <c r="Z3135">
        <f>100.1-X3135</f>
        <v>2.8999999999999915</v>
      </c>
      <c r="AA3135" s="6"/>
      <c r="AB3135" s="6"/>
    </row>
    <row r="3136" spans="1:28" x14ac:dyDescent="0.2">
      <c r="A3136" t="s">
        <v>399</v>
      </c>
      <c r="B3136">
        <v>2013</v>
      </c>
      <c r="C3136" t="s">
        <v>811</v>
      </c>
      <c r="D3136" t="s">
        <v>818</v>
      </c>
      <c r="E3136" t="s">
        <v>167</v>
      </c>
      <c r="F3136" t="s">
        <v>400</v>
      </c>
      <c r="G3136">
        <v>-39.85</v>
      </c>
      <c r="H3136">
        <v>-73.383333329999999</v>
      </c>
      <c r="I3136" t="s">
        <v>769</v>
      </c>
      <c r="J3136" s="2" t="s">
        <v>7</v>
      </c>
      <c r="K3136" t="s">
        <v>95</v>
      </c>
      <c r="L3136" t="s">
        <v>143</v>
      </c>
      <c r="M3136" t="s">
        <v>637</v>
      </c>
      <c r="N3136" t="s">
        <v>86</v>
      </c>
      <c r="O3136" s="6" t="s">
        <v>403</v>
      </c>
      <c r="P3136" t="s">
        <v>147</v>
      </c>
      <c r="Q3136">
        <f>4/24</f>
        <v>0.16666666666666666</v>
      </c>
      <c r="R3136" t="s">
        <v>214</v>
      </c>
      <c r="S3136" s="2" t="s">
        <v>7</v>
      </c>
      <c r="T3136">
        <v>6</v>
      </c>
      <c r="U3136" t="s">
        <v>28</v>
      </c>
      <c r="V3136" t="s">
        <v>28</v>
      </c>
      <c r="W3136">
        <v>15</v>
      </c>
      <c r="X3136">
        <v>100.1</v>
      </c>
      <c r="Y3136" s="6">
        <f t="shared" si="58"/>
        <v>7.3484692283495336</v>
      </c>
      <c r="Z3136">
        <f>103.1-X3136</f>
        <v>3</v>
      </c>
      <c r="AA3136" s="6"/>
      <c r="AB3136" s="6"/>
    </row>
    <row r="3137" spans="1:28" x14ac:dyDescent="0.2">
      <c r="A3137" t="s">
        <v>399</v>
      </c>
      <c r="B3137">
        <v>2013</v>
      </c>
      <c r="C3137" t="s">
        <v>811</v>
      </c>
      <c r="D3137" t="s">
        <v>818</v>
      </c>
      <c r="E3137" t="s">
        <v>167</v>
      </c>
      <c r="F3137" t="s">
        <v>400</v>
      </c>
      <c r="G3137">
        <v>-39.85</v>
      </c>
      <c r="H3137">
        <v>-73.383333329999999</v>
      </c>
      <c r="I3137" t="s">
        <v>769</v>
      </c>
      <c r="J3137" s="2" t="s">
        <v>7</v>
      </c>
      <c r="K3137" t="s">
        <v>95</v>
      </c>
      <c r="L3137" t="s">
        <v>143</v>
      </c>
      <c r="M3137" t="s">
        <v>637</v>
      </c>
      <c r="N3137" t="s">
        <v>86</v>
      </c>
      <c r="O3137" s="6" t="s">
        <v>403</v>
      </c>
      <c r="P3137" t="s">
        <v>147</v>
      </c>
      <c r="Q3137">
        <f>6/24</f>
        <v>0.25</v>
      </c>
      <c r="R3137" t="s">
        <v>214</v>
      </c>
      <c r="S3137" s="2" t="s">
        <v>7</v>
      </c>
      <c r="T3137">
        <v>6</v>
      </c>
      <c r="U3137" t="s">
        <v>28</v>
      </c>
      <c r="V3137" t="s">
        <v>28</v>
      </c>
      <c r="W3137">
        <v>15</v>
      </c>
      <c r="X3137">
        <v>95.4</v>
      </c>
      <c r="Y3137" s="6">
        <f t="shared" si="58"/>
        <v>7.3484692283495336</v>
      </c>
      <c r="Z3137">
        <f>98.4-X3137</f>
        <v>3</v>
      </c>
      <c r="AA3137" s="6"/>
      <c r="AB3137" s="6"/>
    </row>
    <row r="3138" spans="1:28" x14ac:dyDescent="0.2">
      <c r="A3138" t="s">
        <v>399</v>
      </c>
      <c r="B3138">
        <v>2013</v>
      </c>
      <c r="C3138" t="s">
        <v>811</v>
      </c>
      <c r="D3138" t="s">
        <v>818</v>
      </c>
      <c r="E3138" t="s">
        <v>167</v>
      </c>
      <c r="F3138" t="s">
        <v>400</v>
      </c>
      <c r="G3138">
        <v>-39.85</v>
      </c>
      <c r="H3138">
        <v>-73.383333329999999</v>
      </c>
      <c r="I3138" t="s">
        <v>769</v>
      </c>
      <c r="J3138" s="2" t="s">
        <v>7</v>
      </c>
      <c r="K3138" t="s">
        <v>95</v>
      </c>
      <c r="L3138" t="s">
        <v>143</v>
      </c>
      <c r="M3138" t="s">
        <v>637</v>
      </c>
      <c r="N3138" t="s">
        <v>86</v>
      </c>
      <c r="O3138" s="6" t="s">
        <v>403</v>
      </c>
      <c r="P3138" t="s">
        <v>147</v>
      </c>
      <c r="Q3138">
        <f>12/24</f>
        <v>0.5</v>
      </c>
      <c r="R3138" t="s">
        <v>214</v>
      </c>
      <c r="S3138" s="2" t="s">
        <v>7</v>
      </c>
      <c r="T3138">
        <v>6</v>
      </c>
      <c r="U3138" t="s">
        <v>28</v>
      </c>
      <c r="V3138" t="s">
        <v>28</v>
      </c>
      <c r="W3138">
        <v>15</v>
      </c>
      <c r="X3138">
        <v>95.1</v>
      </c>
      <c r="Y3138" s="6">
        <f t="shared" si="58"/>
        <v>5.1439284598446946</v>
      </c>
      <c r="Z3138">
        <f>97.2-X3138</f>
        <v>2.1000000000000085</v>
      </c>
      <c r="AA3138" s="6"/>
      <c r="AB3138" s="6"/>
    </row>
    <row r="3139" spans="1:28" x14ac:dyDescent="0.2">
      <c r="A3139" t="s">
        <v>399</v>
      </c>
      <c r="B3139">
        <v>2013</v>
      </c>
      <c r="C3139" t="s">
        <v>811</v>
      </c>
      <c r="D3139" t="s">
        <v>818</v>
      </c>
      <c r="E3139" t="s">
        <v>167</v>
      </c>
      <c r="F3139" t="s">
        <v>400</v>
      </c>
      <c r="G3139">
        <v>-39.85</v>
      </c>
      <c r="H3139">
        <v>-73.383333329999999</v>
      </c>
      <c r="I3139" t="s">
        <v>769</v>
      </c>
      <c r="J3139" s="2" t="s">
        <v>7</v>
      </c>
      <c r="K3139" t="s">
        <v>95</v>
      </c>
      <c r="L3139" t="s">
        <v>143</v>
      </c>
      <c r="M3139" t="s">
        <v>637</v>
      </c>
      <c r="N3139" t="s">
        <v>86</v>
      </c>
      <c r="O3139" s="6" t="s">
        <v>403</v>
      </c>
      <c r="P3139" t="s">
        <v>147</v>
      </c>
      <c r="Q3139">
        <v>1</v>
      </c>
      <c r="R3139" t="s">
        <v>214</v>
      </c>
      <c r="S3139" s="2" t="s">
        <v>7</v>
      </c>
      <c r="T3139">
        <v>6</v>
      </c>
      <c r="U3139" t="s">
        <v>28</v>
      </c>
      <c r="V3139" t="s">
        <v>28</v>
      </c>
      <c r="W3139">
        <v>15</v>
      </c>
      <c r="X3139">
        <v>94.5</v>
      </c>
      <c r="Y3139" s="6">
        <f t="shared" si="58"/>
        <v>5.14392845984466</v>
      </c>
      <c r="Z3139">
        <f>96.6-X3139</f>
        <v>2.0999999999999943</v>
      </c>
      <c r="AA3139" s="6"/>
      <c r="AB3139" s="6"/>
    </row>
    <row r="3140" spans="1:28" x14ac:dyDescent="0.2">
      <c r="A3140" t="s">
        <v>399</v>
      </c>
      <c r="B3140">
        <v>2013</v>
      </c>
      <c r="C3140" t="s">
        <v>811</v>
      </c>
      <c r="D3140" t="s">
        <v>818</v>
      </c>
      <c r="E3140" t="s">
        <v>167</v>
      </c>
      <c r="F3140" t="s">
        <v>400</v>
      </c>
      <c r="G3140">
        <v>-39.85</v>
      </c>
      <c r="H3140">
        <v>-73.383333329999999</v>
      </c>
      <c r="I3140" t="s">
        <v>769</v>
      </c>
      <c r="J3140" s="2" t="s">
        <v>7</v>
      </c>
      <c r="K3140" t="s">
        <v>95</v>
      </c>
      <c r="L3140" t="s">
        <v>143</v>
      </c>
      <c r="M3140" t="s">
        <v>637</v>
      </c>
      <c r="N3140" t="s">
        <v>86</v>
      </c>
      <c r="O3140" s="6" t="s">
        <v>403</v>
      </c>
      <c r="P3140" t="s">
        <v>147</v>
      </c>
      <c r="Q3140">
        <v>2</v>
      </c>
      <c r="R3140" t="s">
        <v>214</v>
      </c>
      <c r="S3140" s="2" t="s">
        <v>7</v>
      </c>
      <c r="T3140">
        <v>6</v>
      </c>
      <c r="U3140" t="s">
        <v>28</v>
      </c>
      <c r="V3140" t="s">
        <v>28</v>
      </c>
      <c r="W3140">
        <v>15</v>
      </c>
      <c r="X3140">
        <v>96.9</v>
      </c>
      <c r="Y3140" s="6">
        <f t="shared" si="58"/>
        <v>7.8383671769061412</v>
      </c>
      <c r="Z3140">
        <f>100.1-X3140</f>
        <v>3.1999999999999886</v>
      </c>
      <c r="AA3140" s="6"/>
      <c r="AB3140" s="6"/>
    </row>
    <row r="3141" spans="1:28" x14ac:dyDescent="0.2">
      <c r="A3141" t="s">
        <v>399</v>
      </c>
      <c r="B3141">
        <v>2013</v>
      </c>
      <c r="C3141" t="s">
        <v>811</v>
      </c>
      <c r="D3141" t="s">
        <v>818</v>
      </c>
      <c r="E3141" t="s">
        <v>167</v>
      </c>
      <c r="F3141" t="s">
        <v>400</v>
      </c>
      <c r="G3141">
        <v>-39.85</v>
      </c>
      <c r="H3141">
        <v>-73.383333329999999</v>
      </c>
      <c r="I3141" t="s">
        <v>769</v>
      </c>
      <c r="J3141" s="2" t="s">
        <v>7</v>
      </c>
      <c r="K3141" t="s">
        <v>95</v>
      </c>
      <c r="L3141" t="s">
        <v>143</v>
      </c>
      <c r="M3141" t="s">
        <v>637</v>
      </c>
      <c r="N3141" t="s">
        <v>86</v>
      </c>
      <c r="O3141" s="6" t="s">
        <v>403</v>
      </c>
      <c r="P3141" t="s">
        <v>147</v>
      </c>
      <c r="Q3141">
        <v>3</v>
      </c>
      <c r="R3141" t="s">
        <v>213</v>
      </c>
      <c r="S3141" s="2" t="s">
        <v>7</v>
      </c>
      <c r="T3141">
        <v>6</v>
      </c>
      <c r="U3141" t="s">
        <v>28</v>
      </c>
      <c r="V3141" t="s">
        <v>28</v>
      </c>
      <c r="W3141">
        <v>15</v>
      </c>
      <c r="X3141">
        <v>86.9</v>
      </c>
      <c r="Y3141" s="6">
        <f t="shared" si="58"/>
        <v>4.8989794855663558</v>
      </c>
      <c r="Z3141">
        <f>88.9-X3141</f>
        <v>2</v>
      </c>
      <c r="AA3141" s="6"/>
      <c r="AB3141" s="6"/>
    </row>
    <row r="3142" spans="1:28" x14ac:dyDescent="0.2">
      <c r="A3142" t="s">
        <v>399</v>
      </c>
      <c r="B3142">
        <v>2013</v>
      </c>
      <c r="C3142" t="s">
        <v>811</v>
      </c>
      <c r="D3142" t="s">
        <v>818</v>
      </c>
      <c r="E3142" t="s">
        <v>167</v>
      </c>
      <c r="F3142" t="s">
        <v>400</v>
      </c>
      <c r="G3142">
        <v>-39.85</v>
      </c>
      <c r="H3142">
        <v>-73.383333329999999</v>
      </c>
      <c r="I3142" t="s">
        <v>769</v>
      </c>
      <c r="J3142" s="2" t="s">
        <v>14</v>
      </c>
      <c r="K3142" t="s">
        <v>95</v>
      </c>
      <c r="L3142" t="s">
        <v>143</v>
      </c>
      <c r="M3142" t="s">
        <v>637</v>
      </c>
      <c r="N3142" t="s">
        <v>86</v>
      </c>
      <c r="O3142" s="6" t="s">
        <v>403</v>
      </c>
      <c r="P3142" t="s">
        <v>147</v>
      </c>
      <c r="Q3142">
        <f>2/24</f>
        <v>8.3333333333333329E-2</v>
      </c>
      <c r="R3142" t="s">
        <v>214</v>
      </c>
      <c r="S3142" s="2" t="s">
        <v>9</v>
      </c>
      <c r="T3142">
        <v>6</v>
      </c>
      <c r="U3142" t="s">
        <v>28</v>
      </c>
      <c r="V3142" t="s">
        <v>28</v>
      </c>
      <c r="W3142">
        <v>20</v>
      </c>
      <c r="X3142">
        <v>97.2</v>
      </c>
      <c r="Y3142" s="6">
        <f t="shared" si="58"/>
        <v>14.451989482420764</v>
      </c>
      <c r="Z3142">
        <f>X3142-91.3</f>
        <v>5.9000000000000057</v>
      </c>
      <c r="AA3142" s="6"/>
      <c r="AB3142" s="6"/>
    </row>
    <row r="3143" spans="1:28" x14ac:dyDescent="0.2">
      <c r="A3143" t="s">
        <v>399</v>
      </c>
      <c r="B3143">
        <v>2013</v>
      </c>
      <c r="C3143" t="s">
        <v>811</v>
      </c>
      <c r="D3143" t="s">
        <v>818</v>
      </c>
      <c r="E3143" t="s">
        <v>167</v>
      </c>
      <c r="F3143" t="s">
        <v>400</v>
      </c>
      <c r="G3143">
        <v>-39.85</v>
      </c>
      <c r="H3143">
        <v>-73.383333329999999</v>
      </c>
      <c r="I3143" t="s">
        <v>769</v>
      </c>
      <c r="J3143" s="2" t="s">
        <v>14</v>
      </c>
      <c r="K3143" t="s">
        <v>95</v>
      </c>
      <c r="L3143" t="s">
        <v>143</v>
      </c>
      <c r="M3143" t="s">
        <v>637</v>
      </c>
      <c r="N3143" t="s">
        <v>86</v>
      </c>
      <c r="O3143" s="6" t="s">
        <v>403</v>
      </c>
      <c r="P3143" t="s">
        <v>147</v>
      </c>
      <c r="Q3143">
        <f>4/24</f>
        <v>0.16666666666666666</v>
      </c>
      <c r="R3143" t="s">
        <v>214</v>
      </c>
      <c r="S3143" s="2" t="s">
        <v>9</v>
      </c>
      <c r="T3143">
        <v>6</v>
      </c>
      <c r="U3143" t="s">
        <v>28</v>
      </c>
      <c r="V3143" t="s">
        <v>28</v>
      </c>
      <c r="W3143">
        <v>20</v>
      </c>
      <c r="X3143">
        <v>118.7</v>
      </c>
      <c r="Y3143" s="6">
        <f t="shared" si="58"/>
        <v>9.5530099968544082</v>
      </c>
      <c r="Z3143">
        <f>X3143-114.8</f>
        <v>3.9000000000000057</v>
      </c>
      <c r="AA3143" s="6"/>
      <c r="AB3143" s="6"/>
    </row>
    <row r="3144" spans="1:28" x14ac:dyDescent="0.2">
      <c r="A3144" t="s">
        <v>399</v>
      </c>
      <c r="B3144">
        <v>2013</v>
      </c>
      <c r="C3144" t="s">
        <v>811</v>
      </c>
      <c r="D3144" t="s">
        <v>818</v>
      </c>
      <c r="E3144" t="s">
        <v>167</v>
      </c>
      <c r="F3144" t="s">
        <v>400</v>
      </c>
      <c r="G3144">
        <v>-39.85</v>
      </c>
      <c r="H3144">
        <v>-73.383333329999999</v>
      </c>
      <c r="I3144" t="s">
        <v>769</v>
      </c>
      <c r="J3144" s="2" t="s">
        <v>14</v>
      </c>
      <c r="K3144" t="s">
        <v>95</v>
      </c>
      <c r="L3144" t="s">
        <v>143</v>
      </c>
      <c r="M3144" t="s">
        <v>637</v>
      </c>
      <c r="N3144" t="s">
        <v>86</v>
      </c>
      <c r="O3144" s="6" t="s">
        <v>403</v>
      </c>
      <c r="P3144" t="s">
        <v>147</v>
      </c>
      <c r="Q3144">
        <f>6/24</f>
        <v>0.25</v>
      </c>
      <c r="R3144" t="s">
        <v>214</v>
      </c>
      <c r="S3144" s="2" t="s">
        <v>9</v>
      </c>
      <c r="T3144">
        <v>6</v>
      </c>
      <c r="U3144" t="s">
        <v>28</v>
      </c>
      <c r="V3144" t="s">
        <v>28</v>
      </c>
      <c r="W3144">
        <v>20</v>
      </c>
      <c r="X3144">
        <v>91.6</v>
      </c>
      <c r="Y3144" s="6">
        <f t="shared" si="58"/>
        <v>9.3080610225760694</v>
      </c>
      <c r="Z3144">
        <f>X3144-87.8</f>
        <v>3.7999999999999972</v>
      </c>
      <c r="AA3144" s="6"/>
      <c r="AB3144" s="6"/>
    </row>
    <row r="3145" spans="1:28" x14ac:dyDescent="0.2">
      <c r="A3145" t="s">
        <v>399</v>
      </c>
      <c r="B3145">
        <v>2013</v>
      </c>
      <c r="C3145" t="s">
        <v>811</v>
      </c>
      <c r="D3145" t="s">
        <v>818</v>
      </c>
      <c r="E3145" t="s">
        <v>167</v>
      </c>
      <c r="F3145" t="s">
        <v>400</v>
      </c>
      <c r="G3145">
        <v>-39.85</v>
      </c>
      <c r="H3145">
        <v>-73.383333329999999</v>
      </c>
      <c r="I3145" t="s">
        <v>769</v>
      </c>
      <c r="J3145" s="2" t="s">
        <v>14</v>
      </c>
      <c r="K3145" t="s">
        <v>95</v>
      </c>
      <c r="L3145" t="s">
        <v>143</v>
      </c>
      <c r="M3145" t="s">
        <v>637</v>
      </c>
      <c r="N3145" t="s">
        <v>86</v>
      </c>
      <c r="O3145" s="6" t="s">
        <v>403</v>
      </c>
      <c r="P3145" t="s">
        <v>147</v>
      </c>
      <c r="Q3145">
        <f>12/24</f>
        <v>0.5</v>
      </c>
      <c r="R3145" t="s">
        <v>214</v>
      </c>
      <c r="S3145" s="2" t="s">
        <v>9</v>
      </c>
      <c r="T3145">
        <v>6</v>
      </c>
      <c r="U3145" t="s">
        <v>28</v>
      </c>
      <c r="V3145" t="s">
        <v>28</v>
      </c>
      <c r="W3145">
        <v>20</v>
      </c>
      <c r="X3145">
        <v>85.4</v>
      </c>
      <c r="Y3145" s="6">
        <f t="shared" si="58"/>
        <v>9.3080610225761031</v>
      </c>
      <c r="Z3145">
        <f>X3145-81.6</f>
        <v>3.8000000000000114</v>
      </c>
      <c r="AA3145" s="6"/>
      <c r="AB3145" s="6"/>
    </row>
    <row r="3146" spans="1:28" x14ac:dyDescent="0.2">
      <c r="A3146" t="s">
        <v>399</v>
      </c>
      <c r="B3146">
        <v>2013</v>
      </c>
      <c r="C3146" t="s">
        <v>811</v>
      </c>
      <c r="D3146" t="s">
        <v>818</v>
      </c>
      <c r="E3146" t="s">
        <v>167</v>
      </c>
      <c r="F3146" t="s">
        <v>400</v>
      </c>
      <c r="G3146">
        <v>-39.85</v>
      </c>
      <c r="H3146">
        <v>-73.383333329999999</v>
      </c>
      <c r="I3146" t="s">
        <v>769</v>
      </c>
      <c r="J3146" s="2" t="s">
        <v>14</v>
      </c>
      <c r="K3146" t="s">
        <v>95</v>
      </c>
      <c r="L3146" t="s">
        <v>143</v>
      </c>
      <c r="M3146" t="s">
        <v>637</v>
      </c>
      <c r="N3146" t="s">
        <v>86</v>
      </c>
      <c r="O3146" s="6" t="s">
        <v>403</v>
      </c>
      <c r="P3146" t="s">
        <v>147</v>
      </c>
      <c r="Q3146">
        <v>1</v>
      </c>
      <c r="R3146" t="s">
        <v>214</v>
      </c>
      <c r="S3146" s="2" t="s">
        <v>9</v>
      </c>
      <c r="T3146">
        <v>6</v>
      </c>
      <c r="U3146" t="s">
        <v>28</v>
      </c>
      <c r="V3146" t="s">
        <v>28</v>
      </c>
      <c r="W3146">
        <v>20</v>
      </c>
      <c r="X3146">
        <v>89.8</v>
      </c>
      <c r="Y3146" s="6">
        <f t="shared" si="58"/>
        <v>16.656530250925602</v>
      </c>
      <c r="Z3146">
        <f>X3146-83</f>
        <v>6.7999999999999972</v>
      </c>
      <c r="AA3146" s="6"/>
      <c r="AB3146" s="6"/>
    </row>
    <row r="3147" spans="1:28" x14ac:dyDescent="0.2">
      <c r="A3147" t="s">
        <v>399</v>
      </c>
      <c r="B3147">
        <v>2013</v>
      </c>
      <c r="C3147" t="s">
        <v>811</v>
      </c>
      <c r="D3147" t="s">
        <v>818</v>
      </c>
      <c r="E3147" t="s">
        <v>167</v>
      </c>
      <c r="F3147" t="s">
        <v>400</v>
      </c>
      <c r="G3147">
        <v>-39.85</v>
      </c>
      <c r="H3147">
        <v>-73.383333329999999</v>
      </c>
      <c r="I3147" t="s">
        <v>769</v>
      </c>
      <c r="J3147" s="2" t="s">
        <v>14</v>
      </c>
      <c r="K3147" t="s">
        <v>95</v>
      </c>
      <c r="L3147" t="s">
        <v>143</v>
      </c>
      <c r="M3147" t="s">
        <v>637</v>
      </c>
      <c r="N3147" t="s">
        <v>86</v>
      </c>
      <c r="O3147" s="6" t="s">
        <v>403</v>
      </c>
      <c r="P3147" t="s">
        <v>147</v>
      </c>
      <c r="Q3147">
        <v>2</v>
      </c>
      <c r="R3147" t="s">
        <v>214</v>
      </c>
      <c r="S3147" s="2" t="s">
        <v>9</v>
      </c>
      <c r="T3147">
        <v>6</v>
      </c>
      <c r="U3147" t="s">
        <v>28</v>
      </c>
      <c r="V3147" t="s">
        <v>28</v>
      </c>
      <c r="W3147">
        <v>20</v>
      </c>
      <c r="X3147">
        <v>84.2</v>
      </c>
      <c r="Y3147" s="6">
        <f t="shared" si="58"/>
        <v>26.699438196336654</v>
      </c>
      <c r="Z3147">
        <f>X3147-73.3</f>
        <v>10.900000000000006</v>
      </c>
      <c r="AA3147" s="6"/>
      <c r="AB3147" s="6"/>
    </row>
    <row r="3148" spans="1:28" x14ac:dyDescent="0.2">
      <c r="A3148" t="s">
        <v>399</v>
      </c>
      <c r="B3148">
        <v>2013</v>
      </c>
      <c r="C3148" t="s">
        <v>811</v>
      </c>
      <c r="D3148" t="s">
        <v>818</v>
      </c>
      <c r="E3148" t="s">
        <v>167</v>
      </c>
      <c r="F3148" t="s">
        <v>400</v>
      </c>
      <c r="G3148">
        <v>-39.85</v>
      </c>
      <c r="H3148">
        <v>-73.383333329999999</v>
      </c>
      <c r="I3148" t="s">
        <v>769</v>
      </c>
      <c r="J3148" s="2" t="s">
        <v>14</v>
      </c>
      <c r="K3148" t="s">
        <v>95</v>
      </c>
      <c r="L3148" t="s">
        <v>143</v>
      </c>
      <c r="M3148" t="s">
        <v>637</v>
      </c>
      <c r="N3148" t="s">
        <v>86</v>
      </c>
      <c r="O3148" s="6" t="s">
        <v>403</v>
      </c>
      <c r="P3148" t="s">
        <v>147</v>
      </c>
      <c r="Q3148">
        <v>3</v>
      </c>
      <c r="R3148" t="s">
        <v>213</v>
      </c>
      <c r="S3148" s="2" t="s">
        <v>9</v>
      </c>
      <c r="T3148">
        <v>6</v>
      </c>
      <c r="U3148" t="s">
        <v>28</v>
      </c>
      <c r="V3148" t="s">
        <v>28</v>
      </c>
      <c r="W3148">
        <v>20</v>
      </c>
      <c r="X3148">
        <v>88.3</v>
      </c>
      <c r="Y3148" s="6">
        <f t="shared" si="58"/>
        <v>17.391377173760585</v>
      </c>
      <c r="Z3148">
        <f>95.4-X3148</f>
        <v>7.1000000000000085</v>
      </c>
      <c r="AA3148" s="6"/>
      <c r="AB3148" s="6"/>
    </row>
    <row r="3149" spans="1:28" x14ac:dyDescent="0.2">
      <c r="A3149" t="s">
        <v>399</v>
      </c>
      <c r="B3149">
        <v>2013</v>
      </c>
      <c r="C3149" t="s">
        <v>811</v>
      </c>
      <c r="D3149" t="s">
        <v>818</v>
      </c>
      <c r="E3149" t="s">
        <v>167</v>
      </c>
      <c r="F3149" t="s">
        <v>400</v>
      </c>
      <c r="G3149">
        <v>-39.85</v>
      </c>
      <c r="H3149">
        <v>-73.383333329999999</v>
      </c>
      <c r="I3149" t="s">
        <v>769</v>
      </c>
      <c r="J3149" s="2" t="s">
        <v>7</v>
      </c>
      <c r="K3149" t="s">
        <v>95</v>
      </c>
      <c r="L3149" t="s">
        <v>143</v>
      </c>
      <c r="M3149" t="s">
        <v>637</v>
      </c>
      <c r="N3149" t="s">
        <v>85</v>
      </c>
      <c r="O3149" s="6" t="s">
        <v>148</v>
      </c>
      <c r="P3149" t="s">
        <v>147</v>
      </c>
      <c r="Q3149">
        <f>2/24</f>
        <v>8.3333333333333329E-2</v>
      </c>
      <c r="R3149" t="s">
        <v>214</v>
      </c>
      <c r="S3149" s="2" t="s">
        <v>7</v>
      </c>
      <c r="T3149">
        <v>6</v>
      </c>
      <c r="U3149" t="s">
        <v>28</v>
      </c>
      <c r="V3149" t="s">
        <v>28</v>
      </c>
      <c r="W3149">
        <v>15</v>
      </c>
      <c r="X3149">
        <v>4.79</v>
      </c>
      <c r="Y3149" s="6">
        <f t="shared" si="58"/>
        <v>1.3668152764730128</v>
      </c>
      <c r="Z3149">
        <f>X3149-4.232</f>
        <v>0.55799999999999983</v>
      </c>
      <c r="AA3149" s="6"/>
      <c r="AB3149" s="6"/>
    </row>
    <row r="3150" spans="1:28" x14ac:dyDescent="0.2">
      <c r="A3150" t="s">
        <v>399</v>
      </c>
      <c r="B3150">
        <v>2013</v>
      </c>
      <c r="C3150" t="s">
        <v>811</v>
      </c>
      <c r="D3150" t="s">
        <v>818</v>
      </c>
      <c r="E3150" t="s">
        <v>167</v>
      </c>
      <c r="F3150" t="s">
        <v>400</v>
      </c>
      <c r="G3150">
        <v>-39.85</v>
      </c>
      <c r="H3150">
        <v>-73.383333329999999</v>
      </c>
      <c r="I3150" t="s">
        <v>769</v>
      </c>
      <c r="J3150" s="2" t="s">
        <v>7</v>
      </c>
      <c r="K3150" t="s">
        <v>95</v>
      </c>
      <c r="L3150" t="s">
        <v>143</v>
      </c>
      <c r="M3150" t="s">
        <v>637</v>
      </c>
      <c r="N3150" t="s">
        <v>85</v>
      </c>
      <c r="O3150" s="6" t="s">
        <v>148</v>
      </c>
      <c r="P3150" t="s">
        <v>147</v>
      </c>
      <c r="Q3150">
        <f>4/24</f>
        <v>0.16666666666666666</v>
      </c>
      <c r="R3150" t="s">
        <v>214</v>
      </c>
      <c r="S3150" s="2" t="s">
        <v>7</v>
      </c>
      <c r="T3150">
        <v>6</v>
      </c>
      <c r="U3150" t="s">
        <v>28</v>
      </c>
      <c r="V3150" t="s">
        <v>28</v>
      </c>
      <c r="W3150">
        <v>15</v>
      </c>
      <c r="X3150">
        <v>4.6589999999999998</v>
      </c>
      <c r="Y3150" s="6">
        <f t="shared" si="58"/>
        <v>1.285982114961167</v>
      </c>
      <c r="Z3150">
        <f>X3150-4.134</f>
        <v>0.52499999999999947</v>
      </c>
      <c r="AA3150" s="6"/>
      <c r="AB3150" s="6"/>
    </row>
    <row r="3151" spans="1:28" x14ac:dyDescent="0.2">
      <c r="A3151" t="s">
        <v>399</v>
      </c>
      <c r="B3151">
        <v>2013</v>
      </c>
      <c r="C3151" t="s">
        <v>811</v>
      </c>
      <c r="D3151" t="s">
        <v>818</v>
      </c>
      <c r="E3151" t="s">
        <v>167</v>
      </c>
      <c r="F3151" t="s">
        <v>400</v>
      </c>
      <c r="G3151">
        <v>-39.85</v>
      </c>
      <c r="H3151">
        <v>-73.383333329999999</v>
      </c>
      <c r="I3151" t="s">
        <v>769</v>
      </c>
      <c r="J3151" s="2" t="s">
        <v>7</v>
      </c>
      <c r="K3151" t="s">
        <v>95</v>
      </c>
      <c r="L3151" t="s">
        <v>143</v>
      </c>
      <c r="M3151" t="s">
        <v>637</v>
      </c>
      <c r="N3151" t="s">
        <v>85</v>
      </c>
      <c r="O3151" s="6" t="s">
        <v>148</v>
      </c>
      <c r="P3151" t="s">
        <v>147</v>
      </c>
      <c r="Q3151">
        <f>6/24</f>
        <v>0.25</v>
      </c>
      <c r="R3151" t="s">
        <v>214</v>
      </c>
      <c r="S3151" s="2" t="s">
        <v>7</v>
      </c>
      <c r="T3151">
        <v>6</v>
      </c>
      <c r="U3151" t="s">
        <v>28</v>
      </c>
      <c r="V3151" t="s">
        <v>28</v>
      </c>
      <c r="W3151">
        <v>15</v>
      </c>
      <c r="X3151">
        <v>4.5279999999999996</v>
      </c>
      <c r="Y3151" s="6">
        <f t="shared" si="58"/>
        <v>1.5284815994967023</v>
      </c>
      <c r="Z3151">
        <f>X3151-3.904</f>
        <v>0.62399999999999967</v>
      </c>
      <c r="AA3151" s="6"/>
      <c r="AB3151" s="6"/>
    </row>
    <row r="3152" spans="1:28" x14ac:dyDescent="0.2">
      <c r="A3152" t="s">
        <v>399</v>
      </c>
      <c r="B3152">
        <v>2013</v>
      </c>
      <c r="C3152" t="s">
        <v>811</v>
      </c>
      <c r="D3152" t="s">
        <v>818</v>
      </c>
      <c r="E3152" t="s">
        <v>167</v>
      </c>
      <c r="F3152" t="s">
        <v>400</v>
      </c>
      <c r="G3152">
        <v>-39.85</v>
      </c>
      <c r="H3152">
        <v>-73.383333329999999</v>
      </c>
      <c r="I3152" t="s">
        <v>769</v>
      </c>
      <c r="J3152" s="2" t="s">
        <v>7</v>
      </c>
      <c r="K3152" t="s">
        <v>95</v>
      </c>
      <c r="L3152" t="s">
        <v>143</v>
      </c>
      <c r="M3152" t="s">
        <v>637</v>
      </c>
      <c r="N3152" t="s">
        <v>85</v>
      </c>
      <c r="O3152" s="6" t="s">
        <v>148</v>
      </c>
      <c r="P3152" t="s">
        <v>147</v>
      </c>
      <c r="Q3152">
        <f>12/24</f>
        <v>0.5</v>
      </c>
      <c r="R3152" t="s">
        <v>214</v>
      </c>
      <c r="S3152" s="2" t="s">
        <v>7</v>
      </c>
      <c r="T3152">
        <v>6</v>
      </c>
      <c r="U3152" t="s">
        <v>28</v>
      </c>
      <c r="V3152" t="s">
        <v>28</v>
      </c>
      <c r="W3152">
        <v>15</v>
      </c>
      <c r="X3152">
        <v>5.2489999999999997</v>
      </c>
      <c r="Y3152" s="6">
        <f t="shared" si="58"/>
        <v>1.7660821045466715</v>
      </c>
      <c r="Z3152">
        <f>X3152-4.528</f>
        <v>0.72100000000000009</v>
      </c>
      <c r="AA3152" s="6"/>
      <c r="AB3152" s="6"/>
    </row>
    <row r="3153" spans="1:28" x14ac:dyDescent="0.2">
      <c r="A3153" t="s">
        <v>399</v>
      </c>
      <c r="B3153">
        <v>2013</v>
      </c>
      <c r="C3153" t="s">
        <v>811</v>
      </c>
      <c r="D3153" t="s">
        <v>818</v>
      </c>
      <c r="E3153" t="s">
        <v>167</v>
      </c>
      <c r="F3153" t="s">
        <v>400</v>
      </c>
      <c r="G3153">
        <v>-39.85</v>
      </c>
      <c r="H3153">
        <v>-73.383333329999999</v>
      </c>
      <c r="I3153" t="s">
        <v>769</v>
      </c>
      <c r="J3153" s="2" t="s">
        <v>7</v>
      </c>
      <c r="K3153" t="s">
        <v>95</v>
      </c>
      <c r="L3153" t="s">
        <v>143</v>
      </c>
      <c r="M3153" t="s">
        <v>637</v>
      </c>
      <c r="N3153" t="s">
        <v>85</v>
      </c>
      <c r="O3153" s="6" t="s">
        <v>148</v>
      </c>
      <c r="P3153" t="s">
        <v>147</v>
      </c>
      <c r="Q3153">
        <v>1</v>
      </c>
      <c r="R3153" t="s">
        <v>214</v>
      </c>
      <c r="S3153" s="2" t="s">
        <v>7</v>
      </c>
      <c r="T3153">
        <v>6</v>
      </c>
      <c r="U3153" t="s">
        <v>28</v>
      </c>
      <c r="V3153" t="s">
        <v>28</v>
      </c>
      <c r="W3153">
        <v>15</v>
      </c>
      <c r="X3153">
        <v>4.6589999999999998</v>
      </c>
      <c r="Y3153" s="6">
        <f t="shared" si="58"/>
        <v>1.285982114961167</v>
      </c>
      <c r="Z3153">
        <f>X3153-4.134</f>
        <v>0.52499999999999947</v>
      </c>
      <c r="AA3153" s="6"/>
      <c r="AB3153" s="6"/>
    </row>
    <row r="3154" spans="1:28" x14ac:dyDescent="0.2">
      <c r="A3154" t="s">
        <v>399</v>
      </c>
      <c r="B3154">
        <v>2013</v>
      </c>
      <c r="C3154" t="s">
        <v>811</v>
      </c>
      <c r="D3154" t="s">
        <v>818</v>
      </c>
      <c r="E3154" t="s">
        <v>167</v>
      </c>
      <c r="F3154" t="s">
        <v>400</v>
      </c>
      <c r="G3154">
        <v>-39.85</v>
      </c>
      <c r="H3154">
        <v>-73.383333329999999</v>
      </c>
      <c r="I3154" t="s">
        <v>769</v>
      </c>
      <c r="J3154" s="2" t="s">
        <v>7</v>
      </c>
      <c r="K3154" t="s">
        <v>95</v>
      </c>
      <c r="L3154" t="s">
        <v>143</v>
      </c>
      <c r="M3154" t="s">
        <v>637</v>
      </c>
      <c r="N3154" t="s">
        <v>85</v>
      </c>
      <c r="O3154" s="6" t="s">
        <v>148</v>
      </c>
      <c r="P3154" t="s">
        <v>147</v>
      </c>
      <c r="Q3154">
        <v>2</v>
      </c>
      <c r="R3154" t="s">
        <v>214</v>
      </c>
      <c r="S3154" s="2" t="s">
        <v>7</v>
      </c>
      <c r="T3154">
        <v>6</v>
      </c>
      <c r="U3154" t="s">
        <v>28</v>
      </c>
      <c r="V3154" t="s">
        <v>28</v>
      </c>
      <c r="W3154">
        <v>15</v>
      </c>
      <c r="X3154">
        <v>5.577</v>
      </c>
      <c r="Y3154" s="6">
        <f t="shared" si="58"/>
        <v>1.364365786730231</v>
      </c>
      <c r="Z3154">
        <f>X3154-5.02</f>
        <v>0.55700000000000038</v>
      </c>
      <c r="AA3154" s="6"/>
      <c r="AB3154" s="6"/>
    </row>
    <row r="3155" spans="1:28" x14ac:dyDescent="0.2">
      <c r="A3155" t="s">
        <v>399</v>
      </c>
      <c r="B3155">
        <v>2013</v>
      </c>
      <c r="C3155" t="s">
        <v>811</v>
      </c>
      <c r="D3155" t="s">
        <v>818</v>
      </c>
      <c r="E3155" t="s">
        <v>167</v>
      </c>
      <c r="F3155" t="s">
        <v>400</v>
      </c>
      <c r="G3155">
        <v>-39.85</v>
      </c>
      <c r="H3155">
        <v>-73.383333329999999</v>
      </c>
      <c r="I3155" t="s">
        <v>769</v>
      </c>
      <c r="J3155" s="2" t="s">
        <v>7</v>
      </c>
      <c r="K3155" t="s">
        <v>95</v>
      </c>
      <c r="L3155" t="s">
        <v>143</v>
      </c>
      <c r="M3155" t="s">
        <v>637</v>
      </c>
      <c r="N3155" t="s">
        <v>85</v>
      </c>
      <c r="O3155" s="6" t="s">
        <v>148</v>
      </c>
      <c r="P3155" t="s">
        <v>147</v>
      </c>
      <c r="Q3155">
        <v>3</v>
      </c>
      <c r="R3155" t="s">
        <v>213</v>
      </c>
      <c r="S3155" s="2" t="s">
        <v>7</v>
      </c>
      <c r="T3155">
        <v>6</v>
      </c>
      <c r="U3155" t="s">
        <v>28</v>
      </c>
      <c r="V3155" t="s">
        <v>28</v>
      </c>
      <c r="W3155">
        <v>15</v>
      </c>
      <c r="X3155">
        <v>4.101</v>
      </c>
      <c r="Y3155" s="6">
        <f t="shared" si="58"/>
        <v>1.2859821149611681</v>
      </c>
      <c r="Z3155">
        <f>X3155-3.576</f>
        <v>0.52499999999999991</v>
      </c>
      <c r="AA3155" s="6"/>
      <c r="AB3155" s="6"/>
    </row>
    <row r="3156" spans="1:28" x14ac:dyDescent="0.2">
      <c r="A3156" t="s">
        <v>399</v>
      </c>
      <c r="B3156">
        <v>2013</v>
      </c>
      <c r="C3156" t="s">
        <v>811</v>
      </c>
      <c r="D3156" t="s">
        <v>818</v>
      </c>
      <c r="E3156" t="s">
        <v>167</v>
      </c>
      <c r="F3156" t="s">
        <v>400</v>
      </c>
      <c r="G3156">
        <v>-39.85</v>
      </c>
      <c r="H3156">
        <v>-73.383333329999999</v>
      </c>
      <c r="I3156" t="s">
        <v>769</v>
      </c>
      <c r="J3156" s="2" t="s">
        <v>14</v>
      </c>
      <c r="K3156" t="s">
        <v>95</v>
      </c>
      <c r="L3156" t="s">
        <v>143</v>
      </c>
      <c r="M3156" t="s">
        <v>637</v>
      </c>
      <c r="N3156" t="s">
        <v>85</v>
      </c>
      <c r="O3156" s="6" t="s">
        <v>148</v>
      </c>
      <c r="P3156" t="s">
        <v>147</v>
      </c>
      <c r="Q3156">
        <f>2/24</f>
        <v>8.3333333333333329E-2</v>
      </c>
      <c r="R3156" t="s">
        <v>214</v>
      </c>
      <c r="S3156" s="2" t="s">
        <v>9</v>
      </c>
      <c r="T3156">
        <v>6</v>
      </c>
      <c r="U3156" t="s">
        <v>28</v>
      </c>
      <c r="V3156" t="s">
        <v>28</v>
      </c>
      <c r="W3156">
        <v>20</v>
      </c>
      <c r="X3156">
        <v>4.7569999999999997</v>
      </c>
      <c r="Y3156" s="6">
        <f t="shared" si="58"/>
        <v>1.285982114961167</v>
      </c>
      <c r="Z3156">
        <f>X3156-4.232</f>
        <v>0.52499999999999947</v>
      </c>
      <c r="AA3156" s="6"/>
      <c r="AB3156" s="6"/>
    </row>
    <row r="3157" spans="1:28" x14ac:dyDescent="0.2">
      <c r="A3157" t="s">
        <v>399</v>
      </c>
      <c r="B3157">
        <v>2013</v>
      </c>
      <c r="C3157" t="s">
        <v>811</v>
      </c>
      <c r="D3157" t="s">
        <v>818</v>
      </c>
      <c r="E3157" t="s">
        <v>167</v>
      </c>
      <c r="F3157" t="s">
        <v>400</v>
      </c>
      <c r="G3157">
        <v>-39.85</v>
      </c>
      <c r="H3157">
        <v>-73.383333329999999</v>
      </c>
      <c r="I3157" t="s">
        <v>769</v>
      </c>
      <c r="J3157" s="2" t="s">
        <v>14</v>
      </c>
      <c r="K3157" t="s">
        <v>95</v>
      </c>
      <c r="L3157" t="s">
        <v>143</v>
      </c>
      <c r="M3157" t="s">
        <v>637</v>
      </c>
      <c r="N3157" t="s">
        <v>85</v>
      </c>
      <c r="O3157" s="6" t="s">
        <v>148</v>
      </c>
      <c r="P3157" t="s">
        <v>147</v>
      </c>
      <c r="Q3157">
        <f>4/24</f>
        <v>0.16666666666666666</v>
      </c>
      <c r="R3157" t="s">
        <v>214</v>
      </c>
      <c r="S3157" s="2" t="s">
        <v>9</v>
      </c>
      <c r="T3157">
        <v>6</v>
      </c>
      <c r="U3157" t="s">
        <v>28</v>
      </c>
      <c r="V3157" t="s">
        <v>28</v>
      </c>
      <c r="W3157">
        <v>20</v>
      </c>
      <c r="X3157">
        <v>6.1680000000000001</v>
      </c>
      <c r="Y3157" s="6">
        <f t="shared" si="58"/>
        <v>0.96509895865657236</v>
      </c>
      <c r="Z3157">
        <f>6.562-X3157</f>
        <v>0.39400000000000013</v>
      </c>
      <c r="AA3157" s="6"/>
      <c r="AB3157" s="6"/>
    </row>
    <row r="3158" spans="1:28" x14ac:dyDescent="0.2">
      <c r="A3158" t="s">
        <v>399</v>
      </c>
      <c r="B3158">
        <v>2013</v>
      </c>
      <c r="C3158" t="s">
        <v>811</v>
      </c>
      <c r="D3158" t="s">
        <v>818</v>
      </c>
      <c r="E3158" t="s">
        <v>167</v>
      </c>
      <c r="F3158" t="s">
        <v>400</v>
      </c>
      <c r="G3158">
        <v>-39.85</v>
      </c>
      <c r="H3158">
        <v>-73.383333329999999</v>
      </c>
      <c r="I3158" t="s">
        <v>769</v>
      </c>
      <c r="J3158" s="2" t="s">
        <v>14</v>
      </c>
      <c r="K3158" t="s">
        <v>95</v>
      </c>
      <c r="L3158" t="s">
        <v>143</v>
      </c>
      <c r="M3158" t="s">
        <v>637</v>
      </c>
      <c r="N3158" t="s">
        <v>85</v>
      </c>
      <c r="O3158" s="6" t="s">
        <v>148</v>
      </c>
      <c r="P3158" t="s">
        <v>147</v>
      </c>
      <c r="Q3158">
        <f>6/24</f>
        <v>0.25</v>
      </c>
      <c r="R3158" t="s">
        <v>214</v>
      </c>
      <c r="S3158" s="2" t="s">
        <v>9</v>
      </c>
      <c r="T3158">
        <v>6</v>
      </c>
      <c r="U3158" t="s">
        <v>28</v>
      </c>
      <c r="V3158" t="s">
        <v>28</v>
      </c>
      <c r="W3158">
        <v>20</v>
      </c>
      <c r="X3158">
        <v>3.1819999999999999</v>
      </c>
      <c r="Y3158" s="6">
        <f t="shared" si="58"/>
        <v>1.0459321201684171</v>
      </c>
      <c r="Z3158">
        <f>3.609-X3158</f>
        <v>0.42700000000000005</v>
      </c>
      <c r="AA3158" s="6"/>
      <c r="AB3158" s="6"/>
    </row>
    <row r="3159" spans="1:28" x14ac:dyDescent="0.2">
      <c r="A3159" t="s">
        <v>399</v>
      </c>
      <c r="B3159">
        <v>2013</v>
      </c>
      <c r="C3159" t="s">
        <v>811</v>
      </c>
      <c r="D3159" t="s">
        <v>818</v>
      </c>
      <c r="E3159" t="s">
        <v>167</v>
      </c>
      <c r="F3159" t="s">
        <v>400</v>
      </c>
      <c r="G3159">
        <v>-39.85</v>
      </c>
      <c r="H3159">
        <v>-73.383333329999999</v>
      </c>
      <c r="I3159" t="s">
        <v>769</v>
      </c>
      <c r="J3159" s="2" t="s">
        <v>14</v>
      </c>
      <c r="K3159" t="s">
        <v>95</v>
      </c>
      <c r="L3159" t="s">
        <v>143</v>
      </c>
      <c r="M3159" t="s">
        <v>637</v>
      </c>
      <c r="N3159" t="s">
        <v>85</v>
      </c>
      <c r="O3159" s="6" t="s">
        <v>148</v>
      </c>
      <c r="P3159" t="s">
        <v>147</v>
      </c>
      <c r="Q3159">
        <f>12/24</f>
        <v>0.5</v>
      </c>
      <c r="R3159" t="s">
        <v>214</v>
      </c>
      <c r="S3159" s="2" t="s">
        <v>9</v>
      </c>
      <c r="T3159">
        <v>6</v>
      </c>
      <c r="U3159" t="s">
        <v>28</v>
      </c>
      <c r="V3159" t="s">
        <v>28</v>
      </c>
      <c r="W3159">
        <v>20</v>
      </c>
      <c r="X3159">
        <v>3.9369999999999998</v>
      </c>
      <c r="Y3159" s="6">
        <f t="shared" si="58"/>
        <v>1.2051489534493245</v>
      </c>
      <c r="Z3159">
        <f>4.429-X3159</f>
        <v>0.49200000000000044</v>
      </c>
      <c r="AA3159" s="6"/>
      <c r="AB3159" s="6"/>
    </row>
    <row r="3160" spans="1:28" x14ac:dyDescent="0.2">
      <c r="A3160" t="s">
        <v>399</v>
      </c>
      <c r="B3160">
        <v>2013</v>
      </c>
      <c r="C3160" t="s">
        <v>811</v>
      </c>
      <c r="D3160" t="s">
        <v>818</v>
      </c>
      <c r="E3160" t="s">
        <v>167</v>
      </c>
      <c r="F3160" t="s">
        <v>400</v>
      </c>
      <c r="G3160">
        <v>-39.85</v>
      </c>
      <c r="H3160">
        <v>-73.383333329999999</v>
      </c>
      <c r="I3160" t="s">
        <v>769</v>
      </c>
      <c r="J3160" s="2" t="s">
        <v>14</v>
      </c>
      <c r="K3160" t="s">
        <v>95</v>
      </c>
      <c r="L3160" t="s">
        <v>143</v>
      </c>
      <c r="M3160" t="s">
        <v>637</v>
      </c>
      <c r="N3160" t="s">
        <v>85</v>
      </c>
      <c r="O3160" s="6" t="s">
        <v>148</v>
      </c>
      <c r="P3160" t="s">
        <v>147</v>
      </c>
      <c r="Q3160">
        <v>1</v>
      </c>
      <c r="R3160" t="s">
        <v>214</v>
      </c>
      <c r="S3160" s="2" t="s">
        <v>9</v>
      </c>
      <c r="T3160">
        <v>6</v>
      </c>
      <c r="U3160" t="s">
        <v>28</v>
      </c>
      <c r="V3160" t="s">
        <v>28</v>
      </c>
      <c r="W3160">
        <v>20</v>
      </c>
      <c r="X3160">
        <v>4.298</v>
      </c>
      <c r="Y3160" s="6">
        <f t="shared" si="58"/>
        <v>1.2051489534493236</v>
      </c>
      <c r="Z3160">
        <f>X3160-3.806</f>
        <v>0.49199999999999999</v>
      </c>
      <c r="AA3160" s="6"/>
      <c r="AB3160" s="6"/>
    </row>
    <row r="3161" spans="1:28" x14ac:dyDescent="0.2">
      <c r="A3161" t="s">
        <v>399</v>
      </c>
      <c r="B3161">
        <v>2013</v>
      </c>
      <c r="C3161" t="s">
        <v>811</v>
      </c>
      <c r="D3161" t="s">
        <v>818</v>
      </c>
      <c r="E3161" t="s">
        <v>167</v>
      </c>
      <c r="F3161" t="s">
        <v>400</v>
      </c>
      <c r="G3161">
        <v>-39.85</v>
      </c>
      <c r="H3161">
        <v>-73.383333329999999</v>
      </c>
      <c r="I3161" t="s">
        <v>769</v>
      </c>
      <c r="J3161" s="2" t="s">
        <v>14</v>
      </c>
      <c r="K3161" t="s">
        <v>95</v>
      </c>
      <c r="L3161" t="s">
        <v>143</v>
      </c>
      <c r="M3161" t="s">
        <v>637</v>
      </c>
      <c r="N3161" t="s">
        <v>85</v>
      </c>
      <c r="O3161" s="6" t="s">
        <v>148</v>
      </c>
      <c r="P3161" t="s">
        <v>147</v>
      </c>
      <c r="Q3161">
        <v>2</v>
      </c>
      <c r="R3161" t="s">
        <v>214</v>
      </c>
      <c r="S3161" s="2" t="s">
        <v>9</v>
      </c>
      <c r="T3161">
        <v>6</v>
      </c>
      <c r="U3161" t="s">
        <v>28</v>
      </c>
      <c r="V3161" t="s">
        <v>28</v>
      </c>
      <c r="W3161">
        <v>20</v>
      </c>
      <c r="X3161">
        <v>3.871</v>
      </c>
      <c r="Y3161" s="6">
        <f t="shared" si="58"/>
        <v>1.2859821149611681</v>
      </c>
      <c r="Z3161">
        <f>4.396-X3161</f>
        <v>0.52499999999999991</v>
      </c>
      <c r="AA3161" s="6"/>
      <c r="AB3161" s="6"/>
    </row>
    <row r="3162" spans="1:28" x14ac:dyDescent="0.2">
      <c r="A3162" t="s">
        <v>399</v>
      </c>
      <c r="B3162">
        <v>2013</v>
      </c>
      <c r="C3162" t="s">
        <v>811</v>
      </c>
      <c r="D3162" t="s">
        <v>818</v>
      </c>
      <c r="E3162" t="s">
        <v>167</v>
      </c>
      <c r="F3162" t="s">
        <v>400</v>
      </c>
      <c r="G3162">
        <v>-39.85</v>
      </c>
      <c r="H3162">
        <v>-73.383333329999999</v>
      </c>
      <c r="I3162" t="s">
        <v>769</v>
      </c>
      <c r="J3162" s="2" t="s">
        <v>14</v>
      </c>
      <c r="K3162" t="s">
        <v>95</v>
      </c>
      <c r="L3162" t="s">
        <v>143</v>
      </c>
      <c r="M3162" t="s">
        <v>637</v>
      </c>
      <c r="N3162" t="s">
        <v>85</v>
      </c>
      <c r="O3162" s="6" t="s">
        <v>148</v>
      </c>
      <c r="P3162" t="s">
        <v>147</v>
      </c>
      <c r="Q3162">
        <v>3</v>
      </c>
      <c r="R3162" t="s">
        <v>213</v>
      </c>
      <c r="S3162" s="2" t="s">
        <v>9</v>
      </c>
      <c r="T3162">
        <v>6</v>
      </c>
      <c r="U3162" t="s">
        <v>28</v>
      </c>
      <c r="V3162" t="s">
        <v>28</v>
      </c>
      <c r="W3162">
        <v>20</v>
      </c>
      <c r="X3162">
        <v>3.3140000000000001</v>
      </c>
      <c r="Y3162" s="6">
        <f t="shared" si="58"/>
        <v>0.3208831563045958</v>
      </c>
      <c r="Z3162">
        <f>3.445-X3162</f>
        <v>0.13099999999999978</v>
      </c>
      <c r="AA3162" s="6"/>
      <c r="AB3162" s="6"/>
    </row>
    <row r="3163" spans="1:28" x14ac:dyDescent="0.2">
      <c r="A3163" t="s">
        <v>399</v>
      </c>
      <c r="B3163">
        <v>2013</v>
      </c>
      <c r="C3163" t="s">
        <v>811</v>
      </c>
      <c r="D3163" t="s">
        <v>818</v>
      </c>
      <c r="E3163" t="s">
        <v>167</v>
      </c>
      <c r="F3163" t="s">
        <v>400</v>
      </c>
      <c r="G3163">
        <v>-39.85</v>
      </c>
      <c r="H3163">
        <v>-73.383333329999999</v>
      </c>
      <c r="I3163" t="s">
        <v>769</v>
      </c>
      <c r="J3163" s="2" t="s">
        <v>7</v>
      </c>
      <c r="K3163" t="s">
        <v>95</v>
      </c>
      <c r="L3163" t="s">
        <v>143</v>
      </c>
      <c r="M3163" t="s">
        <v>637</v>
      </c>
      <c r="N3163" t="s">
        <v>86</v>
      </c>
      <c r="O3163" s="6" t="s">
        <v>404</v>
      </c>
      <c r="P3163" t="s">
        <v>147</v>
      </c>
      <c r="Q3163">
        <f>2/24</f>
        <v>8.3333333333333329E-2</v>
      </c>
      <c r="R3163" t="s">
        <v>214</v>
      </c>
      <c r="S3163" s="2" t="s">
        <v>7</v>
      </c>
      <c r="T3163">
        <v>6</v>
      </c>
      <c r="U3163" t="s">
        <v>28</v>
      </c>
      <c r="V3163" t="s">
        <v>28</v>
      </c>
      <c r="W3163">
        <v>15</v>
      </c>
      <c r="X3163">
        <v>2.8479999999999999</v>
      </c>
      <c r="Y3163" s="6">
        <f t="shared" si="58"/>
        <v>0.45315560241488806</v>
      </c>
      <c r="Z3163">
        <f>3.033-X3163</f>
        <v>0.18500000000000005</v>
      </c>
      <c r="AA3163" s="6"/>
      <c r="AB3163" s="6"/>
    </row>
    <row r="3164" spans="1:28" x14ac:dyDescent="0.2">
      <c r="A3164" t="s">
        <v>399</v>
      </c>
      <c r="B3164">
        <v>2013</v>
      </c>
      <c r="C3164" t="s">
        <v>811</v>
      </c>
      <c r="D3164" t="s">
        <v>818</v>
      </c>
      <c r="E3164" t="s">
        <v>167</v>
      </c>
      <c r="F3164" t="s">
        <v>400</v>
      </c>
      <c r="G3164">
        <v>-39.85</v>
      </c>
      <c r="H3164">
        <v>-73.383333329999999</v>
      </c>
      <c r="I3164" t="s">
        <v>769</v>
      </c>
      <c r="J3164" s="2" t="s">
        <v>7</v>
      </c>
      <c r="K3164" t="s">
        <v>95</v>
      </c>
      <c r="L3164" t="s">
        <v>143</v>
      </c>
      <c r="M3164" t="s">
        <v>637</v>
      </c>
      <c r="N3164" t="s">
        <v>86</v>
      </c>
      <c r="O3164" s="6" t="s">
        <v>404</v>
      </c>
      <c r="P3164" t="s">
        <v>147</v>
      </c>
      <c r="Q3164">
        <f>4/24</f>
        <v>0.16666666666666666</v>
      </c>
      <c r="R3164" t="s">
        <v>214</v>
      </c>
      <c r="S3164" s="2" t="s">
        <v>7</v>
      </c>
      <c r="T3164">
        <v>6</v>
      </c>
      <c r="U3164" t="s">
        <v>28</v>
      </c>
      <c r="V3164" t="s">
        <v>28</v>
      </c>
      <c r="W3164">
        <v>15</v>
      </c>
      <c r="X3164">
        <v>2.37</v>
      </c>
      <c r="Y3164" s="6">
        <f t="shared" si="58"/>
        <v>0.58787753826796318</v>
      </c>
      <c r="Z3164">
        <f>X3164-2.13</f>
        <v>0.24000000000000021</v>
      </c>
      <c r="AA3164" s="6"/>
      <c r="AB3164" s="6"/>
    </row>
    <row r="3165" spans="1:28" x14ac:dyDescent="0.2">
      <c r="A3165" t="s">
        <v>399</v>
      </c>
      <c r="B3165">
        <v>2013</v>
      </c>
      <c r="C3165" t="s">
        <v>811</v>
      </c>
      <c r="D3165" t="s">
        <v>818</v>
      </c>
      <c r="E3165" t="s">
        <v>167</v>
      </c>
      <c r="F3165" t="s">
        <v>400</v>
      </c>
      <c r="G3165">
        <v>-39.85</v>
      </c>
      <c r="H3165">
        <v>-73.383333329999999</v>
      </c>
      <c r="I3165" t="s">
        <v>769</v>
      </c>
      <c r="J3165" s="2" t="s">
        <v>7</v>
      </c>
      <c r="K3165" t="s">
        <v>95</v>
      </c>
      <c r="L3165" t="s">
        <v>143</v>
      </c>
      <c r="M3165" t="s">
        <v>637</v>
      </c>
      <c r="N3165" t="s">
        <v>86</v>
      </c>
      <c r="O3165" s="6" t="s">
        <v>404</v>
      </c>
      <c r="P3165" t="s">
        <v>147</v>
      </c>
      <c r="Q3165">
        <f>6/24</f>
        <v>0.25</v>
      </c>
      <c r="R3165" t="s">
        <v>214</v>
      </c>
      <c r="S3165" s="2" t="s">
        <v>7</v>
      </c>
      <c r="T3165">
        <v>6</v>
      </c>
      <c r="U3165" t="s">
        <v>28</v>
      </c>
      <c r="V3165" t="s">
        <v>28</v>
      </c>
      <c r="W3165">
        <v>15</v>
      </c>
      <c r="X3165">
        <v>2.37</v>
      </c>
      <c r="Y3165" s="6">
        <f t="shared" ref="Y3165:Y3176" si="59">Z3165*SQRT(T3165)</f>
        <v>0.45070611267210403</v>
      </c>
      <c r="Z3165">
        <f>2.554-X3165</f>
        <v>0.18399999999999972</v>
      </c>
      <c r="AA3165" s="6"/>
      <c r="AB3165" s="6"/>
    </row>
    <row r="3166" spans="1:28" x14ac:dyDescent="0.2">
      <c r="A3166" t="s">
        <v>399</v>
      </c>
      <c r="B3166">
        <v>2013</v>
      </c>
      <c r="C3166" t="s">
        <v>811</v>
      </c>
      <c r="D3166" t="s">
        <v>818</v>
      </c>
      <c r="E3166" t="s">
        <v>167</v>
      </c>
      <c r="F3166" t="s">
        <v>400</v>
      </c>
      <c r="G3166">
        <v>-39.85</v>
      </c>
      <c r="H3166">
        <v>-73.383333329999999</v>
      </c>
      <c r="I3166" t="s">
        <v>769</v>
      </c>
      <c r="J3166" s="2" t="s">
        <v>7</v>
      </c>
      <c r="K3166" t="s">
        <v>95</v>
      </c>
      <c r="L3166" t="s">
        <v>143</v>
      </c>
      <c r="M3166" t="s">
        <v>637</v>
      </c>
      <c r="N3166" t="s">
        <v>86</v>
      </c>
      <c r="O3166" s="6" t="s">
        <v>404</v>
      </c>
      <c r="P3166" t="s">
        <v>147</v>
      </c>
      <c r="Q3166">
        <f>12/24</f>
        <v>0.5</v>
      </c>
      <c r="R3166" t="s">
        <v>214</v>
      </c>
      <c r="S3166" s="2" t="s">
        <v>7</v>
      </c>
      <c r="T3166">
        <v>6</v>
      </c>
      <c r="U3166" t="s">
        <v>28</v>
      </c>
      <c r="V3166" t="s">
        <v>28</v>
      </c>
      <c r="W3166">
        <v>15</v>
      </c>
      <c r="X3166">
        <v>2.1960000000000002</v>
      </c>
      <c r="Y3166" s="6">
        <f t="shared" si="59"/>
        <v>0.45070611267210403</v>
      </c>
      <c r="Z3166">
        <f>2.38-X3166</f>
        <v>0.18399999999999972</v>
      </c>
      <c r="AA3166" s="6"/>
      <c r="AB3166" s="6"/>
    </row>
    <row r="3167" spans="1:28" x14ac:dyDescent="0.2">
      <c r="A3167" t="s">
        <v>399</v>
      </c>
      <c r="B3167">
        <v>2013</v>
      </c>
      <c r="C3167" t="s">
        <v>811</v>
      </c>
      <c r="D3167" t="s">
        <v>818</v>
      </c>
      <c r="E3167" t="s">
        <v>167</v>
      </c>
      <c r="F3167" t="s">
        <v>400</v>
      </c>
      <c r="G3167">
        <v>-39.85</v>
      </c>
      <c r="H3167">
        <v>-73.383333329999999</v>
      </c>
      <c r="I3167" t="s">
        <v>769</v>
      </c>
      <c r="J3167" s="2" t="s">
        <v>7</v>
      </c>
      <c r="K3167" t="s">
        <v>95</v>
      </c>
      <c r="L3167" t="s">
        <v>143</v>
      </c>
      <c r="M3167" t="s">
        <v>637</v>
      </c>
      <c r="N3167" t="s">
        <v>86</v>
      </c>
      <c r="O3167" s="6" t="s">
        <v>404</v>
      </c>
      <c r="P3167" t="s">
        <v>147</v>
      </c>
      <c r="Q3167">
        <v>1</v>
      </c>
      <c r="R3167" t="s">
        <v>214</v>
      </c>
      <c r="S3167" s="2" t="s">
        <v>7</v>
      </c>
      <c r="T3167">
        <v>6</v>
      </c>
      <c r="U3167" t="s">
        <v>28</v>
      </c>
      <c r="V3167" t="s">
        <v>28</v>
      </c>
      <c r="W3167">
        <v>15</v>
      </c>
      <c r="X3167">
        <v>2.4020000000000001</v>
      </c>
      <c r="Y3167" s="6">
        <f t="shared" si="59"/>
        <v>0.26699438196336633</v>
      </c>
      <c r="Z3167">
        <f>X3167-2.293</f>
        <v>0.10899999999999999</v>
      </c>
      <c r="AA3167" s="6"/>
      <c r="AB3167" s="6"/>
    </row>
    <row r="3168" spans="1:28" x14ac:dyDescent="0.2">
      <c r="A3168" t="s">
        <v>399</v>
      </c>
      <c r="B3168">
        <v>2013</v>
      </c>
      <c r="C3168" t="s">
        <v>811</v>
      </c>
      <c r="D3168" t="s">
        <v>818</v>
      </c>
      <c r="E3168" t="s">
        <v>167</v>
      </c>
      <c r="F3168" t="s">
        <v>400</v>
      </c>
      <c r="G3168">
        <v>-39.85</v>
      </c>
      <c r="H3168">
        <v>-73.383333329999999</v>
      </c>
      <c r="I3168" t="s">
        <v>769</v>
      </c>
      <c r="J3168" s="2" t="s">
        <v>7</v>
      </c>
      <c r="K3168" t="s">
        <v>95</v>
      </c>
      <c r="L3168" t="s">
        <v>143</v>
      </c>
      <c r="M3168" t="s">
        <v>637</v>
      </c>
      <c r="N3168" t="s">
        <v>86</v>
      </c>
      <c r="O3168" s="6" t="s">
        <v>404</v>
      </c>
      <c r="P3168" t="s">
        <v>147</v>
      </c>
      <c r="Q3168">
        <v>2</v>
      </c>
      <c r="R3168" t="s">
        <v>214</v>
      </c>
      <c r="S3168" s="2" t="s">
        <v>7</v>
      </c>
      <c r="T3168">
        <v>6</v>
      </c>
      <c r="U3168" t="s">
        <v>28</v>
      </c>
      <c r="V3168" t="s">
        <v>28</v>
      </c>
      <c r="W3168">
        <v>15</v>
      </c>
      <c r="X3168">
        <v>2.4460000000000002</v>
      </c>
      <c r="Y3168" s="6">
        <f t="shared" si="59"/>
        <v>0.45315560241488806</v>
      </c>
      <c r="Z3168">
        <f>X3168-2.261</f>
        <v>0.18500000000000005</v>
      </c>
      <c r="AA3168" s="6"/>
      <c r="AB3168" s="6"/>
    </row>
    <row r="3169" spans="1:28" x14ac:dyDescent="0.2">
      <c r="A3169" t="s">
        <v>399</v>
      </c>
      <c r="B3169">
        <v>2013</v>
      </c>
      <c r="C3169" t="s">
        <v>811</v>
      </c>
      <c r="D3169" t="s">
        <v>818</v>
      </c>
      <c r="E3169" t="s">
        <v>167</v>
      </c>
      <c r="F3169" t="s">
        <v>400</v>
      </c>
      <c r="G3169">
        <v>-39.85</v>
      </c>
      <c r="H3169">
        <v>-73.383333329999999</v>
      </c>
      <c r="I3169" t="s">
        <v>769</v>
      </c>
      <c r="J3169" s="2" t="s">
        <v>7</v>
      </c>
      <c r="K3169" t="s">
        <v>95</v>
      </c>
      <c r="L3169" t="s">
        <v>143</v>
      </c>
      <c r="M3169" t="s">
        <v>637</v>
      </c>
      <c r="N3169" t="s">
        <v>86</v>
      </c>
      <c r="O3169" s="6" t="s">
        <v>404</v>
      </c>
      <c r="P3169" t="s">
        <v>147</v>
      </c>
      <c r="Q3169">
        <v>3</v>
      </c>
      <c r="R3169" t="s">
        <v>213</v>
      </c>
      <c r="S3169" s="2" t="s">
        <v>7</v>
      </c>
      <c r="T3169">
        <v>6</v>
      </c>
      <c r="U3169" t="s">
        <v>28</v>
      </c>
      <c r="V3169" t="s">
        <v>28</v>
      </c>
      <c r="W3169">
        <v>15</v>
      </c>
      <c r="X3169">
        <v>2.4239999999999999</v>
      </c>
      <c r="Y3169" s="6">
        <f t="shared" si="59"/>
        <v>0.45315560241488806</v>
      </c>
      <c r="Z3169">
        <f>2.609-X3169</f>
        <v>0.18500000000000005</v>
      </c>
      <c r="AA3169" s="6"/>
      <c r="AB3169" s="6"/>
    </row>
    <row r="3170" spans="1:28" x14ac:dyDescent="0.2">
      <c r="A3170" t="s">
        <v>399</v>
      </c>
      <c r="B3170">
        <v>2013</v>
      </c>
      <c r="C3170" t="s">
        <v>811</v>
      </c>
      <c r="D3170" t="s">
        <v>818</v>
      </c>
      <c r="E3170" t="s">
        <v>167</v>
      </c>
      <c r="F3170" t="s">
        <v>400</v>
      </c>
      <c r="G3170">
        <v>-39.85</v>
      </c>
      <c r="H3170">
        <v>-73.383333329999999</v>
      </c>
      <c r="I3170" t="s">
        <v>769</v>
      </c>
      <c r="J3170" s="2" t="s">
        <v>14</v>
      </c>
      <c r="K3170" t="s">
        <v>95</v>
      </c>
      <c r="L3170" t="s">
        <v>143</v>
      </c>
      <c r="M3170" t="s">
        <v>637</v>
      </c>
      <c r="N3170" t="s">
        <v>86</v>
      </c>
      <c r="O3170" s="6" t="s">
        <v>404</v>
      </c>
      <c r="P3170" t="s">
        <v>147</v>
      </c>
      <c r="Q3170">
        <f>2/24</f>
        <v>8.3333333333333329E-2</v>
      </c>
      <c r="R3170" t="s">
        <v>214</v>
      </c>
      <c r="S3170" s="2" t="s">
        <v>9</v>
      </c>
      <c r="T3170">
        <v>6</v>
      </c>
      <c r="U3170" t="s">
        <v>28</v>
      </c>
      <c r="V3170" t="s">
        <v>28</v>
      </c>
      <c r="W3170">
        <v>20</v>
      </c>
      <c r="X3170">
        <v>2.0539999999999998</v>
      </c>
      <c r="Y3170" s="6">
        <f t="shared" si="59"/>
        <v>0.10532805893967592</v>
      </c>
      <c r="Z3170">
        <f>X3170-2.011</f>
        <v>4.2999999999999705E-2</v>
      </c>
      <c r="AA3170" s="6"/>
      <c r="AB3170" s="6"/>
    </row>
    <row r="3171" spans="1:28" x14ac:dyDescent="0.2">
      <c r="A3171" t="s">
        <v>399</v>
      </c>
      <c r="B3171">
        <v>2013</v>
      </c>
      <c r="C3171" t="s">
        <v>811</v>
      </c>
      <c r="D3171" t="s">
        <v>818</v>
      </c>
      <c r="E3171" t="s">
        <v>167</v>
      </c>
      <c r="F3171" t="s">
        <v>400</v>
      </c>
      <c r="G3171">
        <v>-39.85</v>
      </c>
      <c r="H3171">
        <v>-73.383333329999999</v>
      </c>
      <c r="I3171" t="s">
        <v>769</v>
      </c>
      <c r="J3171" s="2" t="s">
        <v>14</v>
      </c>
      <c r="K3171" t="s">
        <v>95</v>
      </c>
      <c r="L3171" t="s">
        <v>143</v>
      </c>
      <c r="M3171" t="s">
        <v>637</v>
      </c>
      <c r="N3171" t="s">
        <v>86</v>
      </c>
      <c r="O3171" s="6" t="s">
        <v>404</v>
      </c>
      <c r="P3171" t="s">
        <v>147</v>
      </c>
      <c r="Q3171">
        <f>4/24</f>
        <v>0.16666666666666666</v>
      </c>
      <c r="R3171" t="s">
        <v>214</v>
      </c>
      <c r="S3171" s="2" t="s">
        <v>9</v>
      </c>
      <c r="T3171">
        <v>6</v>
      </c>
      <c r="U3171" t="s">
        <v>28</v>
      </c>
      <c r="V3171" t="s">
        <v>28</v>
      </c>
      <c r="W3171">
        <v>20</v>
      </c>
      <c r="X3171">
        <v>2.37</v>
      </c>
      <c r="Y3171" s="6">
        <f t="shared" si="59"/>
        <v>0.58787753826796318</v>
      </c>
      <c r="Z3171">
        <f>X3171-2.13</f>
        <v>0.24000000000000021</v>
      </c>
      <c r="AA3171" s="6"/>
      <c r="AB3171" s="6"/>
    </row>
    <row r="3172" spans="1:28" x14ac:dyDescent="0.2">
      <c r="A3172" t="s">
        <v>399</v>
      </c>
      <c r="B3172">
        <v>2013</v>
      </c>
      <c r="C3172" t="s">
        <v>811</v>
      </c>
      <c r="D3172" t="s">
        <v>818</v>
      </c>
      <c r="E3172" t="s">
        <v>167</v>
      </c>
      <c r="F3172" t="s">
        <v>400</v>
      </c>
      <c r="G3172">
        <v>-39.85</v>
      </c>
      <c r="H3172">
        <v>-73.383333329999999</v>
      </c>
      <c r="I3172" t="s">
        <v>769</v>
      </c>
      <c r="J3172" s="2" t="s">
        <v>14</v>
      </c>
      <c r="K3172" t="s">
        <v>95</v>
      </c>
      <c r="L3172" t="s">
        <v>143</v>
      </c>
      <c r="M3172" t="s">
        <v>637</v>
      </c>
      <c r="N3172" t="s">
        <v>86</v>
      </c>
      <c r="O3172" s="6" t="s">
        <v>404</v>
      </c>
      <c r="P3172" t="s">
        <v>147</v>
      </c>
      <c r="Q3172">
        <f>6/24</f>
        <v>0.25</v>
      </c>
      <c r="R3172" t="s">
        <v>214</v>
      </c>
      <c r="S3172" s="2" t="s">
        <v>9</v>
      </c>
      <c r="T3172">
        <v>6</v>
      </c>
      <c r="U3172" t="s">
        <v>28</v>
      </c>
      <c r="V3172" t="s">
        <v>28</v>
      </c>
      <c r="W3172">
        <v>20</v>
      </c>
      <c r="X3172">
        <v>2.109</v>
      </c>
      <c r="Y3172" s="6">
        <f t="shared" si="59"/>
        <v>0.56093315109734798</v>
      </c>
      <c r="Z3172">
        <f>X3172-1.88</f>
        <v>0.22900000000000009</v>
      </c>
      <c r="AA3172" s="6"/>
      <c r="AB3172" s="6"/>
    </row>
    <row r="3173" spans="1:28" x14ac:dyDescent="0.2">
      <c r="A3173" t="s">
        <v>399</v>
      </c>
      <c r="B3173">
        <v>2013</v>
      </c>
      <c r="C3173" t="s">
        <v>811</v>
      </c>
      <c r="D3173" t="s">
        <v>818</v>
      </c>
      <c r="E3173" t="s">
        <v>167</v>
      </c>
      <c r="F3173" t="s">
        <v>400</v>
      </c>
      <c r="G3173">
        <v>-39.85</v>
      </c>
      <c r="H3173">
        <v>-73.383333329999999</v>
      </c>
      <c r="I3173" t="s">
        <v>769</v>
      </c>
      <c r="J3173" s="2" t="s">
        <v>14</v>
      </c>
      <c r="K3173" t="s">
        <v>95</v>
      </c>
      <c r="L3173" t="s">
        <v>143</v>
      </c>
      <c r="M3173" t="s">
        <v>637</v>
      </c>
      <c r="N3173" t="s">
        <v>86</v>
      </c>
      <c r="O3173" s="6" t="s">
        <v>404</v>
      </c>
      <c r="P3173" t="s">
        <v>147</v>
      </c>
      <c r="Q3173">
        <f>12/24</f>
        <v>0.5</v>
      </c>
      <c r="R3173" t="s">
        <v>214</v>
      </c>
      <c r="S3173" s="2" t="s">
        <v>9</v>
      </c>
      <c r="T3173">
        <v>6</v>
      </c>
      <c r="U3173" t="s">
        <v>28</v>
      </c>
      <c r="V3173" t="s">
        <v>28</v>
      </c>
      <c r="W3173">
        <v>20</v>
      </c>
      <c r="X3173">
        <v>3.4350000000000001</v>
      </c>
      <c r="Y3173" s="6">
        <f t="shared" si="59"/>
        <v>0.53398876392673267</v>
      </c>
      <c r="Z3173">
        <f>X3173-3.217</f>
        <v>0.21799999999999997</v>
      </c>
      <c r="AA3173" s="6"/>
      <c r="AB3173" s="6"/>
    </row>
    <row r="3174" spans="1:28" x14ac:dyDescent="0.2">
      <c r="A3174" t="s">
        <v>399</v>
      </c>
      <c r="B3174">
        <v>2013</v>
      </c>
      <c r="C3174" t="s">
        <v>811</v>
      </c>
      <c r="D3174" t="s">
        <v>818</v>
      </c>
      <c r="E3174" t="s">
        <v>167</v>
      </c>
      <c r="F3174" t="s">
        <v>400</v>
      </c>
      <c r="G3174">
        <v>-39.85</v>
      </c>
      <c r="H3174">
        <v>-73.383333329999999</v>
      </c>
      <c r="I3174" t="s">
        <v>769</v>
      </c>
      <c r="J3174" s="2" t="s">
        <v>14</v>
      </c>
      <c r="K3174" t="s">
        <v>95</v>
      </c>
      <c r="L3174" t="s">
        <v>143</v>
      </c>
      <c r="M3174" t="s">
        <v>637</v>
      </c>
      <c r="N3174" t="s">
        <v>86</v>
      </c>
      <c r="O3174" s="6" t="s">
        <v>404</v>
      </c>
      <c r="P3174" t="s">
        <v>147</v>
      </c>
      <c r="Q3174">
        <v>1</v>
      </c>
      <c r="R3174" t="s">
        <v>214</v>
      </c>
      <c r="S3174" s="2" t="s">
        <v>9</v>
      </c>
      <c r="T3174">
        <v>6</v>
      </c>
      <c r="U3174" t="s">
        <v>28</v>
      </c>
      <c r="V3174" t="s">
        <v>28</v>
      </c>
      <c r="W3174">
        <v>20</v>
      </c>
      <c r="X3174">
        <v>3.3370000000000002</v>
      </c>
      <c r="Y3174" s="6">
        <f t="shared" si="59"/>
        <v>0.50704437675611858</v>
      </c>
      <c r="Z3174">
        <f>X3174-3.13</f>
        <v>0.20700000000000029</v>
      </c>
      <c r="AA3174" s="6"/>
      <c r="AB3174" s="6"/>
    </row>
    <row r="3175" spans="1:28" x14ac:dyDescent="0.2">
      <c r="A3175" t="s">
        <v>399</v>
      </c>
      <c r="B3175">
        <v>2013</v>
      </c>
      <c r="C3175" t="s">
        <v>811</v>
      </c>
      <c r="D3175" t="s">
        <v>818</v>
      </c>
      <c r="E3175" t="s">
        <v>167</v>
      </c>
      <c r="F3175" t="s">
        <v>400</v>
      </c>
      <c r="G3175">
        <v>-39.85</v>
      </c>
      <c r="H3175">
        <v>-73.383333329999999</v>
      </c>
      <c r="I3175" t="s">
        <v>769</v>
      </c>
      <c r="J3175" s="2" t="s">
        <v>14</v>
      </c>
      <c r="K3175" t="s">
        <v>95</v>
      </c>
      <c r="L3175" t="s">
        <v>143</v>
      </c>
      <c r="M3175" t="s">
        <v>637</v>
      </c>
      <c r="N3175" t="s">
        <v>86</v>
      </c>
      <c r="O3175" s="6" t="s">
        <v>404</v>
      </c>
      <c r="P3175" t="s">
        <v>147</v>
      </c>
      <c r="Q3175">
        <v>2</v>
      </c>
      <c r="R3175" t="s">
        <v>214</v>
      </c>
      <c r="S3175" s="2" t="s">
        <v>9</v>
      </c>
      <c r="T3175">
        <v>6</v>
      </c>
      <c r="U3175" t="s">
        <v>28</v>
      </c>
      <c r="V3175" t="s">
        <v>28</v>
      </c>
      <c r="W3175">
        <v>20</v>
      </c>
      <c r="X3175">
        <v>2.62</v>
      </c>
      <c r="Y3175" s="6">
        <f t="shared" si="59"/>
        <v>0.39926682807365754</v>
      </c>
      <c r="Z3175">
        <f>2.783-X3175</f>
        <v>0.16299999999999981</v>
      </c>
      <c r="AA3175" s="6"/>
      <c r="AB3175" s="6"/>
    </row>
    <row r="3176" spans="1:28" x14ac:dyDescent="0.2">
      <c r="A3176" t="s">
        <v>399</v>
      </c>
      <c r="B3176">
        <v>2013</v>
      </c>
      <c r="C3176" t="s">
        <v>811</v>
      </c>
      <c r="D3176" t="s">
        <v>818</v>
      </c>
      <c r="E3176" t="s">
        <v>167</v>
      </c>
      <c r="F3176" t="s">
        <v>400</v>
      </c>
      <c r="G3176">
        <v>-39.85</v>
      </c>
      <c r="H3176">
        <v>-73.383333329999999</v>
      </c>
      <c r="I3176" t="s">
        <v>769</v>
      </c>
      <c r="J3176" s="2" t="s">
        <v>14</v>
      </c>
      <c r="K3176" t="s">
        <v>95</v>
      </c>
      <c r="L3176" t="s">
        <v>143</v>
      </c>
      <c r="M3176" t="s">
        <v>637</v>
      </c>
      <c r="N3176" t="s">
        <v>86</v>
      </c>
      <c r="O3176" s="6" t="s">
        <v>404</v>
      </c>
      <c r="P3176" t="s">
        <v>147</v>
      </c>
      <c r="Q3176">
        <v>3</v>
      </c>
      <c r="R3176" t="s">
        <v>213</v>
      </c>
      <c r="S3176" s="2" t="s">
        <v>9</v>
      </c>
      <c r="T3176">
        <v>6</v>
      </c>
      <c r="U3176" t="s">
        <v>28</v>
      </c>
      <c r="V3176" t="s">
        <v>28</v>
      </c>
      <c r="W3176">
        <v>20</v>
      </c>
      <c r="X3176">
        <v>3.5219999999999998</v>
      </c>
      <c r="Y3176" s="6">
        <f t="shared" si="59"/>
        <v>0.26454489222058347</v>
      </c>
      <c r="Z3176">
        <f>3.63-X3176</f>
        <v>0.1080000000000001</v>
      </c>
      <c r="AA3176" s="6"/>
      <c r="AB3176" s="6"/>
    </row>
    <row r="3177" spans="1:28" x14ac:dyDescent="0.2">
      <c r="A3177" t="s">
        <v>405</v>
      </c>
      <c r="B3177">
        <v>2018</v>
      </c>
      <c r="C3177" t="s">
        <v>826</v>
      </c>
      <c r="D3177" t="s">
        <v>824</v>
      </c>
      <c r="E3177" t="s">
        <v>114</v>
      </c>
      <c r="F3177" t="s">
        <v>406</v>
      </c>
      <c r="G3177">
        <v>34.516666669999999</v>
      </c>
      <c r="H3177">
        <v>126.21666667</v>
      </c>
      <c r="I3177" t="s">
        <v>770</v>
      </c>
      <c r="J3177" s="2" t="s">
        <v>7</v>
      </c>
      <c r="K3177" t="s">
        <v>144</v>
      </c>
      <c r="L3177" t="s">
        <v>144</v>
      </c>
      <c r="M3177" t="s">
        <v>73</v>
      </c>
      <c r="N3177" t="s">
        <v>85</v>
      </c>
      <c r="O3177" s="6" t="s">
        <v>146</v>
      </c>
      <c r="P3177" t="s">
        <v>78</v>
      </c>
      <c r="Q3177">
        <v>0.5</v>
      </c>
      <c r="R3177" t="s">
        <v>213</v>
      </c>
      <c r="S3177" s="2" t="s">
        <v>7</v>
      </c>
      <c r="T3177">
        <v>4</v>
      </c>
      <c r="U3177">
        <v>8.1</v>
      </c>
      <c r="V3177">
        <v>393.47</v>
      </c>
      <c r="W3177" t="s">
        <v>28</v>
      </c>
      <c r="X3177">
        <v>28.49</v>
      </c>
      <c r="Y3177" s="6">
        <f>30.02-X3177</f>
        <v>1.5300000000000011</v>
      </c>
      <c r="AA3177" s="6"/>
      <c r="AB3177" s="6"/>
    </row>
    <row r="3178" spans="1:28" x14ac:dyDescent="0.2">
      <c r="A3178" t="s">
        <v>405</v>
      </c>
      <c r="B3178">
        <v>2018</v>
      </c>
      <c r="C3178" t="s">
        <v>826</v>
      </c>
      <c r="D3178" t="s">
        <v>824</v>
      </c>
      <c r="E3178" t="s">
        <v>114</v>
      </c>
      <c r="F3178" t="s">
        <v>406</v>
      </c>
      <c r="G3178">
        <v>34.516666669999999</v>
      </c>
      <c r="H3178">
        <v>126.21666667</v>
      </c>
      <c r="I3178" t="s">
        <v>770</v>
      </c>
      <c r="J3178" s="2" t="s">
        <v>5</v>
      </c>
      <c r="K3178" t="s">
        <v>144</v>
      </c>
      <c r="L3178" t="s">
        <v>144</v>
      </c>
      <c r="M3178" t="s">
        <v>73</v>
      </c>
      <c r="N3178" t="s">
        <v>85</v>
      </c>
      <c r="O3178" s="6" t="s">
        <v>146</v>
      </c>
      <c r="P3178" t="s">
        <v>78</v>
      </c>
      <c r="Q3178">
        <v>0.5</v>
      </c>
      <c r="R3178" t="s">
        <v>213</v>
      </c>
      <c r="S3178" s="2" t="s">
        <v>9</v>
      </c>
      <c r="T3178">
        <v>4</v>
      </c>
      <c r="U3178">
        <v>7.5</v>
      </c>
      <c r="V3178">
        <v>1759.88</v>
      </c>
      <c r="W3178" t="s">
        <v>28</v>
      </c>
      <c r="X3178">
        <v>31.13</v>
      </c>
      <c r="Y3178" s="6">
        <f>33.97-X3178</f>
        <v>2.84</v>
      </c>
      <c r="AA3178" s="6"/>
      <c r="AB3178" s="6"/>
    </row>
    <row r="3179" spans="1:28" x14ac:dyDescent="0.2">
      <c r="A3179" t="s">
        <v>405</v>
      </c>
      <c r="B3179">
        <v>2018</v>
      </c>
      <c r="C3179" t="s">
        <v>826</v>
      </c>
      <c r="D3179" t="s">
        <v>824</v>
      </c>
      <c r="E3179" t="s">
        <v>114</v>
      </c>
      <c r="F3179" t="s">
        <v>406</v>
      </c>
      <c r="G3179">
        <v>34.516666669999999</v>
      </c>
      <c r="H3179">
        <v>126.21666667</v>
      </c>
      <c r="I3179" t="s">
        <v>770</v>
      </c>
      <c r="J3179" s="2" t="s">
        <v>7</v>
      </c>
      <c r="K3179" t="s">
        <v>144</v>
      </c>
      <c r="L3179" t="s">
        <v>144</v>
      </c>
      <c r="M3179" t="s">
        <v>73</v>
      </c>
      <c r="N3179" t="s">
        <v>85</v>
      </c>
      <c r="O3179" s="6" t="s">
        <v>845</v>
      </c>
      <c r="P3179" t="s">
        <v>70</v>
      </c>
      <c r="Q3179">
        <v>0.5</v>
      </c>
      <c r="R3179" t="s">
        <v>213</v>
      </c>
      <c r="S3179" s="2" t="s">
        <v>7</v>
      </c>
      <c r="T3179">
        <v>4</v>
      </c>
      <c r="U3179">
        <v>8.1</v>
      </c>
      <c r="V3179">
        <v>393.47</v>
      </c>
      <c r="W3179" t="s">
        <v>28</v>
      </c>
      <c r="X3179">
        <v>63.37</v>
      </c>
      <c r="Y3179">
        <f>64.83-X3179</f>
        <v>1.4600000000000009</v>
      </c>
      <c r="AA3179" s="6"/>
      <c r="AB3179" s="6"/>
    </row>
    <row r="3180" spans="1:28" x14ac:dyDescent="0.2">
      <c r="A3180" t="s">
        <v>405</v>
      </c>
      <c r="B3180">
        <v>2018</v>
      </c>
      <c r="C3180" t="s">
        <v>826</v>
      </c>
      <c r="D3180" t="s">
        <v>824</v>
      </c>
      <c r="E3180" t="s">
        <v>114</v>
      </c>
      <c r="F3180" t="s">
        <v>406</v>
      </c>
      <c r="G3180">
        <v>34.516666669999999</v>
      </c>
      <c r="H3180">
        <v>126.21666667</v>
      </c>
      <c r="I3180" t="s">
        <v>770</v>
      </c>
      <c r="J3180" s="2" t="s">
        <v>5</v>
      </c>
      <c r="K3180" t="s">
        <v>144</v>
      </c>
      <c r="L3180" t="s">
        <v>144</v>
      </c>
      <c r="M3180" t="s">
        <v>73</v>
      </c>
      <c r="N3180" t="s">
        <v>85</v>
      </c>
      <c r="O3180" s="6" t="s">
        <v>845</v>
      </c>
      <c r="P3180" t="s">
        <v>70</v>
      </c>
      <c r="Q3180">
        <v>0.5</v>
      </c>
      <c r="R3180" t="s">
        <v>213</v>
      </c>
      <c r="S3180" s="2" t="s">
        <v>9</v>
      </c>
      <c r="T3180">
        <v>4</v>
      </c>
      <c r="U3180">
        <v>7.5</v>
      </c>
      <c r="V3180">
        <v>1759.88</v>
      </c>
      <c r="W3180" t="s">
        <v>28</v>
      </c>
      <c r="X3180">
        <v>75.28</v>
      </c>
      <c r="Y3180">
        <f>76.07-X3180</f>
        <v>0.78999999999999204</v>
      </c>
      <c r="AA3180" s="6"/>
      <c r="AB3180" s="6"/>
    </row>
    <row r="3181" spans="1:28" x14ac:dyDescent="0.2">
      <c r="A3181" t="s">
        <v>405</v>
      </c>
      <c r="B3181">
        <v>2018</v>
      </c>
      <c r="C3181" t="s">
        <v>826</v>
      </c>
      <c r="D3181" t="s">
        <v>824</v>
      </c>
      <c r="E3181" t="s">
        <v>114</v>
      </c>
      <c r="F3181" t="s">
        <v>406</v>
      </c>
      <c r="G3181">
        <v>34.516666669999999</v>
      </c>
      <c r="H3181">
        <v>126.21666667</v>
      </c>
      <c r="I3181" t="s">
        <v>770</v>
      </c>
      <c r="J3181" s="2" t="s">
        <v>7</v>
      </c>
      <c r="K3181" t="s">
        <v>144</v>
      </c>
      <c r="L3181" t="s">
        <v>144</v>
      </c>
      <c r="M3181" s="6" t="s">
        <v>73</v>
      </c>
      <c r="N3181" t="s">
        <v>85</v>
      </c>
      <c r="O3181" s="6" t="s">
        <v>407</v>
      </c>
      <c r="P3181" t="s">
        <v>78</v>
      </c>
      <c r="Q3181">
        <v>0.5</v>
      </c>
      <c r="R3181" t="s">
        <v>213</v>
      </c>
      <c r="S3181" s="2" t="s">
        <v>7</v>
      </c>
      <c r="T3181">
        <v>4</v>
      </c>
      <c r="U3181">
        <v>8.1</v>
      </c>
      <c r="V3181">
        <v>393.47</v>
      </c>
      <c r="W3181" t="s">
        <v>28</v>
      </c>
      <c r="X3181">
        <v>0.25950000000000001</v>
      </c>
      <c r="Y3181">
        <f>0.2846-X3181</f>
        <v>2.5100000000000011E-2</v>
      </c>
      <c r="AA3181" s="6"/>
      <c r="AB3181" s="6"/>
    </row>
    <row r="3182" spans="1:28" x14ac:dyDescent="0.2">
      <c r="A3182" t="s">
        <v>405</v>
      </c>
      <c r="B3182">
        <v>2018</v>
      </c>
      <c r="C3182" t="s">
        <v>826</v>
      </c>
      <c r="D3182" t="s">
        <v>824</v>
      </c>
      <c r="E3182" t="s">
        <v>114</v>
      </c>
      <c r="F3182" t="s">
        <v>406</v>
      </c>
      <c r="G3182">
        <v>34.516666669999999</v>
      </c>
      <c r="H3182">
        <v>126.21666667</v>
      </c>
      <c r="I3182" t="s">
        <v>770</v>
      </c>
      <c r="J3182" s="2" t="s">
        <v>5</v>
      </c>
      <c r="K3182" t="s">
        <v>144</v>
      </c>
      <c r="L3182" t="s">
        <v>144</v>
      </c>
      <c r="M3182" s="6" t="s">
        <v>73</v>
      </c>
      <c r="N3182" t="s">
        <v>85</v>
      </c>
      <c r="O3182" s="6" t="s">
        <v>407</v>
      </c>
      <c r="P3182" t="s">
        <v>78</v>
      </c>
      <c r="Q3182">
        <v>0.5</v>
      </c>
      <c r="R3182" t="s">
        <v>213</v>
      </c>
      <c r="S3182" s="2" t="s">
        <v>9</v>
      </c>
      <c r="T3182">
        <v>4</v>
      </c>
      <c r="U3182">
        <v>7.5</v>
      </c>
      <c r="V3182">
        <v>1759.88</v>
      </c>
      <c r="W3182" t="s">
        <v>28</v>
      </c>
      <c r="X3182">
        <v>0.28460000000000002</v>
      </c>
      <c r="Y3182">
        <f>0.3181-X3182</f>
        <v>3.3499999999999974E-2</v>
      </c>
      <c r="AA3182" s="6"/>
      <c r="AB3182" s="6"/>
    </row>
    <row r="3183" spans="1:28" x14ac:dyDescent="0.2">
      <c r="A3183" t="s">
        <v>405</v>
      </c>
      <c r="B3183">
        <v>2018</v>
      </c>
      <c r="C3183" t="s">
        <v>826</v>
      </c>
      <c r="D3183" t="s">
        <v>824</v>
      </c>
      <c r="E3183" t="s">
        <v>114</v>
      </c>
      <c r="F3183" t="s">
        <v>406</v>
      </c>
      <c r="G3183">
        <v>34.516666669999999</v>
      </c>
      <c r="H3183">
        <v>126.21666667</v>
      </c>
      <c r="I3183" t="s">
        <v>770</v>
      </c>
      <c r="J3183" s="2" t="s">
        <v>7</v>
      </c>
      <c r="K3183" t="s">
        <v>144</v>
      </c>
      <c r="L3183" t="s">
        <v>144</v>
      </c>
      <c r="M3183" t="s">
        <v>26</v>
      </c>
      <c r="N3183" t="s">
        <v>85</v>
      </c>
      <c r="O3183" t="s">
        <v>839</v>
      </c>
      <c r="P3183" t="s">
        <v>72</v>
      </c>
      <c r="Q3183">
        <v>12</v>
      </c>
      <c r="R3183" t="s">
        <v>213</v>
      </c>
      <c r="S3183" s="2" t="s">
        <v>7</v>
      </c>
      <c r="T3183">
        <v>4</v>
      </c>
      <c r="U3183">
        <v>8.1</v>
      </c>
      <c r="V3183">
        <v>393.47</v>
      </c>
      <c r="W3183" t="s">
        <v>28</v>
      </c>
      <c r="X3183">
        <v>2.661</v>
      </c>
      <c r="Y3183">
        <f>2.934-X3183</f>
        <v>0.27300000000000013</v>
      </c>
      <c r="AA3183" s="6"/>
      <c r="AB3183" s="6"/>
    </row>
    <row r="3184" spans="1:28" x14ac:dyDescent="0.2">
      <c r="A3184" t="s">
        <v>405</v>
      </c>
      <c r="B3184">
        <v>2018</v>
      </c>
      <c r="C3184" t="s">
        <v>826</v>
      </c>
      <c r="D3184" t="s">
        <v>824</v>
      </c>
      <c r="E3184" t="s">
        <v>114</v>
      </c>
      <c r="F3184" t="s">
        <v>406</v>
      </c>
      <c r="G3184">
        <v>34.516666669999999</v>
      </c>
      <c r="H3184">
        <v>126.21666667</v>
      </c>
      <c r="I3184" t="s">
        <v>770</v>
      </c>
      <c r="J3184" s="2" t="s">
        <v>5</v>
      </c>
      <c r="K3184" t="s">
        <v>144</v>
      </c>
      <c r="L3184" t="s">
        <v>144</v>
      </c>
      <c r="M3184" t="s">
        <v>26</v>
      </c>
      <c r="N3184" t="s">
        <v>85</v>
      </c>
      <c r="O3184" t="s">
        <v>839</v>
      </c>
      <c r="P3184" t="s">
        <v>72</v>
      </c>
      <c r="Q3184">
        <v>12</v>
      </c>
      <c r="R3184" t="s">
        <v>213</v>
      </c>
      <c r="S3184" s="2" t="s">
        <v>9</v>
      </c>
      <c r="T3184">
        <v>4</v>
      </c>
      <c r="U3184">
        <v>7.5</v>
      </c>
      <c r="V3184">
        <v>1759.88</v>
      </c>
      <c r="W3184" t="s">
        <v>28</v>
      </c>
      <c r="X3184">
        <v>2.8690000000000002</v>
      </c>
      <c r="Y3184">
        <f>3.084-X3184</f>
        <v>0.21499999999999986</v>
      </c>
      <c r="AA3184" s="6"/>
      <c r="AB3184" s="6"/>
    </row>
    <row r="3185" spans="1:28" x14ac:dyDescent="0.2">
      <c r="A3185" t="s">
        <v>405</v>
      </c>
      <c r="B3185">
        <v>2018</v>
      </c>
      <c r="C3185" t="s">
        <v>826</v>
      </c>
      <c r="D3185" t="s">
        <v>824</v>
      </c>
      <c r="E3185" t="s">
        <v>114</v>
      </c>
      <c r="F3185" t="s">
        <v>406</v>
      </c>
      <c r="G3185">
        <v>34.516666669999999</v>
      </c>
      <c r="H3185">
        <v>126.21666667</v>
      </c>
      <c r="I3185" t="s">
        <v>770</v>
      </c>
      <c r="J3185" s="2" t="s">
        <v>7</v>
      </c>
      <c r="K3185" t="s">
        <v>144</v>
      </c>
      <c r="L3185" t="s">
        <v>144</v>
      </c>
      <c r="M3185" t="s">
        <v>726</v>
      </c>
      <c r="N3185" t="s">
        <v>85</v>
      </c>
      <c r="O3185" s="6" t="s">
        <v>84</v>
      </c>
      <c r="Q3185">
        <v>12</v>
      </c>
      <c r="R3185" t="s">
        <v>213</v>
      </c>
      <c r="S3185" s="2" t="s">
        <v>7</v>
      </c>
      <c r="T3185">
        <v>4</v>
      </c>
      <c r="U3185">
        <v>8.1</v>
      </c>
      <c r="V3185">
        <v>393.47</v>
      </c>
      <c r="W3185" t="s">
        <v>28</v>
      </c>
      <c r="X3185">
        <v>0.57020000000000004</v>
      </c>
      <c r="Y3185">
        <f>0.6028-X3185</f>
        <v>3.2599999999999962E-2</v>
      </c>
      <c r="AA3185" s="6"/>
      <c r="AB3185" s="6"/>
    </row>
    <row r="3186" spans="1:28" x14ac:dyDescent="0.2">
      <c r="A3186" t="s">
        <v>405</v>
      </c>
      <c r="B3186">
        <v>2018</v>
      </c>
      <c r="C3186" t="s">
        <v>826</v>
      </c>
      <c r="D3186" t="s">
        <v>824</v>
      </c>
      <c r="E3186" t="s">
        <v>114</v>
      </c>
      <c r="F3186" t="s">
        <v>406</v>
      </c>
      <c r="G3186">
        <v>34.516666669999999</v>
      </c>
      <c r="H3186">
        <v>126.21666667</v>
      </c>
      <c r="I3186" t="s">
        <v>770</v>
      </c>
      <c r="J3186" s="2" t="s">
        <v>5</v>
      </c>
      <c r="K3186" t="s">
        <v>144</v>
      </c>
      <c r="L3186" t="s">
        <v>144</v>
      </c>
      <c r="M3186" t="s">
        <v>726</v>
      </c>
      <c r="N3186" t="s">
        <v>85</v>
      </c>
      <c r="O3186" s="6" t="s">
        <v>84</v>
      </c>
      <c r="Q3186">
        <v>12</v>
      </c>
      <c r="R3186" t="s">
        <v>213</v>
      </c>
      <c r="S3186" s="2" t="s">
        <v>9</v>
      </c>
      <c r="T3186">
        <v>4</v>
      </c>
      <c r="U3186">
        <v>7.5</v>
      </c>
      <c r="V3186">
        <v>1759.88</v>
      </c>
      <c r="W3186" t="s">
        <v>28</v>
      </c>
      <c r="X3186">
        <v>0.54620000000000002</v>
      </c>
      <c r="Y3186">
        <f>0.5822-X3186</f>
        <v>3.6000000000000032E-2</v>
      </c>
      <c r="AA3186" s="6"/>
      <c r="AB3186" s="6"/>
    </row>
    <row r="3187" spans="1:28" x14ac:dyDescent="0.2">
      <c r="A3187" t="s">
        <v>405</v>
      </c>
      <c r="B3187">
        <v>2018</v>
      </c>
      <c r="C3187" t="s">
        <v>826</v>
      </c>
      <c r="D3187" t="s">
        <v>824</v>
      </c>
      <c r="E3187" t="s">
        <v>114</v>
      </c>
      <c r="F3187" t="s">
        <v>406</v>
      </c>
      <c r="G3187">
        <v>34.516666669999999</v>
      </c>
      <c r="H3187">
        <v>126.21666667</v>
      </c>
      <c r="I3187" t="s">
        <v>770</v>
      </c>
      <c r="J3187" s="2" t="s">
        <v>7</v>
      </c>
      <c r="K3187" t="s">
        <v>144</v>
      </c>
      <c r="L3187" t="s">
        <v>144</v>
      </c>
      <c r="M3187" t="s">
        <v>638</v>
      </c>
      <c r="N3187" t="s">
        <v>85</v>
      </c>
      <c r="O3187" s="6" t="s">
        <v>221</v>
      </c>
      <c r="P3187" t="s">
        <v>70</v>
      </c>
      <c r="Q3187">
        <v>12</v>
      </c>
      <c r="R3187" t="s">
        <v>213</v>
      </c>
      <c r="S3187" s="2" t="s">
        <v>7</v>
      </c>
      <c r="T3187">
        <v>4</v>
      </c>
      <c r="U3187">
        <v>8.1</v>
      </c>
      <c r="V3187">
        <v>393.47</v>
      </c>
      <c r="W3187" t="s">
        <v>28</v>
      </c>
      <c r="X3187">
        <v>27.26</v>
      </c>
      <c r="Y3187">
        <v>0.14000000000000001</v>
      </c>
      <c r="AA3187" s="6"/>
      <c r="AB3187" s="6"/>
    </row>
    <row r="3188" spans="1:28" x14ac:dyDescent="0.2">
      <c r="A3188" t="s">
        <v>405</v>
      </c>
      <c r="B3188">
        <v>2018</v>
      </c>
      <c r="C3188" t="s">
        <v>826</v>
      </c>
      <c r="D3188" t="s">
        <v>824</v>
      </c>
      <c r="E3188" t="s">
        <v>114</v>
      </c>
      <c r="F3188" t="s">
        <v>406</v>
      </c>
      <c r="G3188">
        <v>34.516666669999999</v>
      </c>
      <c r="H3188">
        <v>126.21666667</v>
      </c>
      <c r="I3188" t="s">
        <v>770</v>
      </c>
      <c r="J3188" s="2" t="s">
        <v>5</v>
      </c>
      <c r="K3188" t="s">
        <v>144</v>
      </c>
      <c r="L3188" t="s">
        <v>144</v>
      </c>
      <c r="M3188" t="s">
        <v>638</v>
      </c>
      <c r="N3188" t="s">
        <v>85</v>
      </c>
      <c r="O3188" s="6" t="s">
        <v>221</v>
      </c>
      <c r="P3188" t="s">
        <v>70</v>
      </c>
      <c r="Q3188">
        <v>12</v>
      </c>
      <c r="R3188" t="s">
        <v>213</v>
      </c>
      <c r="S3188" s="2" t="s">
        <v>9</v>
      </c>
      <c r="T3188">
        <v>4</v>
      </c>
      <c r="U3188">
        <v>7.5</v>
      </c>
      <c r="V3188">
        <v>1759.88</v>
      </c>
      <c r="W3188" t="s">
        <v>28</v>
      </c>
      <c r="X3188">
        <v>27.51</v>
      </c>
      <c r="Y3188">
        <v>0.31</v>
      </c>
      <c r="AA3188" s="6"/>
      <c r="AB3188" s="6"/>
    </row>
    <row r="3189" spans="1:28" x14ac:dyDescent="0.2">
      <c r="A3189" t="s">
        <v>405</v>
      </c>
      <c r="B3189">
        <v>2018</v>
      </c>
      <c r="C3189" t="s">
        <v>826</v>
      </c>
      <c r="D3189" t="s">
        <v>824</v>
      </c>
      <c r="E3189" t="s">
        <v>114</v>
      </c>
      <c r="F3189" t="s">
        <v>406</v>
      </c>
      <c r="G3189">
        <v>34.516666669999999</v>
      </c>
      <c r="H3189">
        <v>126.21666667</v>
      </c>
      <c r="I3189" t="s">
        <v>770</v>
      </c>
      <c r="J3189" s="2" t="s">
        <v>7</v>
      </c>
      <c r="K3189" t="s">
        <v>144</v>
      </c>
      <c r="L3189" t="s">
        <v>144</v>
      </c>
      <c r="M3189" t="s">
        <v>638</v>
      </c>
      <c r="N3189" t="s">
        <v>85</v>
      </c>
      <c r="O3189" s="6" t="s">
        <v>107</v>
      </c>
      <c r="P3189" t="s">
        <v>70</v>
      </c>
      <c r="Q3189">
        <v>12</v>
      </c>
      <c r="R3189" t="s">
        <v>213</v>
      </c>
      <c r="S3189" s="2" t="s">
        <v>7</v>
      </c>
      <c r="T3189">
        <v>4</v>
      </c>
      <c r="U3189">
        <v>8.1</v>
      </c>
      <c r="V3189">
        <v>393.47</v>
      </c>
      <c r="W3189" t="s">
        <v>28</v>
      </c>
      <c r="X3189">
        <v>2.6</v>
      </c>
      <c r="Y3189">
        <v>0.21</v>
      </c>
      <c r="AA3189" s="6"/>
      <c r="AB3189" s="6"/>
    </row>
    <row r="3190" spans="1:28" x14ac:dyDescent="0.2">
      <c r="A3190" t="s">
        <v>405</v>
      </c>
      <c r="B3190">
        <v>2018</v>
      </c>
      <c r="C3190" t="s">
        <v>826</v>
      </c>
      <c r="D3190" t="s">
        <v>824</v>
      </c>
      <c r="E3190" t="s">
        <v>114</v>
      </c>
      <c r="F3190" t="s">
        <v>406</v>
      </c>
      <c r="G3190">
        <v>34.516666669999999</v>
      </c>
      <c r="H3190">
        <v>126.21666667</v>
      </c>
      <c r="I3190" t="s">
        <v>770</v>
      </c>
      <c r="J3190" s="2" t="s">
        <v>5</v>
      </c>
      <c r="K3190" t="s">
        <v>144</v>
      </c>
      <c r="L3190" t="s">
        <v>144</v>
      </c>
      <c r="M3190" t="s">
        <v>638</v>
      </c>
      <c r="N3190" t="s">
        <v>85</v>
      </c>
      <c r="O3190" s="6" t="s">
        <v>107</v>
      </c>
      <c r="P3190" t="s">
        <v>70</v>
      </c>
      <c r="Q3190">
        <v>12</v>
      </c>
      <c r="R3190" t="s">
        <v>213</v>
      </c>
      <c r="S3190" s="2" t="s">
        <v>9</v>
      </c>
      <c r="T3190">
        <v>4</v>
      </c>
      <c r="U3190">
        <v>7.5</v>
      </c>
      <c r="V3190">
        <v>1759.88</v>
      </c>
      <c r="W3190" t="s">
        <v>28</v>
      </c>
      <c r="X3190">
        <v>2.63</v>
      </c>
      <c r="Y3190">
        <v>0.13</v>
      </c>
      <c r="AA3190" s="6"/>
      <c r="AB3190" s="6"/>
    </row>
    <row r="3191" spans="1:28" x14ac:dyDescent="0.2">
      <c r="A3191" t="s">
        <v>405</v>
      </c>
      <c r="B3191">
        <v>2018</v>
      </c>
      <c r="C3191" t="s">
        <v>826</v>
      </c>
      <c r="D3191" t="s">
        <v>824</v>
      </c>
      <c r="E3191" t="s">
        <v>114</v>
      </c>
      <c r="F3191" t="s">
        <v>406</v>
      </c>
      <c r="G3191">
        <v>34.516666669999999</v>
      </c>
      <c r="H3191">
        <v>126.21666667</v>
      </c>
      <c r="I3191" t="s">
        <v>770</v>
      </c>
      <c r="J3191" s="2" t="s">
        <v>7</v>
      </c>
      <c r="K3191" t="s">
        <v>144</v>
      </c>
      <c r="L3191" t="s">
        <v>144</v>
      </c>
      <c r="M3191" t="s">
        <v>638</v>
      </c>
      <c r="N3191" t="s">
        <v>86</v>
      </c>
      <c r="O3191" s="6" t="s">
        <v>272</v>
      </c>
      <c r="Q3191">
        <v>12</v>
      </c>
      <c r="R3191" t="s">
        <v>213</v>
      </c>
      <c r="S3191" s="2" t="s">
        <v>7</v>
      </c>
      <c r="T3191">
        <v>4</v>
      </c>
      <c r="U3191">
        <v>8.1</v>
      </c>
      <c r="V3191">
        <v>393.47</v>
      </c>
      <c r="W3191" t="s">
        <v>28</v>
      </c>
      <c r="X3191">
        <v>10.54</v>
      </c>
      <c r="Y3191">
        <v>0.85</v>
      </c>
      <c r="AA3191" s="6"/>
      <c r="AB3191" s="6"/>
    </row>
    <row r="3192" spans="1:28" x14ac:dyDescent="0.2">
      <c r="A3192" t="s">
        <v>405</v>
      </c>
      <c r="B3192">
        <v>2018</v>
      </c>
      <c r="C3192" t="s">
        <v>826</v>
      </c>
      <c r="D3192" t="s">
        <v>824</v>
      </c>
      <c r="E3192" t="s">
        <v>114</v>
      </c>
      <c r="F3192" t="s">
        <v>406</v>
      </c>
      <c r="G3192">
        <v>34.516666669999999</v>
      </c>
      <c r="H3192">
        <v>126.21666667</v>
      </c>
      <c r="I3192" t="s">
        <v>770</v>
      </c>
      <c r="J3192" s="2" t="s">
        <v>5</v>
      </c>
      <c r="K3192" t="s">
        <v>144</v>
      </c>
      <c r="L3192" t="s">
        <v>144</v>
      </c>
      <c r="M3192" t="s">
        <v>638</v>
      </c>
      <c r="N3192" t="s">
        <v>86</v>
      </c>
      <c r="O3192" s="6" t="s">
        <v>272</v>
      </c>
      <c r="Q3192">
        <v>12</v>
      </c>
      <c r="R3192" t="s">
        <v>213</v>
      </c>
      <c r="S3192" s="2" t="s">
        <v>9</v>
      </c>
      <c r="T3192">
        <v>4</v>
      </c>
      <c r="U3192">
        <v>7.5</v>
      </c>
      <c r="V3192">
        <v>1759.88</v>
      </c>
      <c r="W3192" t="s">
        <v>28</v>
      </c>
      <c r="X3192">
        <v>10.48</v>
      </c>
      <c r="Y3192">
        <v>0.52</v>
      </c>
      <c r="AA3192" s="6"/>
      <c r="AB3192" s="6"/>
    </row>
    <row r="3193" spans="1:28" x14ac:dyDescent="0.2">
      <c r="A3193" t="s">
        <v>413</v>
      </c>
      <c r="B3193">
        <v>2014</v>
      </c>
      <c r="C3193" t="s">
        <v>816</v>
      </c>
      <c r="D3193" t="s">
        <v>817</v>
      </c>
      <c r="E3193" t="s">
        <v>121</v>
      </c>
      <c r="F3193" t="s">
        <v>408</v>
      </c>
      <c r="G3193">
        <v>41.693945999999997</v>
      </c>
      <c r="H3193">
        <v>-8.8726400000000005</v>
      </c>
      <c r="I3193" t="s">
        <v>762</v>
      </c>
      <c r="J3193" s="2" t="s">
        <v>7</v>
      </c>
      <c r="K3193" t="s">
        <v>409</v>
      </c>
      <c r="L3193" t="s">
        <v>143</v>
      </c>
      <c r="M3193" t="s">
        <v>73</v>
      </c>
      <c r="N3193" t="s">
        <v>85</v>
      </c>
      <c r="O3193" s="6" t="s">
        <v>410</v>
      </c>
      <c r="P3193" t="s">
        <v>211</v>
      </c>
      <c r="Q3193">
        <f t="shared" ref="Q3193:Q3200" si="60">0.333/24</f>
        <v>1.3875E-2</v>
      </c>
      <c r="R3193" t="s">
        <v>213</v>
      </c>
      <c r="S3193" s="2" t="s">
        <v>7</v>
      </c>
      <c r="T3193">
        <v>3</v>
      </c>
      <c r="U3193" t="s">
        <v>28</v>
      </c>
      <c r="V3193" t="s">
        <v>28</v>
      </c>
      <c r="W3193">
        <v>15</v>
      </c>
      <c r="X3193">
        <f>AVERAGE(7.9375,7.9115,8.6667)</f>
        <v>8.1719000000000008</v>
      </c>
      <c r="Y3193">
        <f>STDEV(7.9375,7.9115,8.6667)</f>
        <v>0.42870651966117829</v>
      </c>
      <c r="AA3193" s="6"/>
      <c r="AB3193" s="6"/>
    </row>
    <row r="3194" spans="1:28" x14ac:dyDescent="0.2">
      <c r="A3194" t="s">
        <v>413</v>
      </c>
      <c r="B3194">
        <v>2014</v>
      </c>
      <c r="C3194" t="s">
        <v>816</v>
      </c>
      <c r="D3194" t="s">
        <v>817</v>
      </c>
      <c r="E3194" t="s">
        <v>121</v>
      </c>
      <c r="F3194" t="s">
        <v>408</v>
      </c>
      <c r="G3194">
        <v>41.693945999999997</v>
      </c>
      <c r="H3194">
        <v>-8.8726400000000005</v>
      </c>
      <c r="I3194" t="s">
        <v>762</v>
      </c>
      <c r="J3194" s="2" t="s">
        <v>14</v>
      </c>
      <c r="K3194" t="s">
        <v>409</v>
      </c>
      <c r="L3194" t="s">
        <v>143</v>
      </c>
      <c r="M3194" t="s">
        <v>73</v>
      </c>
      <c r="N3194" t="s">
        <v>85</v>
      </c>
      <c r="O3194" s="6" t="s">
        <v>410</v>
      </c>
      <c r="P3194" t="s">
        <v>211</v>
      </c>
      <c r="Q3194">
        <f t="shared" si="60"/>
        <v>1.3875E-2</v>
      </c>
      <c r="R3194" t="s">
        <v>213</v>
      </c>
      <c r="S3194" s="2" t="s">
        <v>9</v>
      </c>
      <c r="T3194">
        <v>3</v>
      </c>
      <c r="U3194" t="s">
        <v>28</v>
      </c>
      <c r="V3194" t="s">
        <v>28</v>
      </c>
      <c r="W3194">
        <v>20</v>
      </c>
      <c r="X3194">
        <f>AVERAGE(7.625,8.3281,8.875)</f>
        <v>8.2760333333333325</v>
      </c>
      <c r="Y3194">
        <f>STDEV(7.625,8.3281,8.875)</f>
        <v>0.62662445159228608</v>
      </c>
      <c r="AA3194" s="6"/>
      <c r="AB3194" s="6"/>
    </row>
    <row r="3195" spans="1:28" x14ac:dyDescent="0.2">
      <c r="A3195" t="s">
        <v>413</v>
      </c>
      <c r="B3195">
        <v>2014</v>
      </c>
      <c r="C3195" t="s">
        <v>816</v>
      </c>
      <c r="D3195" t="s">
        <v>817</v>
      </c>
      <c r="E3195" t="s">
        <v>121</v>
      </c>
      <c r="F3195" t="s">
        <v>408</v>
      </c>
      <c r="G3195">
        <v>41.693945999999997</v>
      </c>
      <c r="H3195">
        <v>-8.8726400000000005</v>
      </c>
      <c r="I3195" t="s">
        <v>762</v>
      </c>
      <c r="J3195" s="2" t="s">
        <v>14</v>
      </c>
      <c r="K3195" t="s">
        <v>409</v>
      </c>
      <c r="L3195" t="s">
        <v>143</v>
      </c>
      <c r="M3195" t="s">
        <v>73</v>
      </c>
      <c r="N3195" t="s">
        <v>85</v>
      </c>
      <c r="O3195" s="6" t="s">
        <v>410</v>
      </c>
      <c r="P3195" t="s">
        <v>211</v>
      </c>
      <c r="Q3195">
        <f t="shared" si="60"/>
        <v>1.3875E-2</v>
      </c>
      <c r="R3195" t="s">
        <v>213</v>
      </c>
      <c r="S3195" s="2" t="s">
        <v>27</v>
      </c>
      <c r="T3195">
        <v>3</v>
      </c>
      <c r="U3195" t="s">
        <v>28</v>
      </c>
      <c r="V3195" t="s">
        <v>28</v>
      </c>
      <c r="W3195">
        <v>25</v>
      </c>
      <c r="X3195">
        <f>AVERAGE(3.5104,3.7969,4.474)</f>
        <v>3.9270999999999998</v>
      </c>
      <c r="Y3195">
        <f>STDEV(3.5104,3.7969,4.474)</f>
        <v>0.49481842124157277</v>
      </c>
      <c r="AA3195" s="6"/>
      <c r="AB3195" s="6"/>
    </row>
    <row r="3196" spans="1:28" x14ac:dyDescent="0.2">
      <c r="A3196" t="s">
        <v>413</v>
      </c>
      <c r="B3196">
        <v>2014</v>
      </c>
      <c r="C3196" t="s">
        <v>816</v>
      </c>
      <c r="D3196" t="s">
        <v>817</v>
      </c>
      <c r="E3196" t="s">
        <v>121</v>
      </c>
      <c r="F3196" t="s">
        <v>408</v>
      </c>
      <c r="G3196">
        <v>41.693945999999997</v>
      </c>
      <c r="H3196">
        <v>-8.8726400000000005</v>
      </c>
      <c r="I3196" t="s">
        <v>762</v>
      </c>
      <c r="J3196" s="2" t="s">
        <v>14</v>
      </c>
      <c r="K3196" t="s">
        <v>409</v>
      </c>
      <c r="L3196" t="s">
        <v>143</v>
      </c>
      <c r="M3196" t="s">
        <v>73</v>
      </c>
      <c r="N3196" t="s">
        <v>85</v>
      </c>
      <c r="O3196" s="6" t="s">
        <v>410</v>
      </c>
      <c r="P3196" t="s">
        <v>211</v>
      </c>
      <c r="Q3196">
        <f t="shared" si="60"/>
        <v>1.3875E-2</v>
      </c>
      <c r="R3196" t="s">
        <v>213</v>
      </c>
      <c r="S3196" s="2" t="s">
        <v>13</v>
      </c>
      <c r="T3196">
        <v>3</v>
      </c>
      <c r="U3196" t="s">
        <v>28</v>
      </c>
      <c r="V3196" t="s">
        <v>28</v>
      </c>
      <c r="W3196">
        <v>30</v>
      </c>
      <c r="X3196">
        <f>AVERAGE(4.9427,5.5417,6.9219)</f>
        <v>5.8021000000000003</v>
      </c>
      <c r="Y3196">
        <f>STDEV(4.9427,5.5417,6.9219)</f>
        <v>1.0149700882291983</v>
      </c>
      <c r="AA3196" s="6"/>
      <c r="AB3196" s="6"/>
    </row>
    <row r="3197" spans="1:28" x14ac:dyDescent="0.2">
      <c r="A3197" t="s">
        <v>413</v>
      </c>
      <c r="B3197">
        <v>2014</v>
      </c>
      <c r="C3197" t="s">
        <v>816</v>
      </c>
      <c r="D3197" t="s">
        <v>817</v>
      </c>
      <c r="E3197" t="s">
        <v>121</v>
      </c>
      <c r="F3197" t="s">
        <v>408</v>
      </c>
      <c r="G3197">
        <v>41.693945999999997</v>
      </c>
      <c r="H3197">
        <v>-8.8726400000000005</v>
      </c>
      <c r="I3197" t="s">
        <v>762</v>
      </c>
      <c r="J3197" s="2" t="s">
        <v>7</v>
      </c>
      <c r="K3197" t="s">
        <v>409</v>
      </c>
      <c r="L3197" t="s">
        <v>143</v>
      </c>
      <c r="M3197" t="s">
        <v>172</v>
      </c>
      <c r="N3197" t="s">
        <v>86</v>
      </c>
      <c r="O3197" s="6" t="s">
        <v>62</v>
      </c>
      <c r="P3197" t="s">
        <v>211</v>
      </c>
      <c r="Q3197">
        <f t="shared" si="60"/>
        <v>1.3875E-2</v>
      </c>
      <c r="R3197" t="s">
        <v>213</v>
      </c>
      <c r="S3197" s="2" t="s">
        <v>7</v>
      </c>
      <c r="T3197">
        <v>3</v>
      </c>
      <c r="U3197" t="s">
        <v>28</v>
      </c>
      <c r="V3197" t="s">
        <v>28</v>
      </c>
      <c r="W3197">
        <v>15</v>
      </c>
      <c r="X3197">
        <f>AVERAGE(0.389,0.895,1.15)</f>
        <v>0.81133333333333335</v>
      </c>
      <c r="Y3197">
        <f>STDEV(0.389,0.895,1.15)</f>
        <v>0.38733749280612267</v>
      </c>
      <c r="AA3197" s="6"/>
      <c r="AB3197" s="6"/>
    </row>
    <row r="3198" spans="1:28" x14ac:dyDescent="0.2">
      <c r="A3198" t="s">
        <v>413</v>
      </c>
      <c r="B3198">
        <v>2014</v>
      </c>
      <c r="C3198" t="s">
        <v>816</v>
      </c>
      <c r="D3198" t="s">
        <v>817</v>
      </c>
      <c r="E3198" t="s">
        <v>121</v>
      </c>
      <c r="F3198" t="s">
        <v>408</v>
      </c>
      <c r="G3198">
        <v>41.693945999999997</v>
      </c>
      <c r="H3198">
        <v>-8.8726400000000005</v>
      </c>
      <c r="I3198" t="s">
        <v>762</v>
      </c>
      <c r="J3198" s="2" t="s">
        <v>14</v>
      </c>
      <c r="K3198" t="s">
        <v>409</v>
      </c>
      <c r="L3198" t="s">
        <v>143</v>
      </c>
      <c r="M3198" t="s">
        <v>172</v>
      </c>
      <c r="N3198" t="s">
        <v>86</v>
      </c>
      <c r="O3198" s="6" t="s">
        <v>62</v>
      </c>
      <c r="P3198" t="s">
        <v>211</v>
      </c>
      <c r="Q3198">
        <f t="shared" si="60"/>
        <v>1.3875E-2</v>
      </c>
      <c r="R3198" t="s">
        <v>213</v>
      </c>
      <c r="S3198" s="2" t="s">
        <v>9</v>
      </c>
      <c r="T3198">
        <v>3</v>
      </c>
      <c r="U3198" t="s">
        <v>28</v>
      </c>
      <c r="V3198" t="s">
        <v>28</v>
      </c>
      <c r="W3198">
        <v>20</v>
      </c>
      <c r="X3198">
        <f>AVERAGE(0.317,0.42,0.563)</f>
        <v>0.43333333333333329</v>
      </c>
      <c r="Y3198">
        <f>STDEV(0.317,0.42,0.563)</f>
        <v>0.12354081646700184</v>
      </c>
      <c r="AA3198" s="6"/>
      <c r="AB3198" s="6"/>
    </row>
    <row r="3199" spans="1:28" x14ac:dyDescent="0.2">
      <c r="A3199" t="s">
        <v>413</v>
      </c>
      <c r="B3199">
        <v>2014</v>
      </c>
      <c r="C3199" t="s">
        <v>816</v>
      </c>
      <c r="D3199" t="s">
        <v>817</v>
      </c>
      <c r="E3199" t="s">
        <v>121</v>
      </c>
      <c r="F3199" t="s">
        <v>408</v>
      </c>
      <c r="G3199">
        <v>41.693945999999997</v>
      </c>
      <c r="H3199">
        <v>-8.8726400000000005</v>
      </c>
      <c r="I3199" t="s">
        <v>762</v>
      </c>
      <c r="J3199" s="2" t="s">
        <v>14</v>
      </c>
      <c r="K3199" t="s">
        <v>409</v>
      </c>
      <c r="L3199" t="s">
        <v>143</v>
      </c>
      <c r="M3199" t="s">
        <v>172</v>
      </c>
      <c r="N3199" t="s">
        <v>86</v>
      </c>
      <c r="O3199" s="6" t="s">
        <v>62</v>
      </c>
      <c r="P3199" t="s">
        <v>211</v>
      </c>
      <c r="Q3199">
        <f t="shared" si="60"/>
        <v>1.3875E-2</v>
      </c>
      <c r="R3199" t="s">
        <v>213</v>
      </c>
      <c r="S3199" s="2" t="s">
        <v>27</v>
      </c>
      <c r="T3199">
        <v>3</v>
      </c>
      <c r="U3199" t="s">
        <v>28</v>
      </c>
      <c r="V3199" t="s">
        <v>28</v>
      </c>
      <c r="W3199">
        <v>25</v>
      </c>
      <c r="X3199">
        <f>AVERAGE(0.987,1.13,1.278)</f>
        <v>1.1316666666666666</v>
      </c>
      <c r="Y3199">
        <f>STDEV(0.987,1.13,1.278)</f>
        <v>0.14550715904495259</v>
      </c>
      <c r="AA3199" s="6"/>
      <c r="AB3199" s="6"/>
    </row>
    <row r="3200" spans="1:28" x14ac:dyDescent="0.2">
      <c r="A3200" t="s">
        <v>413</v>
      </c>
      <c r="B3200">
        <v>2014</v>
      </c>
      <c r="C3200" t="s">
        <v>816</v>
      </c>
      <c r="D3200" t="s">
        <v>817</v>
      </c>
      <c r="E3200" t="s">
        <v>121</v>
      </c>
      <c r="F3200" t="s">
        <v>408</v>
      </c>
      <c r="G3200">
        <v>41.693945999999997</v>
      </c>
      <c r="H3200">
        <v>-8.8726400000000005</v>
      </c>
      <c r="I3200" t="s">
        <v>762</v>
      </c>
      <c r="J3200" s="2" t="s">
        <v>14</v>
      </c>
      <c r="K3200" t="s">
        <v>409</v>
      </c>
      <c r="L3200" t="s">
        <v>143</v>
      </c>
      <c r="M3200" t="s">
        <v>172</v>
      </c>
      <c r="N3200" t="s">
        <v>86</v>
      </c>
      <c r="O3200" s="6" t="s">
        <v>62</v>
      </c>
      <c r="P3200" t="s">
        <v>211</v>
      </c>
      <c r="Q3200">
        <f t="shared" si="60"/>
        <v>1.3875E-2</v>
      </c>
      <c r="R3200" t="s">
        <v>213</v>
      </c>
      <c r="S3200" s="2" t="s">
        <v>13</v>
      </c>
      <c r="T3200">
        <v>3</v>
      </c>
      <c r="U3200" t="s">
        <v>28</v>
      </c>
      <c r="V3200" t="s">
        <v>28</v>
      </c>
      <c r="W3200">
        <v>30</v>
      </c>
      <c r="X3200">
        <f>AVERAGE(1.39,1.559,1.819)</f>
        <v>1.5893333333333333</v>
      </c>
      <c r="Y3200">
        <f>STDEV(1.39,1.559,1.819)</f>
        <v>0.21610259908972251</v>
      </c>
      <c r="AA3200" s="6"/>
      <c r="AB3200" s="6"/>
    </row>
    <row r="3201" spans="1:28" x14ac:dyDescent="0.2">
      <c r="A3201" t="s">
        <v>414</v>
      </c>
      <c r="B3201">
        <v>2016</v>
      </c>
      <c r="C3201" t="s">
        <v>816</v>
      </c>
      <c r="D3201" t="s">
        <v>817</v>
      </c>
      <c r="E3201" t="s">
        <v>263</v>
      </c>
      <c r="F3201" t="s">
        <v>411</v>
      </c>
      <c r="G3201">
        <v>78.965911000000006</v>
      </c>
      <c r="H3201">
        <v>11.656361</v>
      </c>
      <c r="I3201" t="s">
        <v>764</v>
      </c>
      <c r="J3201" s="2" t="s">
        <v>7</v>
      </c>
      <c r="K3201" t="s">
        <v>92</v>
      </c>
      <c r="L3201" t="s">
        <v>300</v>
      </c>
      <c r="M3201" t="s">
        <v>726</v>
      </c>
      <c r="N3201" t="s">
        <v>85</v>
      </c>
      <c r="O3201" s="6" t="s">
        <v>84</v>
      </c>
      <c r="Q3201">
        <f>4/24</f>
        <v>0.16666666666666666</v>
      </c>
      <c r="R3201" t="s">
        <v>214</v>
      </c>
      <c r="S3201" s="2" t="s">
        <v>7</v>
      </c>
      <c r="T3201">
        <v>5</v>
      </c>
      <c r="U3201" t="s">
        <v>28</v>
      </c>
      <c r="V3201" t="s">
        <v>28</v>
      </c>
      <c r="W3201">
        <v>7</v>
      </c>
      <c r="X3201">
        <v>0.23100000000000001</v>
      </c>
      <c r="Y3201">
        <f>0.2522-X3201</f>
        <v>2.1199999999999969E-2</v>
      </c>
      <c r="AA3201" s="6"/>
      <c r="AB3201" s="6"/>
    </row>
    <row r="3202" spans="1:28" x14ac:dyDescent="0.2">
      <c r="A3202" t="s">
        <v>414</v>
      </c>
      <c r="B3202">
        <v>2016</v>
      </c>
      <c r="C3202" t="s">
        <v>816</v>
      </c>
      <c r="D3202" t="s">
        <v>817</v>
      </c>
      <c r="E3202" t="s">
        <v>263</v>
      </c>
      <c r="F3202" t="s">
        <v>411</v>
      </c>
      <c r="G3202">
        <v>78.965911000000006</v>
      </c>
      <c r="H3202">
        <v>11.656361</v>
      </c>
      <c r="I3202" t="s">
        <v>764</v>
      </c>
      <c r="J3202" s="2" t="s">
        <v>7</v>
      </c>
      <c r="K3202" t="s">
        <v>92</v>
      </c>
      <c r="L3202" t="s">
        <v>300</v>
      </c>
      <c r="M3202" t="s">
        <v>726</v>
      </c>
      <c r="N3202" t="s">
        <v>85</v>
      </c>
      <c r="O3202" s="6" t="s">
        <v>84</v>
      </c>
      <c r="Q3202">
        <f>8/24</f>
        <v>0.33333333333333331</v>
      </c>
      <c r="R3202" t="s">
        <v>214</v>
      </c>
      <c r="S3202" s="2" t="s">
        <v>7</v>
      </c>
      <c r="T3202">
        <v>5</v>
      </c>
      <c r="U3202" t="s">
        <v>28</v>
      </c>
      <c r="V3202" t="s">
        <v>28</v>
      </c>
      <c r="W3202">
        <v>7</v>
      </c>
      <c r="X3202">
        <v>0.26300000000000001</v>
      </c>
      <c r="Y3202">
        <f>0.2734-X3202</f>
        <v>1.0399999999999965E-2</v>
      </c>
      <c r="AA3202" s="6"/>
      <c r="AB3202" s="6"/>
    </row>
    <row r="3203" spans="1:28" x14ac:dyDescent="0.2">
      <c r="A3203" t="s">
        <v>414</v>
      </c>
      <c r="B3203">
        <v>2016</v>
      </c>
      <c r="C3203" t="s">
        <v>816</v>
      </c>
      <c r="D3203" t="s">
        <v>817</v>
      </c>
      <c r="E3203" t="s">
        <v>263</v>
      </c>
      <c r="F3203" t="s">
        <v>411</v>
      </c>
      <c r="G3203">
        <v>78.965911000000006</v>
      </c>
      <c r="H3203">
        <v>11.656361</v>
      </c>
      <c r="I3203" t="s">
        <v>764</v>
      </c>
      <c r="J3203" s="2" t="s">
        <v>7</v>
      </c>
      <c r="K3203" t="s">
        <v>92</v>
      </c>
      <c r="L3203" t="s">
        <v>300</v>
      </c>
      <c r="M3203" t="s">
        <v>726</v>
      </c>
      <c r="N3203" t="s">
        <v>85</v>
      </c>
      <c r="O3203" s="6" t="s">
        <v>84</v>
      </c>
      <c r="Q3203">
        <v>1</v>
      </c>
      <c r="R3203" t="s">
        <v>214</v>
      </c>
      <c r="S3203" s="2" t="s">
        <v>7</v>
      </c>
      <c r="T3203">
        <v>5</v>
      </c>
      <c r="U3203" t="s">
        <v>28</v>
      </c>
      <c r="V3203" t="s">
        <v>28</v>
      </c>
      <c r="W3203">
        <v>7</v>
      </c>
      <c r="X3203">
        <v>0.24859999999999999</v>
      </c>
      <c r="Y3203">
        <f>0.2594-X3203</f>
        <v>1.0800000000000032E-2</v>
      </c>
      <c r="AA3203" s="6"/>
      <c r="AB3203" s="6"/>
    </row>
    <row r="3204" spans="1:28" x14ac:dyDescent="0.2">
      <c r="A3204" t="s">
        <v>414</v>
      </c>
      <c r="B3204">
        <v>2016</v>
      </c>
      <c r="C3204" t="s">
        <v>816</v>
      </c>
      <c r="D3204" t="s">
        <v>817</v>
      </c>
      <c r="E3204" t="s">
        <v>263</v>
      </c>
      <c r="F3204" t="s">
        <v>411</v>
      </c>
      <c r="G3204">
        <v>78.965911000000006</v>
      </c>
      <c r="H3204">
        <v>11.656361</v>
      </c>
      <c r="I3204" t="s">
        <v>764</v>
      </c>
      <c r="J3204" s="2" t="s">
        <v>7</v>
      </c>
      <c r="K3204" t="s">
        <v>92</v>
      </c>
      <c r="L3204" t="s">
        <v>300</v>
      </c>
      <c r="M3204" t="s">
        <v>726</v>
      </c>
      <c r="N3204" t="s">
        <v>85</v>
      </c>
      <c r="O3204" s="6" t="s">
        <v>84</v>
      </c>
      <c r="Q3204">
        <v>2</v>
      </c>
      <c r="R3204" t="s">
        <v>213</v>
      </c>
      <c r="S3204" s="2" t="s">
        <v>7</v>
      </c>
      <c r="T3204">
        <v>5</v>
      </c>
      <c r="U3204" t="s">
        <v>28</v>
      </c>
      <c r="V3204" t="s">
        <v>28</v>
      </c>
      <c r="W3204">
        <v>7</v>
      </c>
      <c r="X3204">
        <v>0.26979999999999998</v>
      </c>
      <c r="Y3204">
        <f>0.2951-X3204</f>
        <v>2.5299999999999989E-2</v>
      </c>
      <c r="AA3204" s="6"/>
      <c r="AB3204" s="6"/>
    </row>
    <row r="3205" spans="1:28" x14ac:dyDescent="0.2">
      <c r="A3205" t="s">
        <v>414</v>
      </c>
      <c r="B3205">
        <v>2016</v>
      </c>
      <c r="C3205" t="s">
        <v>816</v>
      </c>
      <c r="D3205" t="s">
        <v>817</v>
      </c>
      <c r="E3205" t="s">
        <v>263</v>
      </c>
      <c r="F3205" t="s">
        <v>411</v>
      </c>
      <c r="G3205">
        <v>78.965911000000006</v>
      </c>
      <c r="H3205">
        <v>11.656361</v>
      </c>
      <c r="I3205" t="s">
        <v>764</v>
      </c>
      <c r="J3205" s="2" t="s">
        <v>14</v>
      </c>
      <c r="K3205" t="s">
        <v>92</v>
      </c>
      <c r="L3205" t="s">
        <v>300</v>
      </c>
      <c r="M3205" t="s">
        <v>726</v>
      </c>
      <c r="N3205" t="s">
        <v>85</v>
      </c>
      <c r="O3205" s="6" t="s">
        <v>84</v>
      </c>
      <c r="Q3205">
        <f>4/24</f>
        <v>0.16666666666666666</v>
      </c>
      <c r="R3205" t="s">
        <v>214</v>
      </c>
      <c r="S3205" s="2" t="s">
        <v>9</v>
      </c>
      <c r="T3205">
        <v>5</v>
      </c>
      <c r="U3205" t="s">
        <v>28</v>
      </c>
      <c r="V3205" t="s">
        <v>28</v>
      </c>
      <c r="W3205">
        <v>12</v>
      </c>
      <c r="X3205">
        <v>0.29149999999999998</v>
      </c>
      <c r="Y3205">
        <f>0.3018-X3205</f>
        <v>1.0300000000000031E-2</v>
      </c>
      <c r="AA3205" s="6"/>
      <c r="AB3205" s="6"/>
    </row>
    <row r="3206" spans="1:28" x14ac:dyDescent="0.2">
      <c r="A3206" t="s">
        <v>414</v>
      </c>
      <c r="B3206">
        <v>2016</v>
      </c>
      <c r="C3206" t="s">
        <v>816</v>
      </c>
      <c r="D3206" t="s">
        <v>817</v>
      </c>
      <c r="E3206" t="s">
        <v>263</v>
      </c>
      <c r="F3206" t="s">
        <v>411</v>
      </c>
      <c r="G3206">
        <v>78.965911000000006</v>
      </c>
      <c r="H3206">
        <v>11.656361</v>
      </c>
      <c r="I3206" t="s">
        <v>764</v>
      </c>
      <c r="J3206" s="2" t="s">
        <v>14</v>
      </c>
      <c r="K3206" t="s">
        <v>92</v>
      </c>
      <c r="L3206" t="s">
        <v>300</v>
      </c>
      <c r="M3206" t="s">
        <v>726</v>
      </c>
      <c r="N3206" t="s">
        <v>85</v>
      </c>
      <c r="O3206" s="6" t="s">
        <v>84</v>
      </c>
      <c r="Q3206">
        <f>8/24</f>
        <v>0.33333333333333331</v>
      </c>
      <c r="R3206" t="s">
        <v>214</v>
      </c>
      <c r="S3206" s="2" t="s">
        <v>9</v>
      </c>
      <c r="T3206">
        <v>5</v>
      </c>
      <c r="U3206" t="s">
        <v>28</v>
      </c>
      <c r="V3206" t="s">
        <v>28</v>
      </c>
      <c r="W3206">
        <v>12</v>
      </c>
      <c r="X3206">
        <v>0.29459999999999997</v>
      </c>
      <c r="Y3206">
        <f>0.3199-X3206</f>
        <v>2.5300000000000045E-2</v>
      </c>
      <c r="AA3206" s="6"/>
      <c r="AB3206" s="6"/>
    </row>
    <row r="3207" spans="1:28" x14ac:dyDescent="0.2">
      <c r="A3207" t="s">
        <v>414</v>
      </c>
      <c r="B3207">
        <v>2016</v>
      </c>
      <c r="C3207" t="s">
        <v>816</v>
      </c>
      <c r="D3207" t="s">
        <v>817</v>
      </c>
      <c r="E3207" t="s">
        <v>263</v>
      </c>
      <c r="F3207" t="s">
        <v>411</v>
      </c>
      <c r="G3207">
        <v>78.965911000000006</v>
      </c>
      <c r="H3207">
        <v>11.656361</v>
      </c>
      <c r="I3207" t="s">
        <v>764</v>
      </c>
      <c r="J3207" s="2" t="s">
        <v>14</v>
      </c>
      <c r="K3207" t="s">
        <v>92</v>
      </c>
      <c r="L3207" t="s">
        <v>300</v>
      </c>
      <c r="M3207" t="s">
        <v>726</v>
      </c>
      <c r="N3207" t="s">
        <v>85</v>
      </c>
      <c r="O3207" s="6" t="s">
        <v>84</v>
      </c>
      <c r="Q3207">
        <v>1</v>
      </c>
      <c r="R3207" t="s">
        <v>214</v>
      </c>
      <c r="S3207" s="2" t="s">
        <v>9</v>
      </c>
      <c r="T3207">
        <v>5</v>
      </c>
      <c r="U3207" t="s">
        <v>28</v>
      </c>
      <c r="V3207" t="s">
        <v>28</v>
      </c>
      <c r="W3207">
        <v>12</v>
      </c>
      <c r="X3207">
        <v>0.27179999999999999</v>
      </c>
      <c r="Y3207">
        <f>0.293-X3207</f>
        <v>2.1199999999999997E-2</v>
      </c>
      <c r="AA3207" s="6"/>
      <c r="AB3207" s="6"/>
    </row>
    <row r="3208" spans="1:28" x14ac:dyDescent="0.2">
      <c r="A3208" t="s">
        <v>414</v>
      </c>
      <c r="B3208">
        <v>2016</v>
      </c>
      <c r="C3208" t="s">
        <v>816</v>
      </c>
      <c r="D3208" t="s">
        <v>817</v>
      </c>
      <c r="E3208" t="s">
        <v>263</v>
      </c>
      <c r="F3208" t="s">
        <v>411</v>
      </c>
      <c r="G3208">
        <v>78.965911000000006</v>
      </c>
      <c r="H3208">
        <v>11.656361</v>
      </c>
      <c r="I3208" t="s">
        <v>764</v>
      </c>
      <c r="J3208" s="2" t="s">
        <v>14</v>
      </c>
      <c r="K3208" t="s">
        <v>92</v>
      </c>
      <c r="L3208" t="s">
        <v>300</v>
      </c>
      <c r="M3208" t="s">
        <v>726</v>
      </c>
      <c r="N3208" t="s">
        <v>85</v>
      </c>
      <c r="O3208" s="6" t="s">
        <v>84</v>
      </c>
      <c r="Q3208">
        <v>2</v>
      </c>
      <c r="R3208" t="s">
        <v>213</v>
      </c>
      <c r="S3208" s="2" t="s">
        <v>9</v>
      </c>
      <c r="T3208">
        <v>5</v>
      </c>
      <c r="U3208" t="s">
        <v>28</v>
      </c>
      <c r="V3208" t="s">
        <v>28</v>
      </c>
      <c r="W3208">
        <v>12</v>
      </c>
      <c r="X3208">
        <v>0.28420000000000001</v>
      </c>
      <c r="Y3208">
        <f>0.3054-X3208</f>
        <v>2.1199999999999997E-2</v>
      </c>
      <c r="AA3208" s="6"/>
      <c r="AB3208" s="6"/>
    </row>
    <row r="3209" spans="1:28" x14ac:dyDescent="0.2">
      <c r="A3209" t="s">
        <v>414</v>
      </c>
      <c r="B3209">
        <v>2016</v>
      </c>
      <c r="C3209" t="s">
        <v>816</v>
      </c>
      <c r="D3209" t="s">
        <v>817</v>
      </c>
      <c r="E3209" t="s">
        <v>263</v>
      </c>
      <c r="F3209" t="s">
        <v>411</v>
      </c>
      <c r="G3209">
        <v>78.965911000000006</v>
      </c>
      <c r="H3209">
        <v>11.656361</v>
      </c>
      <c r="I3209" t="s">
        <v>764</v>
      </c>
      <c r="J3209" s="2" t="s">
        <v>14</v>
      </c>
      <c r="K3209" t="s">
        <v>92</v>
      </c>
      <c r="L3209" t="s">
        <v>300</v>
      </c>
      <c r="M3209" t="s">
        <v>726</v>
      </c>
      <c r="N3209" t="s">
        <v>85</v>
      </c>
      <c r="O3209" s="6" t="s">
        <v>84</v>
      </c>
      <c r="Q3209">
        <f>4/24</f>
        <v>0.16666666666666666</v>
      </c>
      <c r="R3209" t="s">
        <v>214</v>
      </c>
      <c r="S3209" s="2" t="s">
        <v>27</v>
      </c>
      <c r="T3209">
        <v>5</v>
      </c>
      <c r="U3209" t="s">
        <v>28</v>
      </c>
      <c r="V3209" t="s">
        <v>28</v>
      </c>
      <c r="W3209">
        <v>17</v>
      </c>
      <c r="X3209">
        <v>0.23100000000000001</v>
      </c>
      <c r="Y3209">
        <f>0.2377-X3209</f>
        <v>6.6999999999999837E-3</v>
      </c>
      <c r="AA3209" s="6"/>
      <c r="AB3209" s="6"/>
    </row>
    <row r="3210" spans="1:28" x14ac:dyDescent="0.2">
      <c r="A3210" t="s">
        <v>414</v>
      </c>
      <c r="B3210">
        <v>2016</v>
      </c>
      <c r="C3210" t="s">
        <v>816</v>
      </c>
      <c r="D3210" t="s">
        <v>817</v>
      </c>
      <c r="E3210" t="s">
        <v>263</v>
      </c>
      <c r="F3210" t="s">
        <v>411</v>
      </c>
      <c r="G3210">
        <v>78.965911000000006</v>
      </c>
      <c r="H3210">
        <v>11.656361</v>
      </c>
      <c r="I3210" t="s">
        <v>764</v>
      </c>
      <c r="J3210" s="2" t="s">
        <v>14</v>
      </c>
      <c r="K3210" t="s">
        <v>92</v>
      </c>
      <c r="L3210" t="s">
        <v>300</v>
      </c>
      <c r="M3210" t="s">
        <v>726</v>
      </c>
      <c r="N3210" t="s">
        <v>85</v>
      </c>
      <c r="O3210" s="6" t="s">
        <v>84</v>
      </c>
      <c r="Q3210">
        <f>8/24</f>
        <v>0.33333333333333331</v>
      </c>
      <c r="R3210" t="s">
        <v>214</v>
      </c>
      <c r="S3210" s="2" t="s">
        <v>27</v>
      </c>
      <c r="T3210">
        <v>5</v>
      </c>
      <c r="U3210" t="s">
        <v>28</v>
      </c>
      <c r="V3210" t="s">
        <v>28</v>
      </c>
      <c r="W3210">
        <v>17</v>
      </c>
      <c r="X3210">
        <v>0.19689999999999999</v>
      </c>
      <c r="Y3210">
        <f>0.2026-X3210</f>
        <v>5.7000000000000106E-3</v>
      </c>
      <c r="AA3210" s="6"/>
      <c r="AB3210" s="6"/>
    </row>
    <row r="3211" spans="1:28" x14ac:dyDescent="0.2">
      <c r="A3211" t="s">
        <v>414</v>
      </c>
      <c r="B3211">
        <v>2016</v>
      </c>
      <c r="C3211" t="s">
        <v>816</v>
      </c>
      <c r="D3211" t="s">
        <v>817</v>
      </c>
      <c r="E3211" t="s">
        <v>263</v>
      </c>
      <c r="F3211" t="s">
        <v>411</v>
      </c>
      <c r="G3211">
        <v>78.965911000000006</v>
      </c>
      <c r="H3211">
        <v>11.656361</v>
      </c>
      <c r="I3211" t="s">
        <v>764</v>
      </c>
      <c r="J3211" s="2" t="s">
        <v>14</v>
      </c>
      <c r="K3211" t="s">
        <v>92</v>
      </c>
      <c r="L3211" t="s">
        <v>300</v>
      </c>
      <c r="M3211" t="s">
        <v>726</v>
      </c>
      <c r="N3211" t="s">
        <v>85</v>
      </c>
      <c r="O3211" s="6" t="s">
        <v>84</v>
      </c>
      <c r="Q3211">
        <v>1</v>
      </c>
      <c r="R3211" t="s">
        <v>214</v>
      </c>
      <c r="S3211" s="2" t="s">
        <v>27</v>
      </c>
      <c r="T3211">
        <v>5</v>
      </c>
      <c r="U3211" t="s">
        <v>28</v>
      </c>
      <c r="V3211" t="s">
        <v>28</v>
      </c>
      <c r="W3211">
        <v>17</v>
      </c>
      <c r="X3211">
        <v>0.1225</v>
      </c>
      <c r="Y3211">
        <f>0.1313-X3211</f>
        <v>8.8000000000000023E-3</v>
      </c>
      <c r="AA3211" s="6"/>
      <c r="AB3211" s="6"/>
    </row>
    <row r="3212" spans="1:28" x14ac:dyDescent="0.2">
      <c r="A3212" t="s">
        <v>414</v>
      </c>
      <c r="B3212">
        <v>2016</v>
      </c>
      <c r="C3212" t="s">
        <v>816</v>
      </c>
      <c r="D3212" t="s">
        <v>817</v>
      </c>
      <c r="E3212" t="s">
        <v>263</v>
      </c>
      <c r="F3212" t="s">
        <v>411</v>
      </c>
      <c r="G3212">
        <v>78.965911000000006</v>
      </c>
      <c r="H3212">
        <v>11.656361</v>
      </c>
      <c r="I3212" t="s">
        <v>764</v>
      </c>
      <c r="J3212" s="2" t="s">
        <v>14</v>
      </c>
      <c r="K3212" t="s">
        <v>92</v>
      </c>
      <c r="L3212" t="s">
        <v>300</v>
      </c>
      <c r="M3212" t="s">
        <v>726</v>
      </c>
      <c r="N3212" t="s">
        <v>85</v>
      </c>
      <c r="O3212" s="6" t="s">
        <v>84</v>
      </c>
      <c r="Q3212">
        <v>2</v>
      </c>
      <c r="R3212" t="s">
        <v>213</v>
      </c>
      <c r="S3212" s="2" t="s">
        <v>27</v>
      </c>
      <c r="T3212">
        <v>5</v>
      </c>
      <c r="U3212" t="s">
        <v>28</v>
      </c>
      <c r="V3212" t="s">
        <v>28</v>
      </c>
      <c r="W3212">
        <v>17</v>
      </c>
      <c r="X3212">
        <v>9.9199999999999997E-2</v>
      </c>
      <c r="Y3212">
        <f>0.1225-X3212</f>
        <v>2.3300000000000001E-2</v>
      </c>
      <c r="AA3212" s="6"/>
      <c r="AB3212" s="6"/>
    </row>
    <row r="3213" spans="1:28" x14ac:dyDescent="0.2">
      <c r="A3213" t="s">
        <v>414</v>
      </c>
      <c r="B3213">
        <v>2016</v>
      </c>
      <c r="C3213" t="s">
        <v>816</v>
      </c>
      <c r="D3213" t="s">
        <v>817</v>
      </c>
      <c r="E3213" t="s">
        <v>263</v>
      </c>
      <c r="F3213" t="s">
        <v>411</v>
      </c>
      <c r="G3213">
        <v>78.965911000000006</v>
      </c>
      <c r="H3213">
        <v>11.656361</v>
      </c>
      <c r="I3213" t="s">
        <v>764</v>
      </c>
      <c r="J3213" s="2" t="s">
        <v>7</v>
      </c>
      <c r="K3213" t="s">
        <v>92</v>
      </c>
      <c r="L3213" t="s">
        <v>300</v>
      </c>
      <c r="M3213" t="s">
        <v>26</v>
      </c>
      <c r="N3213" t="s">
        <v>85</v>
      </c>
      <c r="O3213" s="6" t="s">
        <v>838</v>
      </c>
      <c r="P3213" t="s">
        <v>412</v>
      </c>
      <c r="Q3213">
        <v>16</v>
      </c>
      <c r="R3213" t="s">
        <v>213</v>
      </c>
      <c r="S3213" s="2" t="s">
        <v>7</v>
      </c>
      <c r="T3213">
        <v>5</v>
      </c>
      <c r="U3213" t="s">
        <v>28</v>
      </c>
      <c r="V3213" t="s">
        <v>28</v>
      </c>
      <c r="W3213">
        <v>7</v>
      </c>
      <c r="X3213">
        <v>185.7</v>
      </c>
      <c r="Y3213">
        <f>235.4-X3213</f>
        <v>49.700000000000017</v>
      </c>
      <c r="AA3213" s="6"/>
      <c r="AB3213" s="6"/>
    </row>
    <row r="3214" spans="1:28" x14ac:dyDescent="0.2">
      <c r="A3214" t="s">
        <v>414</v>
      </c>
      <c r="B3214">
        <v>2016</v>
      </c>
      <c r="C3214" t="s">
        <v>816</v>
      </c>
      <c r="D3214" t="s">
        <v>817</v>
      </c>
      <c r="E3214" t="s">
        <v>263</v>
      </c>
      <c r="F3214" t="s">
        <v>411</v>
      </c>
      <c r="G3214">
        <v>78.965911000000006</v>
      </c>
      <c r="H3214">
        <v>11.656361</v>
      </c>
      <c r="I3214" t="s">
        <v>764</v>
      </c>
      <c r="J3214" s="2" t="s">
        <v>7</v>
      </c>
      <c r="K3214" t="s">
        <v>92</v>
      </c>
      <c r="L3214" t="s">
        <v>300</v>
      </c>
      <c r="M3214" t="s">
        <v>26</v>
      </c>
      <c r="N3214" t="s">
        <v>85</v>
      </c>
      <c r="O3214" s="6" t="s">
        <v>838</v>
      </c>
      <c r="P3214" t="s">
        <v>412</v>
      </c>
      <c r="Q3214">
        <v>48</v>
      </c>
      <c r="R3214" t="s">
        <v>213</v>
      </c>
      <c r="S3214" s="2" t="s">
        <v>7</v>
      </c>
      <c r="T3214">
        <v>5</v>
      </c>
      <c r="U3214" t="s">
        <v>28</v>
      </c>
      <c r="V3214" t="s">
        <v>28</v>
      </c>
      <c r="W3214">
        <v>7</v>
      </c>
      <c r="X3214">
        <v>360.9</v>
      </c>
      <c r="Y3214">
        <f>446.3-X3214</f>
        <v>85.400000000000034</v>
      </c>
      <c r="AA3214" s="6"/>
      <c r="AB3214" s="6"/>
    </row>
    <row r="3215" spans="1:28" x14ac:dyDescent="0.2">
      <c r="A3215" t="s">
        <v>414</v>
      </c>
      <c r="B3215">
        <v>2016</v>
      </c>
      <c r="C3215" t="s">
        <v>816</v>
      </c>
      <c r="D3215" t="s">
        <v>817</v>
      </c>
      <c r="E3215" t="s">
        <v>263</v>
      </c>
      <c r="F3215" t="s">
        <v>411</v>
      </c>
      <c r="G3215">
        <v>78.965911000000006</v>
      </c>
      <c r="H3215">
        <v>11.656361</v>
      </c>
      <c r="I3215" t="s">
        <v>764</v>
      </c>
      <c r="J3215" s="2" t="s">
        <v>14</v>
      </c>
      <c r="K3215" t="s">
        <v>92</v>
      </c>
      <c r="L3215" t="s">
        <v>300</v>
      </c>
      <c r="M3215" t="s">
        <v>26</v>
      </c>
      <c r="N3215" t="s">
        <v>85</v>
      </c>
      <c r="O3215" s="6" t="s">
        <v>838</v>
      </c>
      <c r="P3215" t="s">
        <v>412</v>
      </c>
      <c r="Q3215">
        <v>16</v>
      </c>
      <c r="R3215" t="s">
        <v>214</v>
      </c>
      <c r="S3215" s="2" t="s">
        <v>9</v>
      </c>
      <c r="T3215">
        <v>5</v>
      </c>
      <c r="U3215" t="s">
        <v>28</v>
      </c>
      <c r="V3215" t="s">
        <v>28</v>
      </c>
      <c r="W3215">
        <v>12</v>
      </c>
      <c r="X3215">
        <v>325.2</v>
      </c>
      <c r="Y3215">
        <f>387.9-X3215</f>
        <v>62.699999999999989</v>
      </c>
      <c r="AA3215" s="6"/>
      <c r="AB3215" s="6"/>
    </row>
    <row r="3216" spans="1:28" x14ac:dyDescent="0.2">
      <c r="A3216" t="s">
        <v>414</v>
      </c>
      <c r="B3216">
        <v>2016</v>
      </c>
      <c r="C3216" t="s">
        <v>816</v>
      </c>
      <c r="D3216" t="s">
        <v>817</v>
      </c>
      <c r="E3216" t="s">
        <v>263</v>
      </c>
      <c r="F3216" t="s">
        <v>411</v>
      </c>
      <c r="G3216">
        <v>78.965911000000006</v>
      </c>
      <c r="H3216">
        <v>11.656361</v>
      </c>
      <c r="I3216" t="s">
        <v>764</v>
      </c>
      <c r="J3216" s="2" t="s">
        <v>14</v>
      </c>
      <c r="K3216" t="s">
        <v>92</v>
      </c>
      <c r="L3216" t="s">
        <v>300</v>
      </c>
      <c r="M3216" t="s">
        <v>26</v>
      </c>
      <c r="N3216" t="s">
        <v>85</v>
      </c>
      <c r="O3216" s="6" t="s">
        <v>838</v>
      </c>
      <c r="P3216" t="s">
        <v>412</v>
      </c>
      <c r="Q3216">
        <v>48</v>
      </c>
      <c r="R3216" t="s">
        <v>213</v>
      </c>
      <c r="S3216" s="2" t="s">
        <v>9</v>
      </c>
      <c r="T3216">
        <v>5</v>
      </c>
      <c r="U3216" t="s">
        <v>28</v>
      </c>
      <c r="V3216" t="s">
        <v>28</v>
      </c>
      <c r="W3216">
        <v>12</v>
      </c>
      <c r="X3216">
        <v>467.2</v>
      </c>
      <c r="Y3216">
        <f>605.9-X3216</f>
        <v>138.69999999999999</v>
      </c>
      <c r="AA3216" s="6"/>
      <c r="AB3216" s="6"/>
    </row>
    <row r="3217" spans="1:28" x14ac:dyDescent="0.2">
      <c r="A3217" t="s">
        <v>414</v>
      </c>
      <c r="B3217">
        <v>2016</v>
      </c>
      <c r="C3217" t="s">
        <v>816</v>
      </c>
      <c r="D3217" t="s">
        <v>817</v>
      </c>
      <c r="E3217" t="s">
        <v>263</v>
      </c>
      <c r="F3217" t="s">
        <v>411</v>
      </c>
      <c r="G3217">
        <v>78.965911000000006</v>
      </c>
      <c r="H3217">
        <v>11.656361</v>
      </c>
      <c r="I3217" t="s">
        <v>764</v>
      </c>
      <c r="J3217" s="2" t="s">
        <v>14</v>
      </c>
      <c r="K3217" t="s">
        <v>92</v>
      </c>
      <c r="L3217" t="s">
        <v>300</v>
      </c>
      <c r="M3217" t="s">
        <v>26</v>
      </c>
      <c r="N3217" t="s">
        <v>85</v>
      </c>
      <c r="O3217" s="6" t="s">
        <v>838</v>
      </c>
      <c r="P3217" t="s">
        <v>412</v>
      </c>
      <c r="Q3217">
        <v>16</v>
      </c>
      <c r="R3217" t="s">
        <v>213</v>
      </c>
      <c r="S3217" s="2" t="s">
        <v>27</v>
      </c>
      <c r="T3217">
        <v>5</v>
      </c>
      <c r="U3217" t="s">
        <v>28</v>
      </c>
      <c r="V3217" t="s">
        <v>28</v>
      </c>
      <c r="W3217">
        <v>17</v>
      </c>
      <c r="X3217">
        <v>119.4</v>
      </c>
      <c r="Y3217">
        <f>172.6-X3217</f>
        <v>53.199999999999989</v>
      </c>
      <c r="AA3217" s="6"/>
      <c r="AB3217" s="6"/>
    </row>
    <row r="3218" spans="1:28" x14ac:dyDescent="0.2">
      <c r="A3218" t="s">
        <v>415</v>
      </c>
      <c r="B3218">
        <v>2019</v>
      </c>
      <c r="C3218" t="s">
        <v>826</v>
      </c>
      <c r="D3218" t="s">
        <v>824</v>
      </c>
      <c r="E3218" t="s">
        <v>114</v>
      </c>
      <c r="F3218" t="s">
        <v>416</v>
      </c>
      <c r="G3218">
        <v>36.116700000000002</v>
      </c>
      <c r="H3218">
        <v>120.3167</v>
      </c>
      <c r="I3218" t="s">
        <v>767</v>
      </c>
      <c r="J3218" s="2" t="s">
        <v>7</v>
      </c>
      <c r="K3218" t="s">
        <v>144</v>
      </c>
      <c r="L3218" t="s">
        <v>144</v>
      </c>
      <c r="M3218" t="s">
        <v>26</v>
      </c>
      <c r="N3218" t="s">
        <v>85</v>
      </c>
      <c r="O3218" t="s">
        <v>839</v>
      </c>
      <c r="P3218" t="s">
        <v>72</v>
      </c>
      <c r="Q3218">
        <v>6</v>
      </c>
      <c r="R3218" t="s">
        <v>213</v>
      </c>
      <c r="S3218" s="2" t="s">
        <v>7</v>
      </c>
      <c r="T3218">
        <v>3</v>
      </c>
      <c r="U3218">
        <v>8.09</v>
      </c>
      <c r="V3218">
        <v>400</v>
      </c>
      <c r="W3218" t="s">
        <v>28</v>
      </c>
      <c r="X3218">
        <v>0.9403732594200217</v>
      </c>
      <c r="Y3218">
        <v>3.0710839176386874E-2</v>
      </c>
      <c r="AA3218">
        <v>0.90562131199999996</v>
      </c>
      <c r="AB3218">
        <v>0.97512520700000005</v>
      </c>
    </row>
    <row r="3219" spans="1:28" x14ac:dyDescent="0.2">
      <c r="A3219" t="s">
        <v>415</v>
      </c>
      <c r="B3219">
        <v>2019</v>
      </c>
      <c r="C3219" t="s">
        <v>826</v>
      </c>
      <c r="D3219" t="s">
        <v>824</v>
      </c>
      <c r="E3219" t="s">
        <v>114</v>
      </c>
      <c r="F3219" t="s">
        <v>416</v>
      </c>
      <c r="G3219">
        <v>36.116700000000002</v>
      </c>
      <c r="H3219">
        <v>120.3167</v>
      </c>
      <c r="I3219" t="s">
        <v>767</v>
      </c>
      <c r="J3219" s="2" t="s">
        <v>5</v>
      </c>
      <c r="K3219" t="s">
        <v>144</v>
      </c>
      <c r="L3219" t="s">
        <v>144</v>
      </c>
      <c r="M3219" t="s">
        <v>26</v>
      </c>
      <c r="N3219" t="s">
        <v>85</v>
      </c>
      <c r="O3219" t="s">
        <v>839</v>
      </c>
      <c r="P3219" t="s">
        <v>72</v>
      </c>
      <c r="Q3219">
        <v>6</v>
      </c>
      <c r="R3219" t="s">
        <v>213</v>
      </c>
      <c r="S3219" s="2" t="s">
        <v>9</v>
      </c>
      <c r="T3219">
        <v>3</v>
      </c>
      <c r="U3219">
        <v>7.78</v>
      </c>
      <c r="V3219">
        <v>800</v>
      </c>
      <c r="W3219" t="s">
        <v>28</v>
      </c>
      <c r="X3219">
        <v>0.4505885576000202</v>
      </c>
      <c r="Y3219">
        <v>5.0778693999999999E-2</v>
      </c>
      <c r="AA3219">
        <v>0.39312811199999997</v>
      </c>
      <c r="AB3219">
        <v>0.508049003</v>
      </c>
    </row>
    <row r="3220" spans="1:28" x14ac:dyDescent="0.2">
      <c r="A3220" t="s">
        <v>415</v>
      </c>
      <c r="B3220">
        <v>2019</v>
      </c>
      <c r="C3220" t="s">
        <v>826</v>
      </c>
      <c r="D3220" t="s">
        <v>824</v>
      </c>
      <c r="E3220" t="s">
        <v>114</v>
      </c>
      <c r="F3220" t="s">
        <v>416</v>
      </c>
      <c r="G3220">
        <v>36.116700000000002</v>
      </c>
      <c r="H3220">
        <v>120.3167</v>
      </c>
      <c r="I3220" t="s">
        <v>767</v>
      </c>
      <c r="J3220" s="2" t="s">
        <v>7</v>
      </c>
      <c r="K3220" t="s">
        <v>144</v>
      </c>
      <c r="L3220" t="s">
        <v>144</v>
      </c>
      <c r="M3220" t="s">
        <v>73</v>
      </c>
      <c r="N3220" t="s">
        <v>85</v>
      </c>
      <c r="O3220" s="6" t="s">
        <v>146</v>
      </c>
      <c r="P3220" t="s">
        <v>78</v>
      </c>
      <c r="Q3220">
        <v>6</v>
      </c>
      <c r="R3220" t="s">
        <v>213</v>
      </c>
      <c r="S3220" s="2" t="s">
        <v>7</v>
      </c>
      <c r="T3220">
        <v>3</v>
      </c>
      <c r="U3220">
        <v>8.09</v>
      </c>
      <c r="V3220">
        <v>400</v>
      </c>
      <c r="W3220" t="s">
        <v>28</v>
      </c>
      <c r="X3220">
        <v>0.28500156500000001</v>
      </c>
      <c r="Y3220">
        <v>6.6314410000000001E-3</v>
      </c>
      <c r="AA3220">
        <v>0.27749752100000002</v>
      </c>
      <c r="AB3220">
        <v>0.292505609</v>
      </c>
    </row>
    <row r="3221" spans="1:28" x14ac:dyDescent="0.2">
      <c r="A3221" t="s">
        <v>415</v>
      </c>
      <c r="B3221">
        <v>2019</v>
      </c>
      <c r="C3221" t="s">
        <v>826</v>
      </c>
      <c r="D3221" t="s">
        <v>824</v>
      </c>
      <c r="E3221" t="s">
        <v>114</v>
      </c>
      <c r="F3221" t="s">
        <v>416</v>
      </c>
      <c r="G3221">
        <v>36.116700000000002</v>
      </c>
      <c r="H3221">
        <v>120.3167</v>
      </c>
      <c r="I3221" t="s">
        <v>767</v>
      </c>
      <c r="J3221" s="2" t="s">
        <v>5</v>
      </c>
      <c r="K3221" t="s">
        <v>144</v>
      </c>
      <c r="L3221" t="s">
        <v>144</v>
      </c>
      <c r="M3221" t="s">
        <v>73</v>
      </c>
      <c r="N3221" t="s">
        <v>85</v>
      </c>
      <c r="O3221" s="6" t="s">
        <v>146</v>
      </c>
      <c r="P3221" t="s">
        <v>78</v>
      </c>
      <c r="Q3221">
        <v>6</v>
      </c>
      <c r="R3221" t="s">
        <v>213</v>
      </c>
      <c r="S3221" s="2" t="s">
        <v>9</v>
      </c>
      <c r="T3221">
        <v>3</v>
      </c>
      <c r="U3221">
        <v>7.78</v>
      </c>
      <c r="V3221">
        <v>800</v>
      </c>
      <c r="W3221" t="s">
        <v>28</v>
      </c>
      <c r="X3221">
        <v>0.25381827600000001</v>
      </c>
      <c r="Y3221">
        <v>7.3760597999999997E-2</v>
      </c>
      <c r="AA3221">
        <v>0.17035183500000001</v>
      </c>
      <c r="AB3221">
        <v>0.33728471700000001</v>
      </c>
    </row>
    <row r="3222" spans="1:28" x14ac:dyDescent="0.2">
      <c r="A3222" t="s">
        <v>415</v>
      </c>
      <c r="B3222">
        <v>2019</v>
      </c>
      <c r="C3222" t="s">
        <v>826</v>
      </c>
      <c r="D3222" t="s">
        <v>824</v>
      </c>
      <c r="E3222" t="s">
        <v>114</v>
      </c>
      <c r="F3222" t="s">
        <v>416</v>
      </c>
      <c r="G3222">
        <v>36.116700000000002</v>
      </c>
      <c r="H3222">
        <v>120.3167</v>
      </c>
      <c r="I3222" t="s">
        <v>767</v>
      </c>
      <c r="J3222" s="2" t="s">
        <v>7</v>
      </c>
      <c r="K3222" t="s">
        <v>144</v>
      </c>
      <c r="L3222" t="s">
        <v>144</v>
      </c>
      <c r="M3222" t="s">
        <v>553</v>
      </c>
      <c r="N3222" t="s">
        <v>85</v>
      </c>
      <c r="O3222" s="6" t="s">
        <v>61</v>
      </c>
      <c r="P3222" t="s">
        <v>147</v>
      </c>
      <c r="Q3222">
        <v>6</v>
      </c>
      <c r="R3222" t="s">
        <v>213</v>
      </c>
      <c r="S3222" s="2" t="s">
        <v>7</v>
      </c>
      <c r="T3222">
        <v>3</v>
      </c>
      <c r="U3222">
        <v>8.09</v>
      </c>
      <c r="V3222">
        <v>400</v>
      </c>
      <c r="W3222" t="s">
        <v>28</v>
      </c>
      <c r="X3222">
        <v>0.45940969700000001</v>
      </c>
      <c r="Y3222">
        <v>2.7918307E-2</v>
      </c>
      <c r="AA3222">
        <v>0.42781773899999997</v>
      </c>
      <c r="AB3222">
        <v>0.49100165499999998</v>
      </c>
    </row>
    <row r="3223" spans="1:28" x14ac:dyDescent="0.2">
      <c r="A3223" t="s">
        <v>415</v>
      </c>
      <c r="B3223">
        <v>2019</v>
      </c>
      <c r="C3223" t="s">
        <v>826</v>
      </c>
      <c r="D3223" t="s">
        <v>824</v>
      </c>
      <c r="E3223" t="s">
        <v>114</v>
      </c>
      <c r="F3223" t="s">
        <v>416</v>
      </c>
      <c r="G3223">
        <v>36.116700000000002</v>
      </c>
      <c r="H3223">
        <v>120.3167</v>
      </c>
      <c r="I3223" t="s">
        <v>767</v>
      </c>
      <c r="J3223" s="2" t="s">
        <v>5</v>
      </c>
      <c r="K3223" t="s">
        <v>144</v>
      </c>
      <c r="L3223" t="s">
        <v>144</v>
      </c>
      <c r="M3223" t="s">
        <v>553</v>
      </c>
      <c r="N3223" t="s">
        <v>85</v>
      </c>
      <c r="O3223" s="6" t="s">
        <v>61</v>
      </c>
      <c r="P3223" t="s">
        <v>147</v>
      </c>
      <c r="Q3223">
        <v>6</v>
      </c>
      <c r="R3223" t="s">
        <v>213</v>
      </c>
      <c r="S3223" s="2" t="s">
        <v>9</v>
      </c>
      <c r="T3223">
        <v>3</v>
      </c>
      <c r="U3223">
        <v>7.78</v>
      </c>
      <c r="V3223">
        <v>800</v>
      </c>
      <c r="W3223" t="s">
        <v>28</v>
      </c>
      <c r="X3223">
        <v>0.30847048599999999</v>
      </c>
      <c r="Y3223">
        <v>9.7420409999999999E-3</v>
      </c>
      <c r="AA3223">
        <v>0.29744653100000001</v>
      </c>
      <c r="AB3223">
        <v>0.31949444100000002</v>
      </c>
    </row>
    <row r="3224" spans="1:28" x14ac:dyDescent="0.2">
      <c r="A3224" t="s">
        <v>415</v>
      </c>
      <c r="B3224">
        <v>2019</v>
      </c>
      <c r="C3224" t="s">
        <v>826</v>
      </c>
      <c r="D3224" t="s">
        <v>824</v>
      </c>
      <c r="E3224" t="s">
        <v>114</v>
      </c>
      <c r="F3224" t="s">
        <v>416</v>
      </c>
      <c r="G3224">
        <v>36.116700000000002</v>
      </c>
      <c r="H3224">
        <v>120.3167</v>
      </c>
      <c r="I3224" t="s">
        <v>767</v>
      </c>
      <c r="J3224" s="2" t="s">
        <v>7</v>
      </c>
      <c r="K3224" t="s">
        <v>144</v>
      </c>
      <c r="L3224" t="s">
        <v>144</v>
      </c>
      <c r="M3224" t="s">
        <v>553</v>
      </c>
      <c r="N3224" t="s">
        <v>85</v>
      </c>
      <c r="O3224" s="6" t="s">
        <v>241</v>
      </c>
      <c r="P3224" t="s">
        <v>147</v>
      </c>
      <c r="Q3224">
        <v>6</v>
      </c>
      <c r="R3224" t="s">
        <v>213</v>
      </c>
      <c r="S3224" s="2" t="s">
        <v>7</v>
      </c>
      <c r="T3224">
        <v>3</v>
      </c>
      <c r="U3224">
        <v>8.09</v>
      </c>
      <c r="V3224">
        <v>400</v>
      </c>
      <c r="W3224" t="s">
        <v>28</v>
      </c>
      <c r="X3224">
        <v>5.4569220000000002E-2</v>
      </c>
      <c r="Y3224">
        <v>1.377238E-3</v>
      </c>
      <c r="AA3224">
        <v>5.3010757999999998E-2</v>
      </c>
      <c r="AB3224">
        <v>5.6127682999999998E-2</v>
      </c>
    </row>
    <row r="3225" spans="1:28" x14ac:dyDescent="0.2">
      <c r="A3225" t="s">
        <v>415</v>
      </c>
      <c r="B3225">
        <v>2019</v>
      </c>
      <c r="C3225" t="s">
        <v>826</v>
      </c>
      <c r="D3225" t="s">
        <v>824</v>
      </c>
      <c r="E3225" t="s">
        <v>114</v>
      </c>
      <c r="F3225" t="s">
        <v>416</v>
      </c>
      <c r="G3225">
        <v>36.116700000000002</v>
      </c>
      <c r="H3225">
        <v>120.3167</v>
      </c>
      <c r="I3225" t="s">
        <v>767</v>
      </c>
      <c r="J3225" s="2" t="s">
        <v>5</v>
      </c>
      <c r="K3225" t="s">
        <v>144</v>
      </c>
      <c r="L3225" t="s">
        <v>144</v>
      </c>
      <c r="M3225" t="s">
        <v>553</v>
      </c>
      <c r="N3225" t="s">
        <v>85</v>
      </c>
      <c r="O3225" s="6" t="s">
        <v>241</v>
      </c>
      <c r="P3225" t="s">
        <v>147</v>
      </c>
      <c r="Q3225">
        <v>6</v>
      </c>
      <c r="R3225" t="s">
        <v>213</v>
      </c>
      <c r="S3225" s="2" t="s">
        <v>9</v>
      </c>
      <c r="T3225">
        <v>3</v>
      </c>
      <c r="U3225">
        <v>7.78</v>
      </c>
      <c r="V3225">
        <v>800</v>
      </c>
      <c r="W3225" t="s">
        <v>28</v>
      </c>
      <c r="X3225">
        <v>4.9002328999999997E-2</v>
      </c>
      <c r="Y3225">
        <v>9.4365379999999995E-3</v>
      </c>
      <c r="AA3225">
        <v>3.8324075999999999E-2</v>
      </c>
      <c r="AB3225">
        <v>5.9680581000000003E-2</v>
      </c>
    </row>
    <row r="3226" spans="1:28" x14ac:dyDescent="0.2">
      <c r="A3226" t="s">
        <v>415</v>
      </c>
      <c r="B3226">
        <v>2019</v>
      </c>
      <c r="C3226" t="s">
        <v>826</v>
      </c>
      <c r="D3226" t="s">
        <v>824</v>
      </c>
      <c r="E3226" t="s">
        <v>114</v>
      </c>
      <c r="F3226" t="s">
        <v>416</v>
      </c>
      <c r="G3226">
        <v>36.116700000000002</v>
      </c>
      <c r="H3226">
        <v>120.3167</v>
      </c>
      <c r="I3226" t="s">
        <v>767</v>
      </c>
      <c r="J3226" s="2" t="s">
        <v>7</v>
      </c>
      <c r="K3226" t="s">
        <v>144</v>
      </c>
      <c r="L3226" t="s">
        <v>144</v>
      </c>
      <c r="M3226" t="s">
        <v>638</v>
      </c>
      <c r="N3226" t="s">
        <v>85</v>
      </c>
      <c r="O3226" s="6" t="s">
        <v>347</v>
      </c>
      <c r="P3226" t="s">
        <v>147</v>
      </c>
      <c r="Q3226">
        <v>6</v>
      </c>
      <c r="R3226" t="s">
        <v>213</v>
      </c>
      <c r="S3226" s="2" t="s">
        <v>7</v>
      </c>
      <c r="T3226">
        <v>3</v>
      </c>
      <c r="U3226">
        <v>8.09</v>
      </c>
      <c r="V3226">
        <v>400</v>
      </c>
      <c r="W3226" t="s">
        <v>28</v>
      </c>
      <c r="X3226">
        <v>3.8696022729999999</v>
      </c>
      <c r="Y3226">
        <v>0.261647727</v>
      </c>
      <c r="AA3226">
        <v>3.5735254369999998</v>
      </c>
      <c r="AB3226">
        <v>4.165679108</v>
      </c>
    </row>
    <row r="3227" spans="1:28" x14ac:dyDescent="0.2">
      <c r="A3227" t="s">
        <v>415</v>
      </c>
      <c r="B3227">
        <v>2019</v>
      </c>
      <c r="C3227" t="s">
        <v>826</v>
      </c>
      <c r="D3227" t="s">
        <v>824</v>
      </c>
      <c r="E3227" t="s">
        <v>114</v>
      </c>
      <c r="F3227" t="s">
        <v>416</v>
      </c>
      <c r="G3227">
        <v>36.116700000000002</v>
      </c>
      <c r="H3227">
        <v>120.3167</v>
      </c>
      <c r="I3227" t="s">
        <v>767</v>
      </c>
      <c r="J3227" s="2" t="s">
        <v>5</v>
      </c>
      <c r="K3227" t="s">
        <v>144</v>
      </c>
      <c r="L3227" t="s">
        <v>144</v>
      </c>
      <c r="M3227" t="s">
        <v>638</v>
      </c>
      <c r="N3227" t="s">
        <v>85</v>
      </c>
      <c r="O3227" s="6" t="s">
        <v>347</v>
      </c>
      <c r="P3227" t="s">
        <v>147</v>
      </c>
      <c r="Q3227">
        <v>6</v>
      </c>
      <c r="R3227" t="s">
        <v>213</v>
      </c>
      <c r="S3227" s="2" t="s">
        <v>9</v>
      </c>
      <c r="T3227">
        <v>3</v>
      </c>
      <c r="U3227">
        <v>7.78</v>
      </c>
      <c r="V3227">
        <v>800</v>
      </c>
      <c r="W3227" t="s">
        <v>28</v>
      </c>
      <c r="X3227">
        <v>3.7562500000000001</v>
      </c>
      <c r="Y3227">
        <v>0.380172658</v>
      </c>
      <c r="AA3227">
        <v>3.3260520439999999</v>
      </c>
      <c r="AB3227">
        <v>4.1864479560000003</v>
      </c>
    </row>
    <row r="3228" spans="1:28" x14ac:dyDescent="0.2">
      <c r="A3228" t="s">
        <v>415</v>
      </c>
      <c r="B3228">
        <v>2019</v>
      </c>
      <c r="C3228" t="s">
        <v>826</v>
      </c>
      <c r="D3228" t="s">
        <v>824</v>
      </c>
      <c r="E3228" t="s">
        <v>114</v>
      </c>
      <c r="F3228" t="s">
        <v>416</v>
      </c>
      <c r="G3228">
        <v>36.116700000000002</v>
      </c>
      <c r="H3228">
        <v>120.3167</v>
      </c>
      <c r="I3228" t="s">
        <v>767</v>
      </c>
      <c r="J3228" s="2" t="s">
        <v>7</v>
      </c>
      <c r="K3228" t="s">
        <v>144</v>
      </c>
      <c r="L3228" t="s">
        <v>144</v>
      </c>
      <c r="M3228" t="s">
        <v>638</v>
      </c>
      <c r="N3228" t="s">
        <v>85</v>
      </c>
      <c r="O3228" s="6" t="s">
        <v>348</v>
      </c>
      <c r="P3228" t="s">
        <v>147</v>
      </c>
      <c r="Q3228">
        <v>6</v>
      </c>
      <c r="R3228" t="s">
        <v>213</v>
      </c>
      <c r="S3228" s="2" t="s">
        <v>7</v>
      </c>
      <c r="T3228">
        <v>3</v>
      </c>
      <c r="U3228">
        <v>8.09</v>
      </c>
      <c r="V3228">
        <v>400</v>
      </c>
      <c r="W3228" t="s">
        <v>28</v>
      </c>
      <c r="X3228">
        <v>2.5054219949999998</v>
      </c>
      <c r="Y3228">
        <v>0.61242219399999998</v>
      </c>
      <c r="AA3228">
        <v>1.8124137769999999</v>
      </c>
      <c r="AB3228">
        <v>3.198430213</v>
      </c>
    </row>
    <row r="3229" spans="1:28" x14ac:dyDescent="0.2">
      <c r="A3229" t="s">
        <v>415</v>
      </c>
      <c r="B3229">
        <v>2019</v>
      </c>
      <c r="C3229" t="s">
        <v>826</v>
      </c>
      <c r="D3229" t="s">
        <v>824</v>
      </c>
      <c r="E3229" t="s">
        <v>114</v>
      </c>
      <c r="F3229" t="s">
        <v>416</v>
      </c>
      <c r="G3229">
        <v>36.116700000000002</v>
      </c>
      <c r="H3229">
        <v>120.3167</v>
      </c>
      <c r="I3229" t="s">
        <v>767</v>
      </c>
      <c r="J3229" s="2" t="s">
        <v>5</v>
      </c>
      <c r="K3229" t="s">
        <v>144</v>
      </c>
      <c r="L3229" t="s">
        <v>144</v>
      </c>
      <c r="M3229" t="s">
        <v>638</v>
      </c>
      <c r="N3229" t="s">
        <v>85</v>
      </c>
      <c r="O3229" s="6" t="s">
        <v>348</v>
      </c>
      <c r="P3229" t="s">
        <v>147</v>
      </c>
      <c r="Q3229">
        <v>6</v>
      </c>
      <c r="R3229" t="s">
        <v>213</v>
      </c>
      <c r="S3229" s="2" t="s">
        <v>9</v>
      </c>
      <c r="T3229">
        <v>3</v>
      </c>
      <c r="U3229">
        <v>7.78</v>
      </c>
      <c r="V3229">
        <v>800</v>
      </c>
      <c r="W3229" t="s">
        <v>28</v>
      </c>
      <c r="X3229">
        <v>1.442843227</v>
      </c>
      <c r="Y3229">
        <v>0.40266581499999998</v>
      </c>
      <c r="AA3229">
        <v>0.98719233500000003</v>
      </c>
      <c r="AB3229">
        <v>1.898494119</v>
      </c>
    </row>
    <row r="3230" spans="1:28" x14ac:dyDescent="0.2">
      <c r="A3230" t="s">
        <v>417</v>
      </c>
      <c r="B3230">
        <v>2013</v>
      </c>
      <c r="C3230" t="s">
        <v>826</v>
      </c>
      <c r="D3230" t="s">
        <v>812</v>
      </c>
      <c r="E3230" t="s">
        <v>175</v>
      </c>
      <c r="F3230" t="s">
        <v>418</v>
      </c>
      <c r="G3230">
        <v>-41.853628999999998</v>
      </c>
      <c r="H3230">
        <v>148.29536999999999</v>
      </c>
      <c r="I3230" t="s">
        <v>764</v>
      </c>
      <c r="J3230" s="2" t="s">
        <v>7</v>
      </c>
      <c r="K3230" t="s">
        <v>41</v>
      </c>
      <c r="L3230" t="s">
        <v>3</v>
      </c>
      <c r="M3230" t="s">
        <v>26</v>
      </c>
      <c r="N3230" t="s">
        <v>85</v>
      </c>
      <c r="O3230" s="6" t="s">
        <v>80</v>
      </c>
      <c r="P3230" t="s">
        <v>79</v>
      </c>
      <c r="Q3230">
        <v>16</v>
      </c>
      <c r="R3230" t="s">
        <v>213</v>
      </c>
      <c r="S3230" s="2" t="s">
        <v>7</v>
      </c>
      <c r="T3230">
        <v>15</v>
      </c>
      <c r="U3230" t="s">
        <v>28</v>
      </c>
      <c r="V3230" t="s">
        <v>28</v>
      </c>
      <c r="W3230">
        <v>13.5</v>
      </c>
      <c r="X3230">
        <v>834</v>
      </c>
      <c r="Y3230" s="6">
        <f t="shared" ref="Y3230:Y3259" si="61">Z3230*SQRT(T3230)</f>
        <v>336.94955112004527</v>
      </c>
      <c r="Z3230">
        <f>921-X3230</f>
        <v>87</v>
      </c>
      <c r="AA3230" s="6"/>
      <c r="AB3230" s="6"/>
    </row>
    <row r="3231" spans="1:28" x14ac:dyDescent="0.2">
      <c r="A3231" t="s">
        <v>417</v>
      </c>
      <c r="B3231">
        <v>2013</v>
      </c>
      <c r="C3231" t="s">
        <v>826</v>
      </c>
      <c r="D3231" t="s">
        <v>812</v>
      </c>
      <c r="E3231" t="s">
        <v>175</v>
      </c>
      <c r="F3231" t="s">
        <v>418</v>
      </c>
      <c r="G3231">
        <v>-41.853628999999998</v>
      </c>
      <c r="H3231">
        <v>148.29536999999999</v>
      </c>
      <c r="I3231" t="s">
        <v>764</v>
      </c>
      <c r="J3231" s="2" t="s">
        <v>7</v>
      </c>
      <c r="K3231" t="s">
        <v>40</v>
      </c>
      <c r="L3231" t="s">
        <v>3</v>
      </c>
      <c r="M3231" t="s">
        <v>26</v>
      </c>
      <c r="N3231" t="s">
        <v>85</v>
      </c>
      <c r="O3231" s="6" t="s">
        <v>80</v>
      </c>
      <c r="P3231" t="s">
        <v>79</v>
      </c>
      <c r="Q3231">
        <v>16</v>
      </c>
      <c r="R3231" t="s">
        <v>213</v>
      </c>
      <c r="S3231" s="2" t="s">
        <v>7</v>
      </c>
      <c r="T3231">
        <v>15</v>
      </c>
      <c r="U3231" t="s">
        <v>28</v>
      </c>
      <c r="V3231" t="s">
        <v>28</v>
      </c>
      <c r="W3231">
        <v>13.5</v>
      </c>
      <c r="X3231">
        <v>907</v>
      </c>
      <c r="Y3231" s="6">
        <f t="shared" si="61"/>
        <v>251.74391750348209</v>
      </c>
      <c r="Z3231">
        <f>972-X3231</f>
        <v>65</v>
      </c>
      <c r="AA3231" s="6"/>
      <c r="AB3231" s="6"/>
    </row>
    <row r="3232" spans="1:28" x14ac:dyDescent="0.2">
      <c r="A3232" t="s">
        <v>417</v>
      </c>
      <c r="B3232">
        <v>2013</v>
      </c>
      <c r="C3232" t="s">
        <v>826</v>
      </c>
      <c r="D3232" t="s">
        <v>812</v>
      </c>
      <c r="E3232" t="s">
        <v>175</v>
      </c>
      <c r="F3232" t="s">
        <v>418</v>
      </c>
      <c r="G3232">
        <v>-41.853628999999998</v>
      </c>
      <c r="H3232">
        <v>148.29536999999999</v>
      </c>
      <c r="I3232" t="s">
        <v>764</v>
      </c>
      <c r="J3232" s="2" t="s">
        <v>14</v>
      </c>
      <c r="K3232" t="s">
        <v>41</v>
      </c>
      <c r="L3232" t="s">
        <v>3</v>
      </c>
      <c r="M3232" t="s">
        <v>26</v>
      </c>
      <c r="N3232" t="s">
        <v>85</v>
      </c>
      <c r="O3232" s="6" t="s">
        <v>80</v>
      </c>
      <c r="P3232" t="s">
        <v>79</v>
      </c>
      <c r="Q3232">
        <v>16</v>
      </c>
      <c r="R3232" t="s">
        <v>213</v>
      </c>
      <c r="S3232" s="2" t="s">
        <v>9</v>
      </c>
      <c r="T3232">
        <v>15</v>
      </c>
      <c r="U3232" t="s">
        <v>28</v>
      </c>
      <c r="V3232" t="s">
        <v>28</v>
      </c>
      <c r="W3232">
        <v>15</v>
      </c>
      <c r="X3232">
        <v>1047</v>
      </c>
      <c r="Y3232" s="6">
        <f t="shared" si="61"/>
        <v>460.88501819868264</v>
      </c>
      <c r="Z3232">
        <f>1166-X3232</f>
        <v>119</v>
      </c>
      <c r="AA3232" s="6"/>
      <c r="AB3232" s="6"/>
    </row>
    <row r="3233" spans="1:28" x14ac:dyDescent="0.2">
      <c r="A3233" t="s">
        <v>417</v>
      </c>
      <c r="B3233">
        <v>2013</v>
      </c>
      <c r="C3233" t="s">
        <v>826</v>
      </c>
      <c r="D3233" t="s">
        <v>812</v>
      </c>
      <c r="E3233" t="s">
        <v>175</v>
      </c>
      <c r="F3233" t="s">
        <v>418</v>
      </c>
      <c r="G3233">
        <v>-41.853628999999998</v>
      </c>
      <c r="H3233">
        <v>148.29536999999999</v>
      </c>
      <c r="I3233" t="s">
        <v>764</v>
      </c>
      <c r="J3233" s="2" t="s">
        <v>14</v>
      </c>
      <c r="K3233" t="s">
        <v>40</v>
      </c>
      <c r="L3233" t="s">
        <v>3</v>
      </c>
      <c r="M3233" t="s">
        <v>26</v>
      </c>
      <c r="N3233" t="s">
        <v>85</v>
      </c>
      <c r="O3233" s="6" t="s">
        <v>80</v>
      </c>
      <c r="P3233" t="s">
        <v>79</v>
      </c>
      <c r="Q3233">
        <v>16</v>
      </c>
      <c r="R3233" t="s">
        <v>213</v>
      </c>
      <c r="S3233" s="2" t="s">
        <v>9</v>
      </c>
      <c r="T3233">
        <v>15</v>
      </c>
      <c r="U3233" t="s">
        <v>28</v>
      </c>
      <c r="V3233" t="s">
        <v>28</v>
      </c>
      <c r="W3233">
        <v>15</v>
      </c>
      <c r="X3233">
        <v>1142</v>
      </c>
      <c r="Y3233" s="6">
        <f t="shared" si="61"/>
        <v>383.42535127453431</v>
      </c>
      <c r="Z3233">
        <f>1241-X3233</f>
        <v>99</v>
      </c>
      <c r="AA3233" s="6"/>
      <c r="AB3233" s="6"/>
    </row>
    <row r="3234" spans="1:28" x14ac:dyDescent="0.2">
      <c r="A3234" t="s">
        <v>417</v>
      </c>
      <c r="B3234">
        <v>2013</v>
      </c>
      <c r="C3234" t="s">
        <v>826</v>
      </c>
      <c r="D3234" t="s">
        <v>812</v>
      </c>
      <c r="E3234" t="s">
        <v>175</v>
      </c>
      <c r="F3234" t="s">
        <v>418</v>
      </c>
      <c r="G3234">
        <v>-41.853628999999998</v>
      </c>
      <c r="H3234">
        <v>148.29536999999999</v>
      </c>
      <c r="I3234" t="s">
        <v>764</v>
      </c>
      <c r="J3234" s="2" t="s">
        <v>14</v>
      </c>
      <c r="K3234" t="s">
        <v>41</v>
      </c>
      <c r="L3234" t="s">
        <v>3</v>
      </c>
      <c r="M3234" t="s">
        <v>26</v>
      </c>
      <c r="N3234" t="s">
        <v>85</v>
      </c>
      <c r="O3234" s="6" t="s">
        <v>80</v>
      </c>
      <c r="P3234" t="s">
        <v>79</v>
      </c>
      <c r="Q3234">
        <v>16</v>
      </c>
      <c r="R3234" t="s">
        <v>213</v>
      </c>
      <c r="S3234" s="2" t="s">
        <v>27</v>
      </c>
      <c r="T3234">
        <v>15</v>
      </c>
      <c r="U3234" t="s">
        <v>28</v>
      </c>
      <c r="V3234" t="s">
        <v>28</v>
      </c>
      <c r="W3234">
        <v>16.5</v>
      </c>
      <c r="X3234">
        <v>1324</v>
      </c>
      <c r="Y3234" s="6">
        <f t="shared" si="61"/>
        <v>689.39103562492028</v>
      </c>
      <c r="Z3234">
        <f>1502-X3234</f>
        <v>178</v>
      </c>
      <c r="AA3234" s="6"/>
      <c r="AB3234" s="6"/>
    </row>
    <row r="3235" spans="1:28" x14ac:dyDescent="0.2">
      <c r="A3235" t="s">
        <v>417</v>
      </c>
      <c r="B3235">
        <v>2013</v>
      </c>
      <c r="C3235" t="s">
        <v>826</v>
      </c>
      <c r="D3235" t="s">
        <v>812</v>
      </c>
      <c r="E3235" t="s">
        <v>175</v>
      </c>
      <c r="F3235" t="s">
        <v>418</v>
      </c>
      <c r="G3235">
        <v>-41.853628999999998</v>
      </c>
      <c r="H3235">
        <v>148.29536999999999</v>
      </c>
      <c r="I3235" t="s">
        <v>764</v>
      </c>
      <c r="J3235" s="2" t="s">
        <v>14</v>
      </c>
      <c r="K3235" t="s">
        <v>40</v>
      </c>
      <c r="L3235" t="s">
        <v>3</v>
      </c>
      <c r="M3235" t="s">
        <v>26</v>
      </c>
      <c r="N3235" t="s">
        <v>85</v>
      </c>
      <c r="O3235" s="6" t="s">
        <v>80</v>
      </c>
      <c r="P3235" t="s">
        <v>79</v>
      </c>
      <c r="Q3235">
        <v>16</v>
      </c>
      <c r="R3235" t="s">
        <v>213</v>
      </c>
      <c r="S3235" s="2" t="s">
        <v>27</v>
      </c>
      <c r="T3235">
        <v>15</v>
      </c>
      <c r="U3235" t="s">
        <v>28</v>
      </c>
      <c r="V3235" t="s">
        <v>28</v>
      </c>
      <c r="W3235">
        <v>16.5</v>
      </c>
      <c r="X3235">
        <v>1374</v>
      </c>
      <c r="Y3235" s="6">
        <f t="shared" si="61"/>
        <v>418.28220139040104</v>
      </c>
      <c r="Z3235">
        <f>1482-X3235</f>
        <v>108</v>
      </c>
      <c r="AA3235" s="6"/>
      <c r="AB3235" s="6"/>
    </row>
    <row r="3236" spans="1:28" x14ac:dyDescent="0.2">
      <c r="A3236" t="s">
        <v>417</v>
      </c>
      <c r="B3236">
        <v>2013</v>
      </c>
      <c r="C3236" t="s">
        <v>826</v>
      </c>
      <c r="D3236" t="s">
        <v>812</v>
      </c>
      <c r="E3236" t="s">
        <v>175</v>
      </c>
      <c r="F3236" t="s">
        <v>418</v>
      </c>
      <c r="G3236">
        <v>-41.853628999999998</v>
      </c>
      <c r="H3236">
        <v>148.29536999999999</v>
      </c>
      <c r="I3236" t="s">
        <v>764</v>
      </c>
      <c r="J3236" s="2" t="s">
        <v>14</v>
      </c>
      <c r="K3236" t="s">
        <v>41</v>
      </c>
      <c r="L3236" t="s">
        <v>3</v>
      </c>
      <c r="M3236" t="s">
        <v>26</v>
      </c>
      <c r="N3236" t="s">
        <v>85</v>
      </c>
      <c r="O3236" s="6" t="s">
        <v>80</v>
      </c>
      <c r="P3236" t="s">
        <v>79</v>
      </c>
      <c r="Q3236">
        <v>16</v>
      </c>
      <c r="R3236" t="s">
        <v>213</v>
      </c>
      <c r="S3236" s="2" t="s">
        <v>13</v>
      </c>
      <c r="T3236">
        <v>15</v>
      </c>
      <c r="U3236" t="s">
        <v>28</v>
      </c>
      <c r="V3236" t="s">
        <v>28</v>
      </c>
      <c r="W3236">
        <v>19</v>
      </c>
      <c r="X3236">
        <v>1292</v>
      </c>
      <c r="Y3236" s="6">
        <f t="shared" si="61"/>
        <v>867.54826955046144</v>
      </c>
      <c r="Z3236">
        <f>1516-X3236</f>
        <v>224</v>
      </c>
      <c r="AA3236" s="6"/>
      <c r="AB3236" s="6"/>
    </row>
    <row r="3237" spans="1:28" x14ac:dyDescent="0.2">
      <c r="A3237" t="s">
        <v>417</v>
      </c>
      <c r="B3237">
        <v>2013</v>
      </c>
      <c r="C3237" t="s">
        <v>826</v>
      </c>
      <c r="D3237" t="s">
        <v>812</v>
      </c>
      <c r="E3237" t="s">
        <v>175</v>
      </c>
      <c r="F3237" t="s">
        <v>418</v>
      </c>
      <c r="G3237">
        <v>-41.853628999999998</v>
      </c>
      <c r="H3237">
        <v>148.29536999999999</v>
      </c>
      <c r="I3237" t="s">
        <v>764</v>
      </c>
      <c r="J3237" s="2" t="s">
        <v>14</v>
      </c>
      <c r="K3237" t="s">
        <v>40</v>
      </c>
      <c r="L3237" t="s">
        <v>3</v>
      </c>
      <c r="M3237" t="s">
        <v>26</v>
      </c>
      <c r="N3237" t="s">
        <v>85</v>
      </c>
      <c r="O3237" s="6" t="s">
        <v>80</v>
      </c>
      <c r="P3237" t="s">
        <v>79</v>
      </c>
      <c r="Q3237">
        <v>16</v>
      </c>
      <c r="R3237" t="s">
        <v>213</v>
      </c>
      <c r="S3237" s="2" t="s">
        <v>13</v>
      </c>
      <c r="T3237">
        <v>15</v>
      </c>
      <c r="U3237" t="s">
        <v>28</v>
      </c>
      <c r="V3237" t="s">
        <v>28</v>
      </c>
      <c r="W3237">
        <v>19</v>
      </c>
      <c r="X3237">
        <v>1642</v>
      </c>
      <c r="Y3237" s="6">
        <f t="shared" si="61"/>
        <v>828.81843608838722</v>
      </c>
      <c r="Z3237">
        <f>1856-X3237</f>
        <v>214</v>
      </c>
      <c r="AA3237" s="6"/>
      <c r="AB3237" s="6"/>
    </row>
    <row r="3238" spans="1:28" x14ac:dyDescent="0.2">
      <c r="A3238" t="s">
        <v>417</v>
      </c>
      <c r="B3238">
        <v>2013</v>
      </c>
      <c r="C3238" t="s">
        <v>826</v>
      </c>
      <c r="D3238" t="s">
        <v>812</v>
      </c>
      <c r="E3238" t="s">
        <v>175</v>
      </c>
      <c r="F3238" t="s">
        <v>418</v>
      </c>
      <c r="G3238">
        <v>-41.853628999999998</v>
      </c>
      <c r="H3238">
        <v>148.29536999999999</v>
      </c>
      <c r="I3238" t="s">
        <v>764</v>
      </c>
      <c r="J3238" s="2" t="s">
        <v>14</v>
      </c>
      <c r="K3238" t="s">
        <v>41</v>
      </c>
      <c r="L3238" t="s">
        <v>3</v>
      </c>
      <c r="M3238" t="s">
        <v>26</v>
      </c>
      <c r="N3238" t="s">
        <v>85</v>
      </c>
      <c r="O3238" s="6" t="s">
        <v>80</v>
      </c>
      <c r="P3238" t="s">
        <v>79</v>
      </c>
      <c r="Q3238">
        <v>16</v>
      </c>
      <c r="R3238" t="s">
        <v>213</v>
      </c>
      <c r="S3238" s="2" t="s">
        <v>15</v>
      </c>
      <c r="T3238">
        <v>15</v>
      </c>
      <c r="U3238" t="s">
        <v>28</v>
      </c>
      <c r="V3238" t="s">
        <v>28</v>
      </c>
      <c r="W3238">
        <v>22</v>
      </c>
      <c r="X3238">
        <v>1182</v>
      </c>
      <c r="Y3238" s="6">
        <f t="shared" si="61"/>
        <v>666.15313554767567</v>
      </c>
      <c r="Z3238">
        <f>1354-X3238</f>
        <v>172</v>
      </c>
      <c r="AA3238" s="6"/>
      <c r="AB3238" s="6"/>
    </row>
    <row r="3239" spans="1:28" x14ac:dyDescent="0.2">
      <c r="A3239" t="s">
        <v>417</v>
      </c>
      <c r="B3239">
        <v>2013</v>
      </c>
      <c r="C3239" t="s">
        <v>826</v>
      </c>
      <c r="D3239" t="s">
        <v>812</v>
      </c>
      <c r="E3239" t="s">
        <v>175</v>
      </c>
      <c r="F3239" t="s">
        <v>418</v>
      </c>
      <c r="G3239">
        <v>-41.853628999999998</v>
      </c>
      <c r="H3239">
        <v>148.29536999999999</v>
      </c>
      <c r="I3239" t="s">
        <v>764</v>
      </c>
      <c r="J3239" s="2" t="s">
        <v>14</v>
      </c>
      <c r="K3239" t="s">
        <v>40</v>
      </c>
      <c r="L3239" t="s">
        <v>3</v>
      </c>
      <c r="M3239" t="s">
        <v>26</v>
      </c>
      <c r="N3239" t="s">
        <v>85</v>
      </c>
      <c r="O3239" s="6" t="s">
        <v>80</v>
      </c>
      <c r="P3239" t="s">
        <v>79</v>
      </c>
      <c r="Q3239">
        <v>16</v>
      </c>
      <c r="R3239" t="s">
        <v>213</v>
      </c>
      <c r="S3239" s="2" t="s">
        <v>15</v>
      </c>
      <c r="T3239">
        <v>15</v>
      </c>
      <c r="U3239" t="s">
        <v>28</v>
      </c>
      <c r="V3239" t="s">
        <v>28</v>
      </c>
      <c r="W3239">
        <v>22</v>
      </c>
      <c r="X3239">
        <v>1348</v>
      </c>
      <c r="Y3239" s="6">
        <f t="shared" si="61"/>
        <v>666.15313554767567</v>
      </c>
      <c r="Z3239">
        <f>1520-X3239</f>
        <v>172</v>
      </c>
      <c r="AA3239" s="6"/>
      <c r="AB3239" s="6"/>
    </row>
    <row r="3240" spans="1:28" x14ac:dyDescent="0.2">
      <c r="A3240" t="s">
        <v>417</v>
      </c>
      <c r="B3240">
        <v>2013</v>
      </c>
      <c r="C3240" t="s">
        <v>826</v>
      </c>
      <c r="D3240" t="s">
        <v>812</v>
      </c>
      <c r="E3240" t="s">
        <v>175</v>
      </c>
      <c r="F3240" t="s">
        <v>418</v>
      </c>
      <c r="G3240">
        <v>-41.853628999999998</v>
      </c>
      <c r="H3240">
        <v>148.29536999999999</v>
      </c>
      <c r="I3240" t="s">
        <v>764</v>
      </c>
      <c r="J3240" s="2" t="s">
        <v>14</v>
      </c>
      <c r="K3240" t="s">
        <v>41</v>
      </c>
      <c r="L3240" t="s">
        <v>3</v>
      </c>
      <c r="M3240" t="s">
        <v>26</v>
      </c>
      <c r="N3240" t="s">
        <v>85</v>
      </c>
      <c r="O3240" s="6" t="s">
        <v>80</v>
      </c>
      <c r="P3240" t="s">
        <v>79</v>
      </c>
      <c r="Q3240">
        <v>16</v>
      </c>
      <c r="R3240" t="s">
        <v>213</v>
      </c>
      <c r="S3240" s="2" t="s">
        <v>37</v>
      </c>
      <c r="T3240">
        <v>15</v>
      </c>
      <c r="U3240" t="s">
        <v>28</v>
      </c>
      <c r="V3240" t="s">
        <v>28</v>
      </c>
      <c r="W3240">
        <v>25.5</v>
      </c>
      <c r="X3240">
        <v>490</v>
      </c>
      <c r="Y3240" s="6">
        <f t="shared" si="61"/>
        <v>251.74391750348209</v>
      </c>
      <c r="Z3240">
        <f>555-X3240</f>
        <v>65</v>
      </c>
      <c r="AA3240" s="6"/>
      <c r="AB3240" s="6"/>
    </row>
    <row r="3241" spans="1:28" x14ac:dyDescent="0.2">
      <c r="A3241" t="s">
        <v>417</v>
      </c>
      <c r="B3241">
        <v>2013</v>
      </c>
      <c r="C3241" t="s">
        <v>826</v>
      </c>
      <c r="D3241" t="s">
        <v>812</v>
      </c>
      <c r="E3241" t="s">
        <v>175</v>
      </c>
      <c r="F3241" t="s">
        <v>418</v>
      </c>
      <c r="G3241">
        <v>-41.853628999999998</v>
      </c>
      <c r="H3241">
        <v>148.29536999999999</v>
      </c>
      <c r="I3241" t="s">
        <v>764</v>
      </c>
      <c r="J3241" s="2" t="s">
        <v>14</v>
      </c>
      <c r="K3241" t="s">
        <v>40</v>
      </c>
      <c r="L3241" t="s">
        <v>3</v>
      </c>
      <c r="M3241" t="s">
        <v>26</v>
      </c>
      <c r="N3241" t="s">
        <v>85</v>
      </c>
      <c r="O3241" s="6" t="s">
        <v>80</v>
      </c>
      <c r="P3241" t="s">
        <v>79</v>
      </c>
      <c r="Q3241">
        <v>16</v>
      </c>
      <c r="R3241" t="s">
        <v>213</v>
      </c>
      <c r="S3241" s="2" t="s">
        <v>37</v>
      </c>
      <c r="T3241">
        <v>15</v>
      </c>
      <c r="U3241" t="s">
        <v>28</v>
      </c>
      <c r="V3241" t="s">
        <v>28</v>
      </c>
      <c r="W3241">
        <v>25.5</v>
      </c>
      <c r="X3241">
        <v>640</v>
      </c>
      <c r="Y3241" s="6">
        <f t="shared" si="61"/>
        <v>406.6632513517788</v>
      </c>
      <c r="Z3241">
        <f>745-X3241</f>
        <v>105</v>
      </c>
      <c r="AA3241" s="6"/>
      <c r="AB3241" s="6"/>
    </row>
    <row r="3242" spans="1:28" x14ac:dyDescent="0.2">
      <c r="A3242" t="s">
        <v>417</v>
      </c>
      <c r="B3242">
        <v>2013</v>
      </c>
      <c r="C3242" t="s">
        <v>826</v>
      </c>
      <c r="D3242" t="s">
        <v>812</v>
      </c>
      <c r="E3242" t="s">
        <v>175</v>
      </c>
      <c r="F3242" t="s">
        <v>418</v>
      </c>
      <c r="G3242">
        <v>-41.853628999999998</v>
      </c>
      <c r="H3242">
        <v>148.29536999999999</v>
      </c>
      <c r="I3242" t="s">
        <v>764</v>
      </c>
      <c r="J3242" s="2" t="s">
        <v>7</v>
      </c>
      <c r="K3242" t="s">
        <v>41</v>
      </c>
      <c r="L3242" t="s">
        <v>3</v>
      </c>
      <c r="M3242" t="s">
        <v>26</v>
      </c>
      <c r="N3242" t="s">
        <v>85</v>
      </c>
      <c r="O3242" s="6" t="s">
        <v>207</v>
      </c>
      <c r="P3242" t="s">
        <v>206</v>
      </c>
      <c r="Q3242">
        <v>16</v>
      </c>
      <c r="R3242" t="s">
        <v>213</v>
      </c>
      <c r="S3242" s="2" t="s">
        <v>7</v>
      </c>
      <c r="T3242">
        <v>15</v>
      </c>
      <c r="U3242" t="s">
        <v>28</v>
      </c>
      <c r="V3242" t="s">
        <v>28</v>
      </c>
      <c r="W3242">
        <v>13.5</v>
      </c>
      <c r="X3242">
        <v>1.99</v>
      </c>
      <c r="Y3242" s="6">
        <f t="shared" si="61"/>
        <v>0.89078616962770674</v>
      </c>
      <c r="Z3242">
        <f>2.22-X3242</f>
        <v>0.2300000000000002</v>
      </c>
      <c r="AA3242" s="6"/>
      <c r="AB3242" s="6"/>
    </row>
    <row r="3243" spans="1:28" x14ac:dyDescent="0.2">
      <c r="A3243" t="s">
        <v>417</v>
      </c>
      <c r="B3243">
        <v>2013</v>
      </c>
      <c r="C3243" t="s">
        <v>826</v>
      </c>
      <c r="D3243" t="s">
        <v>812</v>
      </c>
      <c r="E3243" t="s">
        <v>175</v>
      </c>
      <c r="F3243" t="s">
        <v>418</v>
      </c>
      <c r="G3243">
        <v>-41.853628999999998</v>
      </c>
      <c r="H3243">
        <v>148.29536999999999</v>
      </c>
      <c r="I3243" t="s">
        <v>764</v>
      </c>
      <c r="J3243" s="2" t="s">
        <v>7</v>
      </c>
      <c r="K3243" t="s">
        <v>40</v>
      </c>
      <c r="L3243" t="s">
        <v>3</v>
      </c>
      <c r="M3243" t="s">
        <v>26</v>
      </c>
      <c r="N3243" t="s">
        <v>85</v>
      </c>
      <c r="O3243" s="6" t="s">
        <v>207</v>
      </c>
      <c r="P3243" t="s">
        <v>206</v>
      </c>
      <c r="Q3243">
        <v>16</v>
      </c>
      <c r="R3243" t="s">
        <v>213</v>
      </c>
      <c r="S3243" s="2" t="s">
        <v>7</v>
      </c>
      <c r="T3243">
        <v>15</v>
      </c>
      <c r="U3243" t="s">
        <v>28</v>
      </c>
      <c r="V3243" t="s">
        <v>28</v>
      </c>
      <c r="W3243">
        <v>13.5</v>
      </c>
      <c r="X3243">
        <v>10.76</v>
      </c>
      <c r="Y3243" s="6">
        <f t="shared" si="61"/>
        <v>2.8660076761934894</v>
      </c>
      <c r="Z3243">
        <f>11.5-X3243</f>
        <v>0.74000000000000021</v>
      </c>
      <c r="AA3243" s="6"/>
      <c r="AB3243" s="6"/>
    </row>
    <row r="3244" spans="1:28" x14ac:dyDescent="0.2">
      <c r="A3244" t="s">
        <v>417</v>
      </c>
      <c r="B3244">
        <v>2013</v>
      </c>
      <c r="C3244" t="s">
        <v>826</v>
      </c>
      <c r="D3244" t="s">
        <v>812</v>
      </c>
      <c r="E3244" t="s">
        <v>175</v>
      </c>
      <c r="F3244" t="s">
        <v>418</v>
      </c>
      <c r="G3244">
        <v>-41.853628999999998</v>
      </c>
      <c r="H3244">
        <v>148.29536999999999</v>
      </c>
      <c r="I3244" t="s">
        <v>764</v>
      </c>
      <c r="J3244" s="2" t="s">
        <v>14</v>
      </c>
      <c r="K3244" t="s">
        <v>41</v>
      </c>
      <c r="L3244" t="s">
        <v>3</v>
      </c>
      <c r="M3244" t="s">
        <v>26</v>
      </c>
      <c r="N3244" t="s">
        <v>85</v>
      </c>
      <c r="O3244" s="6" t="s">
        <v>207</v>
      </c>
      <c r="P3244" t="s">
        <v>206</v>
      </c>
      <c r="Q3244">
        <v>16</v>
      </c>
      <c r="R3244" t="s">
        <v>213</v>
      </c>
      <c r="S3244" s="2" t="s">
        <v>9</v>
      </c>
      <c r="T3244">
        <v>15</v>
      </c>
      <c r="U3244" t="s">
        <v>28</v>
      </c>
      <c r="V3244" t="s">
        <v>28</v>
      </c>
      <c r="W3244">
        <v>15</v>
      </c>
      <c r="X3244">
        <v>2.82</v>
      </c>
      <c r="Y3244" s="6">
        <f t="shared" si="61"/>
        <v>1.7041126723312632</v>
      </c>
      <c r="Z3244">
        <f>3.26-X3244</f>
        <v>0.43999999999999995</v>
      </c>
      <c r="AA3244" s="6"/>
      <c r="AB3244" s="6"/>
    </row>
    <row r="3245" spans="1:28" x14ac:dyDescent="0.2">
      <c r="A3245" t="s">
        <v>417</v>
      </c>
      <c r="B3245">
        <v>2013</v>
      </c>
      <c r="C3245" t="s">
        <v>826</v>
      </c>
      <c r="D3245" t="s">
        <v>812</v>
      </c>
      <c r="E3245" t="s">
        <v>175</v>
      </c>
      <c r="F3245" t="s">
        <v>418</v>
      </c>
      <c r="G3245">
        <v>-41.853628999999998</v>
      </c>
      <c r="H3245">
        <v>148.29536999999999</v>
      </c>
      <c r="I3245" t="s">
        <v>764</v>
      </c>
      <c r="J3245" s="2" t="s">
        <v>14</v>
      </c>
      <c r="K3245" t="s">
        <v>40</v>
      </c>
      <c r="L3245" t="s">
        <v>3</v>
      </c>
      <c r="M3245" t="s">
        <v>26</v>
      </c>
      <c r="N3245" t="s">
        <v>85</v>
      </c>
      <c r="O3245" s="6" t="s">
        <v>207</v>
      </c>
      <c r="P3245" t="s">
        <v>206</v>
      </c>
      <c r="Q3245">
        <v>16</v>
      </c>
      <c r="R3245" t="s">
        <v>213</v>
      </c>
      <c r="S3245" s="2" t="s">
        <v>9</v>
      </c>
      <c r="T3245">
        <v>15</v>
      </c>
      <c r="U3245" t="s">
        <v>28</v>
      </c>
      <c r="V3245" t="s">
        <v>28</v>
      </c>
      <c r="W3245">
        <v>15</v>
      </c>
      <c r="X3245">
        <v>15</v>
      </c>
      <c r="Y3245" s="6">
        <f t="shared" si="61"/>
        <v>5.499636351614539</v>
      </c>
      <c r="Z3245">
        <f>16.42-X3245</f>
        <v>1.4200000000000017</v>
      </c>
      <c r="AA3245" s="6"/>
      <c r="AB3245" s="6"/>
    </row>
    <row r="3246" spans="1:28" x14ac:dyDescent="0.2">
      <c r="A3246" t="s">
        <v>417</v>
      </c>
      <c r="B3246">
        <v>2013</v>
      </c>
      <c r="C3246" t="s">
        <v>826</v>
      </c>
      <c r="D3246" t="s">
        <v>812</v>
      </c>
      <c r="E3246" t="s">
        <v>175</v>
      </c>
      <c r="F3246" t="s">
        <v>418</v>
      </c>
      <c r="G3246">
        <v>-41.853628999999998</v>
      </c>
      <c r="H3246">
        <v>148.29536999999999</v>
      </c>
      <c r="I3246" t="s">
        <v>764</v>
      </c>
      <c r="J3246" s="2" t="s">
        <v>14</v>
      </c>
      <c r="K3246" t="s">
        <v>41</v>
      </c>
      <c r="L3246" t="s">
        <v>3</v>
      </c>
      <c r="M3246" t="s">
        <v>26</v>
      </c>
      <c r="N3246" t="s">
        <v>85</v>
      </c>
      <c r="O3246" s="6" t="s">
        <v>207</v>
      </c>
      <c r="P3246" t="s">
        <v>206</v>
      </c>
      <c r="Q3246">
        <v>16</v>
      </c>
      <c r="R3246" t="s">
        <v>213</v>
      </c>
      <c r="S3246" s="2" t="s">
        <v>27</v>
      </c>
      <c r="T3246">
        <v>15</v>
      </c>
      <c r="U3246" t="s">
        <v>28</v>
      </c>
      <c r="V3246" t="s">
        <v>28</v>
      </c>
      <c r="W3246">
        <v>16.5</v>
      </c>
      <c r="X3246">
        <v>4.09</v>
      </c>
      <c r="Y3246" s="6">
        <f t="shared" si="61"/>
        <v>2.4012496746485992</v>
      </c>
      <c r="Z3246">
        <f>4.71-X3246</f>
        <v>0.62000000000000011</v>
      </c>
      <c r="AA3246" s="6"/>
      <c r="AB3246" s="6"/>
    </row>
    <row r="3247" spans="1:28" x14ac:dyDescent="0.2">
      <c r="A3247" t="s">
        <v>417</v>
      </c>
      <c r="B3247">
        <v>2013</v>
      </c>
      <c r="C3247" t="s">
        <v>826</v>
      </c>
      <c r="D3247" t="s">
        <v>812</v>
      </c>
      <c r="E3247" t="s">
        <v>175</v>
      </c>
      <c r="F3247" t="s">
        <v>418</v>
      </c>
      <c r="G3247">
        <v>-41.853628999999998</v>
      </c>
      <c r="H3247">
        <v>148.29536999999999</v>
      </c>
      <c r="I3247" t="s">
        <v>764</v>
      </c>
      <c r="J3247" s="2" t="s">
        <v>14</v>
      </c>
      <c r="K3247" t="s">
        <v>40</v>
      </c>
      <c r="L3247" t="s">
        <v>3</v>
      </c>
      <c r="M3247" t="s">
        <v>26</v>
      </c>
      <c r="N3247" t="s">
        <v>85</v>
      </c>
      <c r="O3247" s="6" t="s">
        <v>207</v>
      </c>
      <c r="P3247" t="s">
        <v>206</v>
      </c>
      <c r="Q3247">
        <v>16</v>
      </c>
      <c r="R3247" t="s">
        <v>213</v>
      </c>
      <c r="S3247" s="2" t="s">
        <v>27</v>
      </c>
      <c r="T3247">
        <v>15</v>
      </c>
      <c r="U3247" t="s">
        <v>28</v>
      </c>
      <c r="V3247" t="s">
        <v>28</v>
      </c>
      <c r="W3247">
        <v>16.5</v>
      </c>
      <c r="X3247">
        <v>20.25</v>
      </c>
      <c r="Y3247" s="6">
        <f t="shared" si="61"/>
        <v>6.893910356249207</v>
      </c>
      <c r="Z3247">
        <f>22.03-X3247</f>
        <v>1.7800000000000011</v>
      </c>
      <c r="AA3247" s="6"/>
      <c r="AB3247" s="6"/>
    </row>
    <row r="3248" spans="1:28" x14ac:dyDescent="0.2">
      <c r="A3248" t="s">
        <v>417</v>
      </c>
      <c r="B3248">
        <v>2013</v>
      </c>
      <c r="C3248" t="s">
        <v>826</v>
      </c>
      <c r="D3248" t="s">
        <v>812</v>
      </c>
      <c r="E3248" t="s">
        <v>175</v>
      </c>
      <c r="F3248" t="s">
        <v>418</v>
      </c>
      <c r="G3248">
        <v>-41.853628999999998</v>
      </c>
      <c r="H3248">
        <v>148.29536999999999</v>
      </c>
      <c r="I3248" t="s">
        <v>764</v>
      </c>
      <c r="J3248" s="2" t="s">
        <v>14</v>
      </c>
      <c r="K3248" t="s">
        <v>41</v>
      </c>
      <c r="L3248" t="s">
        <v>3</v>
      </c>
      <c r="M3248" t="s">
        <v>26</v>
      </c>
      <c r="N3248" t="s">
        <v>85</v>
      </c>
      <c r="O3248" s="6" t="s">
        <v>207</v>
      </c>
      <c r="P3248" t="s">
        <v>206</v>
      </c>
      <c r="Q3248">
        <v>16</v>
      </c>
      <c r="R3248" t="s">
        <v>213</v>
      </c>
      <c r="S3248" s="2" t="s">
        <v>13</v>
      </c>
      <c r="T3248">
        <v>15</v>
      </c>
      <c r="U3248" t="s">
        <v>28</v>
      </c>
      <c r="V3248" t="s">
        <v>28</v>
      </c>
      <c r="W3248">
        <v>19</v>
      </c>
      <c r="X3248">
        <v>4.18</v>
      </c>
      <c r="Y3248" s="6">
        <f t="shared" si="61"/>
        <v>2.6336286754210461</v>
      </c>
      <c r="Z3248">
        <f>4.86-X3248</f>
        <v>0.6800000000000006</v>
      </c>
      <c r="AA3248" s="6"/>
      <c r="AB3248" s="6"/>
    </row>
    <row r="3249" spans="1:28" x14ac:dyDescent="0.2">
      <c r="A3249" t="s">
        <v>417</v>
      </c>
      <c r="B3249">
        <v>2013</v>
      </c>
      <c r="C3249" t="s">
        <v>826</v>
      </c>
      <c r="D3249" t="s">
        <v>812</v>
      </c>
      <c r="E3249" t="s">
        <v>175</v>
      </c>
      <c r="F3249" t="s">
        <v>418</v>
      </c>
      <c r="G3249">
        <v>-41.853628999999998</v>
      </c>
      <c r="H3249">
        <v>148.29536999999999</v>
      </c>
      <c r="I3249" t="s">
        <v>764</v>
      </c>
      <c r="J3249" s="2" t="s">
        <v>14</v>
      </c>
      <c r="K3249" t="s">
        <v>40</v>
      </c>
      <c r="L3249" t="s">
        <v>3</v>
      </c>
      <c r="M3249" t="s">
        <v>26</v>
      </c>
      <c r="N3249" t="s">
        <v>85</v>
      </c>
      <c r="O3249" s="6" t="s">
        <v>207</v>
      </c>
      <c r="P3249" t="s">
        <v>206</v>
      </c>
      <c r="Q3249">
        <v>16</v>
      </c>
      <c r="R3249" t="s">
        <v>213</v>
      </c>
      <c r="S3249" s="2" t="s">
        <v>13</v>
      </c>
      <c r="T3249">
        <v>15</v>
      </c>
      <c r="U3249" t="s">
        <v>28</v>
      </c>
      <c r="V3249" t="s">
        <v>28</v>
      </c>
      <c r="W3249">
        <v>19</v>
      </c>
      <c r="X3249">
        <v>23.42</v>
      </c>
      <c r="Y3249" s="6">
        <f t="shared" si="61"/>
        <v>7.4748578581803136</v>
      </c>
      <c r="Z3249">
        <f>25.35-X3249</f>
        <v>1.9299999999999997</v>
      </c>
      <c r="AA3249" s="6"/>
      <c r="AB3249" s="6"/>
    </row>
    <row r="3250" spans="1:28" x14ac:dyDescent="0.2">
      <c r="A3250" t="s">
        <v>417</v>
      </c>
      <c r="B3250">
        <v>2013</v>
      </c>
      <c r="C3250" t="s">
        <v>826</v>
      </c>
      <c r="D3250" t="s">
        <v>812</v>
      </c>
      <c r="E3250" t="s">
        <v>175</v>
      </c>
      <c r="F3250" t="s">
        <v>418</v>
      </c>
      <c r="G3250">
        <v>-41.853628999999998</v>
      </c>
      <c r="H3250">
        <v>148.29536999999999</v>
      </c>
      <c r="I3250" t="s">
        <v>764</v>
      </c>
      <c r="J3250" s="2" t="s">
        <v>14</v>
      </c>
      <c r="K3250" t="s">
        <v>41</v>
      </c>
      <c r="L3250" t="s">
        <v>3</v>
      </c>
      <c r="M3250" t="s">
        <v>26</v>
      </c>
      <c r="N3250" t="s">
        <v>85</v>
      </c>
      <c r="O3250" s="6" t="s">
        <v>207</v>
      </c>
      <c r="P3250" t="s">
        <v>206</v>
      </c>
      <c r="Q3250">
        <v>16</v>
      </c>
      <c r="R3250" t="s">
        <v>213</v>
      </c>
      <c r="S3250" s="2" t="s">
        <v>15</v>
      </c>
      <c r="T3250">
        <v>15</v>
      </c>
      <c r="U3250" t="s">
        <v>28</v>
      </c>
      <c r="V3250" t="s">
        <v>28</v>
      </c>
      <c r="W3250">
        <v>22</v>
      </c>
      <c r="X3250">
        <v>4.33</v>
      </c>
      <c r="Y3250" s="6">
        <f t="shared" si="61"/>
        <v>2.9821971765797093</v>
      </c>
      <c r="Z3250">
        <f>5.1-X3250</f>
        <v>0.76999999999999957</v>
      </c>
      <c r="AA3250" s="6"/>
      <c r="AB3250" s="6"/>
    </row>
    <row r="3251" spans="1:28" x14ac:dyDescent="0.2">
      <c r="A3251" t="s">
        <v>417</v>
      </c>
      <c r="B3251">
        <v>2013</v>
      </c>
      <c r="C3251" t="s">
        <v>826</v>
      </c>
      <c r="D3251" t="s">
        <v>812</v>
      </c>
      <c r="E3251" t="s">
        <v>175</v>
      </c>
      <c r="F3251" t="s">
        <v>418</v>
      </c>
      <c r="G3251">
        <v>-41.853628999999998</v>
      </c>
      <c r="H3251">
        <v>148.29536999999999</v>
      </c>
      <c r="I3251" t="s">
        <v>764</v>
      </c>
      <c r="J3251" s="2" t="s">
        <v>14</v>
      </c>
      <c r="K3251" t="s">
        <v>40</v>
      </c>
      <c r="L3251" t="s">
        <v>3</v>
      </c>
      <c r="M3251" t="s">
        <v>26</v>
      </c>
      <c r="N3251" t="s">
        <v>85</v>
      </c>
      <c r="O3251" s="6" t="s">
        <v>207</v>
      </c>
      <c r="P3251" t="s">
        <v>206</v>
      </c>
      <c r="Q3251">
        <v>16</v>
      </c>
      <c r="R3251" t="s">
        <v>213</v>
      </c>
      <c r="S3251" s="2" t="s">
        <v>15</v>
      </c>
      <c r="T3251">
        <v>15</v>
      </c>
      <c r="U3251" t="s">
        <v>28</v>
      </c>
      <c r="V3251" t="s">
        <v>28</v>
      </c>
      <c r="W3251">
        <v>22</v>
      </c>
      <c r="X3251">
        <v>15.27</v>
      </c>
      <c r="Y3251" s="6">
        <f t="shared" si="61"/>
        <v>7.2037490239457931</v>
      </c>
      <c r="Z3251">
        <f>17.13-X3251</f>
        <v>1.8599999999999994</v>
      </c>
      <c r="AA3251" s="6"/>
      <c r="AB3251" s="6"/>
    </row>
    <row r="3252" spans="1:28" x14ac:dyDescent="0.2">
      <c r="A3252" t="s">
        <v>417</v>
      </c>
      <c r="B3252">
        <v>2013</v>
      </c>
      <c r="C3252" t="s">
        <v>826</v>
      </c>
      <c r="D3252" t="s">
        <v>812</v>
      </c>
      <c r="E3252" t="s">
        <v>175</v>
      </c>
      <c r="F3252" t="s">
        <v>418</v>
      </c>
      <c r="G3252">
        <v>-41.853628999999998</v>
      </c>
      <c r="H3252">
        <v>148.29536999999999</v>
      </c>
      <c r="I3252" t="s">
        <v>764</v>
      </c>
      <c r="J3252" s="2" t="s">
        <v>14</v>
      </c>
      <c r="K3252" t="s">
        <v>41</v>
      </c>
      <c r="L3252" t="s">
        <v>3</v>
      </c>
      <c r="M3252" t="s">
        <v>26</v>
      </c>
      <c r="N3252" t="s">
        <v>85</v>
      </c>
      <c r="O3252" s="6" t="s">
        <v>207</v>
      </c>
      <c r="P3252" t="s">
        <v>206</v>
      </c>
      <c r="Q3252">
        <v>16</v>
      </c>
      <c r="R3252" t="s">
        <v>213</v>
      </c>
      <c r="S3252" s="2" t="s">
        <v>37</v>
      </c>
      <c r="T3252">
        <v>15</v>
      </c>
      <c r="U3252" t="s">
        <v>28</v>
      </c>
      <c r="V3252" t="s">
        <v>28</v>
      </c>
      <c r="W3252">
        <v>25.5</v>
      </c>
      <c r="X3252">
        <v>2.4300000000000002</v>
      </c>
      <c r="Y3252" s="6">
        <f t="shared" si="61"/>
        <v>1.0457055034760028</v>
      </c>
      <c r="Z3252">
        <f>2.7-X3252</f>
        <v>0.27</v>
      </c>
      <c r="AA3252" s="6"/>
      <c r="AB3252" s="6"/>
    </row>
    <row r="3253" spans="1:28" x14ac:dyDescent="0.2">
      <c r="A3253" t="s">
        <v>417</v>
      </c>
      <c r="B3253">
        <v>2013</v>
      </c>
      <c r="C3253" t="s">
        <v>826</v>
      </c>
      <c r="D3253" t="s">
        <v>812</v>
      </c>
      <c r="E3253" t="s">
        <v>175</v>
      </c>
      <c r="F3253" t="s">
        <v>418</v>
      </c>
      <c r="G3253">
        <v>-41.853628999999998</v>
      </c>
      <c r="H3253">
        <v>148.29536999999999</v>
      </c>
      <c r="I3253" t="s">
        <v>764</v>
      </c>
      <c r="J3253" s="2" t="s">
        <v>14</v>
      </c>
      <c r="K3253" t="s">
        <v>40</v>
      </c>
      <c r="L3253" t="s">
        <v>3</v>
      </c>
      <c r="M3253" t="s">
        <v>26</v>
      </c>
      <c r="N3253" t="s">
        <v>85</v>
      </c>
      <c r="O3253" s="6" t="s">
        <v>207</v>
      </c>
      <c r="P3253" t="s">
        <v>206</v>
      </c>
      <c r="Q3253">
        <v>16</v>
      </c>
      <c r="R3253" t="s">
        <v>213</v>
      </c>
      <c r="S3253" s="2" t="s">
        <v>37</v>
      </c>
      <c r="T3253">
        <v>15</v>
      </c>
      <c r="U3253" t="s">
        <v>28</v>
      </c>
      <c r="V3253" t="s">
        <v>28</v>
      </c>
      <c r="W3253">
        <v>25.5</v>
      </c>
      <c r="X3253">
        <v>6.7</v>
      </c>
      <c r="Y3253" s="6">
        <f t="shared" si="61"/>
        <v>4.3764711812143808</v>
      </c>
      <c r="Z3253">
        <f>7.83-X3253</f>
        <v>1.1299999999999999</v>
      </c>
      <c r="AA3253" s="6"/>
      <c r="AB3253" s="6"/>
    </row>
    <row r="3254" spans="1:28" x14ac:dyDescent="0.2">
      <c r="A3254" t="s">
        <v>417</v>
      </c>
      <c r="B3254">
        <v>2013</v>
      </c>
      <c r="C3254" t="s">
        <v>826</v>
      </c>
      <c r="D3254" t="s">
        <v>812</v>
      </c>
      <c r="E3254" t="s">
        <v>175</v>
      </c>
      <c r="F3254" t="s">
        <v>418</v>
      </c>
      <c r="G3254">
        <v>-41.853628999999998</v>
      </c>
      <c r="H3254">
        <v>148.29536999999999</v>
      </c>
      <c r="I3254" t="s">
        <v>764</v>
      </c>
      <c r="J3254" s="2" t="s">
        <v>7</v>
      </c>
      <c r="K3254" t="s">
        <v>95</v>
      </c>
      <c r="L3254" t="s">
        <v>143</v>
      </c>
      <c r="M3254" t="s">
        <v>26</v>
      </c>
      <c r="N3254" t="s">
        <v>85</v>
      </c>
      <c r="O3254" s="6" t="s">
        <v>80</v>
      </c>
      <c r="P3254" t="s">
        <v>79</v>
      </c>
      <c r="Q3254">
        <v>32</v>
      </c>
      <c r="R3254" t="s">
        <v>213</v>
      </c>
      <c r="S3254" s="2" t="s">
        <v>7</v>
      </c>
      <c r="T3254">
        <v>9</v>
      </c>
      <c r="U3254" t="s">
        <v>28</v>
      </c>
      <c r="V3254" t="s">
        <v>28</v>
      </c>
      <c r="W3254">
        <v>13.5</v>
      </c>
      <c r="X3254">
        <v>318</v>
      </c>
      <c r="Y3254" s="6">
        <f t="shared" si="61"/>
        <v>354.30000000000007</v>
      </c>
      <c r="Z3254">
        <f>436.1-X3254</f>
        <v>118.10000000000002</v>
      </c>
      <c r="AA3254" s="6"/>
      <c r="AB3254" s="6"/>
    </row>
    <row r="3255" spans="1:28" x14ac:dyDescent="0.2">
      <c r="A3255" t="s">
        <v>417</v>
      </c>
      <c r="B3255">
        <v>2013</v>
      </c>
      <c r="C3255" t="s">
        <v>826</v>
      </c>
      <c r="D3255" t="s">
        <v>812</v>
      </c>
      <c r="E3255" t="s">
        <v>175</v>
      </c>
      <c r="F3255" t="s">
        <v>418</v>
      </c>
      <c r="G3255">
        <v>-41.853628999999998</v>
      </c>
      <c r="H3255">
        <v>148.29536999999999</v>
      </c>
      <c r="I3255" t="s">
        <v>764</v>
      </c>
      <c r="J3255" s="2" t="s">
        <v>14</v>
      </c>
      <c r="K3255" t="s">
        <v>95</v>
      </c>
      <c r="L3255" t="s">
        <v>143</v>
      </c>
      <c r="M3255" t="s">
        <v>26</v>
      </c>
      <c r="N3255" t="s">
        <v>85</v>
      </c>
      <c r="O3255" s="6" t="s">
        <v>80</v>
      </c>
      <c r="P3255" t="s">
        <v>79</v>
      </c>
      <c r="Q3255">
        <v>32</v>
      </c>
      <c r="R3255" t="s">
        <v>213</v>
      </c>
      <c r="S3255" s="2" t="s">
        <v>9</v>
      </c>
      <c r="T3255">
        <v>9</v>
      </c>
      <c r="U3255" t="s">
        <v>28</v>
      </c>
      <c r="V3255" t="s">
        <v>28</v>
      </c>
      <c r="W3255">
        <v>15</v>
      </c>
      <c r="X3255">
        <v>357.9</v>
      </c>
      <c r="Y3255" s="6">
        <f t="shared" si="61"/>
        <v>329.40000000000003</v>
      </c>
      <c r="Z3255">
        <f>467.7-X3255</f>
        <v>109.80000000000001</v>
      </c>
      <c r="AA3255" s="6"/>
      <c r="AB3255" s="6"/>
    </row>
    <row r="3256" spans="1:28" x14ac:dyDescent="0.2">
      <c r="A3256" t="s">
        <v>417</v>
      </c>
      <c r="B3256">
        <v>2013</v>
      </c>
      <c r="C3256" t="s">
        <v>826</v>
      </c>
      <c r="D3256" t="s">
        <v>812</v>
      </c>
      <c r="E3256" t="s">
        <v>175</v>
      </c>
      <c r="F3256" t="s">
        <v>418</v>
      </c>
      <c r="G3256">
        <v>-41.853628999999998</v>
      </c>
      <c r="H3256">
        <v>148.29536999999999</v>
      </c>
      <c r="I3256" t="s">
        <v>764</v>
      </c>
      <c r="J3256" s="2" t="s">
        <v>14</v>
      </c>
      <c r="K3256" t="s">
        <v>95</v>
      </c>
      <c r="L3256" t="s">
        <v>143</v>
      </c>
      <c r="M3256" t="s">
        <v>26</v>
      </c>
      <c r="N3256" t="s">
        <v>85</v>
      </c>
      <c r="O3256" s="6" t="s">
        <v>80</v>
      </c>
      <c r="P3256" t="s">
        <v>79</v>
      </c>
      <c r="Q3256">
        <v>32</v>
      </c>
      <c r="R3256" t="s">
        <v>213</v>
      </c>
      <c r="S3256" s="2" t="s">
        <v>27</v>
      </c>
      <c r="T3256">
        <v>9</v>
      </c>
      <c r="U3256" t="s">
        <v>28</v>
      </c>
      <c r="V3256" t="s">
        <v>28</v>
      </c>
      <c r="W3256">
        <v>16.5</v>
      </c>
      <c r="X3256">
        <v>608.29999999999995</v>
      </c>
      <c r="Y3256" s="6">
        <f t="shared" si="61"/>
        <v>390</v>
      </c>
      <c r="Z3256">
        <f>738.3-X3256</f>
        <v>130</v>
      </c>
      <c r="AA3256" s="6"/>
      <c r="AB3256" s="6"/>
    </row>
    <row r="3257" spans="1:28" x14ac:dyDescent="0.2">
      <c r="A3257" t="s">
        <v>417</v>
      </c>
      <c r="B3257">
        <v>2013</v>
      </c>
      <c r="C3257" t="s">
        <v>826</v>
      </c>
      <c r="D3257" t="s">
        <v>812</v>
      </c>
      <c r="E3257" t="s">
        <v>175</v>
      </c>
      <c r="F3257" t="s">
        <v>418</v>
      </c>
      <c r="G3257">
        <v>-41.853628999999998</v>
      </c>
      <c r="H3257">
        <v>148.29536999999999</v>
      </c>
      <c r="I3257" t="s">
        <v>764</v>
      </c>
      <c r="J3257" s="2" t="s">
        <v>14</v>
      </c>
      <c r="K3257" t="s">
        <v>95</v>
      </c>
      <c r="L3257" t="s">
        <v>143</v>
      </c>
      <c r="M3257" t="s">
        <v>26</v>
      </c>
      <c r="N3257" t="s">
        <v>85</v>
      </c>
      <c r="O3257" s="6" t="s">
        <v>80</v>
      </c>
      <c r="P3257" t="s">
        <v>79</v>
      </c>
      <c r="Q3257">
        <v>32</v>
      </c>
      <c r="R3257" t="s">
        <v>213</v>
      </c>
      <c r="S3257" s="2" t="s">
        <v>13</v>
      </c>
      <c r="T3257">
        <v>9</v>
      </c>
      <c r="U3257" t="s">
        <v>28</v>
      </c>
      <c r="V3257" t="s">
        <v>28</v>
      </c>
      <c r="W3257">
        <v>19</v>
      </c>
      <c r="X3257">
        <v>385</v>
      </c>
      <c r="Y3257" s="6">
        <f t="shared" si="61"/>
        <v>365.40000000000003</v>
      </c>
      <c r="Z3257">
        <f>506.8-X3257</f>
        <v>121.80000000000001</v>
      </c>
      <c r="AA3257" s="6"/>
      <c r="AB3257" s="6"/>
    </row>
    <row r="3258" spans="1:28" x14ac:dyDescent="0.2">
      <c r="A3258" t="s">
        <v>417</v>
      </c>
      <c r="B3258">
        <v>2013</v>
      </c>
      <c r="C3258" t="s">
        <v>826</v>
      </c>
      <c r="D3258" t="s">
        <v>812</v>
      </c>
      <c r="E3258" t="s">
        <v>175</v>
      </c>
      <c r="F3258" t="s">
        <v>418</v>
      </c>
      <c r="G3258">
        <v>-41.853628999999998</v>
      </c>
      <c r="H3258">
        <v>148.29536999999999</v>
      </c>
      <c r="I3258" t="s">
        <v>764</v>
      </c>
      <c r="J3258" s="2" t="s">
        <v>14</v>
      </c>
      <c r="K3258" t="s">
        <v>95</v>
      </c>
      <c r="L3258" t="s">
        <v>143</v>
      </c>
      <c r="M3258" t="s">
        <v>26</v>
      </c>
      <c r="N3258" t="s">
        <v>85</v>
      </c>
      <c r="O3258" s="6" t="s">
        <v>80</v>
      </c>
      <c r="P3258" t="s">
        <v>79</v>
      </c>
      <c r="Q3258">
        <v>32</v>
      </c>
      <c r="R3258" t="s">
        <v>213</v>
      </c>
      <c r="S3258" s="2" t="s">
        <v>15</v>
      </c>
      <c r="T3258">
        <v>9</v>
      </c>
      <c r="U3258" t="s">
        <v>28</v>
      </c>
      <c r="V3258" t="s">
        <v>28</v>
      </c>
      <c r="W3258">
        <v>22</v>
      </c>
      <c r="X3258">
        <v>503</v>
      </c>
      <c r="Y3258" s="6">
        <f t="shared" si="61"/>
        <v>421.80000000000007</v>
      </c>
      <c r="Z3258">
        <f>643.6-X3258</f>
        <v>140.60000000000002</v>
      </c>
      <c r="AA3258" s="6"/>
      <c r="AB3258" s="6"/>
    </row>
    <row r="3259" spans="1:28" x14ac:dyDescent="0.2">
      <c r="A3259" t="s">
        <v>417</v>
      </c>
      <c r="B3259">
        <v>2013</v>
      </c>
      <c r="C3259" t="s">
        <v>826</v>
      </c>
      <c r="D3259" t="s">
        <v>812</v>
      </c>
      <c r="E3259" t="s">
        <v>175</v>
      </c>
      <c r="F3259" t="s">
        <v>418</v>
      </c>
      <c r="G3259">
        <v>-41.853628999999998</v>
      </c>
      <c r="H3259">
        <v>148.29536999999999</v>
      </c>
      <c r="I3259" t="s">
        <v>764</v>
      </c>
      <c r="J3259" s="2" t="s">
        <v>14</v>
      </c>
      <c r="K3259" t="s">
        <v>95</v>
      </c>
      <c r="L3259" t="s">
        <v>143</v>
      </c>
      <c r="M3259" t="s">
        <v>26</v>
      </c>
      <c r="N3259" t="s">
        <v>85</v>
      </c>
      <c r="O3259" s="6" t="s">
        <v>80</v>
      </c>
      <c r="P3259" t="s">
        <v>79</v>
      </c>
      <c r="Q3259">
        <v>32</v>
      </c>
      <c r="R3259" t="s">
        <v>213</v>
      </c>
      <c r="S3259" s="2" t="s">
        <v>37</v>
      </c>
      <c r="T3259">
        <v>9</v>
      </c>
      <c r="U3259" t="s">
        <v>28</v>
      </c>
      <c r="V3259" t="s">
        <v>28</v>
      </c>
      <c r="W3259">
        <v>25.5</v>
      </c>
      <c r="X3259">
        <v>0</v>
      </c>
      <c r="Y3259" s="6">
        <f t="shared" si="61"/>
        <v>0</v>
      </c>
      <c r="Z3259">
        <v>0</v>
      </c>
      <c r="AA3259" s="6"/>
      <c r="AB3259" s="6"/>
    </row>
    <row r="3260" spans="1:28" x14ac:dyDescent="0.2">
      <c r="A3260" t="s">
        <v>419</v>
      </c>
      <c r="B3260">
        <v>1964</v>
      </c>
      <c r="C3260" t="s">
        <v>816</v>
      </c>
      <c r="D3260" t="s">
        <v>817</v>
      </c>
      <c r="E3260" t="s">
        <v>32</v>
      </c>
      <c r="F3260" t="s">
        <v>304</v>
      </c>
      <c r="G3260">
        <v>54.086801999999999</v>
      </c>
      <c r="H3260">
        <v>-4.7643380000000004</v>
      </c>
      <c r="J3260" s="2" t="s">
        <v>7</v>
      </c>
      <c r="K3260" t="s">
        <v>92</v>
      </c>
      <c r="L3260" t="s">
        <v>300</v>
      </c>
      <c r="M3260" t="s">
        <v>727</v>
      </c>
      <c r="N3260" t="s">
        <v>86</v>
      </c>
      <c r="O3260" s="6" t="s">
        <v>420</v>
      </c>
      <c r="P3260" t="s">
        <v>421</v>
      </c>
      <c r="Q3260">
        <f>18/24</f>
        <v>0.75</v>
      </c>
      <c r="R3260" t="s">
        <v>214</v>
      </c>
      <c r="S3260" s="2" t="s">
        <v>7</v>
      </c>
      <c r="T3260">
        <v>1</v>
      </c>
      <c r="U3260" t="s">
        <v>28</v>
      </c>
      <c r="V3260" t="s">
        <v>28</v>
      </c>
      <c r="W3260">
        <v>10</v>
      </c>
      <c r="X3260">
        <v>119.2</v>
      </c>
      <c r="Y3260" t="s">
        <v>28</v>
      </c>
      <c r="AA3260" s="6"/>
      <c r="AB3260" s="6"/>
    </row>
    <row r="3261" spans="1:28" x14ac:dyDescent="0.2">
      <c r="A3261" t="s">
        <v>419</v>
      </c>
      <c r="B3261">
        <v>1964</v>
      </c>
      <c r="C3261" t="s">
        <v>816</v>
      </c>
      <c r="D3261" t="s">
        <v>817</v>
      </c>
      <c r="E3261" t="s">
        <v>32</v>
      </c>
      <c r="F3261" t="s">
        <v>304</v>
      </c>
      <c r="G3261">
        <v>54.086801999999999</v>
      </c>
      <c r="H3261">
        <v>-4.7643380000000004</v>
      </c>
      <c r="J3261" s="2" t="s">
        <v>7</v>
      </c>
      <c r="K3261" t="s">
        <v>92</v>
      </c>
      <c r="L3261" t="s">
        <v>300</v>
      </c>
      <c r="M3261" t="s">
        <v>727</v>
      </c>
      <c r="N3261" t="s">
        <v>86</v>
      </c>
      <c r="O3261" s="6" t="s">
        <v>420</v>
      </c>
      <c r="P3261" t="s">
        <v>421</v>
      </c>
      <c r="Q3261">
        <f>29.8/24</f>
        <v>1.2416666666666667</v>
      </c>
      <c r="R3261" t="s">
        <v>214</v>
      </c>
      <c r="S3261" s="2" t="s">
        <v>7</v>
      </c>
      <c r="T3261">
        <v>1</v>
      </c>
      <c r="U3261" t="s">
        <v>28</v>
      </c>
      <c r="V3261" t="s">
        <v>28</v>
      </c>
      <c r="W3261">
        <v>10</v>
      </c>
      <c r="X3261">
        <v>69.2</v>
      </c>
      <c r="Y3261" t="s">
        <v>28</v>
      </c>
      <c r="AA3261" s="6"/>
      <c r="AB3261" s="6"/>
    </row>
    <row r="3262" spans="1:28" x14ac:dyDescent="0.2">
      <c r="A3262" t="s">
        <v>419</v>
      </c>
      <c r="B3262">
        <v>1964</v>
      </c>
      <c r="C3262" t="s">
        <v>816</v>
      </c>
      <c r="D3262" t="s">
        <v>817</v>
      </c>
      <c r="E3262" t="s">
        <v>32</v>
      </c>
      <c r="F3262" t="s">
        <v>304</v>
      </c>
      <c r="G3262">
        <v>54.086801999999999</v>
      </c>
      <c r="H3262">
        <v>-4.7643380000000004</v>
      </c>
      <c r="J3262" s="2" t="s">
        <v>7</v>
      </c>
      <c r="K3262" t="s">
        <v>92</v>
      </c>
      <c r="L3262" t="s">
        <v>300</v>
      </c>
      <c r="M3262" t="s">
        <v>727</v>
      </c>
      <c r="N3262" t="s">
        <v>86</v>
      </c>
      <c r="O3262" s="6" t="s">
        <v>420</v>
      </c>
      <c r="P3262" t="s">
        <v>421</v>
      </c>
      <c r="Q3262">
        <f>42/24</f>
        <v>1.75</v>
      </c>
      <c r="R3262" t="s">
        <v>214</v>
      </c>
      <c r="S3262" s="2" t="s">
        <v>7</v>
      </c>
      <c r="T3262">
        <v>1</v>
      </c>
      <c r="U3262" t="s">
        <v>28</v>
      </c>
      <c r="V3262" t="s">
        <v>28</v>
      </c>
      <c r="W3262">
        <v>10</v>
      </c>
      <c r="X3262">
        <v>53.9</v>
      </c>
      <c r="Y3262" t="s">
        <v>28</v>
      </c>
      <c r="AA3262" s="6"/>
      <c r="AB3262" s="6"/>
    </row>
    <row r="3263" spans="1:28" x14ac:dyDescent="0.2">
      <c r="A3263" t="s">
        <v>419</v>
      </c>
      <c r="B3263">
        <v>1964</v>
      </c>
      <c r="C3263" t="s">
        <v>816</v>
      </c>
      <c r="D3263" t="s">
        <v>817</v>
      </c>
      <c r="E3263" t="s">
        <v>32</v>
      </c>
      <c r="F3263" t="s">
        <v>304</v>
      </c>
      <c r="G3263">
        <v>54.086801999999999</v>
      </c>
      <c r="H3263">
        <v>-4.7643380000000004</v>
      </c>
      <c r="J3263" s="2" t="s">
        <v>7</v>
      </c>
      <c r="K3263" t="s">
        <v>92</v>
      </c>
      <c r="L3263" t="s">
        <v>300</v>
      </c>
      <c r="M3263" t="s">
        <v>727</v>
      </c>
      <c r="N3263" t="s">
        <v>86</v>
      </c>
      <c r="O3263" s="6" t="s">
        <v>420</v>
      </c>
      <c r="P3263" t="s">
        <v>421</v>
      </c>
      <c r="Q3263">
        <f>53.9/24</f>
        <v>2.2458333333333331</v>
      </c>
      <c r="R3263" t="s">
        <v>213</v>
      </c>
      <c r="S3263" s="2" t="s">
        <v>7</v>
      </c>
      <c r="T3263">
        <v>1</v>
      </c>
      <c r="U3263" t="s">
        <v>28</v>
      </c>
      <c r="V3263" t="s">
        <v>28</v>
      </c>
      <c r="W3263">
        <v>10</v>
      </c>
      <c r="X3263">
        <v>43.7</v>
      </c>
      <c r="Y3263" t="s">
        <v>28</v>
      </c>
      <c r="AA3263" s="6"/>
      <c r="AB3263" s="6"/>
    </row>
    <row r="3264" spans="1:28" x14ac:dyDescent="0.2">
      <c r="A3264" t="s">
        <v>419</v>
      </c>
      <c r="B3264">
        <v>1964</v>
      </c>
      <c r="C3264" t="s">
        <v>816</v>
      </c>
      <c r="D3264" t="s">
        <v>817</v>
      </c>
      <c r="E3264" t="s">
        <v>32</v>
      </c>
      <c r="F3264" t="s">
        <v>304</v>
      </c>
      <c r="G3264">
        <v>54.086801999999999</v>
      </c>
      <c r="H3264">
        <v>-4.7643380000000004</v>
      </c>
      <c r="J3264" s="2" t="s">
        <v>14</v>
      </c>
      <c r="K3264" t="s">
        <v>92</v>
      </c>
      <c r="L3264" t="s">
        <v>300</v>
      </c>
      <c r="M3264" t="s">
        <v>727</v>
      </c>
      <c r="N3264" t="s">
        <v>86</v>
      </c>
      <c r="O3264" s="6" t="s">
        <v>420</v>
      </c>
      <c r="P3264" t="s">
        <v>421</v>
      </c>
      <c r="Q3264">
        <f>18/24</f>
        <v>0.75</v>
      </c>
      <c r="R3264" t="s">
        <v>214</v>
      </c>
      <c r="S3264" s="2" t="s">
        <v>9</v>
      </c>
      <c r="T3264">
        <v>1</v>
      </c>
      <c r="U3264" t="s">
        <v>28</v>
      </c>
      <c r="V3264" t="s">
        <v>28</v>
      </c>
      <c r="W3264">
        <v>17</v>
      </c>
      <c r="X3264">
        <v>100.6</v>
      </c>
      <c r="Y3264" t="s">
        <v>28</v>
      </c>
      <c r="AA3264" s="6"/>
      <c r="AB3264" s="6"/>
    </row>
    <row r="3265" spans="1:28" x14ac:dyDescent="0.2">
      <c r="A3265" t="s">
        <v>419</v>
      </c>
      <c r="B3265">
        <v>1964</v>
      </c>
      <c r="C3265" t="s">
        <v>816</v>
      </c>
      <c r="D3265" t="s">
        <v>817</v>
      </c>
      <c r="E3265" t="s">
        <v>32</v>
      </c>
      <c r="F3265" t="s">
        <v>304</v>
      </c>
      <c r="G3265">
        <v>54.086801999999999</v>
      </c>
      <c r="H3265">
        <v>-4.7643380000000004</v>
      </c>
      <c r="J3265" s="2" t="s">
        <v>14</v>
      </c>
      <c r="K3265" t="s">
        <v>92</v>
      </c>
      <c r="L3265" t="s">
        <v>300</v>
      </c>
      <c r="M3265" t="s">
        <v>727</v>
      </c>
      <c r="N3265" t="s">
        <v>86</v>
      </c>
      <c r="O3265" s="6" t="s">
        <v>420</v>
      </c>
      <c r="P3265" t="s">
        <v>421</v>
      </c>
      <c r="Q3265">
        <f>29.8/24</f>
        <v>1.2416666666666667</v>
      </c>
      <c r="R3265" t="s">
        <v>214</v>
      </c>
      <c r="S3265" s="2" t="s">
        <v>9</v>
      </c>
      <c r="T3265">
        <v>1</v>
      </c>
      <c r="U3265" t="s">
        <v>28</v>
      </c>
      <c r="V3265" t="s">
        <v>28</v>
      </c>
      <c r="W3265">
        <v>17</v>
      </c>
      <c r="X3265">
        <v>42.1</v>
      </c>
      <c r="Y3265" t="s">
        <v>28</v>
      </c>
      <c r="AA3265" s="6"/>
      <c r="AB3265" s="6"/>
    </row>
    <row r="3266" spans="1:28" x14ac:dyDescent="0.2">
      <c r="A3266" t="s">
        <v>419</v>
      </c>
      <c r="B3266">
        <v>1964</v>
      </c>
      <c r="C3266" t="s">
        <v>816</v>
      </c>
      <c r="D3266" t="s">
        <v>817</v>
      </c>
      <c r="E3266" t="s">
        <v>32</v>
      </c>
      <c r="F3266" t="s">
        <v>304</v>
      </c>
      <c r="G3266">
        <v>54.086801999999999</v>
      </c>
      <c r="H3266">
        <v>-4.7643380000000004</v>
      </c>
      <c r="J3266" s="2" t="s">
        <v>14</v>
      </c>
      <c r="K3266" t="s">
        <v>92</v>
      </c>
      <c r="L3266" t="s">
        <v>300</v>
      </c>
      <c r="M3266" t="s">
        <v>727</v>
      </c>
      <c r="N3266" t="s">
        <v>86</v>
      </c>
      <c r="O3266" s="6" t="s">
        <v>420</v>
      </c>
      <c r="P3266" t="s">
        <v>421</v>
      </c>
      <c r="Q3266">
        <f>42/24</f>
        <v>1.75</v>
      </c>
      <c r="R3266" t="s">
        <v>214</v>
      </c>
      <c r="S3266" s="2" t="s">
        <v>9</v>
      </c>
      <c r="T3266">
        <v>1</v>
      </c>
      <c r="U3266" t="s">
        <v>28</v>
      </c>
      <c r="V3266" t="s">
        <v>28</v>
      </c>
      <c r="W3266">
        <v>17</v>
      </c>
      <c r="X3266">
        <v>22.6</v>
      </c>
      <c r="Y3266" t="s">
        <v>28</v>
      </c>
      <c r="AA3266" s="6"/>
      <c r="AB3266" s="6"/>
    </row>
    <row r="3267" spans="1:28" x14ac:dyDescent="0.2">
      <c r="A3267" t="s">
        <v>419</v>
      </c>
      <c r="B3267">
        <v>1964</v>
      </c>
      <c r="C3267" t="s">
        <v>816</v>
      </c>
      <c r="D3267" t="s">
        <v>817</v>
      </c>
      <c r="E3267" t="s">
        <v>32</v>
      </c>
      <c r="F3267" t="s">
        <v>304</v>
      </c>
      <c r="G3267">
        <v>54.086801999999999</v>
      </c>
      <c r="H3267">
        <v>-4.7643380000000004</v>
      </c>
      <c r="J3267" s="2" t="s">
        <v>14</v>
      </c>
      <c r="K3267" t="s">
        <v>92</v>
      </c>
      <c r="L3267" t="s">
        <v>300</v>
      </c>
      <c r="M3267" t="s">
        <v>727</v>
      </c>
      <c r="N3267" t="s">
        <v>86</v>
      </c>
      <c r="O3267" s="6" t="s">
        <v>420</v>
      </c>
      <c r="P3267" t="s">
        <v>421</v>
      </c>
      <c r="Q3267">
        <f>53.9/24</f>
        <v>2.2458333333333331</v>
      </c>
      <c r="R3267" t="s">
        <v>213</v>
      </c>
      <c r="S3267" s="2" t="s">
        <v>9</v>
      </c>
      <c r="T3267">
        <v>1</v>
      </c>
      <c r="U3267" t="s">
        <v>28</v>
      </c>
      <c r="V3267" t="s">
        <v>28</v>
      </c>
      <c r="W3267">
        <v>17</v>
      </c>
      <c r="X3267">
        <v>18.600000000000001</v>
      </c>
      <c r="Y3267" t="s">
        <v>28</v>
      </c>
      <c r="AA3267" s="6"/>
      <c r="AB3267" s="6"/>
    </row>
    <row r="3268" spans="1:28" x14ac:dyDescent="0.2">
      <c r="A3268" t="s">
        <v>419</v>
      </c>
      <c r="B3268">
        <v>1964</v>
      </c>
      <c r="C3268" t="s">
        <v>816</v>
      </c>
      <c r="D3268" t="s">
        <v>817</v>
      </c>
      <c r="E3268" t="s">
        <v>32</v>
      </c>
      <c r="F3268" t="s">
        <v>304</v>
      </c>
      <c r="G3268">
        <v>54.086801999999999</v>
      </c>
      <c r="H3268">
        <v>-4.7643380000000004</v>
      </c>
      <c r="J3268" s="2" t="s">
        <v>7</v>
      </c>
      <c r="K3268" t="s">
        <v>3</v>
      </c>
      <c r="L3268" t="s">
        <v>3</v>
      </c>
      <c r="M3268" t="s">
        <v>12</v>
      </c>
      <c r="N3268" t="s">
        <v>85</v>
      </c>
      <c r="O3268" s="6" t="s">
        <v>12</v>
      </c>
      <c r="P3268" t="s">
        <v>70</v>
      </c>
      <c r="Q3268">
        <f>AVERAGE(11,14)</f>
        <v>12.5</v>
      </c>
      <c r="R3268" t="s">
        <v>213</v>
      </c>
      <c r="S3268" s="2" t="s">
        <v>7</v>
      </c>
      <c r="T3268">
        <v>1</v>
      </c>
      <c r="U3268" t="s">
        <v>28</v>
      </c>
      <c r="V3268" t="s">
        <v>28</v>
      </c>
      <c r="W3268">
        <v>10</v>
      </c>
      <c r="X3268">
        <v>100</v>
      </c>
      <c r="Y3268" t="s">
        <v>28</v>
      </c>
      <c r="AA3268" s="6"/>
      <c r="AB3268" s="6"/>
    </row>
    <row r="3269" spans="1:28" x14ac:dyDescent="0.2">
      <c r="A3269" t="s">
        <v>419</v>
      </c>
      <c r="B3269">
        <v>1964</v>
      </c>
      <c r="C3269" t="s">
        <v>816</v>
      </c>
      <c r="D3269" t="s">
        <v>817</v>
      </c>
      <c r="E3269" t="s">
        <v>32</v>
      </c>
      <c r="F3269" t="s">
        <v>304</v>
      </c>
      <c r="G3269">
        <v>54.086801999999999</v>
      </c>
      <c r="H3269">
        <v>-4.7643380000000004</v>
      </c>
      <c r="J3269" s="2" t="s">
        <v>14</v>
      </c>
      <c r="K3269" t="s">
        <v>3</v>
      </c>
      <c r="L3269" t="s">
        <v>3</v>
      </c>
      <c r="M3269" t="s">
        <v>12</v>
      </c>
      <c r="N3269" t="s">
        <v>85</v>
      </c>
      <c r="O3269" s="6" t="s">
        <v>12</v>
      </c>
      <c r="P3269" t="s">
        <v>70</v>
      </c>
      <c r="Q3269">
        <f t="shared" ref="Q3269:Q3273" si="62">AVERAGE(11,14)</f>
        <v>12.5</v>
      </c>
      <c r="R3269" t="s">
        <v>213</v>
      </c>
      <c r="S3269" s="2" t="s">
        <v>9</v>
      </c>
      <c r="T3269">
        <v>2</v>
      </c>
      <c r="U3269" t="s">
        <v>28</v>
      </c>
      <c r="V3269" t="s">
        <v>28</v>
      </c>
      <c r="W3269">
        <v>13</v>
      </c>
      <c r="X3269">
        <v>118.045</v>
      </c>
      <c r="Y3269">
        <v>12.975409434773143</v>
      </c>
      <c r="AA3269" s="6"/>
      <c r="AB3269" s="6"/>
    </row>
    <row r="3270" spans="1:28" x14ac:dyDescent="0.2">
      <c r="A3270" t="s">
        <v>419</v>
      </c>
      <c r="B3270">
        <v>1964</v>
      </c>
      <c r="C3270" t="s">
        <v>816</v>
      </c>
      <c r="D3270" t="s">
        <v>817</v>
      </c>
      <c r="E3270" t="s">
        <v>32</v>
      </c>
      <c r="F3270" t="s">
        <v>304</v>
      </c>
      <c r="G3270">
        <v>54.086801999999999</v>
      </c>
      <c r="H3270">
        <v>-4.7643380000000004</v>
      </c>
      <c r="J3270" s="2" t="s">
        <v>14</v>
      </c>
      <c r="K3270" t="s">
        <v>3</v>
      </c>
      <c r="L3270" t="s">
        <v>3</v>
      </c>
      <c r="M3270" t="s">
        <v>12</v>
      </c>
      <c r="N3270" t="s">
        <v>85</v>
      </c>
      <c r="O3270" s="6" t="s">
        <v>12</v>
      </c>
      <c r="P3270" t="s">
        <v>70</v>
      </c>
      <c r="Q3270">
        <f t="shared" si="62"/>
        <v>12.5</v>
      </c>
      <c r="R3270" t="s">
        <v>213</v>
      </c>
      <c r="S3270" s="2" t="s">
        <v>27</v>
      </c>
      <c r="T3270">
        <v>2</v>
      </c>
      <c r="U3270" t="s">
        <v>28</v>
      </c>
      <c r="V3270" t="s">
        <v>28</v>
      </c>
      <c r="W3270">
        <v>15</v>
      </c>
      <c r="X3270">
        <v>86.734999999999999</v>
      </c>
      <c r="Y3270">
        <v>11.363205973667814</v>
      </c>
      <c r="AA3270" s="6"/>
      <c r="AB3270" s="6"/>
    </row>
    <row r="3271" spans="1:28" x14ac:dyDescent="0.2">
      <c r="A3271" t="s">
        <v>419</v>
      </c>
      <c r="B3271">
        <v>1964</v>
      </c>
      <c r="C3271" t="s">
        <v>816</v>
      </c>
      <c r="D3271" t="s">
        <v>817</v>
      </c>
      <c r="E3271" t="s">
        <v>32</v>
      </c>
      <c r="F3271" t="s">
        <v>304</v>
      </c>
      <c r="G3271">
        <v>54.086801999999999</v>
      </c>
      <c r="H3271">
        <v>-4.7643380000000004</v>
      </c>
      <c r="J3271" s="2" t="s">
        <v>14</v>
      </c>
      <c r="K3271" t="s">
        <v>3</v>
      </c>
      <c r="L3271" t="s">
        <v>3</v>
      </c>
      <c r="M3271" t="s">
        <v>12</v>
      </c>
      <c r="N3271" t="s">
        <v>85</v>
      </c>
      <c r="O3271" s="6" t="s">
        <v>12</v>
      </c>
      <c r="P3271" t="s">
        <v>70</v>
      </c>
      <c r="Q3271">
        <f t="shared" si="62"/>
        <v>12.5</v>
      </c>
      <c r="R3271" t="s">
        <v>213</v>
      </c>
      <c r="S3271" s="2" t="s">
        <v>13</v>
      </c>
      <c r="T3271">
        <v>2</v>
      </c>
      <c r="U3271" t="s">
        <v>28</v>
      </c>
      <c r="V3271" t="s">
        <v>28</v>
      </c>
      <c r="W3271">
        <v>16</v>
      </c>
      <c r="X3271">
        <v>98.094999999999999</v>
      </c>
      <c r="Y3271">
        <v>25.689189360507356</v>
      </c>
      <c r="AA3271" s="6"/>
      <c r="AB3271" s="6"/>
    </row>
    <row r="3272" spans="1:28" x14ac:dyDescent="0.2">
      <c r="A3272" t="s">
        <v>419</v>
      </c>
      <c r="B3272">
        <v>1964</v>
      </c>
      <c r="C3272" t="s">
        <v>816</v>
      </c>
      <c r="D3272" t="s">
        <v>817</v>
      </c>
      <c r="E3272" t="s">
        <v>32</v>
      </c>
      <c r="F3272" t="s">
        <v>304</v>
      </c>
      <c r="G3272">
        <v>54.086801999999999</v>
      </c>
      <c r="H3272">
        <v>-4.7643380000000004</v>
      </c>
      <c r="J3272" s="2" t="s">
        <v>14</v>
      </c>
      <c r="K3272" t="s">
        <v>3</v>
      </c>
      <c r="L3272" t="s">
        <v>3</v>
      </c>
      <c r="M3272" t="s">
        <v>12</v>
      </c>
      <c r="N3272" t="s">
        <v>85</v>
      </c>
      <c r="O3272" s="6" t="s">
        <v>12</v>
      </c>
      <c r="P3272" t="s">
        <v>70</v>
      </c>
      <c r="Q3272">
        <f t="shared" si="62"/>
        <v>12.5</v>
      </c>
      <c r="R3272" t="s">
        <v>213</v>
      </c>
      <c r="S3272" s="2" t="s">
        <v>15</v>
      </c>
      <c r="T3272">
        <v>2</v>
      </c>
      <c r="U3272" t="s">
        <v>28</v>
      </c>
      <c r="V3272" t="s">
        <v>28</v>
      </c>
      <c r="W3272">
        <v>17</v>
      </c>
      <c r="X3272">
        <v>95.78</v>
      </c>
      <c r="Y3272">
        <v>6.2791082169365389</v>
      </c>
      <c r="AA3272" s="6"/>
      <c r="AB3272" s="6"/>
    </row>
    <row r="3273" spans="1:28" x14ac:dyDescent="0.2">
      <c r="A3273" t="s">
        <v>419</v>
      </c>
      <c r="B3273">
        <v>1964</v>
      </c>
      <c r="C3273" t="s">
        <v>816</v>
      </c>
      <c r="D3273" t="s">
        <v>817</v>
      </c>
      <c r="E3273" t="s">
        <v>32</v>
      </c>
      <c r="F3273" t="s">
        <v>304</v>
      </c>
      <c r="G3273">
        <v>54.086801999999999</v>
      </c>
      <c r="H3273">
        <v>-4.7643380000000004</v>
      </c>
      <c r="J3273" s="2" t="s">
        <v>14</v>
      </c>
      <c r="K3273" t="s">
        <v>3</v>
      </c>
      <c r="L3273" t="s">
        <v>3</v>
      </c>
      <c r="M3273" t="s">
        <v>12</v>
      </c>
      <c r="N3273" t="s">
        <v>85</v>
      </c>
      <c r="O3273" s="6" t="s">
        <v>12</v>
      </c>
      <c r="P3273" t="s">
        <v>70</v>
      </c>
      <c r="Q3273">
        <f t="shared" si="62"/>
        <v>12.5</v>
      </c>
      <c r="R3273" t="s">
        <v>213</v>
      </c>
      <c r="S3273" s="2" t="s">
        <v>37</v>
      </c>
      <c r="T3273">
        <v>7</v>
      </c>
      <c r="U3273" t="s">
        <v>28</v>
      </c>
      <c r="V3273" t="s">
        <v>28</v>
      </c>
      <c r="W3273">
        <v>20</v>
      </c>
      <c r="X3273">
        <v>32.868571428571428</v>
      </c>
      <c r="Y3273">
        <v>24.068968561594978</v>
      </c>
      <c r="AA3273" s="6"/>
      <c r="AB3273" s="6"/>
    </row>
    <row r="3274" spans="1:28" x14ac:dyDescent="0.2">
      <c r="A3274" t="s">
        <v>423</v>
      </c>
      <c r="B3274">
        <v>2016</v>
      </c>
      <c r="C3274" t="s">
        <v>807</v>
      </c>
      <c r="D3274" t="s">
        <v>808</v>
      </c>
      <c r="E3274" t="s">
        <v>205</v>
      </c>
      <c r="F3274" t="s">
        <v>424</v>
      </c>
      <c r="G3274">
        <v>78.983573000000007</v>
      </c>
      <c r="H3274">
        <v>11.937201</v>
      </c>
      <c r="I3274" t="s">
        <v>764</v>
      </c>
      <c r="J3274" s="2" t="s">
        <v>7</v>
      </c>
      <c r="K3274" t="s">
        <v>425</v>
      </c>
      <c r="L3274" t="s">
        <v>143</v>
      </c>
      <c r="M3274" t="s">
        <v>26</v>
      </c>
      <c r="N3274" t="s">
        <v>85</v>
      </c>
      <c r="O3274" t="s">
        <v>839</v>
      </c>
      <c r="P3274" t="s">
        <v>72</v>
      </c>
      <c r="Q3274">
        <v>7</v>
      </c>
      <c r="R3274" t="s">
        <v>213</v>
      </c>
      <c r="S3274" s="2" t="s">
        <v>7</v>
      </c>
      <c r="T3274">
        <v>4</v>
      </c>
      <c r="U3274">
        <v>8.19</v>
      </c>
      <c r="V3274">
        <v>395</v>
      </c>
      <c r="W3274" t="s">
        <v>28</v>
      </c>
      <c r="X3274">
        <v>7.21</v>
      </c>
      <c r="Y3274">
        <f>7.77-X3274</f>
        <v>0.55999999999999961</v>
      </c>
      <c r="AA3274" s="6"/>
      <c r="AB3274" s="6"/>
    </row>
    <row r="3275" spans="1:28" x14ac:dyDescent="0.2">
      <c r="A3275" t="s">
        <v>423</v>
      </c>
      <c r="B3275">
        <v>2016</v>
      </c>
      <c r="C3275" t="s">
        <v>807</v>
      </c>
      <c r="D3275" t="s">
        <v>808</v>
      </c>
      <c r="E3275" t="s">
        <v>205</v>
      </c>
      <c r="F3275" t="s">
        <v>424</v>
      </c>
      <c r="G3275">
        <v>78.983573000000007</v>
      </c>
      <c r="H3275">
        <v>11.937201</v>
      </c>
      <c r="I3275" t="s">
        <v>764</v>
      </c>
      <c r="J3275" s="2" t="s">
        <v>5</v>
      </c>
      <c r="K3275" t="s">
        <v>425</v>
      </c>
      <c r="L3275" t="s">
        <v>143</v>
      </c>
      <c r="M3275" t="s">
        <v>26</v>
      </c>
      <c r="N3275" t="s">
        <v>85</v>
      </c>
      <c r="O3275" t="s">
        <v>839</v>
      </c>
      <c r="P3275" t="s">
        <v>72</v>
      </c>
      <c r="Q3275">
        <v>7</v>
      </c>
      <c r="R3275" t="s">
        <v>213</v>
      </c>
      <c r="S3275" s="2" t="s">
        <v>9</v>
      </c>
      <c r="T3275">
        <v>4</v>
      </c>
      <c r="U3275">
        <v>7.72</v>
      </c>
      <c r="V3275">
        <v>1300</v>
      </c>
      <c r="W3275" t="s">
        <v>28</v>
      </c>
      <c r="X3275">
        <v>9.68</v>
      </c>
      <c r="Y3275">
        <f>10.08-X3275</f>
        <v>0.40000000000000036</v>
      </c>
      <c r="AA3275" s="6"/>
      <c r="AB3275" s="6"/>
    </row>
    <row r="3276" spans="1:28" x14ac:dyDescent="0.2">
      <c r="A3276" t="s">
        <v>423</v>
      </c>
      <c r="B3276">
        <v>2016</v>
      </c>
      <c r="C3276" t="s">
        <v>807</v>
      </c>
      <c r="D3276" t="s">
        <v>808</v>
      </c>
      <c r="E3276" t="s">
        <v>205</v>
      </c>
      <c r="F3276" t="s">
        <v>424</v>
      </c>
      <c r="G3276">
        <v>78.983573000000007</v>
      </c>
      <c r="H3276">
        <v>11.937201</v>
      </c>
      <c r="I3276" t="s">
        <v>764</v>
      </c>
      <c r="J3276" s="2" t="s">
        <v>7</v>
      </c>
      <c r="K3276" t="s">
        <v>425</v>
      </c>
      <c r="L3276" t="s">
        <v>143</v>
      </c>
      <c r="M3276" t="s">
        <v>73</v>
      </c>
      <c r="N3276" t="s">
        <v>85</v>
      </c>
      <c r="O3276" s="6" t="s">
        <v>146</v>
      </c>
      <c r="P3276" t="s">
        <v>78</v>
      </c>
      <c r="Q3276">
        <v>7</v>
      </c>
      <c r="R3276" t="s">
        <v>213</v>
      </c>
      <c r="S3276" s="2" t="s">
        <v>7</v>
      </c>
      <c r="T3276">
        <v>4</v>
      </c>
      <c r="U3276">
        <v>8.19</v>
      </c>
      <c r="V3276">
        <v>395</v>
      </c>
      <c r="W3276" t="s">
        <v>28</v>
      </c>
      <c r="X3276">
        <v>40.950000000000003</v>
      </c>
      <c r="Y3276">
        <f>47.34-X3276</f>
        <v>6.3900000000000006</v>
      </c>
      <c r="AA3276" s="6"/>
      <c r="AB3276" s="6"/>
    </row>
    <row r="3277" spans="1:28" x14ac:dyDescent="0.2">
      <c r="A3277" t="s">
        <v>423</v>
      </c>
      <c r="B3277">
        <v>2016</v>
      </c>
      <c r="C3277" t="s">
        <v>807</v>
      </c>
      <c r="D3277" t="s">
        <v>808</v>
      </c>
      <c r="E3277" t="s">
        <v>205</v>
      </c>
      <c r="F3277" t="s">
        <v>424</v>
      </c>
      <c r="G3277">
        <v>78.983573000000007</v>
      </c>
      <c r="H3277">
        <v>11.937201</v>
      </c>
      <c r="I3277" t="s">
        <v>764</v>
      </c>
      <c r="J3277" s="2" t="s">
        <v>5</v>
      </c>
      <c r="K3277" t="s">
        <v>425</v>
      </c>
      <c r="L3277" t="s">
        <v>143</v>
      </c>
      <c r="M3277" t="s">
        <v>73</v>
      </c>
      <c r="N3277" t="s">
        <v>85</v>
      </c>
      <c r="O3277" s="6" t="s">
        <v>146</v>
      </c>
      <c r="P3277" t="s">
        <v>78</v>
      </c>
      <c r="Q3277">
        <v>7</v>
      </c>
      <c r="R3277" t="s">
        <v>213</v>
      </c>
      <c r="S3277" s="2" t="s">
        <v>9</v>
      </c>
      <c r="T3277">
        <v>4</v>
      </c>
      <c r="U3277">
        <v>7.72</v>
      </c>
      <c r="V3277">
        <v>1300</v>
      </c>
      <c r="W3277" t="s">
        <v>28</v>
      </c>
      <c r="X3277">
        <v>38.82</v>
      </c>
      <c r="Y3277">
        <f>45.74-X3277</f>
        <v>6.9200000000000017</v>
      </c>
      <c r="AA3277" s="6"/>
      <c r="AB3277" s="6"/>
    </row>
    <row r="3278" spans="1:28" x14ac:dyDescent="0.2">
      <c r="A3278" t="s">
        <v>423</v>
      </c>
      <c r="B3278">
        <v>2016</v>
      </c>
      <c r="C3278" t="s">
        <v>807</v>
      </c>
      <c r="D3278" t="s">
        <v>808</v>
      </c>
      <c r="E3278" t="s">
        <v>205</v>
      </c>
      <c r="F3278" t="s">
        <v>424</v>
      </c>
      <c r="G3278">
        <v>78.983573000000007</v>
      </c>
      <c r="H3278">
        <v>11.937201</v>
      </c>
      <c r="I3278" t="s">
        <v>764</v>
      </c>
      <c r="J3278" s="2" t="s">
        <v>7</v>
      </c>
      <c r="K3278" t="s">
        <v>425</v>
      </c>
      <c r="L3278" t="s">
        <v>143</v>
      </c>
      <c r="M3278" t="s">
        <v>73</v>
      </c>
      <c r="N3278" t="s">
        <v>85</v>
      </c>
      <c r="O3278" s="6" t="s">
        <v>98</v>
      </c>
      <c r="P3278" t="s">
        <v>78</v>
      </c>
      <c r="Q3278">
        <v>7</v>
      </c>
      <c r="R3278" t="s">
        <v>213</v>
      </c>
      <c r="S3278" s="2" t="s">
        <v>7</v>
      </c>
      <c r="T3278">
        <v>4</v>
      </c>
      <c r="U3278">
        <v>8.19</v>
      </c>
      <c r="V3278">
        <v>395</v>
      </c>
      <c r="W3278" t="s">
        <v>28</v>
      </c>
      <c r="X3278">
        <v>50.1</v>
      </c>
      <c r="Y3278">
        <f>57.06-X3278</f>
        <v>6.9600000000000009</v>
      </c>
      <c r="AA3278" s="6"/>
      <c r="AB3278" s="6"/>
    </row>
    <row r="3279" spans="1:28" x14ac:dyDescent="0.2">
      <c r="A3279" t="s">
        <v>423</v>
      </c>
      <c r="B3279">
        <v>2016</v>
      </c>
      <c r="C3279" t="s">
        <v>807</v>
      </c>
      <c r="D3279" t="s">
        <v>808</v>
      </c>
      <c r="E3279" t="s">
        <v>205</v>
      </c>
      <c r="F3279" t="s">
        <v>424</v>
      </c>
      <c r="G3279">
        <v>78.983573000000007</v>
      </c>
      <c r="H3279">
        <v>11.937201</v>
      </c>
      <c r="I3279" t="s">
        <v>764</v>
      </c>
      <c r="J3279" s="2" t="s">
        <v>5</v>
      </c>
      <c r="K3279" t="s">
        <v>425</v>
      </c>
      <c r="L3279" t="s">
        <v>143</v>
      </c>
      <c r="M3279" t="s">
        <v>73</v>
      </c>
      <c r="N3279" t="s">
        <v>85</v>
      </c>
      <c r="O3279" s="6" t="s">
        <v>98</v>
      </c>
      <c r="P3279" t="s">
        <v>78</v>
      </c>
      <c r="Q3279">
        <v>7</v>
      </c>
      <c r="R3279" t="s">
        <v>213</v>
      </c>
      <c r="S3279" s="2" t="s">
        <v>9</v>
      </c>
      <c r="T3279">
        <v>4</v>
      </c>
      <c r="U3279">
        <v>7.72</v>
      </c>
      <c r="V3279">
        <v>1300</v>
      </c>
      <c r="W3279" t="s">
        <v>28</v>
      </c>
      <c r="X3279">
        <v>42.94</v>
      </c>
      <c r="Y3279">
        <f>51.44-X3279</f>
        <v>8.5</v>
      </c>
      <c r="AA3279" s="6"/>
      <c r="AB3279" s="6"/>
    </row>
    <row r="3280" spans="1:28" x14ac:dyDescent="0.2">
      <c r="A3280" t="s">
        <v>423</v>
      </c>
      <c r="B3280">
        <v>2016</v>
      </c>
      <c r="C3280" t="s">
        <v>807</v>
      </c>
      <c r="D3280" t="s">
        <v>808</v>
      </c>
      <c r="E3280" t="s">
        <v>205</v>
      </c>
      <c r="F3280" t="s">
        <v>424</v>
      </c>
      <c r="G3280">
        <v>78.983573000000007</v>
      </c>
      <c r="H3280">
        <v>11.937201</v>
      </c>
      <c r="I3280" t="s">
        <v>764</v>
      </c>
      <c r="J3280" s="2" t="s">
        <v>7</v>
      </c>
      <c r="K3280" t="s">
        <v>425</v>
      </c>
      <c r="L3280" t="s">
        <v>143</v>
      </c>
      <c r="M3280" t="s">
        <v>73</v>
      </c>
      <c r="N3280" t="s">
        <v>85</v>
      </c>
      <c r="O3280" s="6" t="s">
        <v>269</v>
      </c>
      <c r="P3280" t="s">
        <v>78</v>
      </c>
      <c r="Q3280">
        <v>7</v>
      </c>
      <c r="R3280" t="s">
        <v>213</v>
      </c>
      <c r="S3280" s="2" t="s">
        <v>7</v>
      </c>
      <c r="T3280">
        <v>4</v>
      </c>
      <c r="U3280">
        <v>8.19</v>
      </c>
      <c r="V3280">
        <v>395</v>
      </c>
      <c r="W3280" t="s">
        <v>28</v>
      </c>
      <c r="X3280">
        <v>26.12</v>
      </c>
      <c r="Y3280">
        <f>30-X3280</f>
        <v>3.879999999999999</v>
      </c>
      <c r="AA3280" s="6"/>
      <c r="AB3280" s="6"/>
    </row>
    <row r="3281" spans="1:28" x14ac:dyDescent="0.2">
      <c r="A3281" t="s">
        <v>423</v>
      </c>
      <c r="B3281">
        <v>2016</v>
      </c>
      <c r="C3281" t="s">
        <v>807</v>
      </c>
      <c r="D3281" t="s">
        <v>808</v>
      </c>
      <c r="E3281" t="s">
        <v>205</v>
      </c>
      <c r="F3281" t="s">
        <v>424</v>
      </c>
      <c r="G3281">
        <v>78.983573000000007</v>
      </c>
      <c r="H3281">
        <v>11.937201</v>
      </c>
      <c r="I3281" t="s">
        <v>764</v>
      </c>
      <c r="J3281" s="2" t="s">
        <v>5</v>
      </c>
      <c r="K3281" t="s">
        <v>425</v>
      </c>
      <c r="L3281" t="s">
        <v>143</v>
      </c>
      <c r="M3281" t="s">
        <v>73</v>
      </c>
      <c r="N3281" t="s">
        <v>85</v>
      </c>
      <c r="O3281" s="6" t="s">
        <v>269</v>
      </c>
      <c r="P3281" t="s">
        <v>78</v>
      </c>
      <c r="Q3281">
        <v>7</v>
      </c>
      <c r="R3281" t="s">
        <v>213</v>
      </c>
      <c r="S3281" s="2" t="s">
        <v>9</v>
      </c>
      <c r="T3281">
        <v>4</v>
      </c>
      <c r="U3281">
        <v>7.72</v>
      </c>
      <c r="V3281">
        <v>1300</v>
      </c>
      <c r="W3281" t="s">
        <v>28</v>
      </c>
      <c r="X3281">
        <v>30.37</v>
      </c>
      <c r="Y3281">
        <f>34.14-X3281</f>
        <v>3.7699999999999996</v>
      </c>
      <c r="AA3281" s="6"/>
      <c r="AB3281" s="6"/>
    </row>
    <row r="3282" spans="1:28" x14ac:dyDescent="0.2">
      <c r="A3282" t="s">
        <v>423</v>
      </c>
      <c r="B3282">
        <v>2016</v>
      </c>
      <c r="C3282" t="s">
        <v>807</v>
      </c>
      <c r="D3282" t="s">
        <v>808</v>
      </c>
      <c r="E3282" t="s">
        <v>205</v>
      </c>
      <c r="F3282" t="s">
        <v>424</v>
      </c>
      <c r="G3282">
        <v>78.983573000000007</v>
      </c>
      <c r="H3282">
        <v>11.937201</v>
      </c>
      <c r="I3282" t="s">
        <v>764</v>
      </c>
      <c r="J3282" s="2" t="s">
        <v>7</v>
      </c>
      <c r="K3282" t="s">
        <v>425</v>
      </c>
      <c r="L3282" t="s">
        <v>143</v>
      </c>
      <c r="M3282" t="s">
        <v>172</v>
      </c>
      <c r="N3282" t="s">
        <v>86</v>
      </c>
      <c r="O3282" s="6" t="s">
        <v>62</v>
      </c>
      <c r="P3282" t="s">
        <v>78</v>
      </c>
      <c r="Q3282">
        <v>7</v>
      </c>
      <c r="R3282" t="s">
        <v>213</v>
      </c>
      <c r="S3282" s="2" t="s">
        <v>7</v>
      </c>
      <c r="T3282">
        <v>4</v>
      </c>
      <c r="U3282">
        <v>8.19</v>
      </c>
      <c r="V3282">
        <v>395</v>
      </c>
      <c r="W3282" t="s">
        <v>28</v>
      </c>
      <c r="X3282">
        <v>10.64</v>
      </c>
      <c r="Y3282">
        <f>11.65-X3282</f>
        <v>1.0099999999999998</v>
      </c>
      <c r="AA3282" s="6"/>
      <c r="AB3282" s="6"/>
    </row>
    <row r="3283" spans="1:28" x14ac:dyDescent="0.2">
      <c r="A3283" t="s">
        <v>423</v>
      </c>
      <c r="B3283">
        <v>2016</v>
      </c>
      <c r="C3283" t="s">
        <v>807</v>
      </c>
      <c r="D3283" t="s">
        <v>808</v>
      </c>
      <c r="E3283" t="s">
        <v>205</v>
      </c>
      <c r="F3283" t="s">
        <v>424</v>
      </c>
      <c r="G3283">
        <v>78.983573000000007</v>
      </c>
      <c r="H3283">
        <v>11.937201</v>
      </c>
      <c r="I3283" t="s">
        <v>764</v>
      </c>
      <c r="J3283" s="2" t="s">
        <v>5</v>
      </c>
      <c r="K3283" t="s">
        <v>425</v>
      </c>
      <c r="L3283" t="s">
        <v>143</v>
      </c>
      <c r="M3283" t="s">
        <v>172</v>
      </c>
      <c r="N3283" t="s">
        <v>86</v>
      </c>
      <c r="O3283" s="6" t="s">
        <v>62</v>
      </c>
      <c r="P3283" t="s">
        <v>78</v>
      </c>
      <c r="Q3283">
        <v>7</v>
      </c>
      <c r="R3283" t="s">
        <v>213</v>
      </c>
      <c r="S3283" s="2" t="s">
        <v>9</v>
      </c>
      <c r="T3283">
        <v>4</v>
      </c>
      <c r="U3283">
        <v>7.72</v>
      </c>
      <c r="V3283">
        <v>1300</v>
      </c>
      <c r="W3283" t="s">
        <v>28</v>
      </c>
      <c r="X3283">
        <v>5.3</v>
      </c>
      <c r="Y3283">
        <f>6.67-X3283</f>
        <v>1.37</v>
      </c>
      <c r="AA3283" s="6"/>
      <c r="AB3283" s="6"/>
    </row>
    <row r="3284" spans="1:28" x14ac:dyDescent="0.2">
      <c r="A3284" t="s">
        <v>423</v>
      </c>
      <c r="B3284">
        <v>2016</v>
      </c>
      <c r="C3284" t="s">
        <v>807</v>
      </c>
      <c r="D3284" t="s">
        <v>808</v>
      </c>
      <c r="E3284" t="s">
        <v>205</v>
      </c>
      <c r="F3284" t="s">
        <v>424</v>
      </c>
      <c r="G3284">
        <v>78.983573000000007</v>
      </c>
      <c r="H3284">
        <v>11.937201</v>
      </c>
      <c r="I3284" t="s">
        <v>764</v>
      </c>
      <c r="J3284" s="2" t="s">
        <v>7</v>
      </c>
      <c r="K3284" t="s">
        <v>425</v>
      </c>
      <c r="L3284" t="s">
        <v>143</v>
      </c>
      <c r="M3284" t="s">
        <v>73</v>
      </c>
      <c r="N3284" t="s">
        <v>85</v>
      </c>
      <c r="O3284" s="6" t="s">
        <v>270</v>
      </c>
      <c r="P3284" t="s">
        <v>78</v>
      </c>
      <c r="Q3284">
        <v>7</v>
      </c>
      <c r="R3284" t="s">
        <v>213</v>
      </c>
      <c r="S3284" s="2" t="s">
        <v>7</v>
      </c>
      <c r="T3284">
        <v>4</v>
      </c>
      <c r="U3284">
        <v>8.19</v>
      </c>
      <c r="V3284">
        <v>395</v>
      </c>
      <c r="W3284" t="s">
        <v>28</v>
      </c>
      <c r="X3284">
        <v>0.2331</v>
      </c>
      <c r="Y3284">
        <f>0.3557-X3284</f>
        <v>0.12260000000000001</v>
      </c>
      <c r="AA3284" s="6"/>
      <c r="AB3284" s="6"/>
    </row>
    <row r="3285" spans="1:28" x14ac:dyDescent="0.2">
      <c r="A3285" t="s">
        <v>423</v>
      </c>
      <c r="B3285">
        <v>2016</v>
      </c>
      <c r="C3285" t="s">
        <v>807</v>
      </c>
      <c r="D3285" t="s">
        <v>808</v>
      </c>
      <c r="E3285" t="s">
        <v>205</v>
      </c>
      <c r="F3285" t="s">
        <v>424</v>
      </c>
      <c r="G3285">
        <v>78.983573000000007</v>
      </c>
      <c r="H3285">
        <v>11.937201</v>
      </c>
      <c r="I3285" t="s">
        <v>764</v>
      </c>
      <c r="J3285" s="2" t="s">
        <v>5</v>
      </c>
      <c r="K3285" t="s">
        <v>425</v>
      </c>
      <c r="L3285" t="s">
        <v>143</v>
      </c>
      <c r="M3285" t="s">
        <v>73</v>
      </c>
      <c r="N3285" t="s">
        <v>85</v>
      </c>
      <c r="O3285" s="6" t="s">
        <v>270</v>
      </c>
      <c r="P3285" t="s">
        <v>78</v>
      </c>
      <c r="Q3285">
        <v>7</v>
      </c>
      <c r="R3285" t="s">
        <v>213</v>
      </c>
      <c r="S3285" s="2" t="s">
        <v>9</v>
      </c>
      <c r="T3285">
        <v>4</v>
      </c>
      <c r="U3285">
        <v>7.72</v>
      </c>
      <c r="V3285">
        <v>1300</v>
      </c>
      <c r="W3285" t="s">
        <v>28</v>
      </c>
      <c r="X3285">
        <v>0.57050000000000001</v>
      </c>
      <c r="Y3285">
        <f>0.6537-X3285</f>
        <v>8.3199999999999941E-2</v>
      </c>
      <c r="AA3285" s="6"/>
      <c r="AB3285" s="6"/>
    </row>
    <row r="3286" spans="1:28" x14ac:dyDescent="0.2">
      <c r="A3286" t="s">
        <v>423</v>
      </c>
      <c r="B3286">
        <v>2016</v>
      </c>
      <c r="C3286" t="s">
        <v>807</v>
      </c>
      <c r="D3286" t="s">
        <v>808</v>
      </c>
      <c r="E3286" t="s">
        <v>205</v>
      </c>
      <c r="F3286" t="s">
        <v>424</v>
      </c>
      <c r="G3286">
        <v>78.983573000000007</v>
      </c>
      <c r="H3286">
        <v>11.937201</v>
      </c>
      <c r="I3286" t="s">
        <v>764</v>
      </c>
      <c r="J3286" s="2" t="s">
        <v>7</v>
      </c>
      <c r="K3286" t="s">
        <v>425</v>
      </c>
      <c r="L3286" t="s">
        <v>143</v>
      </c>
      <c r="M3286" t="s">
        <v>73</v>
      </c>
      <c r="N3286" t="s">
        <v>85</v>
      </c>
      <c r="O3286" s="6" t="s">
        <v>426</v>
      </c>
      <c r="P3286" t="s">
        <v>78</v>
      </c>
      <c r="Q3286">
        <v>7</v>
      </c>
      <c r="R3286" t="s">
        <v>213</v>
      </c>
      <c r="S3286" s="2" t="s">
        <v>7</v>
      </c>
      <c r="T3286">
        <v>4</v>
      </c>
      <c r="U3286">
        <v>8.19</v>
      </c>
      <c r="V3286">
        <v>395</v>
      </c>
      <c r="W3286" t="s">
        <v>28</v>
      </c>
      <c r="X3286">
        <v>0.44490000000000002</v>
      </c>
      <c r="Y3286">
        <f>0.6864-X3286</f>
        <v>0.24149999999999999</v>
      </c>
      <c r="AA3286" s="6"/>
      <c r="AB3286" s="6"/>
    </row>
    <row r="3287" spans="1:28" x14ac:dyDescent="0.2">
      <c r="A3287" t="s">
        <v>423</v>
      </c>
      <c r="B3287">
        <v>2016</v>
      </c>
      <c r="C3287" t="s">
        <v>807</v>
      </c>
      <c r="D3287" t="s">
        <v>808</v>
      </c>
      <c r="E3287" t="s">
        <v>205</v>
      </c>
      <c r="F3287" t="s">
        <v>424</v>
      </c>
      <c r="G3287">
        <v>78.983573000000007</v>
      </c>
      <c r="H3287">
        <v>11.937201</v>
      </c>
      <c r="I3287" t="s">
        <v>764</v>
      </c>
      <c r="J3287" s="2" t="s">
        <v>5</v>
      </c>
      <c r="K3287" t="s">
        <v>425</v>
      </c>
      <c r="L3287" t="s">
        <v>143</v>
      </c>
      <c r="M3287" t="s">
        <v>73</v>
      </c>
      <c r="N3287" t="s">
        <v>85</v>
      </c>
      <c r="O3287" s="6" t="s">
        <v>426</v>
      </c>
      <c r="P3287" t="s">
        <v>78</v>
      </c>
      <c r="Q3287">
        <v>7</v>
      </c>
      <c r="R3287" t="s">
        <v>213</v>
      </c>
      <c r="S3287" s="2" t="s">
        <v>9</v>
      </c>
      <c r="T3287">
        <v>4</v>
      </c>
      <c r="U3287">
        <v>7.72</v>
      </c>
      <c r="V3287">
        <v>1300</v>
      </c>
      <c r="W3287" t="s">
        <v>28</v>
      </c>
      <c r="X3287">
        <v>0.51270000000000004</v>
      </c>
      <c r="Y3287">
        <f>0.6644-X3287</f>
        <v>0.15169999999999995</v>
      </c>
      <c r="AA3287" s="6"/>
      <c r="AB3287" s="6"/>
    </row>
    <row r="3288" spans="1:28" x14ac:dyDescent="0.2">
      <c r="A3288" t="s">
        <v>423</v>
      </c>
      <c r="B3288">
        <v>2016</v>
      </c>
      <c r="C3288" t="s">
        <v>807</v>
      </c>
      <c r="D3288" t="s">
        <v>808</v>
      </c>
      <c r="E3288" t="s">
        <v>205</v>
      </c>
      <c r="F3288" t="s">
        <v>424</v>
      </c>
      <c r="G3288">
        <v>78.983573000000007</v>
      </c>
      <c r="H3288">
        <v>11.937201</v>
      </c>
      <c r="I3288" t="s">
        <v>764</v>
      </c>
      <c r="J3288" s="2" t="s">
        <v>7</v>
      </c>
      <c r="K3288" t="s">
        <v>425</v>
      </c>
      <c r="L3288" t="s">
        <v>143</v>
      </c>
      <c r="M3288" t="s">
        <v>726</v>
      </c>
      <c r="N3288" t="s">
        <v>85</v>
      </c>
      <c r="O3288" s="6" t="s">
        <v>835</v>
      </c>
      <c r="P3288" t="s">
        <v>83</v>
      </c>
      <c r="Q3288">
        <v>7</v>
      </c>
      <c r="R3288" t="s">
        <v>213</v>
      </c>
      <c r="S3288" s="2" t="s">
        <v>7</v>
      </c>
      <c r="T3288">
        <v>4</v>
      </c>
      <c r="U3288">
        <v>8.19</v>
      </c>
      <c r="V3288">
        <v>395</v>
      </c>
      <c r="W3288" t="s">
        <v>28</v>
      </c>
      <c r="X3288">
        <v>3.21</v>
      </c>
      <c r="Y3288">
        <v>0.71</v>
      </c>
      <c r="AA3288" s="6"/>
      <c r="AB3288" s="6"/>
    </row>
    <row r="3289" spans="1:28" x14ac:dyDescent="0.2">
      <c r="A3289" t="s">
        <v>423</v>
      </c>
      <c r="B3289">
        <v>2016</v>
      </c>
      <c r="C3289" t="s">
        <v>807</v>
      </c>
      <c r="D3289" t="s">
        <v>808</v>
      </c>
      <c r="E3289" t="s">
        <v>205</v>
      </c>
      <c r="F3289" t="s">
        <v>424</v>
      </c>
      <c r="G3289">
        <v>78.983573000000007</v>
      </c>
      <c r="H3289">
        <v>11.937201</v>
      </c>
      <c r="I3289" t="s">
        <v>764</v>
      </c>
      <c r="J3289" s="2" t="s">
        <v>5</v>
      </c>
      <c r="K3289" t="s">
        <v>425</v>
      </c>
      <c r="L3289" t="s">
        <v>143</v>
      </c>
      <c r="M3289" t="s">
        <v>726</v>
      </c>
      <c r="N3289" t="s">
        <v>85</v>
      </c>
      <c r="O3289" s="6" t="s">
        <v>835</v>
      </c>
      <c r="P3289" t="s">
        <v>83</v>
      </c>
      <c r="Q3289">
        <v>7</v>
      </c>
      <c r="R3289" t="s">
        <v>213</v>
      </c>
      <c r="S3289" s="2" t="s">
        <v>9</v>
      </c>
      <c r="T3289">
        <v>4</v>
      </c>
      <c r="U3289">
        <v>7.72</v>
      </c>
      <c r="V3289">
        <v>1300</v>
      </c>
      <c r="W3289" t="s">
        <v>28</v>
      </c>
      <c r="X3289">
        <v>5.14</v>
      </c>
      <c r="Y3289">
        <v>0.64</v>
      </c>
      <c r="AA3289" s="6"/>
      <c r="AB3289" s="6"/>
    </row>
    <row r="3290" spans="1:28" x14ac:dyDescent="0.2">
      <c r="A3290" t="s">
        <v>423</v>
      </c>
      <c r="B3290">
        <v>2016</v>
      </c>
      <c r="C3290" t="s">
        <v>807</v>
      </c>
      <c r="D3290" t="s">
        <v>808</v>
      </c>
      <c r="E3290" t="s">
        <v>205</v>
      </c>
      <c r="F3290" t="s">
        <v>424</v>
      </c>
      <c r="G3290">
        <v>78.983573000000007</v>
      </c>
      <c r="H3290">
        <v>11.937201</v>
      </c>
      <c r="I3290" t="s">
        <v>764</v>
      </c>
      <c r="J3290" s="2" t="s">
        <v>7</v>
      </c>
      <c r="K3290" t="s">
        <v>425</v>
      </c>
      <c r="L3290" t="s">
        <v>143</v>
      </c>
      <c r="M3290" t="s">
        <v>726</v>
      </c>
      <c r="N3290" t="s">
        <v>85</v>
      </c>
      <c r="O3290" s="6" t="s">
        <v>58</v>
      </c>
      <c r="P3290" t="s">
        <v>427</v>
      </c>
      <c r="Q3290">
        <v>7</v>
      </c>
      <c r="R3290" t="s">
        <v>213</v>
      </c>
      <c r="S3290" s="2" t="s">
        <v>7</v>
      </c>
      <c r="T3290">
        <v>4</v>
      </c>
      <c r="U3290">
        <v>8.19</v>
      </c>
      <c r="V3290">
        <v>395</v>
      </c>
      <c r="W3290" t="s">
        <v>28</v>
      </c>
      <c r="X3290">
        <v>0.17</v>
      </c>
      <c r="Y3290">
        <v>0.02</v>
      </c>
      <c r="AA3290" s="6"/>
      <c r="AB3290" s="6"/>
    </row>
    <row r="3291" spans="1:28" x14ac:dyDescent="0.2">
      <c r="A3291" t="s">
        <v>423</v>
      </c>
      <c r="B3291">
        <v>2016</v>
      </c>
      <c r="C3291" t="s">
        <v>807</v>
      </c>
      <c r="D3291" t="s">
        <v>808</v>
      </c>
      <c r="E3291" t="s">
        <v>205</v>
      </c>
      <c r="F3291" t="s">
        <v>424</v>
      </c>
      <c r="G3291">
        <v>78.983573000000007</v>
      </c>
      <c r="H3291">
        <v>11.937201</v>
      </c>
      <c r="I3291" t="s">
        <v>764</v>
      </c>
      <c r="J3291" s="2" t="s">
        <v>5</v>
      </c>
      <c r="K3291" t="s">
        <v>425</v>
      </c>
      <c r="L3291" t="s">
        <v>143</v>
      </c>
      <c r="M3291" t="s">
        <v>726</v>
      </c>
      <c r="N3291" t="s">
        <v>85</v>
      </c>
      <c r="O3291" s="6" t="s">
        <v>58</v>
      </c>
      <c r="P3291" t="s">
        <v>427</v>
      </c>
      <c r="Q3291">
        <v>7</v>
      </c>
      <c r="R3291" t="s">
        <v>213</v>
      </c>
      <c r="S3291" s="2" t="s">
        <v>9</v>
      </c>
      <c r="T3291">
        <v>4</v>
      </c>
      <c r="U3291">
        <v>7.72</v>
      </c>
      <c r="V3291">
        <v>1300</v>
      </c>
      <c r="W3291" t="s">
        <v>28</v>
      </c>
      <c r="X3291">
        <v>0.23</v>
      </c>
      <c r="Y3291">
        <v>0.04</v>
      </c>
      <c r="AA3291" s="6"/>
      <c r="AB3291" s="6"/>
    </row>
    <row r="3292" spans="1:28" x14ac:dyDescent="0.2">
      <c r="A3292" t="s">
        <v>423</v>
      </c>
      <c r="B3292">
        <v>2016</v>
      </c>
      <c r="C3292" t="s">
        <v>807</v>
      </c>
      <c r="D3292" t="s">
        <v>808</v>
      </c>
      <c r="E3292" t="s">
        <v>205</v>
      </c>
      <c r="F3292" t="s">
        <v>424</v>
      </c>
      <c r="G3292">
        <v>78.983573000000007</v>
      </c>
      <c r="H3292">
        <v>11.937201</v>
      </c>
      <c r="I3292" t="s">
        <v>764</v>
      </c>
      <c r="J3292" s="2" t="s">
        <v>7</v>
      </c>
      <c r="K3292" t="s">
        <v>425</v>
      </c>
      <c r="L3292" t="s">
        <v>143</v>
      </c>
      <c r="M3292" t="s">
        <v>726</v>
      </c>
      <c r="N3292" t="s">
        <v>85</v>
      </c>
      <c r="O3292" s="6" t="s">
        <v>196</v>
      </c>
      <c r="P3292" t="s">
        <v>83</v>
      </c>
      <c r="Q3292">
        <v>7</v>
      </c>
      <c r="R3292" t="s">
        <v>213</v>
      </c>
      <c r="S3292" s="2" t="s">
        <v>7</v>
      </c>
      <c r="T3292">
        <v>4</v>
      </c>
      <c r="U3292">
        <v>8.19</v>
      </c>
      <c r="V3292">
        <v>395</v>
      </c>
      <c r="W3292" t="s">
        <v>28</v>
      </c>
      <c r="X3292">
        <v>19.100000000000001</v>
      </c>
      <c r="Y3292">
        <v>1.9</v>
      </c>
      <c r="AA3292" s="6"/>
      <c r="AB3292" s="6"/>
    </row>
    <row r="3293" spans="1:28" x14ac:dyDescent="0.2">
      <c r="A3293" t="s">
        <v>423</v>
      </c>
      <c r="B3293">
        <v>2016</v>
      </c>
      <c r="C3293" t="s">
        <v>807</v>
      </c>
      <c r="D3293" t="s">
        <v>808</v>
      </c>
      <c r="E3293" t="s">
        <v>205</v>
      </c>
      <c r="F3293" t="s">
        <v>424</v>
      </c>
      <c r="G3293">
        <v>78.983573000000007</v>
      </c>
      <c r="H3293">
        <v>11.937201</v>
      </c>
      <c r="I3293" t="s">
        <v>764</v>
      </c>
      <c r="J3293" s="2" t="s">
        <v>5</v>
      </c>
      <c r="K3293" t="s">
        <v>425</v>
      </c>
      <c r="L3293" t="s">
        <v>143</v>
      </c>
      <c r="M3293" t="s">
        <v>726</v>
      </c>
      <c r="N3293" t="s">
        <v>85</v>
      </c>
      <c r="O3293" s="6" t="s">
        <v>196</v>
      </c>
      <c r="P3293" t="s">
        <v>83</v>
      </c>
      <c r="Q3293">
        <v>7</v>
      </c>
      <c r="R3293" t="s">
        <v>213</v>
      </c>
      <c r="S3293" s="2" t="s">
        <v>9</v>
      </c>
      <c r="T3293">
        <v>4</v>
      </c>
      <c r="U3293">
        <v>7.72</v>
      </c>
      <c r="V3293">
        <v>1300</v>
      </c>
      <c r="W3293" t="s">
        <v>28</v>
      </c>
      <c r="X3293">
        <v>23.8</v>
      </c>
      <c r="Y3293">
        <v>2.5</v>
      </c>
      <c r="AA3293" s="6"/>
      <c r="AB3293" s="6"/>
    </row>
    <row r="3294" spans="1:28" x14ac:dyDescent="0.2">
      <c r="A3294" t="s">
        <v>423</v>
      </c>
      <c r="B3294">
        <v>2016</v>
      </c>
      <c r="C3294" t="s">
        <v>807</v>
      </c>
      <c r="D3294" t="s">
        <v>808</v>
      </c>
      <c r="E3294" t="s">
        <v>205</v>
      </c>
      <c r="F3294" t="s">
        <v>424</v>
      </c>
      <c r="G3294">
        <v>78.983573000000007</v>
      </c>
      <c r="H3294">
        <v>11.937201</v>
      </c>
      <c r="I3294" t="s">
        <v>764</v>
      </c>
      <c r="J3294" s="2" t="s">
        <v>7</v>
      </c>
      <c r="K3294" t="s">
        <v>425</v>
      </c>
      <c r="L3294" t="s">
        <v>143</v>
      </c>
      <c r="M3294" t="s">
        <v>726</v>
      </c>
      <c r="N3294" t="s">
        <v>85</v>
      </c>
      <c r="O3294" s="6" t="s">
        <v>84</v>
      </c>
      <c r="Q3294">
        <v>7</v>
      </c>
      <c r="R3294" t="s">
        <v>213</v>
      </c>
      <c r="S3294" s="2" t="s">
        <v>7</v>
      </c>
      <c r="T3294">
        <v>4</v>
      </c>
      <c r="U3294">
        <v>8.19</v>
      </c>
      <c r="V3294">
        <v>395</v>
      </c>
      <c r="W3294" t="s">
        <v>28</v>
      </c>
      <c r="X3294">
        <v>0.67</v>
      </c>
      <c r="Y3294">
        <v>0.03</v>
      </c>
      <c r="AA3294" s="6"/>
      <c r="AB3294" s="6"/>
    </row>
    <row r="3295" spans="1:28" x14ac:dyDescent="0.2">
      <c r="A3295" t="s">
        <v>423</v>
      </c>
      <c r="B3295">
        <v>2016</v>
      </c>
      <c r="C3295" t="s">
        <v>807</v>
      </c>
      <c r="D3295" t="s">
        <v>808</v>
      </c>
      <c r="E3295" t="s">
        <v>205</v>
      </c>
      <c r="F3295" t="s">
        <v>424</v>
      </c>
      <c r="G3295">
        <v>78.983573000000007</v>
      </c>
      <c r="H3295">
        <v>11.937201</v>
      </c>
      <c r="I3295" t="s">
        <v>764</v>
      </c>
      <c r="J3295" s="2" t="s">
        <v>5</v>
      </c>
      <c r="K3295" t="s">
        <v>425</v>
      </c>
      <c r="L3295" t="s">
        <v>143</v>
      </c>
      <c r="M3295" t="s">
        <v>726</v>
      </c>
      <c r="N3295" t="s">
        <v>85</v>
      </c>
      <c r="O3295" s="6" t="s">
        <v>84</v>
      </c>
      <c r="Q3295">
        <v>7</v>
      </c>
      <c r="R3295" t="s">
        <v>213</v>
      </c>
      <c r="S3295" s="2" t="s">
        <v>9</v>
      </c>
      <c r="T3295">
        <v>4</v>
      </c>
      <c r="U3295">
        <v>7.72</v>
      </c>
      <c r="V3295">
        <v>1300</v>
      </c>
      <c r="W3295" t="s">
        <v>28</v>
      </c>
      <c r="X3295">
        <v>0.68</v>
      </c>
      <c r="Y3295">
        <v>0.01</v>
      </c>
      <c r="AA3295" s="6"/>
      <c r="AB3295" s="6"/>
    </row>
    <row r="3296" spans="1:28" x14ac:dyDescent="0.2">
      <c r="A3296" t="s">
        <v>423</v>
      </c>
      <c r="B3296">
        <v>2016</v>
      </c>
      <c r="C3296" t="s">
        <v>807</v>
      </c>
      <c r="D3296" t="s">
        <v>808</v>
      </c>
      <c r="E3296" t="s">
        <v>205</v>
      </c>
      <c r="F3296" t="s">
        <v>424</v>
      </c>
      <c r="G3296">
        <v>78.983573000000007</v>
      </c>
      <c r="H3296">
        <v>11.937201</v>
      </c>
      <c r="I3296" t="s">
        <v>764</v>
      </c>
      <c r="J3296" s="2" t="s">
        <v>7</v>
      </c>
      <c r="K3296" t="s">
        <v>425</v>
      </c>
      <c r="L3296" t="s">
        <v>143</v>
      </c>
      <c r="M3296" t="s">
        <v>73</v>
      </c>
      <c r="N3296" t="s">
        <v>85</v>
      </c>
      <c r="O3296" s="6" t="s">
        <v>428</v>
      </c>
      <c r="Q3296">
        <v>7</v>
      </c>
      <c r="R3296" t="s">
        <v>213</v>
      </c>
      <c r="S3296" s="2" t="s">
        <v>7</v>
      </c>
      <c r="T3296">
        <v>4</v>
      </c>
      <c r="U3296">
        <v>8.19</v>
      </c>
      <c r="V3296">
        <v>395</v>
      </c>
      <c r="W3296" t="s">
        <v>28</v>
      </c>
      <c r="X3296">
        <v>1.92</v>
      </c>
      <c r="Y3296">
        <v>0.4</v>
      </c>
      <c r="AA3296" s="6"/>
      <c r="AB3296" s="6"/>
    </row>
    <row r="3297" spans="1:28" x14ac:dyDescent="0.2">
      <c r="A3297" t="s">
        <v>423</v>
      </c>
      <c r="B3297">
        <v>2016</v>
      </c>
      <c r="C3297" t="s">
        <v>807</v>
      </c>
      <c r="D3297" t="s">
        <v>808</v>
      </c>
      <c r="E3297" t="s">
        <v>205</v>
      </c>
      <c r="F3297" t="s">
        <v>424</v>
      </c>
      <c r="G3297">
        <v>78.983573000000007</v>
      </c>
      <c r="H3297">
        <v>11.937201</v>
      </c>
      <c r="I3297" t="s">
        <v>764</v>
      </c>
      <c r="J3297" s="2" t="s">
        <v>5</v>
      </c>
      <c r="K3297" t="s">
        <v>425</v>
      </c>
      <c r="L3297" t="s">
        <v>143</v>
      </c>
      <c r="M3297" t="s">
        <v>73</v>
      </c>
      <c r="N3297" t="s">
        <v>85</v>
      </c>
      <c r="O3297" s="6" t="s">
        <v>428</v>
      </c>
      <c r="Q3297">
        <v>7</v>
      </c>
      <c r="R3297" t="s">
        <v>213</v>
      </c>
      <c r="S3297" s="2" t="s">
        <v>9</v>
      </c>
      <c r="T3297">
        <v>4</v>
      </c>
      <c r="U3297">
        <v>7.72</v>
      </c>
      <c r="V3297">
        <v>1300</v>
      </c>
      <c r="W3297" t="s">
        <v>28</v>
      </c>
      <c r="X3297">
        <v>1.41</v>
      </c>
      <c r="Y3297">
        <v>0.33</v>
      </c>
      <c r="AA3297" s="6"/>
      <c r="AB3297" s="6"/>
    </row>
    <row r="3298" spans="1:28" x14ac:dyDescent="0.2">
      <c r="A3298" t="s">
        <v>423</v>
      </c>
      <c r="B3298">
        <v>2016</v>
      </c>
      <c r="C3298" t="s">
        <v>807</v>
      </c>
      <c r="D3298" t="s">
        <v>808</v>
      </c>
      <c r="E3298" t="s">
        <v>205</v>
      </c>
      <c r="F3298" t="s">
        <v>424</v>
      </c>
      <c r="G3298">
        <v>78.983573000000007</v>
      </c>
      <c r="H3298">
        <v>11.937201</v>
      </c>
      <c r="I3298" t="s">
        <v>764</v>
      </c>
      <c r="J3298" s="2" t="s">
        <v>7</v>
      </c>
      <c r="K3298" t="s">
        <v>425</v>
      </c>
      <c r="L3298" t="s">
        <v>143</v>
      </c>
      <c r="M3298" t="s">
        <v>638</v>
      </c>
      <c r="N3298" t="s">
        <v>85</v>
      </c>
      <c r="O3298" s="6" t="s">
        <v>221</v>
      </c>
      <c r="P3298" t="s">
        <v>429</v>
      </c>
      <c r="Q3298">
        <v>7</v>
      </c>
      <c r="R3298" t="s">
        <v>213</v>
      </c>
      <c r="S3298" s="2" t="s">
        <v>7</v>
      </c>
      <c r="T3298">
        <v>4</v>
      </c>
      <c r="U3298">
        <v>8.19</v>
      </c>
      <c r="V3298">
        <v>395</v>
      </c>
      <c r="W3298" t="s">
        <v>28</v>
      </c>
      <c r="X3298">
        <v>32.840000000000003</v>
      </c>
      <c r="Y3298">
        <v>0.23</v>
      </c>
      <c r="AA3298" s="6"/>
      <c r="AB3298" s="6"/>
    </row>
    <row r="3299" spans="1:28" x14ac:dyDescent="0.2">
      <c r="A3299" t="s">
        <v>423</v>
      </c>
      <c r="B3299">
        <v>2016</v>
      </c>
      <c r="C3299" t="s">
        <v>807</v>
      </c>
      <c r="D3299" t="s">
        <v>808</v>
      </c>
      <c r="E3299" t="s">
        <v>205</v>
      </c>
      <c r="F3299" t="s">
        <v>424</v>
      </c>
      <c r="G3299">
        <v>78.983573000000007</v>
      </c>
      <c r="H3299">
        <v>11.937201</v>
      </c>
      <c r="I3299" t="s">
        <v>764</v>
      </c>
      <c r="J3299" s="2" t="s">
        <v>5</v>
      </c>
      <c r="K3299" t="s">
        <v>425</v>
      </c>
      <c r="L3299" t="s">
        <v>143</v>
      </c>
      <c r="M3299" t="s">
        <v>638</v>
      </c>
      <c r="N3299" t="s">
        <v>85</v>
      </c>
      <c r="O3299" s="6" t="s">
        <v>221</v>
      </c>
      <c r="P3299" t="s">
        <v>429</v>
      </c>
      <c r="Q3299">
        <v>7</v>
      </c>
      <c r="R3299" t="s">
        <v>213</v>
      </c>
      <c r="S3299" s="2" t="s">
        <v>9</v>
      </c>
      <c r="T3299">
        <v>4</v>
      </c>
      <c r="U3299">
        <v>7.72</v>
      </c>
      <c r="V3299">
        <v>1300</v>
      </c>
      <c r="W3299" t="s">
        <v>28</v>
      </c>
      <c r="X3299">
        <v>30.64</v>
      </c>
      <c r="Y3299">
        <v>1.01</v>
      </c>
      <c r="AA3299" s="6"/>
      <c r="AB3299" s="6"/>
    </row>
    <row r="3300" spans="1:28" x14ac:dyDescent="0.2">
      <c r="A3300" t="s">
        <v>423</v>
      </c>
      <c r="B3300">
        <v>2016</v>
      </c>
      <c r="C3300" t="s">
        <v>807</v>
      </c>
      <c r="D3300" t="s">
        <v>808</v>
      </c>
      <c r="E3300" t="s">
        <v>205</v>
      </c>
      <c r="F3300" t="s">
        <v>424</v>
      </c>
      <c r="G3300">
        <v>78.983573000000007</v>
      </c>
      <c r="H3300">
        <v>11.937201</v>
      </c>
      <c r="I3300" t="s">
        <v>764</v>
      </c>
      <c r="J3300" s="2" t="s">
        <v>7</v>
      </c>
      <c r="K3300" t="s">
        <v>425</v>
      </c>
      <c r="L3300" t="s">
        <v>143</v>
      </c>
      <c r="M3300" t="s">
        <v>638</v>
      </c>
      <c r="N3300" t="s">
        <v>85</v>
      </c>
      <c r="O3300" s="6" t="s">
        <v>107</v>
      </c>
      <c r="P3300" t="s">
        <v>429</v>
      </c>
      <c r="Q3300">
        <v>7</v>
      </c>
      <c r="R3300" t="s">
        <v>213</v>
      </c>
      <c r="S3300" s="2" t="s">
        <v>7</v>
      </c>
      <c r="T3300">
        <v>4</v>
      </c>
      <c r="U3300">
        <v>8.19</v>
      </c>
      <c r="V3300">
        <v>395</v>
      </c>
      <c r="W3300" t="s">
        <v>28</v>
      </c>
      <c r="X3300">
        <v>3.48</v>
      </c>
      <c r="Y3300">
        <v>0.23</v>
      </c>
      <c r="AA3300" s="6"/>
      <c r="AB3300" s="6"/>
    </row>
    <row r="3301" spans="1:28" x14ac:dyDescent="0.2">
      <c r="A3301" t="s">
        <v>423</v>
      </c>
      <c r="B3301">
        <v>2016</v>
      </c>
      <c r="C3301" t="s">
        <v>807</v>
      </c>
      <c r="D3301" t="s">
        <v>808</v>
      </c>
      <c r="E3301" t="s">
        <v>205</v>
      </c>
      <c r="F3301" t="s">
        <v>424</v>
      </c>
      <c r="G3301">
        <v>78.983573000000007</v>
      </c>
      <c r="H3301">
        <v>11.937201</v>
      </c>
      <c r="I3301" t="s">
        <v>764</v>
      </c>
      <c r="J3301" s="2" t="s">
        <v>5</v>
      </c>
      <c r="K3301" t="s">
        <v>425</v>
      </c>
      <c r="L3301" t="s">
        <v>143</v>
      </c>
      <c r="M3301" t="s">
        <v>638</v>
      </c>
      <c r="N3301" t="s">
        <v>85</v>
      </c>
      <c r="O3301" s="6" t="s">
        <v>107</v>
      </c>
      <c r="P3301" t="s">
        <v>429</v>
      </c>
      <c r="Q3301">
        <v>7</v>
      </c>
      <c r="R3301" t="s">
        <v>213</v>
      </c>
      <c r="S3301" s="2" t="s">
        <v>9</v>
      </c>
      <c r="T3301">
        <v>4</v>
      </c>
      <c r="U3301">
        <v>7.72</v>
      </c>
      <c r="V3301">
        <v>1300</v>
      </c>
      <c r="W3301" t="s">
        <v>28</v>
      </c>
      <c r="X3301">
        <v>3.92</v>
      </c>
      <c r="Y3301">
        <v>0.1</v>
      </c>
      <c r="AA3301" s="6"/>
      <c r="AB3301" s="6"/>
    </row>
    <row r="3302" spans="1:28" x14ac:dyDescent="0.2">
      <c r="A3302" t="s">
        <v>423</v>
      </c>
      <c r="B3302">
        <v>2016</v>
      </c>
      <c r="C3302" t="s">
        <v>807</v>
      </c>
      <c r="D3302" t="s">
        <v>808</v>
      </c>
      <c r="E3302" t="s">
        <v>205</v>
      </c>
      <c r="F3302" t="s">
        <v>424</v>
      </c>
      <c r="G3302">
        <v>78.983573000000007</v>
      </c>
      <c r="H3302">
        <v>11.937201</v>
      </c>
      <c r="I3302" t="s">
        <v>764</v>
      </c>
      <c r="J3302" s="2" t="s">
        <v>7</v>
      </c>
      <c r="K3302" t="s">
        <v>425</v>
      </c>
      <c r="L3302" t="s">
        <v>143</v>
      </c>
      <c r="M3302" t="s">
        <v>638</v>
      </c>
      <c r="N3302" t="s">
        <v>86</v>
      </c>
      <c r="O3302" s="6" t="s">
        <v>272</v>
      </c>
      <c r="Q3302">
        <v>7</v>
      </c>
      <c r="R3302" t="s">
        <v>213</v>
      </c>
      <c r="S3302" s="2" t="s">
        <v>7</v>
      </c>
      <c r="T3302">
        <v>4</v>
      </c>
      <c r="U3302">
        <v>8.19</v>
      </c>
      <c r="V3302">
        <v>395</v>
      </c>
      <c r="W3302" t="s">
        <v>28</v>
      </c>
      <c r="X3302">
        <v>11.04</v>
      </c>
      <c r="Y3302">
        <v>0.73</v>
      </c>
      <c r="AA3302" s="6"/>
      <c r="AB3302" s="6"/>
    </row>
    <row r="3303" spans="1:28" x14ac:dyDescent="0.2">
      <c r="A3303" t="s">
        <v>423</v>
      </c>
      <c r="B3303">
        <v>2016</v>
      </c>
      <c r="C3303" t="s">
        <v>807</v>
      </c>
      <c r="D3303" t="s">
        <v>808</v>
      </c>
      <c r="E3303" t="s">
        <v>205</v>
      </c>
      <c r="F3303" t="s">
        <v>424</v>
      </c>
      <c r="G3303">
        <v>78.983573000000007</v>
      </c>
      <c r="H3303">
        <v>11.937201</v>
      </c>
      <c r="I3303" t="s">
        <v>764</v>
      </c>
      <c r="J3303" s="2" t="s">
        <v>5</v>
      </c>
      <c r="K3303" t="s">
        <v>425</v>
      </c>
      <c r="L3303" t="s">
        <v>143</v>
      </c>
      <c r="M3303" t="s">
        <v>638</v>
      </c>
      <c r="N3303" t="s">
        <v>86</v>
      </c>
      <c r="O3303" s="6" t="s">
        <v>272</v>
      </c>
      <c r="Q3303">
        <v>7</v>
      </c>
      <c r="R3303" t="s">
        <v>213</v>
      </c>
      <c r="S3303" s="2" t="s">
        <v>9</v>
      </c>
      <c r="T3303">
        <v>4</v>
      </c>
      <c r="U3303">
        <v>7.72</v>
      </c>
      <c r="V3303">
        <v>1300</v>
      </c>
      <c r="W3303" t="s">
        <v>28</v>
      </c>
      <c r="X3303">
        <v>9.1199999999999992</v>
      </c>
      <c r="Y3303">
        <v>0.36</v>
      </c>
      <c r="AA3303" s="6"/>
      <c r="AB3303" s="6"/>
    </row>
    <row r="3304" spans="1:28" x14ac:dyDescent="0.2">
      <c r="A3304" t="s">
        <v>423</v>
      </c>
      <c r="B3304">
        <v>2016</v>
      </c>
      <c r="C3304" t="s">
        <v>807</v>
      </c>
      <c r="D3304" t="s">
        <v>808</v>
      </c>
      <c r="E3304" t="s">
        <v>205</v>
      </c>
      <c r="F3304" t="s">
        <v>424</v>
      </c>
      <c r="G3304">
        <v>78.983573000000007</v>
      </c>
      <c r="H3304">
        <v>11.937201</v>
      </c>
      <c r="I3304" t="s">
        <v>764</v>
      </c>
      <c r="J3304" s="2" t="s">
        <v>7</v>
      </c>
      <c r="K3304" t="s">
        <v>425</v>
      </c>
      <c r="L3304" t="s">
        <v>143</v>
      </c>
      <c r="M3304" t="s">
        <v>638</v>
      </c>
      <c r="N3304" t="s">
        <v>86</v>
      </c>
      <c r="O3304" s="6" t="s">
        <v>273</v>
      </c>
      <c r="P3304" t="s">
        <v>70</v>
      </c>
      <c r="Q3304">
        <v>7</v>
      </c>
      <c r="R3304" t="s">
        <v>213</v>
      </c>
      <c r="S3304" s="2" t="s">
        <v>7</v>
      </c>
      <c r="T3304">
        <v>4</v>
      </c>
      <c r="U3304">
        <v>8.19</v>
      </c>
      <c r="V3304">
        <v>395</v>
      </c>
      <c r="W3304" t="s">
        <v>28</v>
      </c>
      <c r="X3304">
        <v>-21.84</v>
      </c>
      <c r="Y3304">
        <v>1.75</v>
      </c>
      <c r="AA3304" s="6"/>
      <c r="AB3304" s="6"/>
    </row>
    <row r="3305" spans="1:28" x14ac:dyDescent="0.2">
      <c r="A3305" t="s">
        <v>423</v>
      </c>
      <c r="B3305">
        <v>2016</v>
      </c>
      <c r="C3305" t="s">
        <v>807</v>
      </c>
      <c r="D3305" t="s">
        <v>808</v>
      </c>
      <c r="E3305" t="s">
        <v>205</v>
      </c>
      <c r="F3305" t="s">
        <v>424</v>
      </c>
      <c r="G3305">
        <v>78.983573000000007</v>
      </c>
      <c r="H3305">
        <v>11.937201</v>
      </c>
      <c r="I3305" t="s">
        <v>764</v>
      </c>
      <c r="J3305" s="2" t="s">
        <v>5</v>
      </c>
      <c r="K3305" t="s">
        <v>425</v>
      </c>
      <c r="L3305" t="s">
        <v>143</v>
      </c>
      <c r="M3305" t="s">
        <v>638</v>
      </c>
      <c r="N3305" t="s">
        <v>86</v>
      </c>
      <c r="O3305" s="6" t="s">
        <v>273</v>
      </c>
      <c r="P3305" t="s">
        <v>70</v>
      </c>
      <c r="Q3305">
        <v>7</v>
      </c>
      <c r="R3305" t="s">
        <v>213</v>
      </c>
      <c r="S3305" s="2" t="s">
        <v>9</v>
      </c>
      <c r="T3305">
        <v>4</v>
      </c>
      <c r="U3305">
        <v>7.72</v>
      </c>
      <c r="V3305">
        <v>1300</v>
      </c>
      <c r="W3305" t="s">
        <v>28</v>
      </c>
      <c r="X3305">
        <v>-28.66</v>
      </c>
      <c r="Y3305">
        <v>1.49</v>
      </c>
      <c r="AA3305" s="6"/>
      <c r="AB3305" s="6"/>
    </row>
    <row r="3306" spans="1:28" x14ac:dyDescent="0.2">
      <c r="A3306" t="s">
        <v>423</v>
      </c>
      <c r="B3306">
        <v>2016</v>
      </c>
      <c r="C3306" t="s">
        <v>807</v>
      </c>
      <c r="D3306" t="s">
        <v>808</v>
      </c>
      <c r="E3306" t="s">
        <v>205</v>
      </c>
      <c r="F3306" t="s">
        <v>424</v>
      </c>
      <c r="G3306">
        <v>78.983573000000007</v>
      </c>
      <c r="H3306">
        <v>11.937201</v>
      </c>
      <c r="I3306" t="s">
        <v>764</v>
      </c>
      <c r="J3306" s="2" t="s">
        <v>7</v>
      </c>
      <c r="K3306" t="s">
        <v>425</v>
      </c>
      <c r="L3306" t="s">
        <v>143</v>
      </c>
      <c r="M3306" s="6" t="s">
        <v>663</v>
      </c>
      <c r="N3306" t="s">
        <v>86</v>
      </c>
      <c r="O3306" s="6" t="s">
        <v>274</v>
      </c>
      <c r="Q3306">
        <v>7</v>
      </c>
      <c r="R3306" t="s">
        <v>213</v>
      </c>
      <c r="S3306" s="2" t="s">
        <v>7</v>
      </c>
      <c r="T3306">
        <v>4</v>
      </c>
      <c r="U3306">
        <v>8.19</v>
      </c>
      <c r="V3306">
        <v>395</v>
      </c>
      <c r="W3306" t="s">
        <v>28</v>
      </c>
      <c r="X3306">
        <v>4.41</v>
      </c>
      <c r="Y3306">
        <v>7.0000000000000007E-2</v>
      </c>
      <c r="AA3306" s="6"/>
      <c r="AB3306" s="6"/>
    </row>
    <row r="3307" spans="1:28" x14ac:dyDescent="0.2">
      <c r="A3307" t="s">
        <v>423</v>
      </c>
      <c r="B3307">
        <v>2016</v>
      </c>
      <c r="C3307" t="s">
        <v>807</v>
      </c>
      <c r="D3307" t="s">
        <v>808</v>
      </c>
      <c r="E3307" t="s">
        <v>205</v>
      </c>
      <c r="F3307" t="s">
        <v>424</v>
      </c>
      <c r="G3307">
        <v>78.983573000000007</v>
      </c>
      <c r="H3307">
        <v>11.937201</v>
      </c>
      <c r="I3307" t="s">
        <v>764</v>
      </c>
      <c r="J3307" s="2" t="s">
        <v>5</v>
      </c>
      <c r="K3307" t="s">
        <v>425</v>
      </c>
      <c r="L3307" t="s">
        <v>143</v>
      </c>
      <c r="M3307" s="6" t="s">
        <v>663</v>
      </c>
      <c r="N3307" t="s">
        <v>86</v>
      </c>
      <c r="O3307" s="6" t="s">
        <v>274</v>
      </c>
      <c r="Q3307">
        <v>7</v>
      </c>
      <c r="R3307" t="s">
        <v>213</v>
      </c>
      <c r="S3307" s="2" t="s">
        <v>9</v>
      </c>
      <c r="T3307">
        <v>4</v>
      </c>
      <c r="U3307">
        <v>7.72</v>
      </c>
      <c r="V3307">
        <v>1300</v>
      </c>
      <c r="W3307" t="s">
        <v>28</v>
      </c>
      <c r="X3307">
        <v>5.19</v>
      </c>
      <c r="Y3307">
        <v>0.21</v>
      </c>
      <c r="AA3307" s="6"/>
      <c r="AB3307" s="6"/>
    </row>
    <row r="3308" spans="1:28" x14ac:dyDescent="0.2">
      <c r="A3308" t="s">
        <v>636</v>
      </c>
      <c r="B3308">
        <v>2020</v>
      </c>
      <c r="C3308" t="s">
        <v>816</v>
      </c>
      <c r="D3308" t="s">
        <v>820</v>
      </c>
      <c r="E3308" t="s">
        <v>34</v>
      </c>
      <c r="F3308" t="s">
        <v>430</v>
      </c>
      <c r="G3308">
        <v>35.906083000000002</v>
      </c>
      <c r="H3308">
        <v>-116.75334700000001</v>
      </c>
      <c r="I3308" t="s">
        <v>765</v>
      </c>
      <c r="J3308" s="2" t="s">
        <v>7</v>
      </c>
      <c r="K3308" t="s">
        <v>431</v>
      </c>
      <c r="L3308" t="s">
        <v>143</v>
      </c>
      <c r="M3308" t="s">
        <v>726</v>
      </c>
      <c r="N3308" t="s">
        <v>85</v>
      </c>
      <c r="O3308" s="6" t="s">
        <v>835</v>
      </c>
      <c r="P3308" t="s">
        <v>83</v>
      </c>
      <c r="Q3308">
        <v>7</v>
      </c>
      <c r="R3308" t="s">
        <v>213</v>
      </c>
      <c r="S3308" s="2" t="s">
        <v>7</v>
      </c>
      <c r="T3308">
        <v>4</v>
      </c>
      <c r="U3308" t="s">
        <v>28</v>
      </c>
      <c r="V3308" t="s">
        <v>28</v>
      </c>
      <c r="W3308">
        <v>16</v>
      </c>
      <c r="X3308">
        <v>3.6789999999999998</v>
      </c>
      <c r="Y3308" s="6">
        <f t="shared" ref="Y3308:Y3339" si="63">Z3308*SQRT(T3308)</f>
        <v>0.67199999999999971</v>
      </c>
      <c r="Z3308">
        <f>4.015-X3308</f>
        <v>0.33599999999999985</v>
      </c>
      <c r="AA3308" s="6"/>
      <c r="AB3308" s="6"/>
    </row>
    <row r="3309" spans="1:28" x14ac:dyDescent="0.2">
      <c r="A3309" t="s">
        <v>636</v>
      </c>
      <c r="B3309">
        <v>2020</v>
      </c>
      <c r="C3309" t="s">
        <v>816</v>
      </c>
      <c r="D3309" t="s">
        <v>820</v>
      </c>
      <c r="E3309" t="s">
        <v>34</v>
      </c>
      <c r="F3309" t="s">
        <v>430</v>
      </c>
      <c r="G3309">
        <v>35.906083000000002</v>
      </c>
      <c r="H3309">
        <v>-116.75334700000001</v>
      </c>
      <c r="I3309" t="s">
        <v>765</v>
      </c>
      <c r="J3309" s="2" t="s">
        <v>14</v>
      </c>
      <c r="K3309" t="s">
        <v>431</v>
      </c>
      <c r="L3309" t="s">
        <v>143</v>
      </c>
      <c r="M3309" t="s">
        <v>726</v>
      </c>
      <c r="N3309" t="s">
        <v>85</v>
      </c>
      <c r="O3309" s="6" t="s">
        <v>835</v>
      </c>
      <c r="P3309" t="s">
        <v>83</v>
      </c>
      <c r="Q3309">
        <v>7</v>
      </c>
      <c r="R3309" t="s">
        <v>213</v>
      </c>
      <c r="S3309" s="2" t="s">
        <v>9</v>
      </c>
      <c r="T3309">
        <v>4</v>
      </c>
      <c r="U3309" t="s">
        <v>28</v>
      </c>
      <c r="V3309" t="s">
        <v>28</v>
      </c>
      <c r="W3309">
        <v>24</v>
      </c>
      <c r="X3309">
        <v>5.077</v>
      </c>
      <c r="Y3309" s="6">
        <f t="shared" si="63"/>
        <v>0.29199999999999982</v>
      </c>
      <c r="Z3309">
        <f>5.223-X3309</f>
        <v>0.14599999999999991</v>
      </c>
      <c r="AA3309" s="6"/>
      <c r="AB3309" s="6"/>
    </row>
    <row r="3310" spans="1:28" x14ac:dyDescent="0.2">
      <c r="A3310" t="s">
        <v>636</v>
      </c>
      <c r="B3310">
        <v>2020</v>
      </c>
      <c r="C3310" t="s">
        <v>816</v>
      </c>
      <c r="D3310" t="s">
        <v>820</v>
      </c>
      <c r="E3310" t="s">
        <v>34</v>
      </c>
      <c r="F3310" t="s">
        <v>430</v>
      </c>
      <c r="G3310">
        <v>35.906083000000002</v>
      </c>
      <c r="H3310">
        <v>-116.75334700000001</v>
      </c>
      <c r="I3310" t="s">
        <v>765</v>
      </c>
      <c r="J3310" s="2" t="s">
        <v>7</v>
      </c>
      <c r="K3310" t="s">
        <v>431</v>
      </c>
      <c r="L3310" t="s">
        <v>143</v>
      </c>
      <c r="M3310" t="s">
        <v>726</v>
      </c>
      <c r="N3310" t="s">
        <v>85</v>
      </c>
      <c r="O3310" s="6" t="s">
        <v>208</v>
      </c>
      <c r="Q3310">
        <v>7</v>
      </c>
      <c r="R3310" t="s">
        <v>213</v>
      </c>
      <c r="S3310" s="2" t="s">
        <v>7</v>
      </c>
      <c r="T3310">
        <v>4</v>
      </c>
      <c r="U3310" t="s">
        <v>28</v>
      </c>
      <c r="V3310" t="s">
        <v>28</v>
      </c>
      <c r="W3310">
        <v>16</v>
      </c>
      <c r="X3310">
        <v>6.4119999999999996E-2</v>
      </c>
      <c r="Y3310" s="6">
        <f t="shared" si="63"/>
        <v>2.0500000000000018E-2</v>
      </c>
      <c r="Z3310">
        <f>0.07437-X3310</f>
        <v>1.0250000000000009E-2</v>
      </c>
      <c r="AA3310" s="6"/>
      <c r="AB3310" s="6"/>
    </row>
    <row r="3311" spans="1:28" x14ac:dyDescent="0.2">
      <c r="A3311" t="s">
        <v>636</v>
      </c>
      <c r="B3311">
        <v>2020</v>
      </c>
      <c r="C3311" t="s">
        <v>816</v>
      </c>
      <c r="D3311" t="s">
        <v>820</v>
      </c>
      <c r="E3311" t="s">
        <v>34</v>
      </c>
      <c r="F3311" t="s">
        <v>430</v>
      </c>
      <c r="G3311">
        <v>35.906083000000002</v>
      </c>
      <c r="H3311">
        <v>-116.75334700000001</v>
      </c>
      <c r="I3311" t="s">
        <v>765</v>
      </c>
      <c r="J3311" s="2" t="s">
        <v>14</v>
      </c>
      <c r="K3311" t="s">
        <v>431</v>
      </c>
      <c r="L3311" t="s">
        <v>143</v>
      </c>
      <c r="M3311" t="s">
        <v>726</v>
      </c>
      <c r="N3311" t="s">
        <v>85</v>
      </c>
      <c r="O3311" s="6" t="s">
        <v>208</v>
      </c>
      <c r="Q3311">
        <v>7</v>
      </c>
      <c r="R3311" t="s">
        <v>213</v>
      </c>
      <c r="S3311" s="2" t="s">
        <v>9</v>
      </c>
      <c r="T3311">
        <v>4</v>
      </c>
      <c r="U3311" t="s">
        <v>28</v>
      </c>
      <c r="V3311" t="s">
        <v>28</v>
      </c>
      <c r="W3311">
        <v>24</v>
      </c>
      <c r="X3311">
        <v>7.9960000000000003E-2</v>
      </c>
      <c r="Y3311" s="6">
        <f t="shared" si="63"/>
        <v>2.7219999999999994E-2</v>
      </c>
      <c r="Z3311">
        <f>0.09357-X3311</f>
        <v>1.3609999999999997E-2</v>
      </c>
      <c r="AA3311" s="6"/>
      <c r="AB3311" s="6"/>
    </row>
    <row r="3312" spans="1:28" x14ac:dyDescent="0.2">
      <c r="A3312" t="s">
        <v>636</v>
      </c>
      <c r="B3312">
        <v>2020</v>
      </c>
      <c r="C3312" t="s">
        <v>816</v>
      </c>
      <c r="D3312" t="s">
        <v>820</v>
      </c>
      <c r="E3312" t="s">
        <v>34</v>
      </c>
      <c r="F3312" t="s">
        <v>430</v>
      </c>
      <c r="G3312">
        <v>35.906083000000002</v>
      </c>
      <c r="H3312">
        <v>-116.75334700000001</v>
      </c>
      <c r="I3312" t="s">
        <v>765</v>
      </c>
      <c r="J3312" s="2" t="s">
        <v>7</v>
      </c>
      <c r="K3312" t="s">
        <v>431</v>
      </c>
      <c r="L3312" t="s">
        <v>143</v>
      </c>
      <c r="M3312" t="s">
        <v>726</v>
      </c>
      <c r="N3312" t="s">
        <v>85</v>
      </c>
      <c r="O3312" s="6" t="s">
        <v>396</v>
      </c>
      <c r="Q3312">
        <v>7</v>
      </c>
      <c r="R3312" t="s">
        <v>213</v>
      </c>
      <c r="S3312" s="2" t="s">
        <v>7</v>
      </c>
      <c r="T3312">
        <v>4</v>
      </c>
      <c r="U3312" t="s">
        <v>28</v>
      </c>
      <c r="V3312" t="s">
        <v>28</v>
      </c>
      <c r="W3312">
        <v>16</v>
      </c>
      <c r="X3312">
        <v>7.2800000000000004E-2</v>
      </c>
      <c r="Y3312" s="6">
        <f t="shared" si="63"/>
        <v>1.2999999999999984E-2</v>
      </c>
      <c r="Z3312">
        <f>0.0793-X3312</f>
        <v>6.4999999999999919E-3</v>
      </c>
      <c r="AA3312" s="6"/>
      <c r="AB3312" s="6"/>
    </row>
    <row r="3313" spans="1:28" x14ac:dyDescent="0.2">
      <c r="A3313" t="s">
        <v>636</v>
      </c>
      <c r="B3313">
        <v>2020</v>
      </c>
      <c r="C3313" t="s">
        <v>816</v>
      </c>
      <c r="D3313" t="s">
        <v>820</v>
      </c>
      <c r="E3313" t="s">
        <v>34</v>
      </c>
      <c r="F3313" t="s">
        <v>430</v>
      </c>
      <c r="G3313">
        <v>35.906083000000002</v>
      </c>
      <c r="H3313">
        <v>-116.75334700000001</v>
      </c>
      <c r="I3313" t="s">
        <v>765</v>
      </c>
      <c r="J3313" s="2" t="s">
        <v>14</v>
      </c>
      <c r="K3313" t="s">
        <v>431</v>
      </c>
      <c r="L3313" t="s">
        <v>143</v>
      </c>
      <c r="M3313" t="s">
        <v>726</v>
      </c>
      <c r="N3313" t="s">
        <v>85</v>
      </c>
      <c r="O3313" s="6" t="s">
        <v>396</v>
      </c>
      <c r="Q3313">
        <v>7</v>
      </c>
      <c r="R3313" t="s">
        <v>213</v>
      </c>
      <c r="S3313" s="2" t="s">
        <v>9</v>
      </c>
      <c r="T3313">
        <v>4</v>
      </c>
      <c r="U3313" t="s">
        <v>28</v>
      </c>
      <c r="V3313" t="s">
        <v>28</v>
      </c>
      <c r="W3313">
        <v>24</v>
      </c>
      <c r="X3313">
        <v>0.1</v>
      </c>
      <c r="Y3313" s="6">
        <f t="shared" si="63"/>
        <v>6.5999999999999948E-3</v>
      </c>
      <c r="Z3313">
        <f>0.1033-X3313</f>
        <v>3.2999999999999974E-3</v>
      </c>
      <c r="AA3313" s="6"/>
      <c r="AB3313" s="6"/>
    </row>
    <row r="3314" spans="1:28" x14ac:dyDescent="0.2">
      <c r="A3314" t="s">
        <v>636</v>
      </c>
      <c r="B3314">
        <v>2020</v>
      </c>
      <c r="C3314" t="s">
        <v>816</v>
      </c>
      <c r="D3314" t="s">
        <v>820</v>
      </c>
      <c r="E3314" t="s">
        <v>34</v>
      </c>
      <c r="F3314" t="s">
        <v>430</v>
      </c>
      <c r="G3314">
        <v>35.906083000000002</v>
      </c>
      <c r="H3314">
        <v>-116.75334700000001</v>
      </c>
      <c r="I3314" t="s">
        <v>765</v>
      </c>
      <c r="J3314" s="2" t="s">
        <v>7</v>
      </c>
      <c r="K3314" t="s">
        <v>431</v>
      </c>
      <c r="L3314" t="s">
        <v>143</v>
      </c>
      <c r="M3314" t="s">
        <v>726</v>
      </c>
      <c r="N3314" t="s">
        <v>85</v>
      </c>
      <c r="O3314" s="6" t="s">
        <v>58</v>
      </c>
      <c r="Q3314">
        <v>7</v>
      </c>
      <c r="R3314" t="s">
        <v>213</v>
      </c>
      <c r="S3314" s="2" t="s">
        <v>7</v>
      </c>
      <c r="T3314">
        <v>4</v>
      </c>
      <c r="U3314" t="s">
        <v>28</v>
      </c>
      <c r="V3314" t="s">
        <v>28</v>
      </c>
      <c r="W3314">
        <v>16</v>
      </c>
      <c r="X3314">
        <v>6.3149999999999998E-2</v>
      </c>
      <c r="Y3314" s="6">
        <f t="shared" si="63"/>
        <v>1.0160000000000002E-2</v>
      </c>
      <c r="Z3314">
        <f>0.06823-X3314</f>
        <v>5.0800000000000012E-3</v>
      </c>
      <c r="AA3314" s="6"/>
      <c r="AB3314" s="6"/>
    </row>
    <row r="3315" spans="1:28" x14ac:dyDescent="0.2">
      <c r="A3315" t="s">
        <v>636</v>
      </c>
      <c r="B3315">
        <v>2020</v>
      </c>
      <c r="C3315" t="s">
        <v>816</v>
      </c>
      <c r="D3315" t="s">
        <v>820</v>
      </c>
      <c r="E3315" t="s">
        <v>34</v>
      </c>
      <c r="F3315" t="s">
        <v>430</v>
      </c>
      <c r="G3315">
        <v>35.906083000000002</v>
      </c>
      <c r="H3315">
        <v>-116.75334700000001</v>
      </c>
      <c r="I3315" t="s">
        <v>765</v>
      </c>
      <c r="J3315" s="2" t="s">
        <v>14</v>
      </c>
      <c r="K3315" t="s">
        <v>431</v>
      </c>
      <c r="L3315" t="s">
        <v>143</v>
      </c>
      <c r="M3315" t="s">
        <v>726</v>
      </c>
      <c r="N3315" t="s">
        <v>85</v>
      </c>
      <c r="O3315" s="6" t="s">
        <v>58</v>
      </c>
      <c r="Q3315">
        <v>7</v>
      </c>
      <c r="R3315" t="s">
        <v>213</v>
      </c>
      <c r="S3315" s="2" t="s">
        <v>9</v>
      </c>
      <c r="T3315">
        <v>4</v>
      </c>
      <c r="U3315" t="s">
        <v>28</v>
      </c>
      <c r="V3315" t="s">
        <v>28</v>
      </c>
      <c r="W3315">
        <v>24</v>
      </c>
      <c r="X3315">
        <v>7.5359999999999996E-2</v>
      </c>
      <c r="Y3315" s="6">
        <f t="shared" si="63"/>
        <v>7.2600000000000164E-3</v>
      </c>
      <c r="Z3315">
        <f>0.07899-X3315</f>
        <v>3.6300000000000082E-3</v>
      </c>
      <c r="AA3315" s="6"/>
      <c r="AB3315" s="6"/>
    </row>
    <row r="3316" spans="1:28" x14ac:dyDescent="0.2">
      <c r="A3316" t="s">
        <v>636</v>
      </c>
      <c r="B3316">
        <v>2020</v>
      </c>
      <c r="C3316" t="s">
        <v>816</v>
      </c>
      <c r="D3316" t="s">
        <v>820</v>
      </c>
      <c r="E3316" t="s">
        <v>34</v>
      </c>
      <c r="F3316" t="s">
        <v>430</v>
      </c>
      <c r="G3316">
        <v>35.906083000000002</v>
      </c>
      <c r="H3316">
        <v>-116.75334700000001</v>
      </c>
      <c r="I3316" t="s">
        <v>765</v>
      </c>
      <c r="J3316" s="2" t="s">
        <v>7</v>
      </c>
      <c r="K3316" t="s">
        <v>431</v>
      </c>
      <c r="L3316" t="s">
        <v>143</v>
      </c>
      <c r="M3316" t="s">
        <v>726</v>
      </c>
      <c r="N3316" t="s">
        <v>85</v>
      </c>
      <c r="O3316" s="6" t="s">
        <v>84</v>
      </c>
      <c r="Q3316">
        <v>7</v>
      </c>
      <c r="R3316" t="s">
        <v>213</v>
      </c>
      <c r="S3316" s="2" t="s">
        <v>7</v>
      </c>
      <c r="T3316">
        <v>4</v>
      </c>
      <c r="U3316" t="s">
        <v>28</v>
      </c>
      <c r="V3316" t="s">
        <v>28</v>
      </c>
      <c r="W3316">
        <v>16</v>
      </c>
      <c r="X3316">
        <v>0.70150000000000001</v>
      </c>
      <c r="Y3316" s="6">
        <f t="shared" si="63"/>
        <v>2.8000000000000025E-2</v>
      </c>
      <c r="Z3316">
        <f>0.7155-X3316</f>
        <v>1.4000000000000012E-2</v>
      </c>
      <c r="AA3316" s="6"/>
      <c r="AB3316" s="6"/>
    </row>
    <row r="3317" spans="1:28" x14ac:dyDescent="0.2">
      <c r="A3317" t="s">
        <v>636</v>
      </c>
      <c r="B3317">
        <v>2020</v>
      </c>
      <c r="C3317" t="s">
        <v>816</v>
      </c>
      <c r="D3317" t="s">
        <v>820</v>
      </c>
      <c r="E3317" t="s">
        <v>34</v>
      </c>
      <c r="F3317" t="s">
        <v>430</v>
      </c>
      <c r="G3317">
        <v>35.906083000000002</v>
      </c>
      <c r="H3317">
        <v>-116.75334700000001</v>
      </c>
      <c r="I3317" t="s">
        <v>765</v>
      </c>
      <c r="J3317" s="2" t="s">
        <v>14</v>
      </c>
      <c r="K3317" t="s">
        <v>431</v>
      </c>
      <c r="L3317" t="s">
        <v>143</v>
      </c>
      <c r="M3317" t="s">
        <v>726</v>
      </c>
      <c r="N3317" t="s">
        <v>85</v>
      </c>
      <c r="O3317" s="6" t="s">
        <v>84</v>
      </c>
      <c r="Q3317">
        <v>7</v>
      </c>
      <c r="R3317" t="s">
        <v>213</v>
      </c>
      <c r="S3317" s="2" t="s">
        <v>9</v>
      </c>
      <c r="T3317">
        <v>4</v>
      </c>
      <c r="U3317" t="s">
        <v>28</v>
      </c>
      <c r="V3317" t="s">
        <v>28</v>
      </c>
      <c r="W3317">
        <v>24</v>
      </c>
      <c r="X3317">
        <v>0.58120000000000005</v>
      </c>
      <c r="Y3317" s="6">
        <f t="shared" si="63"/>
        <v>2.5999999999999801E-2</v>
      </c>
      <c r="Z3317">
        <f>0.5942-X3317</f>
        <v>1.2999999999999901E-2</v>
      </c>
      <c r="AA3317" s="6"/>
      <c r="AB3317" s="6"/>
    </row>
    <row r="3318" spans="1:28" x14ac:dyDescent="0.2">
      <c r="A3318" t="s">
        <v>636</v>
      </c>
      <c r="B3318">
        <v>2020</v>
      </c>
      <c r="C3318" t="s">
        <v>816</v>
      </c>
      <c r="D3318" t="s">
        <v>820</v>
      </c>
      <c r="E3318" t="s">
        <v>34</v>
      </c>
      <c r="F3318" t="s">
        <v>430</v>
      </c>
      <c r="G3318">
        <v>35.906083000000002</v>
      </c>
      <c r="H3318">
        <v>-116.75334700000001</v>
      </c>
      <c r="I3318" t="s">
        <v>765</v>
      </c>
      <c r="J3318" s="2" t="s">
        <v>7</v>
      </c>
      <c r="K3318" t="s">
        <v>431</v>
      </c>
      <c r="L3318" t="s">
        <v>143</v>
      </c>
      <c r="M3318" t="s">
        <v>553</v>
      </c>
      <c r="N3318" t="s">
        <v>85</v>
      </c>
      <c r="O3318" s="6" t="s">
        <v>61</v>
      </c>
      <c r="P3318" t="s">
        <v>67</v>
      </c>
      <c r="Q3318">
        <v>7</v>
      </c>
      <c r="R3318" t="s">
        <v>213</v>
      </c>
      <c r="S3318" s="2" t="s">
        <v>7</v>
      </c>
      <c r="T3318">
        <v>4</v>
      </c>
      <c r="U3318" t="s">
        <v>28</v>
      </c>
      <c r="V3318" t="s">
        <v>28</v>
      </c>
      <c r="W3318">
        <v>16</v>
      </c>
      <c r="X3318">
        <v>419.1</v>
      </c>
      <c r="Y3318" s="6">
        <f t="shared" si="63"/>
        <v>121.19999999999993</v>
      </c>
      <c r="Z3318">
        <f>479.7-X3318</f>
        <v>60.599999999999966</v>
      </c>
      <c r="AA3318" s="6"/>
      <c r="AB3318" s="6"/>
    </row>
    <row r="3319" spans="1:28" x14ac:dyDescent="0.2">
      <c r="A3319" t="s">
        <v>636</v>
      </c>
      <c r="B3319">
        <v>2020</v>
      </c>
      <c r="C3319" t="s">
        <v>816</v>
      </c>
      <c r="D3319" t="s">
        <v>820</v>
      </c>
      <c r="E3319" t="s">
        <v>34</v>
      </c>
      <c r="F3319" t="s">
        <v>430</v>
      </c>
      <c r="G3319">
        <v>35.906083000000002</v>
      </c>
      <c r="H3319">
        <v>-116.75334700000001</v>
      </c>
      <c r="I3319" t="s">
        <v>765</v>
      </c>
      <c r="J3319" s="2" t="s">
        <v>14</v>
      </c>
      <c r="K3319" t="s">
        <v>431</v>
      </c>
      <c r="L3319" t="s">
        <v>143</v>
      </c>
      <c r="M3319" t="s">
        <v>553</v>
      </c>
      <c r="N3319" t="s">
        <v>85</v>
      </c>
      <c r="O3319" s="6" t="s">
        <v>61</v>
      </c>
      <c r="P3319" t="s">
        <v>67</v>
      </c>
      <c r="Q3319">
        <v>7</v>
      </c>
      <c r="R3319" t="s">
        <v>213</v>
      </c>
      <c r="S3319" s="2" t="s">
        <v>9</v>
      </c>
      <c r="T3319">
        <v>4</v>
      </c>
      <c r="U3319" t="s">
        <v>28</v>
      </c>
      <c r="V3319" t="s">
        <v>28</v>
      </c>
      <c r="W3319">
        <v>24</v>
      </c>
      <c r="X3319">
        <v>401.1</v>
      </c>
      <c r="Y3319" s="6">
        <f t="shared" si="63"/>
        <v>41.599999999999909</v>
      </c>
      <c r="Z3319">
        <f>421.9-X3319</f>
        <v>20.799999999999955</v>
      </c>
      <c r="AA3319" s="6"/>
      <c r="AB3319" s="6"/>
    </row>
    <row r="3320" spans="1:28" x14ac:dyDescent="0.2">
      <c r="A3320" t="s">
        <v>636</v>
      </c>
      <c r="B3320">
        <v>2020</v>
      </c>
      <c r="C3320" t="s">
        <v>816</v>
      </c>
      <c r="D3320" t="s">
        <v>820</v>
      </c>
      <c r="E3320" t="s">
        <v>34</v>
      </c>
      <c r="F3320" t="s">
        <v>430</v>
      </c>
      <c r="G3320">
        <v>35.906083000000002</v>
      </c>
      <c r="H3320">
        <v>-116.75334700000001</v>
      </c>
      <c r="I3320" t="s">
        <v>765</v>
      </c>
      <c r="J3320" s="2" t="s">
        <v>7</v>
      </c>
      <c r="K3320" t="s">
        <v>431</v>
      </c>
      <c r="L3320" t="s">
        <v>143</v>
      </c>
      <c r="M3320" t="s">
        <v>553</v>
      </c>
      <c r="N3320" t="s">
        <v>85</v>
      </c>
      <c r="O3320" s="6" t="s">
        <v>241</v>
      </c>
      <c r="P3320" t="s">
        <v>67</v>
      </c>
      <c r="Q3320">
        <v>7</v>
      </c>
      <c r="R3320" t="s">
        <v>213</v>
      </c>
      <c r="S3320" s="2" t="s">
        <v>7</v>
      </c>
      <c r="T3320">
        <v>4</v>
      </c>
      <c r="U3320" t="s">
        <v>28</v>
      </c>
      <c r="V3320" t="s">
        <v>28</v>
      </c>
      <c r="W3320">
        <v>16</v>
      </c>
      <c r="X3320">
        <v>105.9</v>
      </c>
      <c r="Y3320" s="6">
        <f t="shared" si="63"/>
        <v>25.399999999999977</v>
      </c>
      <c r="Z3320">
        <f>118.6-X3320</f>
        <v>12.699999999999989</v>
      </c>
      <c r="AA3320" s="6"/>
      <c r="AB3320" s="6"/>
    </row>
    <row r="3321" spans="1:28" x14ac:dyDescent="0.2">
      <c r="A3321" t="s">
        <v>636</v>
      </c>
      <c r="B3321">
        <v>2020</v>
      </c>
      <c r="C3321" t="s">
        <v>816</v>
      </c>
      <c r="D3321" t="s">
        <v>820</v>
      </c>
      <c r="E3321" t="s">
        <v>34</v>
      </c>
      <c r="F3321" t="s">
        <v>430</v>
      </c>
      <c r="G3321">
        <v>35.906083000000002</v>
      </c>
      <c r="H3321">
        <v>-116.75334700000001</v>
      </c>
      <c r="I3321" t="s">
        <v>765</v>
      </c>
      <c r="J3321" s="2" t="s">
        <v>14</v>
      </c>
      <c r="K3321" t="s">
        <v>431</v>
      </c>
      <c r="L3321" t="s">
        <v>143</v>
      </c>
      <c r="M3321" t="s">
        <v>553</v>
      </c>
      <c r="N3321" t="s">
        <v>85</v>
      </c>
      <c r="O3321" s="6" t="s">
        <v>241</v>
      </c>
      <c r="P3321" t="s">
        <v>67</v>
      </c>
      <c r="Q3321">
        <v>7</v>
      </c>
      <c r="R3321" t="s">
        <v>213</v>
      </c>
      <c r="S3321" s="2" t="s">
        <v>9</v>
      </c>
      <c r="T3321">
        <v>4</v>
      </c>
      <c r="U3321" t="s">
        <v>28</v>
      </c>
      <c r="V3321" t="s">
        <v>28</v>
      </c>
      <c r="W3321">
        <v>24</v>
      </c>
      <c r="X3321">
        <v>71.900000000000006</v>
      </c>
      <c r="Y3321" s="6">
        <f t="shared" si="63"/>
        <v>25</v>
      </c>
      <c r="Z3321">
        <f>84.4-X3321</f>
        <v>12.5</v>
      </c>
      <c r="AA3321" s="6"/>
      <c r="AB3321" s="6"/>
    </row>
    <row r="3322" spans="1:28" x14ac:dyDescent="0.2">
      <c r="A3322" t="s">
        <v>636</v>
      </c>
      <c r="B3322">
        <v>2020</v>
      </c>
      <c r="C3322" t="s">
        <v>816</v>
      </c>
      <c r="D3322" t="s">
        <v>820</v>
      </c>
      <c r="E3322" t="s">
        <v>34</v>
      </c>
      <c r="F3322" t="s">
        <v>430</v>
      </c>
      <c r="G3322">
        <v>35.906083000000002</v>
      </c>
      <c r="H3322">
        <v>-116.75334700000001</v>
      </c>
      <c r="I3322" t="s">
        <v>765</v>
      </c>
      <c r="J3322" s="2" t="s">
        <v>7</v>
      </c>
      <c r="K3322" t="s">
        <v>431</v>
      </c>
      <c r="L3322" t="s">
        <v>143</v>
      </c>
      <c r="M3322" t="s">
        <v>553</v>
      </c>
      <c r="N3322" t="s">
        <v>85</v>
      </c>
      <c r="O3322" s="6" t="s">
        <v>432</v>
      </c>
      <c r="P3322" t="s">
        <v>67</v>
      </c>
      <c r="Q3322">
        <v>7</v>
      </c>
      <c r="R3322" t="s">
        <v>213</v>
      </c>
      <c r="S3322" s="2" t="s">
        <v>7</v>
      </c>
      <c r="T3322">
        <v>4</v>
      </c>
      <c r="U3322" t="s">
        <v>28</v>
      </c>
      <c r="V3322" t="s">
        <v>28</v>
      </c>
      <c r="W3322">
        <v>16</v>
      </c>
      <c r="X3322">
        <v>224.2</v>
      </c>
      <c r="Y3322" s="6">
        <f t="shared" si="63"/>
        <v>59.600000000000023</v>
      </c>
      <c r="Z3322">
        <f>254-X3322</f>
        <v>29.800000000000011</v>
      </c>
      <c r="AA3322" s="6"/>
      <c r="AB3322" s="6"/>
    </row>
    <row r="3323" spans="1:28" x14ac:dyDescent="0.2">
      <c r="A3323" t="s">
        <v>636</v>
      </c>
      <c r="B3323">
        <v>2020</v>
      </c>
      <c r="C3323" t="s">
        <v>816</v>
      </c>
      <c r="D3323" t="s">
        <v>820</v>
      </c>
      <c r="E3323" t="s">
        <v>34</v>
      </c>
      <c r="F3323" t="s">
        <v>430</v>
      </c>
      <c r="G3323">
        <v>35.906083000000002</v>
      </c>
      <c r="H3323">
        <v>-116.75334700000001</v>
      </c>
      <c r="I3323" t="s">
        <v>765</v>
      </c>
      <c r="J3323" s="2" t="s">
        <v>14</v>
      </c>
      <c r="K3323" t="s">
        <v>431</v>
      </c>
      <c r="L3323" t="s">
        <v>143</v>
      </c>
      <c r="M3323" t="s">
        <v>553</v>
      </c>
      <c r="N3323" t="s">
        <v>85</v>
      </c>
      <c r="O3323" s="6" t="s">
        <v>432</v>
      </c>
      <c r="P3323" t="s">
        <v>67</v>
      </c>
      <c r="Q3323">
        <v>7</v>
      </c>
      <c r="R3323" t="s">
        <v>213</v>
      </c>
      <c r="S3323" s="2" t="s">
        <v>9</v>
      </c>
      <c r="T3323">
        <v>4</v>
      </c>
      <c r="U3323" t="s">
        <v>28</v>
      </c>
      <c r="V3323" t="s">
        <v>28</v>
      </c>
      <c r="W3323">
        <v>24</v>
      </c>
      <c r="X3323">
        <v>249.3</v>
      </c>
      <c r="Y3323" s="6">
        <f t="shared" si="63"/>
        <v>23.600000000000023</v>
      </c>
      <c r="Z3323">
        <f>261.1-X3323</f>
        <v>11.800000000000011</v>
      </c>
      <c r="AA3323" s="6"/>
      <c r="AB3323" s="6"/>
    </row>
    <row r="3324" spans="1:28" x14ac:dyDescent="0.2">
      <c r="A3324" t="s">
        <v>636</v>
      </c>
      <c r="B3324">
        <v>2020</v>
      </c>
      <c r="C3324" t="s">
        <v>816</v>
      </c>
      <c r="D3324" t="s">
        <v>820</v>
      </c>
      <c r="E3324" t="s">
        <v>34</v>
      </c>
      <c r="F3324" t="s">
        <v>430</v>
      </c>
      <c r="G3324">
        <v>35.906083000000002</v>
      </c>
      <c r="H3324">
        <v>-116.75334700000001</v>
      </c>
      <c r="I3324" t="s">
        <v>765</v>
      </c>
      <c r="J3324" s="2" t="s">
        <v>7</v>
      </c>
      <c r="K3324" t="s">
        <v>431</v>
      </c>
      <c r="L3324" t="s">
        <v>143</v>
      </c>
      <c r="M3324" t="s">
        <v>638</v>
      </c>
      <c r="N3324" t="s">
        <v>86</v>
      </c>
      <c r="O3324" s="6" t="s">
        <v>433</v>
      </c>
      <c r="P3324" t="s">
        <v>429</v>
      </c>
      <c r="Q3324">
        <v>7</v>
      </c>
      <c r="R3324" t="s">
        <v>213</v>
      </c>
      <c r="S3324" s="2" t="s">
        <v>7</v>
      </c>
      <c r="T3324">
        <v>4</v>
      </c>
      <c r="U3324" t="s">
        <v>28</v>
      </c>
      <c r="V3324" t="s">
        <v>28</v>
      </c>
      <c r="W3324">
        <v>16</v>
      </c>
      <c r="X3324">
        <v>3.97</v>
      </c>
      <c r="Y3324" s="6">
        <f t="shared" si="63"/>
        <v>1.1740000000000004</v>
      </c>
      <c r="Z3324">
        <f>4.557-X3324</f>
        <v>0.58700000000000019</v>
      </c>
      <c r="AA3324" s="6"/>
      <c r="AB3324" s="6"/>
    </row>
    <row r="3325" spans="1:28" x14ac:dyDescent="0.2">
      <c r="A3325" t="s">
        <v>636</v>
      </c>
      <c r="B3325">
        <v>2020</v>
      </c>
      <c r="C3325" t="s">
        <v>816</v>
      </c>
      <c r="D3325" t="s">
        <v>820</v>
      </c>
      <c r="E3325" t="s">
        <v>34</v>
      </c>
      <c r="F3325" t="s">
        <v>430</v>
      </c>
      <c r="G3325">
        <v>35.906083000000002</v>
      </c>
      <c r="H3325">
        <v>-116.75334700000001</v>
      </c>
      <c r="I3325" t="s">
        <v>765</v>
      </c>
      <c r="J3325" s="2" t="s">
        <v>14</v>
      </c>
      <c r="K3325" t="s">
        <v>431</v>
      </c>
      <c r="L3325" t="s">
        <v>143</v>
      </c>
      <c r="M3325" t="s">
        <v>638</v>
      </c>
      <c r="N3325" t="s">
        <v>86</v>
      </c>
      <c r="O3325" s="6" t="s">
        <v>433</v>
      </c>
      <c r="P3325" t="s">
        <v>429</v>
      </c>
      <c r="Q3325">
        <v>7</v>
      </c>
      <c r="R3325" t="s">
        <v>213</v>
      </c>
      <c r="S3325" s="2" t="s">
        <v>9</v>
      </c>
      <c r="T3325">
        <v>4</v>
      </c>
      <c r="U3325" t="s">
        <v>28</v>
      </c>
      <c r="V3325" t="s">
        <v>28</v>
      </c>
      <c r="W3325">
        <v>24</v>
      </c>
      <c r="X3325">
        <v>3.2109999999999999</v>
      </c>
      <c r="Y3325" s="6">
        <f t="shared" si="63"/>
        <v>0.29600000000000026</v>
      </c>
      <c r="Z3325">
        <f>3.359-X3325</f>
        <v>0.14800000000000013</v>
      </c>
      <c r="AA3325" s="6"/>
      <c r="AB3325" s="6"/>
    </row>
    <row r="3326" spans="1:28" x14ac:dyDescent="0.2">
      <c r="A3326" t="s">
        <v>636</v>
      </c>
      <c r="B3326">
        <v>2020</v>
      </c>
      <c r="C3326" t="s">
        <v>816</v>
      </c>
      <c r="D3326" t="s">
        <v>820</v>
      </c>
      <c r="E3326" t="s">
        <v>34</v>
      </c>
      <c r="F3326" t="s">
        <v>430</v>
      </c>
      <c r="G3326">
        <v>35.906083000000002</v>
      </c>
      <c r="H3326">
        <v>-116.75334700000001</v>
      </c>
      <c r="I3326" t="s">
        <v>765</v>
      </c>
      <c r="J3326" s="2" t="s">
        <v>7</v>
      </c>
      <c r="K3326" t="s">
        <v>431</v>
      </c>
      <c r="L3326" t="s">
        <v>143</v>
      </c>
      <c r="M3326" t="s">
        <v>638</v>
      </c>
      <c r="N3326" t="s">
        <v>85</v>
      </c>
      <c r="O3326" s="6" t="s">
        <v>107</v>
      </c>
      <c r="P3326" t="s">
        <v>429</v>
      </c>
      <c r="Q3326">
        <v>7</v>
      </c>
      <c r="R3326" t="s">
        <v>213</v>
      </c>
      <c r="S3326" s="2" t="s">
        <v>7</v>
      </c>
      <c r="T3326">
        <v>4</v>
      </c>
      <c r="U3326" t="s">
        <v>28</v>
      </c>
      <c r="V3326" t="s">
        <v>28</v>
      </c>
      <c r="W3326">
        <v>16</v>
      </c>
      <c r="X3326">
        <v>1.5680000000000001</v>
      </c>
      <c r="Y3326" s="6">
        <f t="shared" si="63"/>
        <v>8.4000000000000075E-2</v>
      </c>
      <c r="Z3326">
        <f>1.61-X3326</f>
        <v>4.2000000000000037E-2</v>
      </c>
      <c r="AA3326" s="6"/>
      <c r="AB3326" s="6"/>
    </row>
    <row r="3327" spans="1:28" x14ac:dyDescent="0.2">
      <c r="A3327" t="s">
        <v>636</v>
      </c>
      <c r="B3327">
        <v>2020</v>
      </c>
      <c r="C3327" t="s">
        <v>816</v>
      </c>
      <c r="D3327" t="s">
        <v>820</v>
      </c>
      <c r="E3327" t="s">
        <v>34</v>
      </c>
      <c r="F3327" t="s">
        <v>430</v>
      </c>
      <c r="G3327">
        <v>35.906083000000002</v>
      </c>
      <c r="H3327">
        <v>-116.75334700000001</v>
      </c>
      <c r="I3327" t="s">
        <v>765</v>
      </c>
      <c r="J3327" s="2" t="s">
        <v>14</v>
      </c>
      <c r="K3327" t="s">
        <v>431</v>
      </c>
      <c r="L3327" t="s">
        <v>143</v>
      </c>
      <c r="M3327" t="s">
        <v>638</v>
      </c>
      <c r="N3327" t="s">
        <v>85</v>
      </c>
      <c r="O3327" s="6" t="s">
        <v>107</v>
      </c>
      <c r="P3327" t="s">
        <v>429</v>
      </c>
      <c r="Q3327">
        <v>7</v>
      </c>
      <c r="R3327" t="s">
        <v>213</v>
      </c>
      <c r="S3327" s="2" t="s">
        <v>9</v>
      </c>
      <c r="T3327">
        <v>4</v>
      </c>
      <c r="U3327" t="s">
        <v>28</v>
      </c>
      <c r="V3327" t="s">
        <v>28</v>
      </c>
      <c r="W3327">
        <v>24</v>
      </c>
      <c r="X3327">
        <v>1.2569999999999999</v>
      </c>
      <c r="Y3327" s="6">
        <f t="shared" si="63"/>
        <v>7.0000000000000284E-2</v>
      </c>
      <c r="Z3327">
        <f>1.292-X3327</f>
        <v>3.5000000000000142E-2</v>
      </c>
      <c r="AA3327" s="6"/>
      <c r="AB3327" s="6"/>
    </row>
    <row r="3328" spans="1:28" x14ac:dyDescent="0.2">
      <c r="A3328" t="s">
        <v>636</v>
      </c>
      <c r="B3328">
        <v>2020</v>
      </c>
      <c r="C3328" t="s">
        <v>816</v>
      </c>
      <c r="D3328" t="s">
        <v>820</v>
      </c>
      <c r="E3328" t="s">
        <v>34</v>
      </c>
      <c r="F3328" t="s">
        <v>430</v>
      </c>
      <c r="G3328">
        <v>35.906083000000002</v>
      </c>
      <c r="H3328">
        <v>-116.75334700000001</v>
      </c>
      <c r="I3328" t="s">
        <v>765</v>
      </c>
      <c r="J3328" s="2" t="s">
        <v>7</v>
      </c>
      <c r="K3328" t="s">
        <v>431</v>
      </c>
      <c r="L3328" t="s">
        <v>143</v>
      </c>
      <c r="M3328" s="6" t="s">
        <v>73</v>
      </c>
      <c r="N3328" t="s">
        <v>85</v>
      </c>
      <c r="O3328" s="6" t="s">
        <v>434</v>
      </c>
      <c r="P3328" t="s">
        <v>78</v>
      </c>
      <c r="Q3328">
        <v>7</v>
      </c>
      <c r="R3328" t="s">
        <v>213</v>
      </c>
      <c r="S3328" s="2" t="s">
        <v>7</v>
      </c>
      <c r="T3328">
        <v>3</v>
      </c>
      <c r="U3328" t="s">
        <v>28</v>
      </c>
      <c r="V3328" t="s">
        <v>28</v>
      </c>
      <c r="W3328">
        <v>16</v>
      </c>
      <c r="X3328">
        <v>3.0089999999999999</v>
      </c>
      <c r="Y3328" s="6">
        <f t="shared" si="63"/>
        <v>0.77422671098328821</v>
      </c>
      <c r="Z3328">
        <f>3.456-X3328</f>
        <v>0.44700000000000006</v>
      </c>
      <c r="AA3328" s="6"/>
      <c r="AB3328" s="6"/>
    </row>
    <row r="3329" spans="1:28" x14ac:dyDescent="0.2">
      <c r="A3329" t="s">
        <v>636</v>
      </c>
      <c r="B3329">
        <v>2020</v>
      </c>
      <c r="C3329" t="s">
        <v>816</v>
      </c>
      <c r="D3329" t="s">
        <v>820</v>
      </c>
      <c r="E3329" t="s">
        <v>34</v>
      </c>
      <c r="F3329" t="s">
        <v>430</v>
      </c>
      <c r="G3329">
        <v>35.906083000000002</v>
      </c>
      <c r="H3329">
        <v>-116.75334700000001</v>
      </c>
      <c r="I3329" t="s">
        <v>765</v>
      </c>
      <c r="J3329" s="2" t="s">
        <v>14</v>
      </c>
      <c r="K3329" t="s">
        <v>431</v>
      </c>
      <c r="L3329" t="s">
        <v>143</v>
      </c>
      <c r="M3329" s="6" t="s">
        <v>73</v>
      </c>
      <c r="N3329" t="s">
        <v>85</v>
      </c>
      <c r="O3329" s="6" t="s">
        <v>434</v>
      </c>
      <c r="P3329" t="s">
        <v>78</v>
      </c>
      <c r="Q3329">
        <v>7</v>
      </c>
      <c r="R3329" t="s">
        <v>213</v>
      </c>
      <c r="S3329" s="2" t="s">
        <v>9</v>
      </c>
      <c r="T3329">
        <v>3</v>
      </c>
      <c r="U3329" t="s">
        <v>28</v>
      </c>
      <c r="V3329" t="s">
        <v>28</v>
      </c>
      <c r="W3329">
        <v>24</v>
      </c>
      <c r="X3329">
        <v>2.2839999999999998</v>
      </c>
      <c r="Y3329" s="6">
        <f t="shared" si="63"/>
        <v>0.24768326548234984</v>
      </c>
      <c r="Z3329">
        <f>2.427-X3329</f>
        <v>0.14300000000000024</v>
      </c>
      <c r="AA3329" s="6"/>
      <c r="AB3329" s="6"/>
    </row>
    <row r="3330" spans="1:28" x14ac:dyDescent="0.2">
      <c r="A3330" t="s">
        <v>636</v>
      </c>
      <c r="B3330">
        <v>2020</v>
      </c>
      <c r="C3330" t="s">
        <v>816</v>
      </c>
      <c r="D3330" t="s">
        <v>820</v>
      </c>
      <c r="E3330" t="s">
        <v>34</v>
      </c>
      <c r="F3330" t="s">
        <v>430</v>
      </c>
      <c r="G3330">
        <v>35.906083000000002</v>
      </c>
      <c r="H3330">
        <v>-116.75334700000001</v>
      </c>
      <c r="I3330" t="s">
        <v>765</v>
      </c>
      <c r="J3330" s="2" t="s">
        <v>7</v>
      </c>
      <c r="K3330" t="s">
        <v>431</v>
      </c>
      <c r="L3330" t="s">
        <v>143</v>
      </c>
      <c r="M3330" t="s">
        <v>637</v>
      </c>
      <c r="N3330" t="s">
        <v>86</v>
      </c>
      <c r="O3330" s="6" t="s">
        <v>435</v>
      </c>
      <c r="P3330" t="s">
        <v>147</v>
      </c>
      <c r="Q3330">
        <v>7</v>
      </c>
      <c r="R3330" t="s">
        <v>213</v>
      </c>
      <c r="S3330" s="2" t="s">
        <v>7</v>
      </c>
      <c r="T3330">
        <v>4</v>
      </c>
      <c r="U3330" t="s">
        <v>28</v>
      </c>
      <c r="V3330" t="s">
        <v>28</v>
      </c>
      <c r="W3330">
        <v>16</v>
      </c>
      <c r="X3330">
        <v>3.2149999999999999</v>
      </c>
      <c r="Y3330" s="6">
        <f t="shared" si="63"/>
        <v>1.8720000000000001</v>
      </c>
      <c r="Z3330">
        <v>0.93600000000000005</v>
      </c>
      <c r="AA3330" s="6"/>
      <c r="AB3330" s="6"/>
    </row>
    <row r="3331" spans="1:28" x14ac:dyDescent="0.2">
      <c r="A3331" t="s">
        <v>636</v>
      </c>
      <c r="B3331">
        <v>2020</v>
      </c>
      <c r="C3331" t="s">
        <v>816</v>
      </c>
      <c r="D3331" t="s">
        <v>820</v>
      </c>
      <c r="E3331" t="s">
        <v>34</v>
      </c>
      <c r="F3331" t="s">
        <v>430</v>
      </c>
      <c r="G3331">
        <v>35.906083000000002</v>
      </c>
      <c r="H3331">
        <v>-116.75334700000001</v>
      </c>
      <c r="I3331" t="s">
        <v>765</v>
      </c>
      <c r="J3331" s="2" t="s">
        <v>14</v>
      </c>
      <c r="K3331" t="s">
        <v>431</v>
      </c>
      <c r="L3331" t="s">
        <v>143</v>
      </c>
      <c r="M3331" t="s">
        <v>637</v>
      </c>
      <c r="N3331" t="s">
        <v>86</v>
      </c>
      <c r="O3331" s="6" t="s">
        <v>435</v>
      </c>
      <c r="P3331" t="s">
        <v>147</v>
      </c>
      <c r="Q3331">
        <v>7</v>
      </c>
      <c r="R3331" t="s">
        <v>213</v>
      </c>
      <c r="S3331" s="2" t="s">
        <v>9</v>
      </c>
      <c r="T3331">
        <v>4</v>
      </c>
      <c r="U3331" t="s">
        <v>28</v>
      </c>
      <c r="V3331" t="s">
        <v>28</v>
      </c>
      <c r="W3331">
        <v>24</v>
      </c>
      <c r="X3331">
        <v>5.0350000000000001</v>
      </c>
      <c r="Y3331" s="6">
        <f t="shared" si="63"/>
        <v>0.88200000000000001</v>
      </c>
      <c r="Z3331">
        <v>0.441</v>
      </c>
      <c r="AA3331" s="6"/>
      <c r="AB3331" s="6"/>
    </row>
    <row r="3332" spans="1:28" x14ac:dyDescent="0.2">
      <c r="A3332" t="s">
        <v>636</v>
      </c>
      <c r="B3332">
        <v>2020</v>
      </c>
      <c r="C3332" t="s">
        <v>816</v>
      </c>
      <c r="D3332" t="s">
        <v>820</v>
      </c>
      <c r="E3332" t="s">
        <v>34</v>
      </c>
      <c r="F3332" t="s">
        <v>430</v>
      </c>
      <c r="G3332">
        <v>35.906083000000002</v>
      </c>
      <c r="H3332">
        <v>-116.75334700000001</v>
      </c>
      <c r="I3332" t="s">
        <v>765</v>
      </c>
      <c r="J3332" s="2" t="s">
        <v>7</v>
      </c>
      <c r="K3332" t="s">
        <v>431</v>
      </c>
      <c r="L3332" t="s">
        <v>143</v>
      </c>
      <c r="M3332" t="s">
        <v>637</v>
      </c>
      <c r="N3332" t="s">
        <v>86</v>
      </c>
      <c r="O3332" s="6" t="s">
        <v>436</v>
      </c>
      <c r="P3332" t="s">
        <v>147</v>
      </c>
      <c r="Q3332">
        <v>7</v>
      </c>
      <c r="R3332" t="s">
        <v>213</v>
      </c>
      <c r="S3332" s="2" t="s">
        <v>7</v>
      </c>
      <c r="T3332">
        <v>4</v>
      </c>
      <c r="U3332" t="s">
        <v>28</v>
      </c>
      <c r="V3332" t="s">
        <v>28</v>
      </c>
      <c r="W3332">
        <v>16</v>
      </c>
      <c r="X3332">
        <v>0.77800000000000002</v>
      </c>
      <c r="Y3332" s="6">
        <f t="shared" si="63"/>
        <v>0.11600000000000001</v>
      </c>
      <c r="Z3332">
        <v>5.8000000000000003E-2</v>
      </c>
      <c r="AA3332" s="6"/>
      <c r="AB3332" s="6"/>
    </row>
    <row r="3333" spans="1:28" x14ac:dyDescent="0.2">
      <c r="A3333" t="s">
        <v>636</v>
      </c>
      <c r="B3333">
        <v>2020</v>
      </c>
      <c r="C3333" t="s">
        <v>816</v>
      </c>
      <c r="D3333" t="s">
        <v>820</v>
      </c>
      <c r="E3333" t="s">
        <v>34</v>
      </c>
      <c r="F3333" t="s">
        <v>430</v>
      </c>
      <c r="G3333">
        <v>35.906083000000002</v>
      </c>
      <c r="H3333">
        <v>-116.75334700000001</v>
      </c>
      <c r="I3333" t="s">
        <v>765</v>
      </c>
      <c r="J3333" s="2" t="s">
        <v>14</v>
      </c>
      <c r="K3333" t="s">
        <v>431</v>
      </c>
      <c r="L3333" t="s">
        <v>143</v>
      </c>
      <c r="M3333" t="s">
        <v>637</v>
      </c>
      <c r="N3333" t="s">
        <v>86</v>
      </c>
      <c r="O3333" s="6" t="s">
        <v>436</v>
      </c>
      <c r="P3333" t="s">
        <v>147</v>
      </c>
      <c r="Q3333">
        <v>7</v>
      </c>
      <c r="R3333" t="s">
        <v>213</v>
      </c>
      <c r="S3333" s="2" t="s">
        <v>9</v>
      </c>
      <c r="T3333">
        <v>4</v>
      </c>
      <c r="U3333" t="s">
        <v>28</v>
      </c>
      <c r="V3333" t="s">
        <v>28</v>
      </c>
      <c r="W3333">
        <v>24</v>
      </c>
      <c r="X3333">
        <v>0.878</v>
      </c>
      <c r="Y3333" s="6">
        <f t="shared" si="63"/>
        <v>0.13</v>
      </c>
      <c r="Z3333">
        <v>6.5000000000000002E-2</v>
      </c>
      <c r="AA3333" s="6"/>
      <c r="AB3333" s="6"/>
    </row>
    <row r="3334" spans="1:28" x14ac:dyDescent="0.2">
      <c r="A3334" t="s">
        <v>636</v>
      </c>
      <c r="B3334">
        <v>2020</v>
      </c>
      <c r="C3334" t="s">
        <v>816</v>
      </c>
      <c r="D3334" t="s">
        <v>820</v>
      </c>
      <c r="E3334" t="s">
        <v>34</v>
      </c>
      <c r="F3334" t="s">
        <v>430</v>
      </c>
      <c r="G3334">
        <v>35.906083000000002</v>
      </c>
      <c r="H3334">
        <v>-116.75334700000001</v>
      </c>
      <c r="I3334" t="s">
        <v>765</v>
      </c>
      <c r="J3334" s="2" t="s">
        <v>7</v>
      </c>
      <c r="K3334" t="s">
        <v>431</v>
      </c>
      <c r="L3334" t="s">
        <v>143</v>
      </c>
      <c r="M3334" t="s">
        <v>637</v>
      </c>
      <c r="N3334" t="s">
        <v>86</v>
      </c>
      <c r="O3334" s="6" t="s">
        <v>437</v>
      </c>
      <c r="P3334" t="s">
        <v>402</v>
      </c>
      <c r="Q3334">
        <v>7</v>
      </c>
      <c r="R3334" t="s">
        <v>213</v>
      </c>
      <c r="S3334" s="2" t="s">
        <v>7</v>
      </c>
      <c r="T3334">
        <v>4</v>
      </c>
      <c r="U3334" t="s">
        <v>28</v>
      </c>
      <c r="V3334" t="s">
        <v>28</v>
      </c>
      <c r="W3334">
        <v>16</v>
      </c>
      <c r="X3334">
        <v>21.22</v>
      </c>
      <c r="Y3334" s="6">
        <f t="shared" si="63"/>
        <v>2.4</v>
      </c>
      <c r="Z3334">
        <v>1.2</v>
      </c>
      <c r="AA3334" s="6"/>
      <c r="AB3334" s="6"/>
    </row>
    <row r="3335" spans="1:28" x14ac:dyDescent="0.2">
      <c r="A3335" t="s">
        <v>636</v>
      </c>
      <c r="B3335">
        <v>2020</v>
      </c>
      <c r="C3335" t="s">
        <v>816</v>
      </c>
      <c r="D3335" t="s">
        <v>820</v>
      </c>
      <c r="E3335" t="s">
        <v>34</v>
      </c>
      <c r="F3335" t="s">
        <v>430</v>
      </c>
      <c r="G3335">
        <v>35.906083000000002</v>
      </c>
      <c r="H3335">
        <v>-116.75334700000001</v>
      </c>
      <c r="I3335" t="s">
        <v>765</v>
      </c>
      <c r="J3335" s="2" t="s">
        <v>14</v>
      </c>
      <c r="K3335" t="s">
        <v>431</v>
      </c>
      <c r="L3335" t="s">
        <v>143</v>
      </c>
      <c r="M3335" t="s">
        <v>637</v>
      </c>
      <c r="N3335" t="s">
        <v>86</v>
      </c>
      <c r="O3335" s="6" t="s">
        <v>437</v>
      </c>
      <c r="P3335" t="s">
        <v>402</v>
      </c>
      <c r="Q3335">
        <v>7</v>
      </c>
      <c r="R3335" t="s">
        <v>213</v>
      </c>
      <c r="S3335" s="2" t="s">
        <v>9</v>
      </c>
      <c r="T3335">
        <v>4</v>
      </c>
      <c r="U3335" t="s">
        <v>28</v>
      </c>
      <c r="V3335" t="s">
        <v>28</v>
      </c>
      <c r="W3335">
        <v>24</v>
      </c>
      <c r="X3335">
        <v>17.48</v>
      </c>
      <c r="Y3335" s="6">
        <f t="shared" si="63"/>
        <v>5.84</v>
      </c>
      <c r="Z3335">
        <v>2.92</v>
      </c>
      <c r="AA3335" s="6"/>
      <c r="AB3335" s="6"/>
    </row>
    <row r="3336" spans="1:28" x14ac:dyDescent="0.2">
      <c r="A3336" t="s">
        <v>441</v>
      </c>
      <c r="B3336">
        <v>2019</v>
      </c>
      <c r="C3336" t="s">
        <v>816</v>
      </c>
      <c r="D3336" t="s">
        <v>820</v>
      </c>
      <c r="E3336" t="s">
        <v>34</v>
      </c>
      <c r="F3336" t="s">
        <v>442</v>
      </c>
      <c r="G3336">
        <v>-43.122999999999998</v>
      </c>
      <c r="H3336">
        <v>147.97640000000001</v>
      </c>
      <c r="I3336" t="s">
        <v>765</v>
      </c>
      <c r="J3336" s="2" t="s">
        <v>7</v>
      </c>
      <c r="K3336" t="s">
        <v>443</v>
      </c>
      <c r="L3336" t="s">
        <v>143</v>
      </c>
      <c r="M3336" t="s">
        <v>726</v>
      </c>
      <c r="N3336" t="s">
        <v>85</v>
      </c>
      <c r="O3336" s="6" t="s">
        <v>112</v>
      </c>
      <c r="Q3336">
        <v>28</v>
      </c>
      <c r="R3336" t="s">
        <v>213</v>
      </c>
      <c r="S3336" s="2" t="s">
        <v>7</v>
      </c>
      <c r="T3336">
        <v>3</v>
      </c>
      <c r="U3336" t="s">
        <v>28</v>
      </c>
      <c r="V3336" t="s">
        <v>28</v>
      </c>
      <c r="W3336">
        <v>12</v>
      </c>
      <c r="X3336">
        <v>5.46</v>
      </c>
      <c r="Y3336" s="6">
        <f t="shared" si="63"/>
        <v>1.4029611541307898</v>
      </c>
      <c r="Z3336">
        <f>6.27-X3336</f>
        <v>0.80999999999999961</v>
      </c>
      <c r="AA3336" s="6"/>
      <c r="AB3336" s="6"/>
    </row>
    <row r="3337" spans="1:28" x14ac:dyDescent="0.2">
      <c r="A3337" t="s">
        <v>441</v>
      </c>
      <c r="B3337">
        <v>2019</v>
      </c>
      <c r="C3337" t="s">
        <v>816</v>
      </c>
      <c r="D3337" t="s">
        <v>820</v>
      </c>
      <c r="E3337" t="s">
        <v>34</v>
      </c>
      <c r="F3337" t="s">
        <v>442</v>
      </c>
      <c r="G3337">
        <v>-43.122999999999998</v>
      </c>
      <c r="H3337">
        <v>147.97640000000001</v>
      </c>
      <c r="I3337" t="s">
        <v>765</v>
      </c>
      <c r="J3337" s="2" t="s">
        <v>14</v>
      </c>
      <c r="K3337" t="s">
        <v>443</v>
      </c>
      <c r="L3337" t="s">
        <v>143</v>
      </c>
      <c r="M3337" t="s">
        <v>726</v>
      </c>
      <c r="N3337" t="s">
        <v>85</v>
      </c>
      <c r="O3337" s="6" t="s">
        <v>112</v>
      </c>
      <c r="Q3337">
        <v>28</v>
      </c>
      <c r="R3337" t="s">
        <v>213</v>
      </c>
      <c r="S3337" s="2" t="s">
        <v>9</v>
      </c>
      <c r="T3337">
        <v>3</v>
      </c>
      <c r="U3337" t="s">
        <v>28</v>
      </c>
      <c r="V3337" t="s">
        <v>28</v>
      </c>
      <c r="W3337">
        <v>17</v>
      </c>
      <c r="X3337">
        <v>8.27</v>
      </c>
      <c r="Y3337" s="6">
        <f t="shared" si="63"/>
        <v>0.3637306695894657</v>
      </c>
      <c r="Z3337">
        <f>8.48-X3337</f>
        <v>0.21000000000000085</v>
      </c>
      <c r="AA3337" s="6"/>
      <c r="AB3337" s="6"/>
    </row>
    <row r="3338" spans="1:28" x14ac:dyDescent="0.2">
      <c r="A3338" t="s">
        <v>441</v>
      </c>
      <c r="B3338">
        <v>2019</v>
      </c>
      <c r="C3338" t="s">
        <v>816</v>
      </c>
      <c r="D3338" t="s">
        <v>820</v>
      </c>
      <c r="E3338" t="s">
        <v>34</v>
      </c>
      <c r="F3338" t="s">
        <v>442</v>
      </c>
      <c r="G3338">
        <v>-43.122999999999998</v>
      </c>
      <c r="H3338">
        <v>147.97640000000001</v>
      </c>
      <c r="I3338" t="s">
        <v>765</v>
      </c>
      <c r="J3338" s="2" t="s">
        <v>14</v>
      </c>
      <c r="K3338" t="s">
        <v>443</v>
      </c>
      <c r="L3338" t="s">
        <v>143</v>
      </c>
      <c r="M3338" t="s">
        <v>726</v>
      </c>
      <c r="N3338" t="s">
        <v>85</v>
      </c>
      <c r="O3338" s="6" t="s">
        <v>112</v>
      </c>
      <c r="Q3338">
        <v>28</v>
      </c>
      <c r="R3338" t="s">
        <v>213</v>
      </c>
      <c r="S3338" s="2" t="s">
        <v>27</v>
      </c>
      <c r="T3338">
        <v>3</v>
      </c>
      <c r="U3338" t="s">
        <v>28</v>
      </c>
      <c r="V3338" t="s">
        <v>28</v>
      </c>
      <c r="W3338">
        <v>22</v>
      </c>
      <c r="X3338">
        <v>4.75</v>
      </c>
      <c r="Y3338" s="6">
        <f t="shared" si="63"/>
        <v>1.2297560733739028</v>
      </c>
      <c r="Z3338">
        <f>5.46-X3338</f>
        <v>0.71</v>
      </c>
      <c r="AA3338" s="6"/>
      <c r="AB3338" s="6"/>
    </row>
    <row r="3339" spans="1:28" x14ac:dyDescent="0.2">
      <c r="A3339" t="s">
        <v>441</v>
      </c>
      <c r="B3339">
        <v>2019</v>
      </c>
      <c r="C3339" t="s">
        <v>816</v>
      </c>
      <c r="D3339" t="s">
        <v>820</v>
      </c>
      <c r="E3339" t="s">
        <v>34</v>
      </c>
      <c r="F3339" t="s">
        <v>442</v>
      </c>
      <c r="G3339">
        <v>-43.122999999999998</v>
      </c>
      <c r="H3339">
        <v>147.97640000000001</v>
      </c>
      <c r="I3339" t="s">
        <v>765</v>
      </c>
      <c r="J3339" s="2" t="s">
        <v>7</v>
      </c>
      <c r="K3339" t="s">
        <v>443</v>
      </c>
      <c r="L3339" t="s">
        <v>143</v>
      </c>
      <c r="M3339" t="s">
        <v>726</v>
      </c>
      <c r="N3339" t="s">
        <v>85</v>
      </c>
      <c r="O3339" s="6" t="s">
        <v>196</v>
      </c>
      <c r="Q3339">
        <v>28</v>
      </c>
      <c r="R3339" t="s">
        <v>213</v>
      </c>
      <c r="S3339" s="2" t="s">
        <v>7</v>
      </c>
      <c r="T3339">
        <v>3</v>
      </c>
      <c r="U3339" t="s">
        <v>28</v>
      </c>
      <c r="V3339" t="s">
        <v>28</v>
      </c>
      <c r="W3339">
        <v>12</v>
      </c>
      <c r="X3339">
        <v>7.71</v>
      </c>
      <c r="Y3339" s="6">
        <f t="shared" si="63"/>
        <v>1.8186533479473208</v>
      </c>
      <c r="Z3339">
        <f>8.76-X3339</f>
        <v>1.0499999999999998</v>
      </c>
      <c r="AA3339" s="6"/>
      <c r="AB3339" s="6"/>
    </row>
    <row r="3340" spans="1:28" x14ac:dyDescent="0.2">
      <c r="A3340" t="s">
        <v>441</v>
      </c>
      <c r="B3340">
        <v>2019</v>
      </c>
      <c r="C3340" t="s">
        <v>816</v>
      </c>
      <c r="D3340" t="s">
        <v>820</v>
      </c>
      <c r="E3340" t="s">
        <v>34</v>
      </c>
      <c r="F3340" t="s">
        <v>442</v>
      </c>
      <c r="G3340">
        <v>-43.122999999999998</v>
      </c>
      <c r="H3340">
        <v>147.97640000000001</v>
      </c>
      <c r="I3340" t="s">
        <v>765</v>
      </c>
      <c r="J3340" s="2" t="s">
        <v>14</v>
      </c>
      <c r="K3340" t="s">
        <v>443</v>
      </c>
      <c r="L3340" t="s">
        <v>143</v>
      </c>
      <c r="M3340" t="s">
        <v>726</v>
      </c>
      <c r="N3340" t="s">
        <v>85</v>
      </c>
      <c r="O3340" s="6" t="s">
        <v>196</v>
      </c>
      <c r="Q3340">
        <v>28</v>
      </c>
      <c r="R3340" t="s">
        <v>213</v>
      </c>
      <c r="S3340" s="2" t="s">
        <v>9</v>
      </c>
      <c r="T3340">
        <v>3</v>
      </c>
      <c r="U3340" t="s">
        <v>28</v>
      </c>
      <c r="V3340" t="s">
        <v>28</v>
      </c>
      <c r="W3340">
        <v>17</v>
      </c>
      <c r="X3340">
        <v>10.92</v>
      </c>
      <c r="Y3340" s="6">
        <f t="shared" ref="Y3340:Y3371" si="64">Z3340*SQRT(T3340)</f>
        <v>1.2297560733739044</v>
      </c>
      <c r="Z3340">
        <f>11.63-X3340</f>
        <v>0.71000000000000085</v>
      </c>
      <c r="AA3340" s="6"/>
      <c r="AB3340" s="6"/>
    </row>
    <row r="3341" spans="1:28" x14ac:dyDescent="0.2">
      <c r="A3341" t="s">
        <v>441</v>
      </c>
      <c r="B3341">
        <v>2019</v>
      </c>
      <c r="C3341" t="s">
        <v>816</v>
      </c>
      <c r="D3341" t="s">
        <v>820</v>
      </c>
      <c r="E3341" t="s">
        <v>34</v>
      </c>
      <c r="F3341" t="s">
        <v>442</v>
      </c>
      <c r="G3341">
        <v>-43.122999999999998</v>
      </c>
      <c r="H3341">
        <v>147.97640000000001</v>
      </c>
      <c r="I3341" t="s">
        <v>765</v>
      </c>
      <c r="J3341" s="2" t="s">
        <v>14</v>
      </c>
      <c r="K3341" t="s">
        <v>443</v>
      </c>
      <c r="L3341" t="s">
        <v>143</v>
      </c>
      <c r="M3341" t="s">
        <v>726</v>
      </c>
      <c r="N3341" t="s">
        <v>85</v>
      </c>
      <c r="O3341" s="6" t="s">
        <v>196</v>
      </c>
      <c r="Q3341">
        <v>28</v>
      </c>
      <c r="R3341" t="s">
        <v>213</v>
      </c>
      <c r="S3341" s="2" t="s">
        <v>27</v>
      </c>
      <c r="T3341">
        <v>3</v>
      </c>
      <c r="U3341" t="s">
        <v>28</v>
      </c>
      <c r="V3341" t="s">
        <v>28</v>
      </c>
      <c r="W3341">
        <v>22</v>
      </c>
      <c r="X3341">
        <v>10.39</v>
      </c>
      <c r="Y3341" s="6">
        <f t="shared" si="64"/>
        <v>1.645448267190432</v>
      </c>
      <c r="Z3341">
        <f>11.34-X3341</f>
        <v>0.94999999999999929</v>
      </c>
      <c r="AA3341" s="6"/>
      <c r="AB3341" s="6"/>
    </row>
    <row r="3342" spans="1:28" x14ac:dyDescent="0.2">
      <c r="A3342" t="s">
        <v>441</v>
      </c>
      <c r="B3342">
        <v>2019</v>
      </c>
      <c r="C3342" t="s">
        <v>816</v>
      </c>
      <c r="D3342" t="s">
        <v>820</v>
      </c>
      <c r="E3342" t="s">
        <v>34</v>
      </c>
      <c r="F3342" t="s">
        <v>442</v>
      </c>
      <c r="G3342">
        <v>-43.122999999999998</v>
      </c>
      <c r="H3342">
        <v>147.97640000000001</v>
      </c>
      <c r="I3342" t="s">
        <v>765</v>
      </c>
      <c r="J3342" s="2" t="s">
        <v>7</v>
      </c>
      <c r="K3342" t="s">
        <v>443</v>
      </c>
      <c r="L3342" t="s">
        <v>143</v>
      </c>
      <c r="M3342" t="s">
        <v>726</v>
      </c>
      <c r="N3342" t="s">
        <v>85</v>
      </c>
      <c r="O3342" s="6" t="s">
        <v>84</v>
      </c>
      <c r="Q3342">
        <v>28</v>
      </c>
      <c r="R3342" t="s">
        <v>213</v>
      </c>
      <c r="S3342" s="2" t="s">
        <v>7</v>
      </c>
      <c r="T3342">
        <v>3</v>
      </c>
      <c r="U3342" t="s">
        <v>28</v>
      </c>
      <c r="V3342" t="s">
        <v>28</v>
      </c>
      <c r="W3342">
        <v>12</v>
      </c>
      <c r="X3342">
        <v>0.74329999999999996</v>
      </c>
      <c r="Y3342" s="6">
        <f t="shared" si="64"/>
        <v>9.52627944162893E-3</v>
      </c>
      <c r="Z3342">
        <f>0.7488-X3342</f>
        <v>5.5000000000000604E-3</v>
      </c>
      <c r="AA3342" s="6"/>
      <c r="AB3342" s="6"/>
    </row>
    <row r="3343" spans="1:28" x14ac:dyDescent="0.2">
      <c r="A3343" t="s">
        <v>441</v>
      </c>
      <c r="B3343">
        <v>2019</v>
      </c>
      <c r="C3343" t="s">
        <v>816</v>
      </c>
      <c r="D3343" t="s">
        <v>820</v>
      </c>
      <c r="E3343" t="s">
        <v>34</v>
      </c>
      <c r="F3343" t="s">
        <v>442</v>
      </c>
      <c r="G3343">
        <v>-43.122999999999998</v>
      </c>
      <c r="H3343">
        <v>147.97640000000001</v>
      </c>
      <c r="I3343" t="s">
        <v>765</v>
      </c>
      <c r="J3343" s="2" t="s">
        <v>14</v>
      </c>
      <c r="K3343" t="s">
        <v>443</v>
      </c>
      <c r="L3343" t="s">
        <v>143</v>
      </c>
      <c r="M3343" t="s">
        <v>726</v>
      </c>
      <c r="N3343" t="s">
        <v>85</v>
      </c>
      <c r="O3343" s="6" t="s">
        <v>84</v>
      </c>
      <c r="Q3343">
        <v>28</v>
      </c>
      <c r="R3343" t="s">
        <v>213</v>
      </c>
      <c r="S3343" s="2" t="s">
        <v>9</v>
      </c>
      <c r="T3343">
        <v>3</v>
      </c>
      <c r="U3343" t="s">
        <v>28</v>
      </c>
      <c r="V3343" t="s">
        <v>28</v>
      </c>
      <c r="W3343">
        <v>17</v>
      </c>
      <c r="X3343">
        <v>0.73599999999999999</v>
      </c>
      <c r="Y3343" s="6">
        <f t="shared" si="64"/>
        <v>2.2170250336881685E-2</v>
      </c>
      <c r="Z3343">
        <f>0.7488-X3343</f>
        <v>1.2800000000000034E-2</v>
      </c>
      <c r="AA3343" s="6"/>
      <c r="AB3343" s="6"/>
    </row>
    <row r="3344" spans="1:28" x14ac:dyDescent="0.2">
      <c r="A3344" t="s">
        <v>441</v>
      </c>
      <c r="B3344">
        <v>2019</v>
      </c>
      <c r="C3344" t="s">
        <v>816</v>
      </c>
      <c r="D3344" t="s">
        <v>820</v>
      </c>
      <c r="E3344" t="s">
        <v>34</v>
      </c>
      <c r="F3344" t="s">
        <v>442</v>
      </c>
      <c r="G3344">
        <v>-43.122999999999998</v>
      </c>
      <c r="H3344">
        <v>147.97640000000001</v>
      </c>
      <c r="I3344" t="s">
        <v>765</v>
      </c>
      <c r="J3344" s="2" t="s">
        <v>14</v>
      </c>
      <c r="K3344" t="s">
        <v>443</v>
      </c>
      <c r="L3344" t="s">
        <v>143</v>
      </c>
      <c r="M3344" t="s">
        <v>726</v>
      </c>
      <c r="N3344" t="s">
        <v>85</v>
      </c>
      <c r="O3344" s="6" t="s">
        <v>84</v>
      </c>
      <c r="Q3344">
        <v>28</v>
      </c>
      <c r="R3344" t="s">
        <v>213</v>
      </c>
      <c r="S3344" s="2" t="s">
        <v>27</v>
      </c>
      <c r="T3344">
        <v>3</v>
      </c>
      <c r="U3344" t="s">
        <v>28</v>
      </c>
      <c r="V3344" t="s">
        <v>28</v>
      </c>
      <c r="W3344">
        <v>22</v>
      </c>
      <c r="X3344">
        <v>0.63729999999999998</v>
      </c>
      <c r="Y3344" s="6">
        <f t="shared" si="64"/>
        <v>0.11241009741122025</v>
      </c>
      <c r="Z3344">
        <f>0.7022-X3344</f>
        <v>6.4900000000000069E-2</v>
      </c>
      <c r="AA3344" s="6"/>
      <c r="AB3344" s="6"/>
    </row>
    <row r="3345" spans="1:28" x14ac:dyDescent="0.2">
      <c r="A3345" t="s">
        <v>441</v>
      </c>
      <c r="B3345">
        <v>2019</v>
      </c>
      <c r="C3345" t="s">
        <v>816</v>
      </c>
      <c r="D3345" t="s">
        <v>820</v>
      </c>
      <c r="E3345" t="s">
        <v>34</v>
      </c>
      <c r="F3345" t="s">
        <v>442</v>
      </c>
      <c r="G3345">
        <v>-43.122999999999998</v>
      </c>
      <c r="H3345">
        <v>147.97640000000001</v>
      </c>
      <c r="I3345" t="s">
        <v>765</v>
      </c>
      <c r="J3345" s="2" t="s">
        <v>7</v>
      </c>
      <c r="K3345" t="s">
        <v>443</v>
      </c>
      <c r="L3345" t="s">
        <v>143</v>
      </c>
      <c r="M3345" t="s">
        <v>553</v>
      </c>
      <c r="N3345" t="s">
        <v>85</v>
      </c>
      <c r="O3345" s="6" t="s">
        <v>61</v>
      </c>
      <c r="P3345" t="s">
        <v>147</v>
      </c>
      <c r="Q3345">
        <v>28</v>
      </c>
      <c r="R3345" t="s">
        <v>213</v>
      </c>
      <c r="S3345" s="2" t="s">
        <v>7</v>
      </c>
      <c r="T3345">
        <v>3</v>
      </c>
      <c r="U3345" t="s">
        <v>28</v>
      </c>
      <c r="V3345" t="s">
        <v>28</v>
      </c>
      <c r="W3345">
        <v>12</v>
      </c>
      <c r="X3345">
        <v>0.1368</v>
      </c>
      <c r="Y3345" s="6">
        <f t="shared" si="64"/>
        <v>3.6373066958946404E-2</v>
      </c>
      <c r="Z3345">
        <f>0.1578-X3345</f>
        <v>2.0999999999999991E-2</v>
      </c>
      <c r="AA3345" s="6"/>
      <c r="AB3345" s="6"/>
    </row>
    <row r="3346" spans="1:28" x14ac:dyDescent="0.2">
      <c r="A3346" t="s">
        <v>441</v>
      </c>
      <c r="B3346">
        <v>2019</v>
      </c>
      <c r="C3346" t="s">
        <v>816</v>
      </c>
      <c r="D3346" t="s">
        <v>820</v>
      </c>
      <c r="E3346" t="s">
        <v>34</v>
      </c>
      <c r="F3346" t="s">
        <v>442</v>
      </c>
      <c r="G3346">
        <v>-43.122999999999998</v>
      </c>
      <c r="H3346">
        <v>147.97640000000001</v>
      </c>
      <c r="I3346" t="s">
        <v>765</v>
      </c>
      <c r="J3346" s="2" t="s">
        <v>14</v>
      </c>
      <c r="K3346" t="s">
        <v>443</v>
      </c>
      <c r="L3346" t="s">
        <v>143</v>
      </c>
      <c r="M3346" t="s">
        <v>553</v>
      </c>
      <c r="N3346" t="s">
        <v>85</v>
      </c>
      <c r="O3346" s="6" t="s">
        <v>61</v>
      </c>
      <c r="P3346" t="s">
        <v>147</v>
      </c>
      <c r="Q3346">
        <v>28</v>
      </c>
      <c r="R3346" t="s">
        <v>213</v>
      </c>
      <c r="S3346" s="2" t="s">
        <v>9</v>
      </c>
      <c r="T3346">
        <v>3</v>
      </c>
      <c r="U3346" t="s">
        <v>28</v>
      </c>
      <c r="V3346" t="s">
        <v>28</v>
      </c>
      <c r="W3346">
        <v>17</v>
      </c>
      <c r="X3346">
        <v>0.13170000000000001</v>
      </c>
      <c r="Y3346" s="6">
        <f t="shared" si="64"/>
        <v>5.6811266488259161E-2</v>
      </c>
      <c r="Z3346">
        <f>0.1645-X3346</f>
        <v>3.2799999999999996E-2</v>
      </c>
      <c r="AA3346" s="6"/>
      <c r="AB3346" s="6"/>
    </row>
    <row r="3347" spans="1:28" x14ac:dyDescent="0.2">
      <c r="A3347" t="s">
        <v>441</v>
      </c>
      <c r="B3347">
        <v>2019</v>
      </c>
      <c r="C3347" t="s">
        <v>816</v>
      </c>
      <c r="D3347" t="s">
        <v>820</v>
      </c>
      <c r="E3347" t="s">
        <v>34</v>
      </c>
      <c r="F3347" t="s">
        <v>442</v>
      </c>
      <c r="G3347">
        <v>-43.122999999999998</v>
      </c>
      <c r="H3347">
        <v>147.97640000000001</v>
      </c>
      <c r="I3347" t="s">
        <v>765</v>
      </c>
      <c r="J3347" s="2" t="s">
        <v>14</v>
      </c>
      <c r="K3347" t="s">
        <v>443</v>
      </c>
      <c r="L3347" t="s">
        <v>143</v>
      </c>
      <c r="M3347" t="s">
        <v>553</v>
      </c>
      <c r="N3347" t="s">
        <v>85</v>
      </c>
      <c r="O3347" s="6" t="s">
        <v>61</v>
      </c>
      <c r="P3347" t="s">
        <v>147</v>
      </c>
      <c r="Q3347">
        <v>28</v>
      </c>
      <c r="R3347" t="s">
        <v>213</v>
      </c>
      <c r="S3347" s="2" t="s">
        <v>27</v>
      </c>
      <c r="T3347">
        <v>3</v>
      </c>
      <c r="U3347" t="s">
        <v>28</v>
      </c>
      <c r="V3347" t="s">
        <v>28</v>
      </c>
      <c r="W3347">
        <v>22</v>
      </c>
      <c r="X3347">
        <v>0.2954</v>
      </c>
      <c r="Y3347" s="6">
        <f t="shared" si="64"/>
        <v>3.3428580586079303E-2</v>
      </c>
      <c r="Z3347">
        <f>0.3147-X3347</f>
        <v>1.9299999999999984E-2</v>
      </c>
      <c r="AA3347" s="6"/>
      <c r="AB3347" s="6"/>
    </row>
    <row r="3348" spans="1:28" x14ac:dyDescent="0.2">
      <c r="A3348" t="s">
        <v>441</v>
      </c>
      <c r="B3348">
        <v>2019</v>
      </c>
      <c r="C3348" t="s">
        <v>816</v>
      </c>
      <c r="D3348" t="s">
        <v>820</v>
      </c>
      <c r="E3348" t="s">
        <v>34</v>
      </c>
      <c r="F3348" t="s">
        <v>442</v>
      </c>
      <c r="G3348">
        <v>-43.122999999999998</v>
      </c>
      <c r="H3348">
        <v>147.97640000000001</v>
      </c>
      <c r="I3348" t="s">
        <v>765</v>
      </c>
      <c r="J3348" s="2" t="s">
        <v>7</v>
      </c>
      <c r="K3348" t="s">
        <v>443</v>
      </c>
      <c r="L3348" t="s">
        <v>143</v>
      </c>
      <c r="M3348" t="s">
        <v>553</v>
      </c>
      <c r="N3348" t="s">
        <v>85</v>
      </c>
      <c r="O3348" s="6" t="s">
        <v>241</v>
      </c>
      <c r="P3348" t="s">
        <v>147</v>
      </c>
      <c r="Q3348">
        <v>28</v>
      </c>
      <c r="R3348" t="s">
        <v>213</v>
      </c>
      <c r="S3348" s="2" t="s">
        <v>7</v>
      </c>
      <c r="T3348">
        <v>3</v>
      </c>
      <c r="U3348" t="s">
        <v>28</v>
      </c>
      <c r="V3348" t="s">
        <v>28</v>
      </c>
      <c r="W3348">
        <v>12</v>
      </c>
      <c r="X3348">
        <v>3.3849999999999998E-2</v>
      </c>
      <c r="Y3348" s="6">
        <f t="shared" si="64"/>
        <v>1.1137086692667889E-2</v>
      </c>
      <c r="Z3348">
        <f>0.04028-X3348</f>
        <v>6.4300000000000052E-3</v>
      </c>
      <c r="AA3348" s="6"/>
      <c r="AB3348" s="6"/>
    </row>
    <row r="3349" spans="1:28" x14ac:dyDescent="0.2">
      <c r="A3349" t="s">
        <v>441</v>
      </c>
      <c r="B3349">
        <v>2019</v>
      </c>
      <c r="C3349" t="s">
        <v>816</v>
      </c>
      <c r="D3349" t="s">
        <v>820</v>
      </c>
      <c r="E3349" t="s">
        <v>34</v>
      </c>
      <c r="F3349" t="s">
        <v>442</v>
      </c>
      <c r="G3349">
        <v>-43.122999999999998</v>
      </c>
      <c r="H3349">
        <v>147.97640000000001</v>
      </c>
      <c r="I3349" t="s">
        <v>765</v>
      </c>
      <c r="J3349" s="2" t="s">
        <v>14</v>
      </c>
      <c r="K3349" t="s">
        <v>443</v>
      </c>
      <c r="L3349" t="s">
        <v>143</v>
      </c>
      <c r="M3349" t="s">
        <v>553</v>
      </c>
      <c r="N3349" t="s">
        <v>85</v>
      </c>
      <c r="O3349" s="6" t="s">
        <v>241</v>
      </c>
      <c r="P3349" t="s">
        <v>147</v>
      </c>
      <c r="Q3349">
        <v>28</v>
      </c>
      <c r="R3349" t="s">
        <v>213</v>
      </c>
      <c r="S3349" s="2" t="s">
        <v>9</v>
      </c>
      <c r="T3349">
        <v>3</v>
      </c>
      <c r="U3349" t="s">
        <v>28</v>
      </c>
      <c r="V3349" t="s">
        <v>28</v>
      </c>
      <c r="W3349">
        <v>17</v>
      </c>
      <c r="X3349">
        <v>2.4760000000000001E-2</v>
      </c>
      <c r="Y3349" s="6">
        <f t="shared" si="64"/>
        <v>1.0894599579608238E-2</v>
      </c>
      <c r="Z3349">
        <f>0.03105-X3349</f>
        <v>6.2900000000000005E-3</v>
      </c>
      <c r="AA3349" s="6"/>
      <c r="AB3349" s="6"/>
    </row>
    <row r="3350" spans="1:28" x14ac:dyDescent="0.2">
      <c r="A3350" t="s">
        <v>441</v>
      </c>
      <c r="B3350">
        <v>2019</v>
      </c>
      <c r="C3350" t="s">
        <v>816</v>
      </c>
      <c r="D3350" t="s">
        <v>820</v>
      </c>
      <c r="E3350" t="s">
        <v>34</v>
      </c>
      <c r="F3350" t="s">
        <v>442</v>
      </c>
      <c r="G3350">
        <v>-43.122999999999998</v>
      </c>
      <c r="H3350">
        <v>147.97640000000001</v>
      </c>
      <c r="I3350" t="s">
        <v>765</v>
      </c>
      <c r="J3350" s="2" t="s">
        <v>14</v>
      </c>
      <c r="K3350" t="s">
        <v>443</v>
      </c>
      <c r="L3350" t="s">
        <v>143</v>
      </c>
      <c r="M3350" t="s">
        <v>553</v>
      </c>
      <c r="N3350" t="s">
        <v>85</v>
      </c>
      <c r="O3350" s="6" t="s">
        <v>241</v>
      </c>
      <c r="P3350" t="s">
        <v>147</v>
      </c>
      <c r="Q3350">
        <v>28</v>
      </c>
      <c r="R3350" t="s">
        <v>213</v>
      </c>
      <c r="S3350" s="2" t="s">
        <v>27</v>
      </c>
      <c r="T3350">
        <v>3</v>
      </c>
      <c r="U3350" t="s">
        <v>28</v>
      </c>
      <c r="V3350" t="s">
        <v>28</v>
      </c>
      <c r="W3350">
        <v>22</v>
      </c>
      <c r="X3350">
        <v>4.4479999999999999E-2</v>
      </c>
      <c r="Y3350" s="6">
        <f t="shared" si="64"/>
        <v>5.8023702053557362E-3</v>
      </c>
      <c r="Z3350">
        <f>0.04783-X3350</f>
        <v>3.3499999999999988E-3</v>
      </c>
      <c r="AA3350" s="6"/>
      <c r="AB3350" s="6"/>
    </row>
    <row r="3351" spans="1:28" x14ac:dyDescent="0.2">
      <c r="A3351" t="s">
        <v>441</v>
      </c>
      <c r="B3351">
        <v>2019</v>
      </c>
      <c r="C3351" t="s">
        <v>816</v>
      </c>
      <c r="D3351" t="s">
        <v>820</v>
      </c>
      <c r="E3351" t="s">
        <v>34</v>
      </c>
      <c r="F3351" t="s">
        <v>442</v>
      </c>
      <c r="G3351">
        <v>-43.122999999999998</v>
      </c>
      <c r="H3351">
        <v>147.97640000000001</v>
      </c>
      <c r="I3351" t="s">
        <v>765</v>
      </c>
      <c r="J3351" s="2" t="s">
        <v>7</v>
      </c>
      <c r="K3351" t="s">
        <v>443</v>
      </c>
      <c r="L3351" t="s">
        <v>143</v>
      </c>
      <c r="M3351" t="s">
        <v>553</v>
      </c>
      <c r="N3351" t="s">
        <v>85</v>
      </c>
      <c r="O3351" s="6" t="s">
        <v>242</v>
      </c>
      <c r="P3351" t="s">
        <v>147</v>
      </c>
      <c r="Q3351">
        <v>28</v>
      </c>
      <c r="R3351" t="s">
        <v>213</v>
      </c>
      <c r="S3351" s="2" t="s">
        <v>7</v>
      </c>
      <c r="T3351">
        <v>3</v>
      </c>
      <c r="U3351" t="s">
        <v>28</v>
      </c>
      <c r="V3351" t="s">
        <v>28</v>
      </c>
      <c r="W3351">
        <v>12</v>
      </c>
      <c r="X3351">
        <v>5.3499999999999999E-2</v>
      </c>
      <c r="Y3351" s="6">
        <f t="shared" si="64"/>
        <v>1.5415252187363004E-2</v>
      </c>
      <c r="Z3351">
        <f>0.0624-X3351</f>
        <v>8.8999999999999982E-3</v>
      </c>
      <c r="AA3351" s="6"/>
      <c r="AB3351" s="6"/>
    </row>
    <row r="3352" spans="1:28" x14ac:dyDescent="0.2">
      <c r="A3352" t="s">
        <v>441</v>
      </c>
      <c r="B3352">
        <v>2019</v>
      </c>
      <c r="C3352" t="s">
        <v>816</v>
      </c>
      <c r="D3352" t="s">
        <v>820</v>
      </c>
      <c r="E3352" t="s">
        <v>34</v>
      </c>
      <c r="F3352" t="s">
        <v>442</v>
      </c>
      <c r="G3352">
        <v>-43.122999999999998</v>
      </c>
      <c r="H3352">
        <v>147.97640000000001</v>
      </c>
      <c r="I3352" t="s">
        <v>765</v>
      </c>
      <c r="J3352" s="2" t="s">
        <v>14</v>
      </c>
      <c r="K3352" t="s">
        <v>443</v>
      </c>
      <c r="L3352" t="s">
        <v>143</v>
      </c>
      <c r="M3352" t="s">
        <v>553</v>
      </c>
      <c r="N3352" t="s">
        <v>85</v>
      </c>
      <c r="O3352" s="6" t="s">
        <v>242</v>
      </c>
      <c r="P3352" t="s">
        <v>147</v>
      </c>
      <c r="Q3352">
        <v>28</v>
      </c>
      <c r="R3352" t="s">
        <v>213</v>
      </c>
      <c r="S3352" s="2" t="s">
        <v>9</v>
      </c>
      <c r="T3352">
        <v>3</v>
      </c>
      <c r="U3352" t="s">
        <v>28</v>
      </c>
      <c r="V3352" t="s">
        <v>28</v>
      </c>
      <c r="W3352">
        <v>17</v>
      </c>
      <c r="X3352">
        <v>4.7100000000000003E-2</v>
      </c>
      <c r="Y3352" s="6">
        <f t="shared" si="64"/>
        <v>1.6454482671904323E-2</v>
      </c>
      <c r="Z3352">
        <f>0.0566-X3352</f>
        <v>9.4999999999999946E-3</v>
      </c>
      <c r="AA3352" s="6"/>
      <c r="AB3352" s="6"/>
    </row>
    <row r="3353" spans="1:28" x14ac:dyDescent="0.2">
      <c r="A3353" t="s">
        <v>441</v>
      </c>
      <c r="B3353">
        <v>2019</v>
      </c>
      <c r="C3353" t="s">
        <v>816</v>
      </c>
      <c r="D3353" t="s">
        <v>820</v>
      </c>
      <c r="E3353" t="s">
        <v>34</v>
      </c>
      <c r="F3353" t="s">
        <v>442</v>
      </c>
      <c r="G3353">
        <v>-43.122999999999998</v>
      </c>
      <c r="H3353">
        <v>147.97640000000001</v>
      </c>
      <c r="I3353" t="s">
        <v>765</v>
      </c>
      <c r="J3353" s="2" t="s">
        <v>14</v>
      </c>
      <c r="K3353" t="s">
        <v>443</v>
      </c>
      <c r="L3353" t="s">
        <v>143</v>
      </c>
      <c r="M3353" t="s">
        <v>553</v>
      </c>
      <c r="N3353" t="s">
        <v>85</v>
      </c>
      <c r="O3353" s="6" t="s">
        <v>242</v>
      </c>
      <c r="P3353" t="s">
        <v>147</v>
      </c>
      <c r="Q3353">
        <v>28</v>
      </c>
      <c r="R3353" t="s">
        <v>213</v>
      </c>
      <c r="S3353" s="2" t="s">
        <v>27</v>
      </c>
      <c r="T3353">
        <v>3</v>
      </c>
      <c r="U3353" t="s">
        <v>28</v>
      </c>
      <c r="V3353" t="s">
        <v>28</v>
      </c>
      <c r="W3353">
        <v>22</v>
      </c>
      <c r="X3353">
        <v>8.7999999999999995E-2</v>
      </c>
      <c r="Y3353" s="6">
        <f t="shared" si="64"/>
        <v>2.4075506225207408E-2</v>
      </c>
      <c r="Z3353">
        <f>0.1019-X3353</f>
        <v>1.390000000000001E-2</v>
      </c>
      <c r="AA3353" s="6"/>
      <c r="AB3353" s="6"/>
    </row>
    <row r="3354" spans="1:28" x14ac:dyDescent="0.2">
      <c r="A3354" t="s">
        <v>441</v>
      </c>
      <c r="B3354">
        <v>2019</v>
      </c>
      <c r="C3354" t="s">
        <v>816</v>
      </c>
      <c r="D3354" t="s">
        <v>820</v>
      </c>
      <c r="E3354" t="s">
        <v>34</v>
      </c>
      <c r="F3354" t="s">
        <v>442</v>
      </c>
      <c r="G3354">
        <v>-43.122999999999998</v>
      </c>
      <c r="H3354">
        <v>147.97640000000001</v>
      </c>
      <c r="I3354" t="s">
        <v>765</v>
      </c>
      <c r="J3354" s="2" t="s">
        <v>7</v>
      </c>
      <c r="K3354" t="s">
        <v>443</v>
      </c>
      <c r="L3354" t="s">
        <v>143</v>
      </c>
      <c r="M3354" t="s">
        <v>638</v>
      </c>
      <c r="N3354" t="s">
        <v>85</v>
      </c>
      <c r="O3354" s="6" t="s">
        <v>107</v>
      </c>
      <c r="P3354" t="s">
        <v>429</v>
      </c>
      <c r="Q3354">
        <v>28</v>
      </c>
      <c r="R3354" t="s">
        <v>213</v>
      </c>
      <c r="S3354" s="2" t="s">
        <v>7</v>
      </c>
      <c r="T3354">
        <v>3</v>
      </c>
      <c r="U3354" t="s">
        <v>28</v>
      </c>
      <c r="V3354" t="s">
        <v>28</v>
      </c>
      <c r="W3354">
        <v>12</v>
      </c>
      <c r="X3354">
        <v>3.774</v>
      </c>
      <c r="Y3354" s="6">
        <f t="shared" si="64"/>
        <v>0.53693575034635121</v>
      </c>
      <c r="Z3354">
        <f>4.084-X3354</f>
        <v>0.30999999999999961</v>
      </c>
      <c r="AA3354" s="6"/>
      <c r="AB3354" s="6"/>
    </row>
    <row r="3355" spans="1:28" x14ac:dyDescent="0.2">
      <c r="A3355" t="s">
        <v>441</v>
      </c>
      <c r="B3355">
        <v>2019</v>
      </c>
      <c r="C3355" t="s">
        <v>816</v>
      </c>
      <c r="D3355" t="s">
        <v>820</v>
      </c>
      <c r="E3355" t="s">
        <v>34</v>
      </c>
      <c r="F3355" t="s">
        <v>442</v>
      </c>
      <c r="G3355">
        <v>-43.122999999999998</v>
      </c>
      <c r="H3355">
        <v>147.97640000000001</v>
      </c>
      <c r="I3355" t="s">
        <v>765</v>
      </c>
      <c r="J3355" s="2" t="s">
        <v>14</v>
      </c>
      <c r="K3355" t="s">
        <v>443</v>
      </c>
      <c r="L3355" t="s">
        <v>143</v>
      </c>
      <c r="M3355" t="s">
        <v>638</v>
      </c>
      <c r="N3355" t="s">
        <v>85</v>
      </c>
      <c r="O3355" s="6" t="s">
        <v>107</v>
      </c>
      <c r="P3355" t="s">
        <v>429</v>
      </c>
      <c r="Q3355">
        <v>28</v>
      </c>
      <c r="R3355" t="s">
        <v>213</v>
      </c>
      <c r="S3355" s="2" t="s">
        <v>9</v>
      </c>
      <c r="T3355">
        <v>3</v>
      </c>
      <c r="U3355" t="s">
        <v>28</v>
      </c>
      <c r="V3355" t="s">
        <v>28</v>
      </c>
      <c r="W3355">
        <v>17</v>
      </c>
      <c r="X3355">
        <v>3.2869999999999999</v>
      </c>
      <c r="Y3355" s="6">
        <f t="shared" si="64"/>
        <v>0.23036275740666068</v>
      </c>
      <c r="Z3355">
        <f>3.42-X3355</f>
        <v>0.13300000000000001</v>
      </c>
      <c r="AA3355" s="6"/>
      <c r="AB3355" s="6"/>
    </row>
    <row r="3356" spans="1:28" x14ac:dyDescent="0.2">
      <c r="A3356" t="s">
        <v>441</v>
      </c>
      <c r="B3356">
        <v>2019</v>
      </c>
      <c r="C3356" t="s">
        <v>816</v>
      </c>
      <c r="D3356" t="s">
        <v>820</v>
      </c>
      <c r="E3356" t="s">
        <v>34</v>
      </c>
      <c r="F3356" t="s">
        <v>442</v>
      </c>
      <c r="G3356">
        <v>-43.122999999999998</v>
      </c>
      <c r="H3356">
        <v>147.97640000000001</v>
      </c>
      <c r="I3356" t="s">
        <v>765</v>
      </c>
      <c r="J3356" s="2" t="s">
        <v>14</v>
      </c>
      <c r="K3356" t="s">
        <v>443</v>
      </c>
      <c r="L3356" t="s">
        <v>143</v>
      </c>
      <c r="M3356" t="s">
        <v>638</v>
      </c>
      <c r="N3356" t="s">
        <v>85</v>
      </c>
      <c r="O3356" s="6" t="s">
        <v>107</v>
      </c>
      <c r="P3356" t="s">
        <v>429</v>
      </c>
      <c r="Q3356">
        <v>28</v>
      </c>
      <c r="R3356" t="s">
        <v>213</v>
      </c>
      <c r="S3356" s="2" t="s">
        <v>27</v>
      </c>
      <c r="T3356">
        <v>3</v>
      </c>
      <c r="U3356" t="s">
        <v>28</v>
      </c>
      <c r="V3356" t="s">
        <v>28</v>
      </c>
      <c r="W3356">
        <v>22</v>
      </c>
      <c r="X3356">
        <v>2.9630000000000001</v>
      </c>
      <c r="Y3356" s="6">
        <f t="shared" si="64"/>
        <v>2.5980762113533375E-2</v>
      </c>
      <c r="Z3356">
        <f>2.978-X3356</f>
        <v>1.5000000000000124E-2</v>
      </c>
      <c r="AA3356" s="6"/>
      <c r="AB3356" s="6"/>
    </row>
    <row r="3357" spans="1:28" x14ac:dyDescent="0.2">
      <c r="A3357" t="s">
        <v>441</v>
      </c>
      <c r="B3357">
        <v>2019</v>
      </c>
      <c r="C3357" t="s">
        <v>816</v>
      </c>
      <c r="D3357" t="s">
        <v>820</v>
      </c>
      <c r="E3357" t="s">
        <v>34</v>
      </c>
      <c r="F3357" t="s">
        <v>442</v>
      </c>
      <c r="G3357">
        <v>-43.122999999999998</v>
      </c>
      <c r="H3357">
        <v>147.97640000000001</v>
      </c>
      <c r="I3357" t="s">
        <v>765</v>
      </c>
      <c r="J3357" s="2" t="s">
        <v>7</v>
      </c>
      <c r="K3357" t="s">
        <v>443</v>
      </c>
      <c r="L3357" t="s">
        <v>143</v>
      </c>
      <c r="M3357" t="s">
        <v>638</v>
      </c>
      <c r="N3357" t="s">
        <v>85</v>
      </c>
      <c r="O3357" s="6" t="s">
        <v>221</v>
      </c>
      <c r="P3357" t="s">
        <v>429</v>
      </c>
      <c r="Q3357">
        <v>28</v>
      </c>
      <c r="R3357" t="s">
        <v>213</v>
      </c>
      <c r="S3357" s="2" t="s">
        <v>7</v>
      </c>
      <c r="T3357">
        <v>3</v>
      </c>
      <c r="U3357" t="s">
        <v>28</v>
      </c>
      <c r="V3357" t="s">
        <v>28</v>
      </c>
      <c r="W3357">
        <v>12</v>
      </c>
      <c r="X3357">
        <v>30.37</v>
      </c>
      <c r="Y3357" s="6">
        <f t="shared" si="64"/>
        <v>1.8706148721743845</v>
      </c>
      <c r="Z3357">
        <f>31.45-X3357</f>
        <v>1.0799999999999983</v>
      </c>
      <c r="AA3357" s="6"/>
      <c r="AB3357" s="6"/>
    </row>
    <row r="3358" spans="1:28" x14ac:dyDescent="0.2">
      <c r="A3358" t="s">
        <v>441</v>
      </c>
      <c r="B3358">
        <v>2019</v>
      </c>
      <c r="C3358" t="s">
        <v>816</v>
      </c>
      <c r="D3358" t="s">
        <v>820</v>
      </c>
      <c r="E3358" t="s">
        <v>34</v>
      </c>
      <c r="F3358" t="s">
        <v>442</v>
      </c>
      <c r="G3358">
        <v>-43.122999999999998</v>
      </c>
      <c r="H3358">
        <v>147.97640000000001</v>
      </c>
      <c r="I3358" t="s">
        <v>765</v>
      </c>
      <c r="J3358" s="2" t="s">
        <v>14</v>
      </c>
      <c r="K3358" t="s">
        <v>443</v>
      </c>
      <c r="L3358" t="s">
        <v>143</v>
      </c>
      <c r="M3358" t="s">
        <v>638</v>
      </c>
      <c r="N3358" t="s">
        <v>85</v>
      </c>
      <c r="O3358" s="6" t="s">
        <v>221</v>
      </c>
      <c r="P3358" t="s">
        <v>429</v>
      </c>
      <c r="Q3358">
        <v>28</v>
      </c>
      <c r="R3358" t="s">
        <v>213</v>
      </c>
      <c r="S3358" s="2" t="s">
        <v>9</v>
      </c>
      <c r="T3358">
        <v>3</v>
      </c>
      <c r="U3358" t="s">
        <v>28</v>
      </c>
      <c r="V3358" t="s">
        <v>28</v>
      </c>
      <c r="W3358">
        <v>17</v>
      </c>
      <c r="X3358">
        <v>29.19</v>
      </c>
      <c r="Y3358" s="6">
        <f t="shared" si="64"/>
        <v>1.3683201379794114</v>
      </c>
      <c r="Z3358">
        <f>29.98-X3358</f>
        <v>0.78999999999999915</v>
      </c>
      <c r="AA3358" s="6"/>
      <c r="AB3358" s="6"/>
    </row>
    <row r="3359" spans="1:28" x14ac:dyDescent="0.2">
      <c r="A3359" t="s">
        <v>441</v>
      </c>
      <c r="B3359">
        <v>2019</v>
      </c>
      <c r="C3359" t="s">
        <v>816</v>
      </c>
      <c r="D3359" t="s">
        <v>820</v>
      </c>
      <c r="E3359" t="s">
        <v>34</v>
      </c>
      <c r="F3359" t="s">
        <v>442</v>
      </c>
      <c r="G3359">
        <v>-43.122999999999998</v>
      </c>
      <c r="H3359">
        <v>147.97640000000001</v>
      </c>
      <c r="I3359" t="s">
        <v>765</v>
      </c>
      <c r="J3359" s="2" t="s">
        <v>14</v>
      </c>
      <c r="K3359" t="s">
        <v>443</v>
      </c>
      <c r="L3359" t="s">
        <v>143</v>
      </c>
      <c r="M3359" t="s">
        <v>638</v>
      </c>
      <c r="N3359" t="s">
        <v>85</v>
      </c>
      <c r="O3359" s="6" t="s">
        <v>221</v>
      </c>
      <c r="P3359" t="s">
        <v>429</v>
      </c>
      <c r="Q3359">
        <v>28</v>
      </c>
      <c r="R3359" t="s">
        <v>213</v>
      </c>
      <c r="S3359" s="2" t="s">
        <v>27</v>
      </c>
      <c r="T3359">
        <v>3</v>
      </c>
      <c r="U3359" t="s">
        <v>28</v>
      </c>
      <c r="V3359" t="s">
        <v>28</v>
      </c>
      <c r="W3359">
        <v>22</v>
      </c>
      <c r="X3359">
        <v>28.21</v>
      </c>
      <c r="Y3359" s="6">
        <f t="shared" si="64"/>
        <v>2.5461146871262477</v>
      </c>
      <c r="Z3359">
        <f>29.68-X3359</f>
        <v>1.4699999999999989</v>
      </c>
      <c r="AA3359" s="6"/>
      <c r="AB3359" s="6"/>
    </row>
    <row r="3360" spans="1:28" x14ac:dyDescent="0.2">
      <c r="A3360" t="s">
        <v>441</v>
      </c>
      <c r="B3360">
        <v>2019</v>
      </c>
      <c r="C3360" t="s">
        <v>816</v>
      </c>
      <c r="D3360" t="s">
        <v>820</v>
      </c>
      <c r="E3360" t="s">
        <v>34</v>
      </c>
      <c r="F3360" t="s">
        <v>442</v>
      </c>
      <c r="G3360">
        <v>-43.122999999999998</v>
      </c>
      <c r="H3360">
        <v>147.97640000000001</v>
      </c>
      <c r="I3360" t="s">
        <v>765</v>
      </c>
      <c r="J3360" s="2" t="s">
        <v>7</v>
      </c>
      <c r="K3360" t="s">
        <v>443</v>
      </c>
      <c r="L3360" t="s">
        <v>143</v>
      </c>
      <c r="M3360" t="s">
        <v>638</v>
      </c>
      <c r="N3360" t="s">
        <v>86</v>
      </c>
      <c r="O3360" s="6" t="s">
        <v>272</v>
      </c>
      <c r="Q3360">
        <v>28</v>
      </c>
      <c r="R3360" t="s">
        <v>213</v>
      </c>
      <c r="S3360" s="2" t="s">
        <v>7</v>
      </c>
      <c r="T3360">
        <v>3</v>
      </c>
      <c r="U3360" t="s">
        <v>28</v>
      </c>
      <c r="V3360" t="s">
        <v>28</v>
      </c>
      <c r="W3360">
        <v>12</v>
      </c>
      <c r="X3360">
        <v>8.14</v>
      </c>
      <c r="Y3360" s="6">
        <f t="shared" si="64"/>
        <v>1.0911920087683908</v>
      </c>
      <c r="Z3360">
        <f>8.77-X3360</f>
        <v>0.62999999999999901</v>
      </c>
      <c r="AA3360" s="6"/>
      <c r="AB3360" s="6"/>
    </row>
    <row r="3361" spans="1:28" x14ac:dyDescent="0.2">
      <c r="A3361" t="s">
        <v>441</v>
      </c>
      <c r="B3361">
        <v>2019</v>
      </c>
      <c r="C3361" t="s">
        <v>816</v>
      </c>
      <c r="D3361" t="s">
        <v>820</v>
      </c>
      <c r="E3361" t="s">
        <v>34</v>
      </c>
      <c r="F3361" t="s">
        <v>442</v>
      </c>
      <c r="G3361">
        <v>-43.122999999999998</v>
      </c>
      <c r="H3361">
        <v>147.97640000000001</v>
      </c>
      <c r="I3361" t="s">
        <v>765</v>
      </c>
      <c r="J3361" s="2" t="s">
        <v>14</v>
      </c>
      <c r="K3361" t="s">
        <v>443</v>
      </c>
      <c r="L3361" t="s">
        <v>143</v>
      </c>
      <c r="M3361" t="s">
        <v>638</v>
      </c>
      <c r="N3361" t="s">
        <v>86</v>
      </c>
      <c r="O3361" s="6" t="s">
        <v>272</v>
      </c>
      <c r="Q3361">
        <v>28</v>
      </c>
      <c r="R3361" t="s">
        <v>213</v>
      </c>
      <c r="S3361" s="2" t="s">
        <v>9</v>
      </c>
      <c r="T3361">
        <v>3</v>
      </c>
      <c r="U3361" t="s">
        <v>28</v>
      </c>
      <c r="V3361" t="s">
        <v>28</v>
      </c>
      <c r="W3361">
        <v>17</v>
      </c>
      <c r="X3361">
        <v>8.92</v>
      </c>
      <c r="Y3361" s="6">
        <f t="shared" si="64"/>
        <v>0.25980762113533218</v>
      </c>
      <c r="Z3361">
        <f>9.07-X3361</f>
        <v>0.15000000000000036</v>
      </c>
      <c r="AA3361" s="6"/>
      <c r="AB3361" s="6"/>
    </row>
    <row r="3362" spans="1:28" x14ac:dyDescent="0.2">
      <c r="A3362" t="s">
        <v>441</v>
      </c>
      <c r="B3362">
        <v>2019</v>
      </c>
      <c r="C3362" t="s">
        <v>816</v>
      </c>
      <c r="D3362" t="s">
        <v>820</v>
      </c>
      <c r="E3362" t="s">
        <v>34</v>
      </c>
      <c r="F3362" t="s">
        <v>442</v>
      </c>
      <c r="G3362">
        <v>-43.122999999999998</v>
      </c>
      <c r="H3362">
        <v>147.97640000000001</v>
      </c>
      <c r="I3362" t="s">
        <v>765</v>
      </c>
      <c r="J3362" s="2" t="s">
        <v>14</v>
      </c>
      <c r="K3362" t="s">
        <v>443</v>
      </c>
      <c r="L3362" t="s">
        <v>143</v>
      </c>
      <c r="M3362" t="s">
        <v>638</v>
      </c>
      <c r="N3362" t="s">
        <v>86</v>
      </c>
      <c r="O3362" s="6" t="s">
        <v>272</v>
      </c>
      <c r="Q3362">
        <v>28</v>
      </c>
      <c r="R3362" t="s">
        <v>213</v>
      </c>
      <c r="S3362" s="2" t="s">
        <v>27</v>
      </c>
      <c r="T3362">
        <v>3</v>
      </c>
      <c r="U3362" t="s">
        <v>28</v>
      </c>
      <c r="V3362" t="s">
        <v>28</v>
      </c>
      <c r="W3362">
        <v>22</v>
      </c>
      <c r="X3362">
        <v>9.4600000000000009</v>
      </c>
      <c r="Y3362" s="6">
        <f t="shared" si="64"/>
        <v>1.0219099764656372</v>
      </c>
      <c r="Z3362">
        <f>10.05-X3362</f>
        <v>0.58999999999999986</v>
      </c>
      <c r="AA3362" s="6"/>
      <c r="AB3362" s="6"/>
    </row>
    <row r="3363" spans="1:28" x14ac:dyDescent="0.2">
      <c r="A3363" t="s">
        <v>441</v>
      </c>
      <c r="B3363">
        <v>2019</v>
      </c>
      <c r="C3363" t="s">
        <v>816</v>
      </c>
      <c r="D3363" t="s">
        <v>820</v>
      </c>
      <c r="E3363" t="s">
        <v>34</v>
      </c>
      <c r="F3363" t="s">
        <v>442</v>
      </c>
      <c r="G3363">
        <v>-43.122999999999998</v>
      </c>
      <c r="H3363">
        <v>147.97640000000001</v>
      </c>
      <c r="I3363" t="s">
        <v>765</v>
      </c>
      <c r="J3363" s="2" t="s">
        <v>7</v>
      </c>
      <c r="K3363" t="s">
        <v>443</v>
      </c>
      <c r="L3363" t="s">
        <v>143</v>
      </c>
      <c r="M3363" t="s">
        <v>638</v>
      </c>
      <c r="N3363" t="s">
        <v>85</v>
      </c>
      <c r="O3363" s="6" t="s">
        <v>444</v>
      </c>
      <c r="Q3363">
        <v>28</v>
      </c>
      <c r="R3363" t="s">
        <v>213</v>
      </c>
      <c r="S3363" s="2" t="s">
        <v>7</v>
      </c>
      <c r="T3363">
        <v>3</v>
      </c>
      <c r="U3363" t="s">
        <v>28</v>
      </c>
      <c r="V3363" t="s">
        <v>28</v>
      </c>
      <c r="W3363">
        <v>12</v>
      </c>
      <c r="X3363">
        <v>0.12</v>
      </c>
      <c r="Y3363" s="6">
        <f t="shared" si="64"/>
        <v>2.5807557032776276</v>
      </c>
      <c r="Z3363">
        <f>1.61-X3363</f>
        <v>1.4900000000000002</v>
      </c>
      <c r="AA3363" s="6"/>
      <c r="AB3363" s="6"/>
    </row>
    <row r="3364" spans="1:28" x14ac:dyDescent="0.2">
      <c r="A3364" t="s">
        <v>441</v>
      </c>
      <c r="B3364">
        <v>2019</v>
      </c>
      <c r="C3364" t="s">
        <v>816</v>
      </c>
      <c r="D3364" t="s">
        <v>820</v>
      </c>
      <c r="E3364" t="s">
        <v>34</v>
      </c>
      <c r="F3364" t="s">
        <v>442</v>
      </c>
      <c r="G3364">
        <v>-43.122999999999998</v>
      </c>
      <c r="H3364">
        <v>147.97640000000001</v>
      </c>
      <c r="I3364" t="s">
        <v>765</v>
      </c>
      <c r="J3364" s="2" t="s">
        <v>14</v>
      </c>
      <c r="K3364" t="s">
        <v>443</v>
      </c>
      <c r="L3364" t="s">
        <v>143</v>
      </c>
      <c r="M3364" t="s">
        <v>638</v>
      </c>
      <c r="N3364" t="s">
        <v>85</v>
      </c>
      <c r="O3364" s="6" t="s">
        <v>444</v>
      </c>
      <c r="Q3364">
        <v>28</v>
      </c>
      <c r="R3364" t="s">
        <v>213</v>
      </c>
      <c r="S3364" s="2" t="s">
        <v>9</v>
      </c>
      <c r="T3364">
        <v>3</v>
      </c>
      <c r="U3364" t="s">
        <v>28</v>
      </c>
      <c r="V3364" t="s">
        <v>28</v>
      </c>
      <c r="W3364">
        <v>17</v>
      </c>
      <c r="X3364">
        <v>-1.5</v>
      </c>
      <c r="Y3364" s="6">
        <f t="shared" si="64"/>
        <v>3.7412297443487752</v>
      </c>
      <c r="Z3364">
        <f>ABS(-3.66-X3364)</f>
        <v>2.16</v>
      </c>
      <c r="AA3364" s="6"/>
      <c r="AB3364" s="6"/>
    </row>
    <row r="3365" spans="1:28" x14ac:dyDescent="0.2">
      <c r="A3365" t="s">
        <v>441</v>
      </c>
      <c r="B3365">
        <v>2019</v>
      </c>
      <c r="C3365" t="s">
        <v>816</v>
      </c>
      <c r="D3365" t="s">
        <v>820</v>
      </c>
      <c r="E3365" t="s">
        <v>34</v>
      </c>
      <c r="F3365" t="s">
        <v>442</v>
      </c>
      <c r="G3365">
        <v>-43.122999999999998</v>
      </c>
      <c r="H3365">
        <v>147.97640000000001</v>
      </c>
      <c r="I3365" t="s">
        <v>765</v>
      </c>
      <c r="J3365" s="2" t="s">
        <v>14</v>
      </c>
      <c r="K3365" t="s">
        <v>443</v>
      </c>
      <c r="L3365" t="s">
        <v>143</v>
      </c>
      <c r="M3365" t="s">
        <v>638</v>
      </c>
      <c r="N3365" t="s">
        <v>85</v>
      </c>
      <c r="O3365" s="6" t="s">
        <v>444</v>
      </c>
      <c r="Q3365">
        <v>28</v>
      </c>
      <c r="R3365" t="s">
        <v>213</v>
      </c>
      <c r="S3365" s="2" t="s">
        <v>27</v>
      </c>
      <c r="T3365">
        <v>3</v>
      </c>
      <c r="U3365" t="s">
        <v>28</v>
      </c>
      <c r="V3365" t="s">
        <v>28</v>
      </c>
      <c r="W3365">
        <v>22</v>
      </c>
      <c r="X3365">
        <v>1.93</v>
      </c>
      <c r="Y3365" s="6">
        <f t="shared" si="64"/>
        <v>1.229756073373903</v>
      </c>
      <c r="Z3365">
        <f>2.64-X3365</f>
        <v>0.71000000000000019</v>
      </c>
      <c r="AA3365" s="6"/>
      <c r="AB3365" s="6"/>
    </row>
    <row r="3366" spans="1:28" x14ac:dyDescent="0.2">
      <c r="A3366" t="s">
        <v>441</v>
      </c>
      <c r="B3366">
        <v>2019</v>
      </c>
      <c r="C3366" t="s">
        <v>816</v>
      </c>
      <c r="D3366" t="s">
        <v>820</v>
      </c>
      <c r="E3366" t="s">
        <v>34</v>
      </c>
      <c r="F3366" t="s">
        <v>442</v>
      </c>
      <c r="G3366">
        <v>-43.122999999999998</v>
      </c>
      <c r="H3366">
        <v>147.97640000000001</v>
      </c>
      <c r="I3366" t="s">
        <v>765</v>
      </c>
      <c r="J3366" s="2" t="s">
        <v>7</v>
      </c>
      <c r="K3366" t="s">
        <v>443</v>
      </c>
      <c r="L3366" t="s">
        <v>143</v>
      </c>
      <c r="M3366" t="s">
        <v>638</v>
      </c>
      <c r="N3366" t="s">
        <v>86</v>
      </c>
      <c r="O3366" s="6" t="s">
        <v>273</v>
      </c>
      <c r="Q3366">
        <v>28</v>
      </c>
      <c r="R3366" t="s">
        <v>213</v>
      </c>
      <c r="S3366" s="2" t="s">
        <v>7</v>
      </c>
      <c r="T3366">
        <v>3</v>
      </c>
      <c r="U3366" t="s">
        <v>28</v>
      </c>
      <c r="V3366" t="s">
        <v>28</v>
      </c>
      <c r="W3366">
        <v>12</v>
      </c>
      <c r="X3366">
        <v>-25.63</v>
      </c>
      <c r="Y3366" s="6">
        <f t="shared" si="64"/>
        <v>1.177794549146836</v>
      </c>
      <c r="Z3366">
        <f>ABS(-26.31-X3366)</f>
        <v>0.67999999999999972</v>
      </c>
      <c r="AA3366" s="6"/>
      <c r="AB3366" s="6"/>
    </row>
    <row r="3367" spans="1:28" x14ac:dyDescent="0.2">
      <c r="A3367" t="s">
        <v>441</v>
      </c>
      <c r="B3367">
        <v>2019</v>
      </c>
      <c r="C3367" t="s">
        <v>816</v>
      </c>
      <c r="D3367" t="s">
        <v>820</v>
      </c>
      <c r="E3367" t="s">
        <v>34</v>
      </c>
      <c r="F3367" t="s">
        <v>442</v>
      </c>
      <c r="G3367">
        <v>-43.122999999999998</v>
      </c>
      <c r="H3367">
        <v>147.97640000000001</v>
      </c>
      <c r="I3367" t="s">
        <v>765</v>
      </c>
      <c r="J3367" s="2" t="s">
        <v>14</v>
      </c>
      <c r="K3367" t="s">
        <v>443</v>
      </c>
      <c r="L3367" t="s">
        <v>143</v>
      </c>
      <c r="M3367" t="s">
        <v>638</v>
      </c>
      <c r="N3367" t="s">
        <v>86</v>
      </c>
      <c r="O3367" s="6" t="s">
        <v>273</v>
      </c>
      <c r="Q3367">
        <v>28</v>
      </c>
      <c r="R3367" t="s">
        <v>213</v>
      </c>
      <c r="S3367" s="2" t="s">
        <v>9</v>
      </c>
      <c r="T3367">
        <v>3</v>
      </c>
      <c r="U3367" t="s">
        <v>28</v>
      </c>
      <c r="V3367" t="s">
        <v>28</v>
      </c>
      <c r="W3367">
        <v>17</v>
      </c>
      <c r="X3367">
        <v>-26.31</v>
      </c>
      <c r="Y3367" s="6">
        <f t="shared" si="64"/>
        <v>1.177794549146836</v>
      </c>
      <c r="Z3367">
        <f>ABS(-26.99-X3367)</f>
        <v>0.67999999999999972</v>
      </c>
      <c r="AA3367" s="6"/>
      <c r="AB3367" s="6"/>
    </row>
    <row r="3368" spans="1:28" x14ac:dyDescent="0.2">
      <c r="A3368" t="s">
        <v>441</v>
      </c>
      <c r="B3368">
        <v>2019</v>
      </c>
      <c r="C3368" t="s">
        <v>816</v>
      </c>
      <c r="D3368" t="s">
        <v>820</v>
      </c>
      <c r="E3368" t="s">
        <v>34</v>
      </c>
      <c r="F3368" t="s">
        <v>442</v>
      </c>
      <c r="G3368">
        <v>-43.122999999999998</v>
      </c>
      <c r="H3368">
        <v>147.97640000000001</v>
      </c>
      <c r="I3368" t="s">
        <v>765</v>
      </c>
      <c r="J3368" s="2" t="s">
        <v>14</v>
      </c>
      <c r="K3368" t="s">
        <v>443</v>
      </c>
      <c r="L3368" t="s">
        <v>143</v>
      </c>
      <c r="M3368" t="s">
        <v>638</v>
      </c>
      <c r="N3368" t="s">
        <v>86</v>
      </c>
      <c r="O3368" s="6" t="s">
        <v>273</v>
      </c>
      <c r="Q3368">
        <v>28</v>
      </c>
      <c r="R3368" t="s">
        <v>213</v>
      </c>
      <c r="S3368" s="2" t="s">
        <v>27</v>
      </c>
      <c r="T3368">
        <v>3</v>
      </c>
      <c r="U3368" t="s">
        <v>28</v>
      </c>
      <c r="V3368" t="s">
        <v>28</v>
      </c>
      <c r="W3368">
        <v>22</v>
      </c>
      <c r="X3368">
        <v>-26.31</v>
      </c>
      <c r="Y3368" s="6">
        <f t="shared" si="64"/>
        <v>1.5068842025849249</v>
      </c>
      <c r="Z3368">
        <f>ABS(-27.18-X3368)</f>
        <v>0.87000000000000099</v>
      </c>
      <c r="AA3368" s="6"/>
      <c r="AB3368" s="6"/>
    </row>
    <row r="3369" spans="1:28" x14ac:dyDescent="0.2">
      <c r="A3369" t="s">
        <v>441</v>
      </c>
      <c r="B3369">
        <v>2019</v>
      </c>
      <c r="C3369" t="s">
        <v>816</v>
      </c>
      <c r="D3369" t="s">
        <v>820</v>
      </c>
      <c r="E3369" t="s">
        <v>34</v>
      </c>
      <c r="F3369" t="s">
        <v>442</v>
      </c>
      <c r="G3369">
        <v>-43.122999999999998</v>
      </c>
      <c r="H3369">
        <v>147.97640000000001</v>
      </c>
      <c r="I3369" t="s">
        <v>765</v>
      </c>
      <c r="J3369" s="2" t="s">
        <v>7</v>
      </c>
      <c r="K3369" t="s">
        <v>443</v>
      </c>
      <c r="L3369" t="s">
        <v>143</v>
      </c>
      <c r="M3369" t="s">
        <v>638</v>
      </c>
      <c r="N3369" t="s">
        <v>85</v>
      </c>
      <c r="O3369" s="6" t="s">
        <v>445</v>
      </c>
      <c r="P3369" t="s">
        <v>67</v>
      </c>
      <c r="Q3369">
        <v>28</v>
      </c>
      <c r="R3369" t="s">
        <v>213</v>
      </c>
      <c r="S3369" s="2" t="s">
        <v>7</v>
      </c>
      <c r="T3369">
        <v>3</v>
      </c>
      <c r="U3369" t="s">
        <v>28</v>
      </c>
      <c r="V3369" t="s">
        <v>28</v>
      </c>
      <c r="W3369">
        <v>12</v>
      </c>
      <c r="X3369">
        <v>65.25</v>
      </c>
      <c r="Y3369" s="6">
        <f t="shared" si="64"/>
        <v>42.989501043859519</v>
      </c>
      <c r="Z3369">
        <f>90.07-X3369</f>
        <v>24.819999999999993</v>
      </c>
      <c r="AA3369" s="6"/>
      <c r="AB3369" s="6"/>
    </row>
    <row r="3370" spans="1:28" x14ac:dyDescent="0.2">
      <c r="A3370" t="s">
        <v>441</v>
      </c>
      <c r="B3370">
        <v>2019</v>
      </c>
      <c r="C3370" t="s">
        <v>816</v>
      </c>
      <c r="D3370" t="s">
        <v>820</v>
      </c>
      <c r="E3370" t="s">
        <v>34</v>
      </c>
      <c r="F3370" t="s">
        <v>442</v>
      </c>
      <c r="G3370">
        <v>-43.122999999999998</v>
      </c>
      <c r="H3370">
        <v>147.97640000000001</v>
      </c>
      <c r="I3370" t="s">
        <v>765</v>
      </c>
      <c r="J3370" s="2" t="s">
        <v>14</v>
      </c>
      <c r="K3370" t="s">
        <v>443</v>
      </c>
      <c r="L3370" t="s">
        <v>143</v>
      </c>
      <c r="M3370" t="s">
        <v>638</v>
      </c>
      <c r="N3370" t="s">
        <v>85</v>
      </c>
      <c r="O3370" s="6" t="s">
        <v>445</v>
      </c>
      <c r="P3370" t="s">
        <v>67</v>
      </c>
      <c r="Q3370">
        <v>28</v>
      </c>
      <c r="R3370" t="s">
        <v>213</v>
      </c>
      <c r="S3370" s="2" t="s">
        <v>9</v>
      </c>
      <c r="T3370">
        <v>3</v>
      </c>
      <c r="U3370" t="s">
        <v>28</v>
      </c>
      <c r="V3370" t="s">
        <v>28</v>
      </c>
      <c r="W3370">
        <v>17</v>
      </c>
      <c r="X3370">
        <v>77.3</v>
      </c>
      <c r="Y3370" s="6">
        <f t="shared" si="64"/>
        <v>57.746573924346372</v>
      </c>
      <c r="Z3370">
        <f>110.64-X3370</f>
        <v>33.340000000000003</v>
      </c>
      <c r="AA3370" s="6"/>
      <c r="AB3370" s="6"/>
    </row>
    <row r="3371" spans="1:28" x14ac:dyDescent="0.2">
      <c r="A3371" t="s">
        <v>441</v>
      </c>
      <c r="B3371">
        <v>2019</v>
      </c>
      <c r="C3371" t="s">
        <v>816</v>
      </c>
      <c r="D3371" t="s">
        <v>820</v>
      </c>
      <c r="E3371" t="s">
        <v>34</v>
      </c>
      <c r="F3371" t="s">
        <v>442</v>
      </c>
      <c r="G3371">
        <v>-43.122999999999998</v>
      </c>
      <c r="H3371">
        <v>147.97640000000001</v>
      </c>
      <c r="I3371" t="s">
        <v>765</v>
      </c>
      <c r="J3371" s="2" t="s">
        <v>14</v>
      </c>
      <c r="K3371" t="s">
        <v>443</v>
      </c>
      <c r="L3371" t="s">
        <v>143</v>
      </c>
      <c r="M3371" t="s">
        <v>638</v>
      </c>
      <c r="N3371" t="s">
        <v>85</v>
      </c>
      <c r="O3371" s="6" t="s">
        <v>445</v>
      </c>
      <c r="P3371" t="s">
        <v>67</v>
      </c>
      <c r="Q3371">
        <v>28</v>
      </c>
      <c r="R3371" t="s">
        <v>213</v>
      </c>
      <c r="S3371" s="2" t="s">
        <v>27</v>
      </c>
      <c r="T3371">
        <v>3</v>
      </c>
      <c r="U3371" t="s">
        <v>28</v>
      </c>
      <c r="V3371" t="s">
        <v>28</v>
      </c>
      <c r="W3371">
        <v>22</v>
      </c>
      <c r="X3371">
        <v>106.38</v>
      </c>
      <c r="Y3371" s="6">
        <f t="shared" si="64"/>
        <v>55.287061777598588</v>
      </c>
      <c r="Z3371">
        <f>138.3-X3371</f>
        <v>31.920000000000016</v>
      </c>
      <c r="AA3371" s="6"/>
      <c r="AB3371" s="6"/>
    </row>
    <row r="3372" spans="1:28" x14ac:dyDescent="0.2">
      <c r="A3372" t="s">
        <v>441</v>
      </c>
      <c r="B3372">
        <v>2019</v>
      </c>
      <c r="C3372" t="s">
        <v>816</v>
      </c>
      <c r="D3372" t="s">
        <v>820</v>
      </c>
      <c r="E3372" t="s">
        <v>34</v>
      </c>
      <c r="F3372" t="s">
        <v>442</v>
      </c>
      <c r="G3372">
        <v>-43.122999999999998</v>
      </c>
      <c r="H3372">
        <v>147.97640000000001</v>
      </c>
      <c r="I3372" t="s">
        <v>765</v>
      </c>
      <c r="J3372" s="2" t="s">
        <v>7</v>
      </c>
      <c r="K3372" t="s">
        <v>443</v>
      </c>
      <c r="L3372" t="s">
        <v>143</v>
      </c>
      <c r="M3372" t="s">
        <v>638</v>
      </c>
      <c r="N3372" t="s">
        <v>86</v>
      </c>
      <c r="O3372" s="6" t="s">
        <v>446</v>
      </c>
      <c r="P3372" t="s">
        <v>67</v>
      </c>
      <c r="Q3372">
        <v>28</v>
      </c>
      <c r="R3372" t="s">
        <v>213</v>
      </c>
      <c r="S3372" s="2" t="s">
        <v>7</v>
      </c>
      <c r="T3372">
        <v>3</v>
      </c>
      <c r="U3372" t="s">
        <v>28</v>
      </c>
      <c r="V3372" t="s">
        <v>28</v>
      </c>
      <c r="W3372">
        <v>12</v>
      </c>
      <c r="X3372">
        <v>22.48</v>
      </c>
      <c r="Y3372" s="6">
        <f t="shared" ref="Y3372:Y3380" si="65">Z3372*SQRT(T3372)</f>
        <v>6.4432290041562208</v>
      </c>
      <c r="Z3372">
        <f>26.2-X3372</f>
        <v>3.7199999999999989</v>
      </c>
      <c r="AA3372" s="6"/>
      <c r="AB3372" s="6"/>
    </row>
    <row r="3373" spans="1:28" x14ac:dyDescent="0.2">
      <c r="A3373" t="s">
        <v>441</v>
      </c>
      <c r="B3373">
        <v>2019</v>
      </c>
      <c r="C3373" t="s">
        <v>816</v>
      </c>
      <c r="D3373" t="s">
        <v>820</v>
      </c>
      <c r="E3373" t="s">
        <v>34</v>
      </c>
      <c r="F3373" t="s">
        <v>442</v>
      </c>
      <c r="G3373">
        <v>-43.122999999999998</v>
      </c>
      <c r="H3373">
        <v>147.97640000000001</v>
      </c>
      <c r="I3373" t="s">
        <v>765</v>
      </c>
      <c r="J3373" s="2" t="s">
        <v>14</v>
      </c>
      <c r="K3373" t="s">
        <v>443</v>
      </c>
      <c r="L3373" t="s">
        <v>143</v>
      </c>
      <c r="M3373" t="s">
        <v>638</v>
      </c>
      <c r="N3373" t="s">
        <v>86</v>
      </c>
      <c r="O3373" s="6" t="s">
        <v>446</v>
      </c>
      <c r="P3373" t="s">
        <v>67</v>
      </c>
      <c r="Q3373">
        <v>28</v>
      </c>
      <c r="R3373" t="s">
        <v>213</v>
      </c>
      <c r="S3373" s="2" t="s">
        <v>9</v>
      </c>
      <c r="T3373">
        <v>3</v>
      </c>
      <c r="U3373" t="s">
        <v>28</v>
      </c>
      <c r="V3373" t="s">
        <v>28</v>
      </c>
      <c r="W3373">
        <v>17</v>
      </c>
      <c r="X3373">
        <v>13.8</v>
      </c>
      <c r="Y3373" s="6">
        <f t="shared" si="65"/>
        <v>11.275650757273388</v>
      </c>
      <c r="Z3373">
        <f>20.31-X3373</f>
        <v>6.509999999999998</v>
      </c>
      <c r="AA3373" s="6"/>
      <c r="AB3373" s="6"/>
    </row>
    <row r="3374" spans="1:28" x14ac:dyDescent="0.2">
      <c r="A3374" t="s">
        <v>441</v>
      </c>
      <c r="B3374">
        <v>2019</v>
      </c>
      <c r="C3374" t="s">
        <v>816</v>
      </c>
      <c r="D3374" t="s">
        <v>820</v>
      </c>
      <c r="E3374" t="s">
        <v>34</v>
      </c>
      <c r="F3374" t="s">
        <v>442</v>
      </c>
      <c r="G3374">
        <v>-43.122999999999998</v>
      </c>
      <c r="H3374">
        <v>147.97640000000001</v>
      </c>
      <c r="I3374" t="s">
        <v>765</v>
      </c>
      <c r="J3374" s="2" t="s">
        <v>14</v>
      </c>
      <c r="K3374" t="s">
        <v>443</v>
      </c>
      <c r="L3374" t="s">
        <v>143</v>
      </c>
      <c r="M3374" t="s">
        <v>638</v>
      </c>
      <c r="N3374" t="s">
        <v>86</v>
      </c>
      <c r="O3374" s="6" t="s">
        <v>446</v>
      </c>
      <c r="P3374" t="s">
        <v>67</v>
      </c>
      <c r="Q3374">
        <v>28</v>
      </c>
      <c r="R3374" t="s">
        <v>213</v>
      </c>
      <c r="S3374" s="2" t="s">
        <v>27</v>
      </c>
      <c r="T3374">
        <v>3</v>
      </c>
      <c r="U3374" t="s">
        <v>28</v>
      </c>
      <c r="V3374" t="s">
        <v>28</v>
      </c>
      <c r="W3374">
        <v>22</v>
      </c>
      <c r="X3374">
        <v>41.4</v>
      </c>
      <c r="Y3374" s="6">
        <f t="shared" si="65"/>
        <v>51.545832033249781</v>
      </c>
      <c r="Z3374">
        <f>71.16-X3374</f>
        <v>29.759999999999998</v>
      </c>
      <c r="AA3374" s="6"/>
      <c r="AB3374" s="6"/>
    </row>
    <row r="3375" spans="1:28" x14ac:dyDescent="0.2">
      <c r="A3375" t="s">
        <v>441</v>
      </c>
      <c r="B3375">
        <v>2019</v>
      </c>
      <c r="C3375" t="s">
        <v>816</v>
      </c>
      <c r="D3375" t="s">
        <v>820</v>
      </c>
      <c r="E3375" t="s">
        <v>34</v>
      </c>
      <c r="F3375" t="s">
        <v>442</v>
      </c>
      <c r="G3375">
        <v>-43.122999999999998</v>
      </c>
      <c r="H3375">
        <v>147.97640000000001</v>
      </c>
      <c r="I3375" t="s">
        <v>765</v>
      </c>
      <c r="J3375" s="2" t="s">
        <v>7</v>
      </c>
      <c r="K3375" t="s">
        <v>443</v>
      </c>
      <c r="L3375" t="s">
        <v>143</v>
      </c>
      <c r="M3375" t="s">
        <v>638</v>
      </c>
      <c r="N3375" t="s">
        <v>85</v>
      </c>
      <c r="O3375" s="6" t="s">
        <v>447</v>
      </c>
      <c r="Q3375">
        <v>28</v>
      </c>
      <c r="R3375" t="s">
        <v>213</v>
      </c>
      <c r="S3375" s="2" t="s">
        <v>7</v>
      </c>
      <c r="T3375">
        <v>3</v>
      </c>
      <c r="U3375" t="s">
        <v>28</v>
      </c>
      <c r="V3375" t="s">
        <v>28</v>
      </c>
      <c r="W3375">
        <v>12</v>
      </c>
      <c r="X3375">
        <v>3.99</v>
      </c>
      <c r="Y3375" s="6">
        <f t="shared" si="65"/>
        <v>3.7585502524244632</v>
      </c>
      <c r="Z3375">
        <f>6.16-X3375</f>
        <v>2.17</v>
      </c>
      <c r="AA3375" s="6"/>
      <c r="AB3375" s="6"/>
    </row>
    <row r="3376" spans="1:28" x14ac:dyDescent="0.2">
      <c r="A3376" t="s">
        <v>441</v>
      </c>
      <c r="B3376">
        <v>2019</v>
      </c>
      <c r="C3376" t="s">
        <v>816</v>
      </c>
      <c r="D3376" t="s">
        <v>820</v>
      </c>
      <c r="E3376" t="s">
        <v>34</v>
      </c>
      <c r="F3376" t="s">
        <v>442</v>
      </c>
      <c r="G3376">
        <v>-43.122999999999998</v>
      </c>
      <c r="H3376">
        <v>147.97640000000001</v>
      </c>
      <c r="I3376" t="s">
        <v>765</v>
      </c>
      <c r="J3376" s="2" t="s">
        <v>14</v>
      </c>
      <c r="K3376" t="s">
        <v>443</v>
      </c>
      <c r="L3376" t="s">
        <v>143</v>
      </c>
      <c r="M3376" t="s">
        <v>638</v>
      </c>
      <c r="N3376" t="s">
        <v>85</v>
      </c>
      <c r="O3376" s="6" t="s">
        <v>447</v>
      </c>
      <c r="Q3376">
        <v>28</v>
      </c>
      <c r="R3376" t="s">
        <v>213</v>
      </c>
      <c r="S3376" s="2" t="s">
        <v>9</v>
      </c>
      <c r="T3376">
        <v>3</v>
      </c>
      <c r="U3376" t="s">
        <v>28</v>
      </c>
      <c r="V3376" t="s">
        <v>28</v>
      </c>
      <c r="W3376">
        <v>17</v>
      </c>
      <c r="X3376">
        <v>12.36</v>
      </c>
      <c r="Y3376" s="6">
        <f t="shared" si="65"/>
        <v>10.87727907153255</v>
      </c>
      <c r="Z3376">
        <f>18.64-X3376</f>
        <v>6.2800000000000011</v>
      </c>
      <c r="AA3376" s="6"/>
      <c r="AB3376" s="6"/>
    </row>
    <row r="3377" spans="1:28" x14ac:dyDescent="0.2">
      <c r="A3377" t="s">
        <v>441</v>
      </c>
      <c r="B3377">
        <v>2019</v>
      </c>
      <c r="C3377" t="s">
        <v>816</v>
      </c>
      <c r="D3377" t="s">
        <v>820</v>
      </c>
      <c r="E3377" t="s">
        <v>34</v>
      </c>
      <c r="F3377" t="s">
        <v>442</v>
      </c>
      <c r="G3377">
        <v>-43.122999999999998</v>
      </c>
      <c r="H3377">
        <v>147.97640000000001</v>
      </c>
      <c r="I3377" t="s">
        <v>765</v>
      </c>
      <c r="J3377" s="2" t="s">
        <v>14</v>
      </c>
      <c r="K3377" t="s">
        <v>443</v>
      </c>
      <c r="L3377" t="s">
        <v>143</v>
      </c>
      <c r="M3377" t="s">
        <v>638</v>
      </c>
      <c r="N3377" t="s">
        <v>85</v>
      </c>
      <c r="O3377" s="6" t="s">
        <v>447</v>
      </c>
      <c r="Q3377">
        <v>28</v>
      </c>
      <c r="R3377" t="s">
        <v>213</v>
      </c>
      <c r="S3377" s="2" t="s">
        <v>27</v>
      </c>
      <c r="T3377">
        <v>3</v>
      </c>
      <c r="U3377" t="s">
        <v>28</v>
      </c>
      <c r="V3377" t="s">
        <v>28</v>
      </c>
      <c r="W3377">
        <v>22</v>
      </c>
      <c r="X3377">
        <v>5.65</v>
      </c>
      <c r="Y3377" s="6">
        <f t="shared" si="65"/>
        <v>3.4467811070620646</v>
      </c>
      <c r="Z3377">
        <f>7.64-X3377</f>
        <v>1.9899999999999993</v>
      </c>
      <c r="AA3377" s="6"/>
      <c r="AB3377" s="6"/>
    </row>
    <row r="3378" spans="1:28" x14ac:dyDescent="0.2">
      <c r="A3378" t="s">
        <v>441</v>
      </c>
      <c r="B3378">
        <v>2019</v>
      </c>
      <c r="C3378" t="s">
        <v>816</v>
      </c>
      <c r="D3378" t="s">
        <v>820</v>
      </c>
      <c r="E3378" t="s">
        <v>34</v>
      </c>
      <c r="F3378" t="s">
        <v>442</v>
      </c>
      <c r="G3378">
        <v>-43.122999999999998</v>
      </c>
      <c r="H3378">
        <v>147.97640000000001</v>
      </c>
      <c r="I3378" t="s">
        <v>765</v>
      </c>
      <c r="J3378" s="2" t="s">
        <v>7</v>
      </c>
      <c r="K3378" t="s">
        <v>443</v>
      </c>
      <c r="L3378" t="s">
        <v>143</v>
      </c>
      <c r="M3378" t="s">
        <v>26</v>
      </c>
      <c r="N3378" t="s">
        <v>85</v>
      </c>
      <c r="O3378" t="s">
        <v>839</v>
      </c>
      <c r="P3378" t="s">
        <v>72</v>
      </c>
      <c r="Q3378">
        <v>28</v>
      </c>
      <c r="R3378" t="s">
        <v>213</v>
      </c>
      <c r="S3378" s="2" t="s">
        <v>7</v>
      </c>
      <c r="T3378">
        <v>3</v>
      </c>
      <c r="U3378" t="s">
        <v>28</v>
      </c>
      <c r="V3378" t="s">
        <v>28</v>
      </c>
      <c r="W3378">
        <v>12</v>
      </c>
      <c r="X3378">
        <v>-0.64600000000000002</v>
      </c>
      <c r="Y3378" s="6">
        <f t="shared" si="65"/>
        <v>0.68935622141241315</v>
      </c>
      <c r="Z3378">
        <f>ABS(-1.044-X3378)</f>
        <v>0.39800000000000002</v>
      </c>
      <c r="AA3378" s="6"/>
      <c r="AB3378" s="6"/>
    </row>
    <row r="3379" spans="1:28" x14ac:dyDescent="0.2">
      <c r="A3379" t="s">
        <v>441</v>
      </c>
      <c r="B3379">
        <v>2019</v>
      </c>
      <c r="C3379" t="s">
        <v>816</v>
      </c>
      <c r="D3379" t="s">
        <v>820</v>
      </c>
      <c r="E3379" t="s">
        <v>34</v>
      </c>
      <c r="F3379" t="s">
        <v>442</v>
      </c>
      <c r="G3379">
        <v>-43.122999999999998</v>
      </c>
      <c r="H3379">
        <v>147.97640000000001</v>
      </c>
      <c r="I3379" t="s">
        <v>765</v>
      </c>
      <c r="J3379" s="2" t="s">
        <v>14</v>
      </c>
      <c r="K3379" t="s">
        <v>443</v>
      </c>
      <c r="L3379" t="s">
        <v>143</v>
      </c>
      <c r="M3379" t="s">
        <v>26</v>
      </c>
      <c r="N3379" t="s">
        <v>85</v>
      </c>
      <c r="O3379" t="s">
        <v>839</v>
      </c>
      <c r="P3379" t="s">
        <v>72</v>
      </c>
      <c r="Q3379">
        <v>28</v>
      </c>
      <c r="R3379" t="s">
        <v>213</v>
      </c>
      <c r="S3379" s="2" t="s">
        <v>9</v>
      </c>
      <c r="T3379">
        <v>3</v>
      </c>
      <c r="U3379" t="s">
        <v>28</v>
      </c>
      <c r="V3379" t="s">
        <v>28</v>
      </c>
      <c r="W3379">
        <v>17</v>
      </c>
      <c r="X3379">
        <v>-9.9000000000000005E-2</v>
      </c>
      <c r="Y3379" s="6">
        <f t="shared" si="65"/>
        <v>8.6602540378443837E-2</v>
      </c>
      <c r="Z3379">
        <f>ABS(-0.149-X3379)</f>
        <v>4.9999999999999989E-2</v>
      </c>
      <c r="AA3379" s="6"/>
      <c r="AB3379" s="6"/>
    </row>
    <row r="3380" spans="1:28" x14ac:dyDescent="0.2">
      <c r="A3380" t="s">
        <v>441</v>
      </c>
      <c r="B3380">
        <v>2019</v>
      </c>
      <c r="C3380" t="s">
        <v>816</v>
      </c>
      <c r="D3380" t="s">
        <v>820</v>
      </c>
      <c r="E3380" t="s">
        <v>34</v>
      </c>
      <c r="F3380" t="s">
        <v>442</v>
      </c>
      <c r="G3380">
        <v>-43.122999999999998</v>
      </c>
      <c r="H3380">
        <v>147.97640000000001</v>
      </c>
      <c r="I3380" t="s">
        <v>765</v>
      </c>
      <c r="J3380" s="2" t="s">
        <v>14</v>
      </c>
      <c r="K3380" t="s">
        <v>443</v>
      </c>
      <c r="L3380" t="s">
        <v>143</v>
      </c>
      <c r="M3380" t="s">
        <v>26</v>
      </c>
      <c r="N3380" t="s">
        <v>85</v>
      </c>
      <c r="O3380" t="s">
        <v>839</v>
      </c>
      <c r="P3380" t="s">
        <v>72</v>
      </c>
      <c r="Q3380">
        <v>28</v>
      </c>
      <c r="R3380" t="s">
        <v>213</v>
      </c>
      <c r="S3380" s="2" t="s">
        <v>27</v>
      </c>
      <c r="T3380">
        <v>3</v>
      </c>
      <c r="U3380" t="s">
        <v>28</v>
      </c>
      <c r="V3380" t="s">
        <v>28</v>
      </c>
      <c r="W3380">
        <v>22</v>
      </c>
      <c r="X3380">
        <v>-9.9000000000000005E-2</v>
      </c>
      <c r="Y3380" s="6">
        <f t="shared" si="65"/>
        <v>8.6602540378443837E-2</v>
      </c>
      <c r="Z3380">
        <f>ABS(-0.149-X3380)</f>
        <v>4.9999999999999989E-2</v>
      </c>
      <c r="AA3380" s="6"/>
      <c r="AB3380" s="6"/>
    </row>
    <row r="3381" spans="1:28" x14ac:dyDescent="0.2">
      <c r="A3381" t="s">
        <v>448</v>
      </c>
      <c r="B3381">
        <v>2013</v>
      </c>
      <c r="C3381" t="s">
        <v>816</v>
      </c>
      <c r="D3381" t="s">
        <v>817</v>
      </c>
      <c r="E3381" t="s">
        <v>31</v>
      </c>
      <c r="F3381" t="s">
        <v>307</v>
      </c>
      <c r="G3381">
        <v>54.177500000000002</v>
      </c>
      <c r="H3381">
        <v>7.8933333299999999</v>
      </c>
      <c r="I3381" t="s">
        <v>449</v>
      </c>
      <c r="J3381" s="2" t="s">
        <v>7</v>
      </c>
      <c r="K3381" t="s">
        <v>144</v>
      </c>
      <c r="L3381" t="s">
        <v>144</v>
      </c>
      <c r="M3381" t="s">
        <v>727</v>
      </c>
      <c r="N3381" t="s">
        <v>85</v>
      </c>
      <c r="O3381" s="6" t="s">
        <v>450</v>
      </c>
      <c r="P3381" t="s">
        <v>70</v>
      </c>
      <c r="Q3381">
        <v>7</v>
      </c>
      <c r="R3381" t="s">
        <v>214</v>
      </c>
      <c r="S3381" s="2" t="s">
        <v>7</v>
      </c>
      <c r="T3381">
        <v>1</v>
      </c>
      <c r="U3381" t="s">
        <v>28</v>
      </c>
      <c r="V3381" t="s">
        <v>28</v>
      </c>
      <c r="W3381">
        <v>10</v>
      </c>
      <c r="X3381">
        <v>0</v>
      </c>
      <c r="Y3381" t="s">
        <v>28</v>
      </c>
    </row>
    <row r="3382" spans="1:28" x14ac:dyDescent="0.2">
      <c r="A3382" t="s">
        <v>448</v>
      </c>
      <c r="B3382">
        <v>2013</v>
      </c>
      <c r="C3382" t="s">
        <v>816</v>
      </c>
      <c r="D3382" t="s">
        <v>817</v>
      </c>
      <c r="E3382" t="s">
        <v>31</v>
      </c>
      <c r="F3382" t="s">
        <v>307</v>
      </c>
      <c r="G3382">
        <v>54.177500000000002</v>
      </c>
      <c r="H3382">
        <v>7.8933333299999999</v>
      </c>
      <c r="I3382" t="s">
        <v>449</v>
      </c>
      <c r="J3382" s="2" t="s">
        <v>7</v>
      </c>
      <c r="K3382" t="s">
        <v>144</v>
      </c>
      <c r="L3382" t="s">
        <v>144</v>
      </c>
      <c r="M3382" t="s">
        <v>727</v>
      </c>
      <c r="N3382" t="s">
        <v>85</v>
      </c>
      <c r="O3382" s="6" t="s">
        <v>450</v>
      </c>
      <c r="P3382" t="s">
        <v>70</v>
      </c>
      <c r="Q3382">
        <v>14</v>
      </c>
      <c r="R3382" t="s">
        <v>214</v>
      </c>
      <c r="S3382" s="2" t="s">
        <v>7</v>
      </c>
      <c r="T3382">
        <v>1</v>
      </c>
      <c r="U3382" t="s">
        <v>28</v>
      </c>
      <c r="V3382" t="s">
        <v>28</v>
      </c>
      <c r="W3382">
        <v>10</v>
      </c>
      <c r="X3382">
        <v>0</v>
      </c>
      <c r="Y3382" t="s">
        <v>28</v>
      </c>
    </row>
    <row r="3383" spans="1:28" x14ac:dyDescent="0.2">
      <c r="A3383" t="s">
        <v>448</v>
      </c>
      <c r="B3383">
        <v>2013</v>
      </c>
      <c r="C3383" t="s">
        <v>816</v>
      </c>
      <c r="D3383" t="s">
        <v>817</v>
      </c>
      <c r="E3383" t="s">
        <v>31</v>
      </c>
      <c r="F3383" t="s">
        <v>307</v>
      </c>
      <c r="G3383">
        <v>54.177500000000002</v>
      </c>
      <c r="H3383">
        <v>7.8933333299999999</v>
      </c>
      <c r="I3383" t="s">
        <v>449</v>
      </c>
      <c r="J3383" s="2" t="s">
        <v>7</v>
      </c>
      <c r="K3383" t="s">
        <v>144</v>
      </c>
      <c r="L3383" t="s">
        <v>144</v>
      </c>
      <c r="M3383" t="s">
        <v>727</v>
      </c>
      <c r="N3383" t="s">
        <v>85</v>
      </c>
      <c r="O3383" s="6" t="s">
        <v>450</v>
      </c>
      <c r="P3383" t="s">
        <v>70</v>
      </c>
      <c r="Q3383">
        <v>28</v>
      </c>
      <c r="R3383" t="s">
        <v>214</v>
      </c>
      <c r="S3383" s="2" t="s">
        <v>7</v>
      </c>
      <c r="T3383">
        <v>1</v>
      </c>
      <c r="U3383" t="s">
        <v>28</v>
      </c>
      <c r="V3383" t="s">
        <v>28</v>
      </c>
      <c r="W3383">
        <v>10</v>
      </c>
      <c r="X3383">
        <v>26.37</v>
      </c>
      <c r="Y3383" t="s">
        <v>28</v>
      </c>
    </row>
    <row r="3384" spans="1:28" x14ac:dyDescent="0.2">
      <c r="A3384" t="s">
        <v>448</v>
      </c>
      <c r="B3384">
        <v>2013</v>
      </c>
      <c r="C3384" t="s">
        <v>816</v>
      </c>
      <c r="D3384" t="s">
        <v>817</v>
      </c>
      <c r="E3384" t="s">
        <v>31</v>
      </c>
      <c r="F3384" t="s">
        <v>307</v>
      </c>
      <c r="G3384">
        <v>54.177500000000002</v>
      </c>
      <c r="H3384">
        <v>7.8933333299999999</v>
      </c>
      <c r="I3384" t="s">
        <v>449</v>
      </c>
      <c r="J3384" s="2" t="s">
        <v>7</v>
      </c>
      <c r="K3384" t="s">
        <v>144</v>
      </c>
      <c r="L3384" t="s">
        <v>144</v>
      </c>
      <c r="M3384" t="s">
        <v>727</v>
      </c>
      <c r="N3384" t="s">
        <v>85</v>
      </c>
      <c r="O3384" s="6" t="s">
        <v>450</v>
      </c>
      <c r="P3384" t="s">
        <v>70</v>
      </c>
      <c r="Q3384">
        <v>35</v>
      </c>
      <c r="R3384" t="s">
        <v>214</v>
      </c>
      <c r="S3384" s="2" t="s">
        <v>7</v>
      </c>
      <c r="T3384">
        <v>1</v>
      </c>
      <c r="U3384" t="s">
        <v>28</v>
      </c>
      <c r="V3384" t="s">
        <v>28</v>
      </c>
      <c r="W3384">
        <v>10</v>
      </c>
      <c r="X3384">
        <v>49.64</v>
      </c>
      <c r="Y3384" t="s">
        <v>28</v>
      </c>
    </row>
    <row r="3385" spans="1:28" x14ac:dyDescent="0.2">
      <c r="A3385" t="s">
        <v>448</v>
      </c>
      <c r="B3385">
        <v>2013</v>
      </c>
      <c r="C3385" t="s">
        <v>816</v>
      </c>
      <c r="D3385" t="s">
        <v>817</v>
      </c>
      <c r="E3385" t="s">
        <v>31</v>
      </c>
      <c r="F3385" t="s">
        <v>307</v>
      </c>
      <c r="G3385">
        <v>54.177500000000002</v>
      </c>
      <c r="H3385">
        <v>7.8933333299999999</v>
      </c>
      <c r="I3385" t="s">
        <v>449</v>
      </c>
      <c r="J3385" s="2" t="s">
        <v>7</v>
      </c>
      <c r="K3385" t="s">
        <v>144</v>
      </c>
      <c r="L3385" t="s">
        <v>144</v>
      </c>
      <c r="M3385" t="s">
        <v>727</v>
      </c>
      <c r="N3385" t="s">
        <v>85</v>
      </c>
      <c r="O3385" s="6" t="s">
        <v>450</v>
      </c>
      <c r="P3385" t="s">
        <v>70</v>
      </c>
      <c r="Q3385">
        <v>42</v>
      </c>
      <c r="R3385" t="s">
        <v>214</v>
      </c>
      <c r="S3385" s="2" t="s">
        <v>7</v>
      </c>
      <c r="T3385">
        <v>1</v>
      </c>
      <c r="U3385" t="s">
        <v>28</v>
      </c>
      <c r="V3385" t="s">
        <v>28</v>
      </c>
      <c r="W3385">
        <v>10</v>
      </c>
      <c r="X3385">
        <v>73.02</v>
      </c>
      <c r="Y3385" t="s">
        <v>28</v>
      </c>
    </row>
    <row r="3386" spans="1:28" x14ac:dyDescent="0.2">
      <c r="A3386" t="s">
        <v>448</v>
      </c>
      <c r="B3386">
        <v>2013</v>
      </c>
      <c r="C3386" t="s">
        <v>816</v>
      </c>
      <c r="D3386" t="s">
        <v>817</v>
      </c>
      <c r="E3386" t="s">
        <v>31</v>
      </c>
      <c r="F3386" t="s">
        <v>307</v>
      </c>
      <c r="G3386">
        <v>54.177500000000002</v>
      </c>
      <c r="H3386">
        <v>7.8933333299999999</v>
      </c>
      <c r="I3386" t="s">
        <v>449</v>
      </c>
      <c r="J3386" s="2" t="s">
        <v>7</v>
      </c>
      <c r="K3386" t="s">
        <v>144</v>
      </c>
      <c r="L3386" t="s">
        <v>144</v>
      </c>
      <c r="M3386" t="s">
        <v>727</v>
      </c>
      <c r="N3386" t="s">
        <v>85</v>
      </c>
      <c r="O3386" s="6" t="s">
        <v>450</v>
      </c>
      <c r="P3386" t="s">
        <v>70</v>
      </c>
      <c r="Q3386">
        <v>49</v>
      </c>
      <c r="R3386" t="s">
        <v>214</v>
      </c>
      <c r="S3386" s="2" t="s">
        <v>7</v>
      </c>
      <c r="T3386">
        <v>1</v>
      </c>
      <c r="U3386" t="s">
        <v>28</v>
      </c>
      <c r="V3386" t="s">
        <v>28</v>
      </c>
      <c r="W3386">
        <v>10</v>
      </c>
      <c r="X3386">
        <v>73.040000000000006</v>
      </c>
      <c r="Y3386" t="s">
        <v>28</v>
      </c>
    </row>
    <row r="3387" spans="1:28" x14ac:dyDescent="0.2">
      <c r="A3387" t="s">
        <v>448</v>
      </c>
      <c r="B3387">
        <v>2013</v>
      </c>
      <c r="C3387" t="s">
        <v>816</v>
      </c>
      <c r="D3387" t="s">
        <v>817</v>
      </c>
      <c r="E3387" t="s">
        <v>31</v>
      </c>
      <c r="F3387" t="s">
        <v>307</v>
      </c>
      <c r="G3387">
        <v>54.177500000000002</v>
      </c>
      <c r="H3387">
        <v>7.8933333299999999</v>
      </c>
      <c r="I3387" t="s">
        <v>449</v>
      </c>
      <c r="J3387" s="2" t="s">
        <v>7</v>
      </c>
      <c r="K3387" t="s">
        <v>144</v>
      </c>
      <c r="L3387" t="s">
        <v>144</v>
      </c>
      <c r="M3387" t="s">
        <v>727</v>
      </c>
      <c r="N3387" t="s">
        <v>85</v>
      </c>
      <c r="O3387" s="6" t="s">
        <v>450</v>
      </c>
      <c r="P3387" t="s">
        <v>70</v>
      </c>
      <c r="Q3387">
        <v>56</v>
      </c>
      <c r="R3387" t="s">
        <v>214</v>
      </c>
      <c r="S3387" s="2" t="s">
        <v>7</v>
      </c>
      <c r="T3387">
        <v>1</v>
      </c>
      <c r="U3387" t="s">
        <v>28</v>
      </c>
      <c r="V3387" t="s">
        <v>28</v>
      </c>
      <c r="W3387">
        <v>10</v>
      </c>
      <c r="X3387">
        <v>92.98</v>
      </c>
      <c r="Y3387" t="s">
        <v>28</v>
      </c>
    </row>
    <row r="3388" spans="1:28" x14ac:dyDescent="0.2">
      <c r="A3388" t="s">
        <v>448</v>
      </c>
      <c r="B3388">
        <v>2013</v>
      </c>
      <c r="C3388" t="s">
        <v>816</v>
      </c>
      <c r="D3388" t="s">
        <v>817</v>
      </c>
      <c r="E3388" t="s">
        <v>31</v>
      </c>
      <c r="F3388" t="s">
        <v>307</v>
      </c>
      <c r="G3388">
        <v>54.177500000000002</v>
      </c>
      <c r="H3388">
        <v>7.8933333299999999</v>
      </c>
      <c r="I3388" t="s">
        <v>449</v>
      </c>
      <c r="J3388" s="2" t="s">
        <v>7</v>
      </c>
      <c r="K3388" t="s">
        <v>144</v>
      </c>
      <c r="L3388" t="s">
        <v>144</v>
      </c>
      <c r="M3388" t="s">
        <v>727</v>
      </c>
      <c r="N3388" t="s">
        <v>85</v>
      </c>
      <c r="O3388" s="6" t="s">
        <v>450</v>
      </c>
      <c r="P3388" t="s">
        <v>70</v>
      </c>
      <c r="Q3388">
        <v>63</v>
      </c>
      <c r="R3388" t="s">
        <v>214</v>
      </c>
      <c r="S3388" s="2" t="s">
        <v>7</v>
      </c>
      <c r="T3388">
        <v>1</v>
      </c>
      <c r="U3388" t="s">
        <v>28</v>
      </c>
      <c r="V3388" t="s">
        <v>28</v>
      </c>
      <c r="W3388">
        <v>10</v>
      </c>
      <c r="X3388">
        <v>93</v>
      </c>
      <c r="Y3388" t="s">
        <v>28</v>
      </c>
    </row>
    <row r="3389" spans="1:28" x14ac:dyDescent="0.2">
      <c r="A3389" t="s">
        <v>448</v>
      </c>
      <c r="B3389">
        <v>2013</v>
      </c>
      <c r="C3389" t="s">
        <v>816</v>
      </c>
      <c r="D3389" t="s">
        <v>817</v>
      </c>
      <c r="E3389" t="s">
        <v>31</v>
      </c>
      <c r="F3389" t="s">
        <v>307</v>
      </c>
      <c r="G3389">
        <v>54.177500000000002</v>
      </c>
      <c r="H3389">
        <v>7.8933333299999999</v>
      </c>
      <c r="I3389" t="s">
        <v>449</v>
      </c>
      <c r="J3389" s="2" t="s">
        <v>7</v>
      </c>
      <c r="K3389" t="s">
        <v>144</v>
      </c>
      <c r="L3389" t="s">
        <v>144</v>
      </c>
      <c r="M3389" t="s">
        <v>727</v>
      </c>
      <c r="N3389" t="s">
        <v>85</v>
      </c>
      <c r="O3389" s="6" t="s">
        <v>450</v>
      </c>
      <c r="P3389" t="s">
        <v>70</v>
      </c>
      <c r="Q3389">
        <v>70</v>
      </c>
      <c r="R3389" t="s">
        <v>214</v>
      </c>
      <c r="S3389" s="2" t="s">
        <v>7</v>
      </c>
      <c r="T3389">
        <v>1</v>
      </c>
      <c r="U3389" t="s">
        <v>28</v>
      </c>
      <c r="V3389" t="s">
        <v>28</v>
      </c>
      <c r="W3389">
        <v>10</v>
      </c>
      <c r="X3389">
        <v>96.34</v>
      </c>
      <c r="Y3389" t="s">
        <v>28</v>
      </c>
    </row>
    <row r="3390" spans="1:28" x14ac:dyDescent="0.2">
      <c r="A3390" t="s">
        <v>448</v>
      </c>
      <c r="B3390">
        <v>2013</v>
      </c>
      <c r="C3390" t="s">
        <v>816</v>
      </c>
      <c r="D3390" t="s">
        <v>817</v>
      </c>
      <c r="E3390" t="s">
        <v>31</v>
      </c>
      <c r="F3390" t="s">
        <v>307</v>
      </c>
      <c r="G3390">
        <v>54.177500000000002</v>
      </c>
      <c r="H3390">
        <v>7.8933333299999999</v>
      </c>
      <c r="I3390" t="s">
        <v>449</v>
      </c>
      <c r="J3390" s="2" t="s">
        <v>7</v>
      </c>
      <c r="K3390" t="s">
        <v>144</v>
      </c>
      <c r="L3390" t="s">
        <v>144</v>
      </c>
      <c r="M3390" t="s">
        <v>727</v>
      </c>
      <c r="N3390" t="s">
        <v>85</v>
      </c>
      <c r="O3390" s="6" t="s">
        <v>450</v>
      </c>
      <c r="P3390" t="s">
        <v>70</v>
      </c>
      <c r="Q3390">
        <v>77</v>
      </c>
      <c r="R3390" t="s">
        <v>214</v>
      </c>
      <c r="S3390" s="2" t="s">
        <v>7</v>
      </c>
      <c r="T3390">
        <v>1</v>
      </c>
      <c r="U3390" t="s">
        <v>28</v>
      </c>
      <c r="V3390" t="s">
        <v>28</v>
      </c>
      <c r="W3390">
        <v>10</v>
      </c>
      <c r="X3390">
        <v>99.94</v>
      </c>
      <c r="Y3390" t="s">
        <v>28</v>
      </c>
    </row>
    <row r="3391" spans="1:28" x14ac:dyDescent="0.2">
      <c r="A3391" t="s">
        <v>448</v>
      </c>
      <c r="B3391">
        <v>2013</v>
      </c>
      <c r="C3391" t="s">
        <v>816</v>
      </c>
      <c r="D3391" t="s">
        <v>817</v>
      </c>
      <c r="E3391" t="s">
        <v>31</v>
      </c>
      <c r="F3391" t="s">
        <v>307</v>
      </c>
      <c r="G3391">
        <v>54.177500000000002</v>
      </c>
      <c r="H3391">
        <v>7.8933333299999999</v>
      </c>
      <c r="I3391" t="s">
        <v>449</v>
      </c>
      <c r="J3391" s="2" t="s">
        <v>7</v>
      </c>
      <c r="K3391" t="s">
        <v>144</v>
      </c>
      <c r="L3391" t="s">
        <v>144</v>
      </c>
      <c r="M3391" t="s">
        <v>727</v>
      </c>
      <c r="N3391" t="s">
        <v>85</v>
      </c>
      <c r="O3391" s="6" t="s">
        <v>450</v>
      </c>
      <c r="P3391" t="s">
        <v>70</v>
      </c>
      <c r="Q3391">
        <v>84</v>
      </c>
      <c r="R3391" t="s">
        <v>214</v>
      </c>
      <c r="S3391" s="2" t="s">
        <v>7</v>
      </c>
      <c r="T3391">
        <v>1</v>
      </c>
      <c r="U3391" t="s">
        <v>28</v>
      </c>
      <c r="V3391" t="s">
        <v>28</v>
      </c>
      <c r="W3391">
        <v>10</v>
      </c>
      <c r="X3391">
        <v>99.83</v>
      </c>
      <c r="Y3391" t="s">
        <v>28</v>
      </c>
    </row>
    <row r="3392" spans="1:28" x14ac:dyDescent="0.2">
      <c r="A3392" t="s">
        <v>448</v>
      </c>
      <c r="B3392">
        <v>2013</v>
      </c>
      <c r="C3392" t="s">
        <v>816</v>
      </c>
      <c r="D3392" t="s">
        <v>817</v>
      </c>
      <c r="E3392" t="s">
        <v>31</v>
      </c>
      <c r="F3392" t="s">
        <v>307</v>
      </c>
      <c r="G3392">
        <v>54.177500000000002</v>
      </c>
      <c r="H3392">
        <v>7.8933333299999999</v>
      </c>
      <c r="I3392" t="s">
        <v>449</v>
      </c>
      <c r="J3392" s="2" t="s">
        <v>7</v>
      </c>
      <c r="K3392" t="s">
        <v>144</v>
      </c>
      <c r="L3392" t="s">
        <v>144</v>
      </c>
      <c r="M3392" t="s">
        <v>727</v>
      </c>
      <c r="N3392" t="s">
        <v>85</v>
      </c>
      <c r="O3392" s="6" t="s">
        <v>450</v>
      </c>
      <c r="P3392" t="s">
        <v>70</v>
      </c>
      <c r="Q3392">
        <v>91</v>
      </c>
      <c r="R3392" t="s">
        <v>214</v>
      </c>
      <c r="S3392" s="2" t="s">
        <v>7</v>
      </c>
      <c r="T3392">
        <v>1</v>
      </c>
      <c r="U3392" t="s">
        <v>28</v>
      </c>
      <c r="V3392" t="s">
        <v>28</v>
      </c>
      <c r="W3392">
        <v>10</v>
      </c>
      <c r="X3392">
        <v>99.97</v>
      </c>
      <c r="Y3392" t="s">
        <v>28</v>
      </c>
    </row>
    <row r="3393" spans="1:25" x14ac:dyDescent="0.2">
      <c r="A3393" t="s">
        <v>448</v>
      </c>
      <c r="B3393">
        <v>2013</v>
      </c>
      <c r="C3393" t="s">
        <v>816</v>
      </c>
      <c r="D3393" t="s">
        <v>817</v>
      </c>
      <c r="E3393" t="s">
        <v>31</v>
      </c>
      <c r="F3393" t="s">
        <v>307</v>
      </c>
      <c r="G3393">
        <v>54.177500000000002</v>
      </c>
      <c r="H3393">
        <v>7.8933333299999999</v>
      </c>
      <c r="I3393" t="s">
        <v>449</v>
      </c>
      <c r="J3393" s="2" t="s">
        <v>7</v>
      </c>
      <c r="K3393" t="s">
        <v>144</v>
      </c>
      <c r="L3393" t="s">
        <v>144</v>
      </c>
      <c r="M3393" t="s">
        <v>727</v>
      </c>
      <c r="N3393" t="s">
        <v>85</v>
      </c>
      <c r="O3393" s="6" t="s">
        <v>450</v>
      </c>
      <c r="P3393" t="s">
        <v>70</v>
      </c>
      <c r="Q3393">
        <v>98</v>
      </c>
      <c r="R3393" t="s">
        <v>213</v>
      </c>
      <c r="S3393" s="2" t="s">
        <v>7</v>
      </c>
      <c r="T3393">
        <v>1</v>
      </c>
      <c r="U3393" t="s">
        <v>28</v>
      </c>
      <c r="V3393" t="s">
        <v>28</v>
      </c>
      <c r="W3393">
        <v>10</v>
      </c>
      <c r="X3393">
        <v>100</v>
      </c>
      <c r="Y3393" t="s">
        <v>28</v>
      </c>
    </row>
    <row r="3394" spans="1:25" x14ac:dyDescent="0.2">
      <c r="A3394" t="s">
        <v>448</v>
      </c>
      <c r="B3394">
        <v>2013</v>
      </c>
      <c r="C3394" t="s">
        <v>816</v>
      </c>
      <c r="D3394" t="s">
        <v>817</v>
      </c>
      <c r="E3394" t="s">
        <v>31</v>
      </c>
      <c r="F3394" t="s">
        <v>307</v>
      </c>
      <c r="G3394">
        <v>54.177500000000002</v>
      </c>
      <c r="H3394">
        <v>7.8933333299999999</v>
      </c>
      <c r="I3394" t="s">
        <v>449</v>
      </c>
      <c r="J3394" s="2" t="s">
        <v>7</v>
      </c>
      <c r="K3394" t="s">
        <v>144</v>
      </c>
      <c r="L3394" t="s">
        <v>144</v>
      </c>
      <c r="M3394" t="s">
        <v>727</v>
      </c>
      <c r="N3394" t="s">
        <v>85</v>
      </c>
      <c r="O3394" s="6" t="s">
        <v>450</v>
      </c>
      <c r="P3394" t="s">
        <v>70</v>
      </c>
      <c r="Q3394">
        <v>105</v>
      </c>
      <c r="R3394" t="s">
        <v>214</v>
      </c>
      <c r="S3394" s="2" t="s">
        <v>7</v>
      </c>
      <c r="T3394">
        <v>1</v>
      </c>
      <c r="U3394" t="s">
        <v>28</v>
      </c>
      <c r="V3394" t="s">
        <v>28</v>
      </c>
      <c r="W3394">
        <v>10</v>
      </c>
      <c r="X3394">
        <v>100</v>
      </c>
      <c r="Y3394" t="s">
        <v>28</v>
      </c>
    </row>
    <row r="3395" spans="1:25" x14ac:dyDescent="0.2">
      <c r="A3395" t="s">
        <v>448</v>
      </c>
      <c r="B3395">
        <v>2013</v>
      </c>
      <c r="C3395" t="s">
        <v>816</v>
      </c>
      <c r="D3395" t="s">
        <v>817</v>
      </c>
      <c r="E3395" t="s">
        <v>31</v>
      </c>
      <c r="F3395" t="s">
        <v>307</v>
      </c>
      <c r="G3395">
        <v>54.177500000000002</v>
      </c>
      <c r="H3395">
        <v>7.8933333299999999</v>
      </c>
      <c r="I3395" t="s">
        <v>449</v>
      </c>
      <c r="J3395" s="2" t="s">
        <v>7</v>
      </c>
      <c r="K3395" t="s">
        <v>144</v>
      </c>
      <c r="L3395" t="s">
        <v>144</v>
      </c>
      <c r="M3395" t="s">
        <v>727</v>
      </c>
      <c r="N3395" t="s">
        <v>85</v>
      </c>
      <c r="O3395" s="6" t="s">
        <v>450</v>
      </c>
      <c r="P3395" t="s">
        <v>70</v>
      </c>
      <c r="Q3395">
        <v>112</v>
      </c>
      <c r="R3395" t="s">
        <v>213</v>
      </c>
      <c r="S3395" s="2" t="s">
        <v>7</v>
      </c>
      <c r="T3395">
        <v>1</v>
      </c>
      <c r="U3395" t="s">
        <v>28</v>
      </c>
      <c r="V3395" t="s">
        <v>28</v>
      </c>
      <c r="W3395">
        <v>10</v>
      </c>
      <c r="X3395">
        <v>100</v>
      </c>
      <c r="Y3395" t="s">
        <v>28</v>
      </c>
    </row>
    <row r="3396" spans="1:25" x14ac:dyDescent="0.2">
      <c r="A3396" t="s">
        <v>448</v>
      </c>
      <c r="B3396">
        <v>2013</v>
      </c>
      <c r="C3396" t="s">
        <v>816</v>
      </c>
      <c r="D3396" t="s">
        <v>817</v>
      </c>
      <c r="E3396" t="s">
        <v>31</v>
      </c>
      <c r="F3396" t="s">
        <v>307</v>
      </c>
      <c r="G3396">
        <v>54.177500000000002</v>
      </c>
      <c r="H3396">
        <v>7.8933333299999999</v>
      </c>
      <c r="I3396" t="s">
        <v>449</v>
      </c>
      <c r="J3396" s="2" t="s">
        <v>14</v>
      </c>
      <c r="K3396" t="s">
        <v>144</v>
      </c>
      <c r="L3396" t="s">
        <v>144</v>
      </c>
      <c r="M3396" t="s">
        <v>727</v>
      </c>
      <c r="N3396" t="s">
        <v>85</v>
      </c>
      <c r="O3396" s="6" t="s">
        <v>450</v>
      </c>
      <c r="P3396" t="s">
        <v>70</v>
      </c>
      <c r="Q3396">
        <v>7</v>
      </c>
      <c r="R3396" t="s">
        <v>214</v>
      </c>
      <c r="S3396" s="2" t="s">
        <v>9</v>
      </c>
      <c r="T3396">
        <v>1</v>
      </c>
      <c r="U3396" t="s">
        <v>28</v>
      </c>
      <c r="V3396" t="s">
        <v>28</v>
      </c>
      <c r="W3396">
        <v>15</v>
      </c>
      <c r="X3396">
        <v>0</v>
      </c>
      <c r="Y3396" t="s">
        <v>28</v>
      </c>
    </row>
    <row r="3397" spans="1:25" x14ac:dyDescent="0.2">
      <c r="A3397" t="s">
        <v>448</v>
      </c>
      <c r="B3397">
        <v>2013</v>
      </c>
      <c r="C3397" t="s">
        <v>816</v>
      </c>
      <c r="D3397" t="s">
        <v>817</v>
      </c>
      <c r="E3397" t="s">
        <v>31</v>
      </c>
      <c r="F3397" t="s">
        <v>307</v>
      </c>
      <c r="G3397">
        <v>54.177500000000002</v>
      </c>
      <c r="H3397">
        <v>7.8933333299999999</v>
      </c>
      <c r="I3397" t="s">
        <v>449</v>
      </c>
      <c r="J3397" s="2" t="s">
        <v>14</v>
      </c>
      <c r="K3397" t="s">
        <v>144</v>
      </c>
      <c r="L3397" t="s">
        <v>144</v>
      </c>
      <c r="M3397" t="s">
        <v>727</v>
      </c>
      <c r="N3397" t="s">
        <v>85</v>
      </c>
      <c r="O3397" s="6" t="s">
        <v>450</v>
      </c>
      <c r="P3397" t="s">
        <v>70</v>
      </c>
      <c r="Q3397">
        <v>14</v>
      </c>
      <c r="R3397" t="s">
        <v>214</v>
      </c>
      <c r="S3397" s="2" t="s">
        <v>9</v>
      </c>
      <c r="T3397">
        <v>1</v>
      </c>
      <c r="U3397" t="s">
        <v>28</v>
      </c>
      <c r="V3397" t="s">
        <v>28</v>
      </c>
      <c r="W3397">
        <v>15</v>
      </c>
      <c r="X3397">
        <v>0</v>
      </c>
      <c r="Y3397" t="s">
        <v>28</v>
      </c>
    </row>
    <row r="3398" spans="1:25" x14ac:dyDescent="0.2">
      <c r="A3398" t="s">
        <v>448</v>
      </c>
      <c r="B3398">
        <v>2013</v>
      </c>
      <c r="C3398" t="s">
        <v>816</v>
      </c>
      <c r="D3398" t="s">
        <v>817</v>
      </c>
      <c r="E3398" t="s">
        <v>31</v>
      </c>
      <c r="F3398" t="s">
        <v>307</v>
      </c>
      <c r="G3398">
        <v>54.177500000000002</v>
      </c>
      <c r="H3398">
        <v>7.8933333299999999</v>
      </c>
      <c r="I3398" t="s">
        <v>449</v>
      </c>
      <c r="J3398" s="2" t="s">
        <v>14</v>
      </c>
      <c r="K3398" t="s">
        <v>144</v>
      </c>
      <c r="L3398" t="s">
        <v>144</v>
      </c>
      <c r="M3398" t="s">
        <v>727</v>
      </c>
      <c r="N3398" t="s">
        <v>85</v>
      </c>
      <c r="O3398" s="6" t="s">
        <v>450</v>
      </c>
      <c r="P3398" t="s">
        <v>70</v>
      </c>
      <c r="Q3398">
        <v>21</v>
      </c>
      <c r="R3398" t="s">
        <v>214</v>
      </c>
      <c r="S3398" s="2" t="s">
        <v>9</v>
      </c>
      <c r="T3398">
        <v>1</v>
      </c>
      <c r="U3398" t="s">
        <v>28</v>
      </c>
      <c r="V3398" t="s">
        <v>28</v>
      </c>
      <c r="W3398">
        <v>15</v>
      </c>
      <c r="X3398">
        <v>0</v>
      </c>
      <c r="Y3398" t="s">
        <v>28</v>
      </c>
    </row>
    <row r="3399" spans="1:25" x14ac:dyDescent="0.2">
      <c r="A3399" t="s">
        <v>448</v>
      </c>
      <c r="B3399">
        <v>2013</v>
      </c>
      <c r="C3399" t="s">
        <v>816</v>
      </c>
      <c r="D3399" t="s">
        <v>817</v>
      </c>
      <c r="E3399" t="s">
        <v>31</v>
      </c>
      <c r="F3399" t="s">
        <v>307</v>
      </c>
      <c r="G3399">
        <v>54.177500000000002</v>
      </c>
      <c r="H3399">
        <v>7.8933333299999999</v>
      </c>
      <c r="I3399" t="s">
        <v>449</v>
      </c>
      <c r="J3399" s="2" t="s">
        <v>14</v>
      </c>
      <c r="K3399" t="s">
        <v>144</v>
      </c>
      <c r="L3399" t="s">
        <v>144</v>
      </c>
      <c r="M3399" t="s">
        <v>727</v>
      </c>
      <c r="N3399" t="s">
        <v>85</v>
      </c>
      <c r="O3399" s="6" t="s">
        <v>450</v>
      </c>
      <c r="P3399" t="s">
        <v>70</v>
      </c>
      <c r="Q3399">
        <v>28</v>
      </c>
      <c r="R3399" t="s">
        <v>214</v>
      </c>
      <c r="S3399" s="2" t="s">
        <v>9</v>
      </c>
      <c r="T3399">
        <v>1</v>
      </c>
      <c r="U3399" t="s">
        <v>28</v>
      </c>
      <c r="V3399" t="s">
        <v>28</v>
      </c>
      <c r="W3399">
        <v>15</v>
      </c>
      <c r="X3399">
        <v>6.71</v>
      </c>
      <c r="Y3399" t="s">
        <v>28</v>
      </c>
    </row>
    <row r="3400" spans="1:25" x14ac:dyDescent="0.2">
      <c r="A3400" t="s">
        <v>448</v>
      </c>
      <c r="B3400">
        <v>2013</v>
      </c>
      <c r="C3400" t="s">
        <v>816</v>
      </c>
      <c r="D3400" t="s">
        <v>817</v>
      </c>
      <c r="E3400" t="s">
        <v>31</v>
      </c>
      <c r="F3400" t="s">
        <v>307</v>
      </c>
      <c r="G3400">
        <v>54.177500000000002</v>
      </c>
      <c r="H3400">
        <v>7.8933333299999999</v>
      </c>
      <c r="I3400" t="s">
        <v>449</v>
      </c>
      <c r="J3400" s="2" t="s">
        <v>14</v>
      </c>
      <c r="K3400" t="s">
        <v>144</v>
      </c>
      <c r="L3400" t="s">
        <v>144</v>
      </c>
      <c r="M3400" t="s">
        <v>727</v>
      </c>
      <c r="N3400" t="s">
        <v>85</v>
      </c>
      <c r="O3400" s="6" t="s">
        <v>450</v>
      </c>
      <c r="P3400" t="s">
        <v>70</v>
      </c>
      <c r="Q3400">
        <v>35</v>
      </c>
      <c r="R3400" t="s">
        <v>214</v>
      </c>
      <c r="S3400" s="2" t="s">
        <v>9</v>
      </c>
      <c r="T3400">
        <v>1</v>
      </c>
      <c r="U3400" t="s">
        <v>28</v>
      </c>
      <c r="V3400" t="s">
        <v>28</v>
      </c>
      <c r="W3400">
        <v>15</v>
      </c>
      <c r="X3400">
        <v>20.13</v>
      </c>
      <c r="Y3400" t="s">
        <v>28</v>
      </c>
    </row>
    <row r="3401" spans="1:25" x14ac:dyDescent="0.2">
      <c r="A3401" t="s">
        <v>448</v>
      </c>
      <c r="B3401">
        <v>2013</v>
      </c>
      <c r="C3401" t="s">
        <v>816</v>
      </c>
      <c r="D3401" t="s">
        <v>817</v>
      </c>
      <c r="E3401" t="s">
        <v>31</v>
      </c>
      <c r="F3401" t="s">
        <v>307</v>
      </c>
      <c r="G3401">
        <v>54.177500000000002</v>
      </c>
      <c r="H3401">
        <v>7.8933333299999999</v>
      </c>
      <c r="I3401" t="s">
        <v>449</v>
      </c>
      <c r="J3401" s="2" t="s">
        <v>14</v>
      </c>
      <c r="K3401" t="s">
        <v>144</v>
      </c>
      <c r="L3401" t="s">
        <v>144</v>
      </c>
      <c r="M3401" t="s">
        <v>727</v>
      </c>
      <c r="N3401" t="s">
        <v>85</v>
      </c>
      <c r="O3401" s="6" t="s">
        <v>450</v>
      </c>
      <c r="P3401" t="s">
        <v>70</v>
      </c>
      <c r="Q3401">
        <v>42</v>
      </c>
      <c r="R3401" t="s">
        <v>214</v>
      </c>
      <c r="S3401" s="2" t="s">
        <v>9</v>
      </c>
      <c r="T3401">
        <v>1</v>
      </c>
      <c r="U3401" t="s">
        <v>28</v>
      </c>
      <c r="V3401" t="s">
        <v>28</v>
      </c>
      <c r="W3401">
        <v>15</v>
      </c>
      <c r="X3401">
        <v>40.07</v>
      </c>
      <c r="Y3401" t="s">
        <v>28</v>
      </c>
    </row>
    <row r="3402" spans="1:25" x14ac:dyDescent="0.2">
      <c r="A3402" t="s">
        <v>448</v>
      </c>
      <c r="B3402">
        <v>2013</v>
      </c>
      <c r="C3402" t="s">
        <v>816</v>
      </c>
      <c r="D3402" t="s">
        <v>817</v>
      </c>
      <c r="E3402" t="s">
        <v>31</v>
      </c>
      <c r="F3402" t="s">
        <v>307</v>
      </c>
      <c r="G3402">
        <v>54.177500000000002</v>
      </c>
      <c r="H3402">
        <v>7.8933333299999999</v>
      </c>
      <c r="I3402" t="s">
        <v>449</v>
      </c>
      <c r="J3402" s="2" t="s">
        <v>14</v>
      </c>
      <c r="K3402" t="s">
        <v>144</v>
      </c>
      <c r="L3402" t="s">
        <v>144</v>
      </c>
      <c r="M3402" t="s">
        <v>727</v>
      </c>
      <c r="N3402" t="s">
        <v>85</v>
      </c>
      <c r="O3402" s="6" t="s">
        <v>450</v>
      </c>
      <c r="P3402" t="s">
        <v>70</v>
      </c>
      <c r="Q3402">
        <v>49</v>
      </c>
      <c r="R3402" t="s">
        <v>214</v>
      </c>
      <c r="S3402" s="2" t="s">
        <v>9</v>
      </c>
      <c r="T3402">
        <v>1</v>
      </c>
      <c r="U3402" t="s">
        <v>28</v>
      </c>
      <c r="V3402" t="s">
        <v>28</v>
      </c>
      <c r="W3402">
        <v>15</v>
      </c>
      <c r="X3402">
        <v>43.54</v>
      </c>
      <c r="Y3402" t="s">
        <v>28</v>
      </c>
    </row>
    <row r="3403" spans="1:25" x14ac:dyDescent="0.2">
      <c r="A3403" t="s">
        <v>448</v>
      </c>
      <c r="B3403">
        <v>2013</v>
      </c>
      <c r="C3403" t="s">
        <v>816</v>
      </c>
      <c r="D3403" t="s">
        <v>817</v>
      </c>
      <c r="E3403" t="s">
        <v>31</v>
      </c>
      <c r="F3403" t="s">
        <v>307</v>
      </c>
      <c r="G3403">
        <v>54.177500000000002</v>
      </c>
      <c r="H3403">
        <v>7.8933333299999999</v>
      </c>
      <c r="I3403" t="s">
        <v>449</v>
      </c>
      <c r="J3403" s="2" t="s">
        <v>14</v>
      </c>
      <c r="K3403" t="s">
        <v>144</v>
      </c>
      <c r="L3403" t="s">
        <v>144</v>
      </c>
      <c r="M3403" t="s">
        <v>727</v>
      </c>
      <c r="N3403" t="s">
        <v>85</v>
      </c>
      <c r="O3403" s="6" t="s">
        <v>450</v>
      </c>
      <c r="P3403" t="s">
        <v>70</v>
      </c>
      <c r="Q3403">
        <v>56</v>
      </c>
      <c r="R3403" t="s">
        <v>214</v>
      </c>
      <c r="S3403" s="2" t="s">
        <v>9</v>
      </c>
      <c r="T3403">
        <v>1</v>
      </c>
      <c r="U3403" t="s">
        <v>28</v>
      </c>
      <c r="V3403" t="s">
        <v>28</v>
      </c>
      <c r="W3403">
        <v>15</v>
      </c>
      <c r="X3403">
        <v>46.88</v>
      </c>
      <c r="Y3403" t="s">
        <v>28</v>
      </c>
    </row>
    <row r="3404" spans="1:25" x14ac:dyDescent="0.2">
      <c r="A3404" t="s">
        <v>448</v>
      </c>
      <c r="B3404">
        <v>2013</v>
      </c>
      <c r="C3404" t="s">
        <v>816</v>
      </c>
      <c r="D3404" t="s">
        <v>817</v>
      </c>
      <c r="E3404" t="s">
        <v>31</v>
      </c>
      <c r="F3404" t="s">
        <v>307</v>
      </c>
      <c r="G3404">
        <v>54.177500000000002</v>
      </c>
      <c r="H3404">
        <v>7.8933333299999999</v>
      </c>
      <c r="I3404" t="s">
        <v>449</v>
      </c>
      <c r="J3404" s="2" t="s">
        <v>14</v>
      </c>
      <c r="K3404" t="s">
        <v>144</v>
      </c>
      <c r="L3404" t="s">
        <v>144</v>
      </c>
      <c r="M3404" t="s">
        <v>727</v>
      </c>
      <c r="N3404" t="s">
        <v>85</v>
      </c>
      <c r="O3404" s="6" t="s">
        <v>450</v>
      </c>
      <c r="P3404" t="s">
        <v>70</v>
      </c>
      <c r="Q3404">
        <v>63</v>
      </c>
      <c r="R3404" t="s">
        <v>214</v>
      </c>
      <c r="S3404" s="2" t="s">
        <v>9</v>
      </c>
      <c r="T3404">
        <v>1</v>
      </c>
      <c r="U3404" t="s">
        <v>28</v>
      </c>
      <c r="V3404" t="s">
        <v>28</v>
      </c>
      <c r="W3404">
        <v>15</v>
      </c>
      <c r="X3404">
        <v>50.22</v>
      </c>
      <c r="Y3404" t="s">
        <v>28</v>
      </c>
    </row>
    <row r="3405" spans="1:25" x14ac:dyDescent="0.2">
      <c r="A3405" t="s">
        <v>448</v>
      </c>
      <c r="B3405">
        <v>2013</v>
      </c>
      <c r="C3405" t="s">
        <v>816</v>
      </c>
      <c r="D3405" t="s">
        <v>817</v>
      </c>
      <c r="E3405" t="s">
        <v>31</v>
      </c>
      <c r="F3405" t="s">
        <v>307</v>
      </c>
      <c r="G3405">
        <v>54.177500000000002</v>
      </c>
      <c r="H3405">
        <v>7.8933333299999999</v>
      </c>
      <c r="I3405" t="s">
        <v>449</v>
      </c>
      <c r="J3405" s="2" t="s">
        <v>14</v>
      </c>
      <c r="K3405" t="s">
        <v>144</v>
      </c>
      <c r="L3405" t="s">
        <v>144</v>
      </c>
      <c r="M3405" t="s">
        <v>727</v>
      </c>
      <c r="N3405" t="s">
        <v>85</v>
      </c>
      <c r="O3405" s="6" t="s">
        <v>450</v>
      </c>
      <c r="P3405" t="s">
        <v>70</v>
      </c>
      <c r="Q3405">
        <v>77</v>
      </c>
      <c r="R3405" t="s">
        <v>214</v>
      </c>
      <c r="S3405" s="2" t="s">
        <v>9</v>
      </c>
      <c r="T3405">
        <v>1</v>
      </c>
      <c r="U3405" t="s">
        <v>28</v>
      </c>
      <c r="V3405" t="s">
        <v>28</v>
      </c>
      <c r="W3405">
        <v>15</v>
      </c>
      <c r="X3405">
        <v>53.58</v>
      </c>
      <c r="Y3405" t="s">
        <v>28</v>
      </c>
    </row>
    <row r="3406" spans="1:25" x14ac:dyDescent="0.2">
      <c r="A3406" t="s">
        <v>448</v>
      </c>
      <c r="B3406">
        <v>2013</v>
      </c>
      <c r="C3406" t="s">
        <v>816</v>
      </c>
      <c r="D3406" t="s">
        <v>817</v>
      </c>
      <c r="E3406" t="s">
        <v>31</v>
      </c>
      <c r="F3406" t="s">
        <v>307</v>
      </c>
      <c r="G3406">
        <v>54.177500000000002</v>
      </c>
      <c r="H3406">
        <v>7.8933333299999999</v>
      </c>
      <c r="I3406" t="s">
        <v>449</v>
      </c>
      <c r="J3406" s="2" t="s">
        <v>14</v>
      </c>
      <c r="K3406" t="s">
        <v>144</v>
      </c>
      <c r="L3406" t="s">
        <v>144</v>
      </c>
      <c r="M3406" t="s">
        <v>727</v>
      </c>
      <c r="N3406" t="s">
        <v>85</v>
      </c>
      <c r="O3406" s="6" t="s">
        <v>450</v>
      </c>
      <c r="P3406" t="s">
        <v>70</v>
      </c>
      <c r="Q3406">
        <v>84</v>
      </c>
      <c r="R3406" t="s">
        <v>214</v>
      </c>
      <c r="S3406" s="2" t="s">
        <v>9</v>
      </c>
      <c r="T3406">
        <v>1</v>
      </c>
      <c r="U3406" t="s">
        <v>28</v>
      </c>
      <c r="V3406" t="s">
        <v>28</v>
      </c>
      <c r="W3406">
        <v>15</v>
      </c>
      <c r="X3406">
        <v>60.24</v>
      </c>
      <c r="Y3406" t="s">
        <v>28</v>
      </c>
    </row>
    <row r="3407" spans="1:25" x14ac:dyDescent="0.2">
      <c r="A3407" t="s">
        <v>448</v>
      </c>
      <c r="B3407">
        <v>2013</v>
      </c>
      <c r="C3407" t="s">
        <v>816</v>
      </c>
      <c r="D3407" t="s">
        <v>817</v>
      </c>
      <c r="E3407" t="s">
        <v>31</v>
      </c>
      <c r="F3407" t="s">
        <v>307</v>
      </c>
      <c r="G3407">
        <v>54.177500000000002</v>
      </c>
      <c r="H3407">
        <v>7.8933333299999999</v>
      </c>
      <c r="I3407" t="s">
        <v>449</v>
      </c>
      <c r="J3407" s="2" t="s">
        <v>14</v>
      </c>
      <c r="K3407" t="s">
        <v>144</v>
      </c>
      <c r="L3407" t="s">
        <v>144</v>
      </c>
      <c r="M3407" t="s">
        <v>727</v>
      </c>
      <c r="N3407" t="s">
        <v>85</v>
      </c>
      <c r="O3407" s="6" t="s">
        <v>450</v>
      </c>
      <c r="P3407" t="s">
        <v>70</v>
      </c>
      <c r="Q3407">
        <v>91</v>
      </c>
      <c r="R3407" t="s">
        <v>214</v>
      </c>
      <c r="S3407" s="2" t="s">
        <v>9</v>
      </c>
      <c r="T3407">
        <v>1</v>
      </c>
      <c r="U3407" t="s">
        <v>28</v>
      </c>
      <c r="V3407" t="s">
        <v>28</v>
      </c>
      <c r="W3407">
        <v>15</v>
      </c>
      <c r="X3407">
        <v>60.25</v>
      </c>
      <c r="Y3407" t="s">
        <v>28</v>
      </c>
    </row>
    <row r="3408" spans="1:25" x14ac:dyDescent="0.2">
      <c r="A3408" t="s">
        <v>448</v>
      </c>
      <c r="B3408">
        <v>2013</v>
      </c>
      <c r="C3408" t="s">
        <v>816</v>
      </c>
      <c r="D3408" t="s">
        <v>817</v>
      </c>
      <c r="E3408" t="s">
        <v>31</v>
      </c>
      <c r="F3408" t="s">
        <v>307</v>
      </c>
      <c r="G3408">
        <v>54.177500000000002</v>
      </c>
      <c r="H3408">
        <v>7.8933333299999999</v>
      </c>
      <c r="I3408" t="s">
        <v>449</v>
      </c>
      <c r="J3408" s="2" t="s">
        <v>14</v>
      </c>
      <c r="K3408" t="s">
        <v>144</v>
      </c>
      <c r="L3408" t="s">
        <v>144</v>
      </c>
      <c r="M3408" t="s">
        <v>727</v>
      </c>
      <c r="N3408" t="s">
        <v>85</v>
      </c>
      <c r="O3408" s="6" t="s">
        <v>450</v>
      </c>
      <c r="P3408" t="s">
        <v>70</v>
      </c>
      <c r="Q3408">
        <v>98</v>
      </c>
      <c r="R3408" t="s">
        <v>214</v>
      </c>
      <c r="S3408" s="2" t="s">
        <v>9</v>
      </c>
      <c r="T3408">
        <v>1</v>
      </c>
      <c r="U3408" t="s">
        <v>28</v>
      </c>
      <c r="V3408" t="s">
        <v>28</v>
      </c>
      <c r="W3408">
        <v>15</v>
      </c>
      <c r="X3408">
        <v>60.4</v>
      </c>
      <c r="Y3408" t="s">
        <v>28</v>
      </c>
    </row>
    <row r="3409" spans="1:25" x14ac:dyDescent="0.2">
      <c r="A3409" t="s">
        <v>448</v>
      </c>
      <c r="B3409">
        <v>2013</v>
      </c>
      <c r="C3409" t="s">
        <v>816</v>
      </c>
      <c r="D3409" t="s">
        <v>817</v>
      </c>
      <c r="E3409" t="s">
        <v>31</v>
      </c>
      <c r="F3409" t="s">
        <v>307</v>
      </c>
      <c r="G3409">
        <v>54.177500000000002</v>
      </c>
      <c r="H3409">
        <v>7.8933333299999999</v>
      </c>
      <c r="I3409" t="s">
        <v>449</v>
      </c>
      <c r="J3409" s="2" t="s">
        <v>14</v>
      </c>
      <c r="K3409" t="s">
        <v>144</v>
      </c>
      <c r="L3409" t="s">
        <v>144</v>
      </c>
      <c r="M3409" t="s">
        <v>727</v>
      </c>
      <c r="N3409" t="s">
        <v>85</v>
      </c>
      <c r="O3409" s="6" t="s">
        <v>450</v>
      </c>
      <c r="P3409" t="s">
        <v>70</v>
      </c>
      <c r="Q3409">
        <v>105</v>
      </c>
      <c r="R3409" t="s">
        <v>214</v>
      </c>
      <c r="S3409" s="2" t="s">
        <v>9</v>
      </c>
      <c r="T3409">
        <v>1</v>
      </c>
      <c r="U3409" t="s">
        <v>28</v>
      </c>
      <c r="V3409" t="s">
        <v>28</v>
      </c>
      <c r="W3409">
        <v>15</v>
      </c>
      <c r="X3409">
        <v>66.930000000000007</v>
      </c>
      <c r="Y3409" t="s">
        <v>28</v>
      </c>
    </row>
    <row r="3410" spans="1:25" x14ac:dyDescent="0.2">
      <c r="A3410" t="s">
        <v>448</v>
      </c>
      <c r="B3410">
        <v>2013</v>
      </c>
      <c r="C3410" t="s">
        <v>816</v>
      </c>
      <c r="D3410" t="s">
        <v>817</v>
      </c>
      <c r="E3410" t="s">
        <v>31</v>
      </c>
      <c r="F3410" t="s">
        <v>307</v>
      </c>
      <c r="G3410">
        <v>54.177500000000002</v>
      </c>
      <c r="H3410">
        <v>7.8933333299999999</v>
      </c>
      <c r="I3410" t="s">
        <v>449</v>
      </c>
      <c r="J3410" s="2" t="s">
        <v>14</v>
      </c>
      <c r="K3410" t="s">
        <v>144</v>
      </c>
      <c r="L3410" t="s">
        <v>144</v>
      </c>
      <c r="M3410" t="s">
        <v>727</v>
      </c>
      <c r="N3410" t="s">
        <v>85</v>
      </c>
      <c r="O3410" s="6" t="s">
        <v>450</v>
      </c>
      <c r="P3410" t="s">
        <v>70</v>
      </c>
      <c r="Q3410">
        <v>112</v>
      </c>
      <c r="R3410" t="s">
        <v>213</v>
      </c>
      <c r="S3410" s="2" t="s">
        <v>9</v>
      </c>
      <c r="T3410">
        <v>1</v>
      </c>
      <c r="U3410" t="s">
        <v>28</v>
      </c>
      <c r="V3410" t="s">
        <v>28</v>
      </c>
      <c r="W3410">
        <v>15</v>
      </c>
      <c r="X3410">
        <v>66.95</v>
      </c>
      <c r="Y3410" t="s">
        <v>28</v>
      </c>
    </row>
    <row r="3411" spans="1:25" x14ac:dyDescent="0.2">
      <c r="A3411" t="s">
        <v>448</v>
      </c>
      <c r="B3411">
        <v>2013</v>
      </c>
      <c r="C3411" t="s">
        <v>816</v>
      </c>
      <c r="D3411" t="s">
        <v>817</v>
      </c>
      <c r="E3411" t="s">
        <v>31</v>
      </c>
      <c r="F3411" t="s">
        <v>307</v>
      </c>
      <c r="G3411">
        <v>54.177500000000002</v>
      </c>
      <c r="H3411">
        <v>7.8933333299999999</v>
      </c>
      <c r="I3411" t="s">
        <v>449</v>
      </c>
      <c r="J3411" s="2" t="s">
        <v>14</v>
      </c>
      <c r="K3411" t="s">
        <v>144</v>
      </c>
      <c r="L3411" t="s">
        <v>144</v>
      </c>
      <c r="M3411" t="s">
        <v>727</v>
      </c>
      <c r="N3411" t="s">
        <v>85</v>
      </c>
      <c r="O3411" s="6" t="s">
        <v>450</v>
      </c>
      <c r="P3411" t="s">
        <v>70</v>
      </c>
      <c r="Q3411">
        <v>7</v>
      </c>
      <c r="R3411" t="s">
        <v>214</v>
      </c>
      <c r="S3411" s="2" t="s">
        <v>27</v>
      </c>
      <c r="T3411">
        <v>1</v>
      </c>
      <c r="U3411" t="s">
        <v>28</v>
      </c>
      <c r="V3411" t="s">
        <v>28</v>
      </c>
      <c r="W3411">
        <v>16</v>
      </c>
      <c r="X3411">
        <v>0</v>
      </c>
      <c r="Y3411" t="s">
        <v>28</v>
      </c>
    </row>
    <row r="3412" spans="1:25" x14ac:dyDescent="0.2">
      <c r="A3412" t="s">
        <v>448</v>
      </c>
      <c r="B3412">
        <v>2013</v>
      </c>
      <c r="C3412" t="s">
        <v>816</v>
      </c>
      <c r="D3412" t="s">
        <v>817</v>
      </c>
      <c r="E3412" t="s">
        <v>31</v>
      </c>
      <c r="F3412" t="s">
        <v>307</v>
      </c>
      <c r="G3412">
        <v>54.177500000000002</v>
      </c>
      <c r="H3412">
        <v>7.8933333299999999</v>
      </c>
      <c r="I3412" t="s">
        <v>449</v>
      </c>
      <c r="J3412" s="2" t="s">
        <v>14</v>
      </c>
      <c r="K3412" t="s">
        <v>144</v>
      </c>
      <c r="L3412" t="s">
        <v>144</v>
      </c>
      <c r="M3412" t="s">
        <v>727</v>
      </c>
      <c r="N3412" t="s">
        <v>85</v>
      </c>
      <c r="O3412" s="6" t="s">
        <v>450</v>
      </c>
      <c r="P3412" t="s">
        <v>70</v>
      </c>
      <c r="Q3412">
        <v>14</v>
      </c>
      <c r="R3412" t="s">
        <v>214</v>
      </c>
      <c r="S3412" s="2" t="s">
        <v>27</v>
      </c>
      <c r="T3412">
        <v>1</v>
      </c>
      <c r="U3412" t="s">
        <v>28</v>
      </c>
      <c r="V3412" t="s">
        <v>28</v>
      </c>
      <c r="W3412">
        <v>16</v>
      </c>
      <c r="X3412">
        <v>0</v>
      </c>
      <c r="Y3412" t="s">
        <v>28</v>
      </c>
    </row>
    <row r="3413" spans="1:25" x14ac:dyDescent="0.2">
      <c r="A3413" t="s">
        <v>448</v>
      </c>
      <c r="B3413">
        <v>2013</v>
      </c>
      <c r="C3413" t="s">
        <v>816</v>
      </c>
      <c r="D3413" t="s">
        <v>817</v>
      </c>
      <c r="E3413" t="s">
        <v>31</v>
      </c>
      <c r="F3413" t="s">
        <v>307</v>
      </c>
      <c r="G3413">
        <v>54.177500000000002</v>
      </c>
      <c r="H3413">
        <v>7.8933333299999999</v>
      </c>
      <c r="I3413" t="s">
        <v>449</v>
      </c>
      <c r="J3413" s="2" t="s">
        <v>14</v>
      </c>
      <c r="K3413" t="s">
        <v>144</v>
      </c>
      <c r="L3413" t="s">
        <v>144</v>
      </c>
      <c r="M3413" t="s">
        <v>727</v>
      </c>
      <c r="N3413" t="s">
        <v>85</v>
      </c>
      <c r="O3413" s="6" t="s">
        <v>450</v>
      </c>
      <c r="P3413" t="s">
        <v>70</v>
      </c>
      <c r="Q3413">
        <v>21</v>
      </c>
      <c r="R3413" t="s">
        <v>214</v>
      </c>
      <c r="S3413" s="2" t="s">
        <v>27</v>
      </c>
      <c r="T3413">
        <v>1</v>
      </c>
      <c r="U3413" t="s">
        <v>28</v>
      </c>
      <c r="V3413" t="s">
        <v>28</v>
      </c>
      <c r="W3413">
        <v>16</v>
      </c>
      <c r="X3413">
        <v>0</v>
      </c>
      <c r="Y3413" t="s">
        <v>28</v>
      </c>
    </row>
    <row r="3414" spans="1:25" x14ac:dyDescent="0.2">
      <c r="A3414" t="s">
        <v>448</v>
      </c>
      <c r="B3414">
        <v>2013</v>
      </c>
      <c r="C3414" t="s">
        <v>816</v>
      </c>
      <c r="D3414" t="s">
        <v>817</v>
      </c>
      <c r="E3414" t="s">
        <v>31</v>
      </c>
      <c r="F3414" t="s">
        <v>307</v>
      </c>
      <c r="G3414">
        <v>54.177500000000002</v>
      </c>
      <c r="H3414">
        <v>7.8933333299999999</v>
      </c>
      <c r="I3414" t="s">
        <v>449</v>
      </c>
      <c r="J3414" s="2" t="s">
        <v>14</v>
      </c>
      <c r="K3414" t="s">
        <v>144</v>
      </c>
      <c r="L3414" t="s">
        <v>144</v>
      </c>
      <c r="M3414" t="s">
        <v>727</v>
      </c>
      <c r="N3414" t="s">
        <v>85</v>
      </c>
      <c r="O3414" s="6" t="s">
        <v>450</v>
      </c>
      <c r="P3414" t="s">
        <v>70</v>
      </c>
      <c r="Q3414">
        <v>28</v>
      </c>
      <c r="R3414" t="s">
        <v>214</v>
      </c>
      <c r="S3414" s="2" t="s">
        <v>27</v>
      </c>
      <c r="T3414">
        <v>1</v>
      </c>
      <c r="U3414" t="s">
        <v>28</v>
      </c>
      <c r="V3414" t="s">
        <v>28</v>
      </c>
      <c r="W3414">
        <v>16</v>
      </c>
      <c r="X3414">
        <v>3.38</v>
      </c>
      <c r="Y3414" t="s">
        <v>28</v>
      </c>
    </row>
    <row r="3415" spans="1:25" x14ac:dyDescent="0.2">
      <c r="A3415" t="s">
        <v>448</v>
      </c>
      <c r="B3415">
        <v>2013</v>
      </c>
      <c r="C3415" t="s">
        <v>816</v>
      </c>
      <c r="D3415" t="s">
        <v>817</v>
      </c>
      <c r="E3415" t="s">
        <v>31</v>
      </c>
      <c r="F3415" t="s">
        <v>307</v>
      </c>
      <c r="G3415">
        <v>54.177500000000002</v>
      </c>
      <c r="H3415">
        <v>7.8933333299999999</v>
      </c>
      <c r="I3415" t="s">
        <v>449</v>
      </c>
      <c r="J3415" s="2" t="s">
        <v>14</v>
      </c>
      <c r="K3415" t="s">
        <v>144</v>
      </c>
      <c r="L3415" t="s">
        <v>144</v>
      </c>
      <c r="M3415" t="s">
        <v>727</v>
      </c>
      <c r="N3415" t="s">
        <v>85</v>
      </c>
      <c r="O3415" s="6" t="s">
        <v>450</v>
      </c>
      <c r="P3415" t="s">
        <v>70</v>
      </c>
      <c r="Q3415">
        <v>35</v>
      </c>
      <c r="R3415" t="s">
        <v>214</v>
      </c>
      <c r="S3415" s="2" t="s">
        <v>27</v>
      </c>
      <c r="T3415">
        <v>1</v>
      </c>
      <c r="U3415" t="s">
        <v>28</v>
      </c>
      <c r="V3415" t="s">
        <v>28</v>
      </c>
      <c r="W3415">
        <v>16</v>
      </c>
      <c r="X3415">
        <v>26.9</v>
      </c>
      <c r="Y3415" t="s">
        <v>28</v>
      </c>
    </row>
    <row r="3416" spans="1:25" x14ac:dyDescent="0.2">
      <c r="A3416" t="s">
        <v>448</v>
      </c>
      <c r="B3416">
        <v>2013</v>
      </c>
      <c r="C3416" t="s">
        <v>816</v>
      </c>
      <c r="D3416" t="s">
        <v>817</v>
      </c>
      <c r="E3416" t="s">
        <v>31</v>
      </c>
      <c r="F3416" t="s">
        <v>307</v>
      </c>
      <c r="G3416">
        <v>54.177500000000002</v>
      </c>
      <c r="H3416">
        <v>7.8933333299999999</v>
      </c>
      <c r="I3416" t="s">
        <v>449</v>
      </c>
      <c r="J3416" s="2" t="s">
        <v>14</v>
      </c>
      <c r="K3416" t="s">
        <v>144</v>
      </c>
      <c r="L3416" t="s">
        <v>144</v>
      </c>
      <c r="M3416" t="s">
        <v>727</v>
      </c>
      <c r="N3416" t="s">
        <v>85</v>
      </c>
      <c r="O3416" s="6" t="s">
        <v>450</v>
      </c>
      <c r="P3416" t="s">
        <v>70</v>
      </c>
      <c r="Q3416">
        <v>42</v>
      </c>
      <c r="R3416" t="s">
        <v>214</v>
      </c>
      <c r="S3416" s="2" t="s">
        <v>27</v>
      </c>
      <c r="T3416">
        <v>1</v>
      </c>
      <c r="U3416" t="s">
        <v>28</v>
      </c>
      <c r="V3416" t="s">
        <v>28</v>
      </c>
      <c r="W3416">
        <v>16</v>
      </c>
      <c r="X3416">
        <v>40.08</v>
      </c>
      <c r="Y3416" t="s">
        <v>28</v>
      </c>
    </row>
    <row r="3417" spans="1:25" x14ac:dyDescent="0.2">
      <c r="A3417" t="s">
        <v>448</v>
      </c>
      <c r="B3417">
        <v>2013</v>
      </c>
      <c r="C3417" t="s">
        <v>816</v>
      </c>
      <c r="D3417" t="s">
        <v>817</v>
      </c>
      <c r="E3417" t="s">
        <v>31</v>
      </c>
      <c r="F3417" t="s">
        <v>307</v>
      </c>
      <c r="G3417">
        <v>54.177500000000002</v>
      </c>
      <c r="H3417">
        <v>7.8933333299999999</v>
      </c>
      <c r="I3417" t="s">
        <v>449</v>
      </c>
      <c r="J3417" s="2" t="s">
        <v>14</v>
      </c>
      <c r="K3417" t="s">
        <v>144</v>
      </c>
      <c r="L3417" t="s">
        <v>144</v>
      </c>
      <c r="M3417" t="s">
        <v>727</v>
      </c>
      <c r="N3417" t="s">
        <v>85</v>
      </c>
      <c r="O3417" s="6" t="s">
        <v>450</v>
      </c>
      <c r="P3417" t="s">
        <v>70</v>
      </c>
      <c r="Q3417">
        <v>49</v>
      </c>
      <c r="R3417" t="s">
        <v>214</v>
      </c>
      <c r="S3417" s="2" t="s">
        <v>27</v>
      </c>
      <c r="T3417">
        <v>1</v>
      </c>
      <c r="U3417" t="s">
        <v>28</v>
      </c>
      <c r="V3417" t="s">
        <v>28</v>
      </c>
      <c r="W3417">
        <v>16</v>
      </c>
      <c r="X3417">
        <v>46.86</v>
      </c>
      <c r="Y3417" t="s">
        <v>28</v>
      </c>
    </row>
    <row r="3418" spans="1:25" x14ac:dyDescent="0.2">
      <c r="A3418" t="s">
        <v>448</v>
      </c>
      <c r="B3418">
        <v>2013</v>
      </c>
      <c r="C3418" t="s">
        <v>816</v>
      </c>
      <c r="D3418" t="s">
        <v>817</v>
      </c>
      <c r="E3418" t="s">
        <v>31</v>
      </c>
      <c r="F3418" t="s">
        <v>307</v>
      </c>
      <c r="G3418">
        <v>54.177500000000002</v>
      </c>
      <c r="H3418">
        <v>7.8933333299999999</v>
      </c>
      <c r="I3418" t="s">
        <v>449</v>
      </c>
      <c r="J3418" s="2" t="s">
        <v>14</v>
      </c>
      <c r="K3418" t="s">
        <v>144</v>
      </c>
      <c r="L3418" t="s">
        <v>144</v>
      </c>
      <c r="M3418" t="s">
        <v>727</v>
      </c>
      <c r="N3418" t="s">
        <v>85</v>
      </c>
      <c r="O3418" s="6" t="s">
        <v>450</v>
      </c>
      <c r="P3418" t="s">
        <v>70</v>
      </c>
      <c r="Q3418">
        <v>56</v>
      </c>
      <c r="R3418" t="s">
        <v>214</v>
      </c>
      <c r="S3418" s="2" t="s">
        <v>27</v>
      </c>
      <c r="T3418">
        <v>1</v>
      </c>
      <c r="U3418" t="s">
        <v>28</v>
      </c>
      <c r="V3418" t="s">
        <v>28</v>
      </c>
      <c r="W3418">
        <v>16</v>
      </c>
      <c r="X3418">
        <v>56.97</v>
      </c>
      <c r="Y3418" t="s">
        <v>28</v>
      </c>
    </row>
    <row r="3419" spans="1:25" x14ac:dyDescent="0.2">
      <c r="A3419" t="s">
        <v>448</v>
      </c>
      <c r="B3419">
        <v>2013</v>
      </c>
      <c r="C3419" t="s">
        <v>816</v>
      </c>
      <c r="D3419" t="s">
        <v>817</v>
      </c>
      <c r="E3419" t="s">
        <v>31</v>
      </c>
      <c r="F3419" t="s">
        <v>307</v>
      </c>
      <c r="G3419">
        <v>54.177500000000002</v>
      </c>
      <c r="H3419">
        <v>7.8933333299999999</v>
      </c>
      <c r="I3419" t="s">
        <v>449</v>
      </c>
      <c r="J3419" s="2" t="s">
        <v>14</v>
      </c>
      <c r="K3419" t="s">
        <v>144</v>
      </c>
      <c r="L3419" t="s">
        <v>144</v>
      </c>
      <c r="M3419" t="s">
        <v>727</v>
      </c>
      <c r="N3419" t="s">
        <v>85</v>
      </c>
      <c r="O3419" s="6" t="s">
        <v>450</v>
      </c>
      <c r="P3419" t="s">
        <v>70</v>
      </c>
      <c r="Q3419">
        <v>63</v>
      </c>
      <c r="R3419" t="s">
        <v>214</v>
      </c>
      <c r="S3419" s="2" t="s">
        <v>27</v>
      </c>
      <c r="T3419">
        <v>1</v>
      </c>
      <c r="U3419" t="s">
        <v>28</v>
      </c>
      <c r="V3419" t="s">
        <v>28</v>
      </c>
      <c r="W3419">
        <v>16</v>
      </c>
      <c r="X3419">
        <v>60.18</v>
      </c>
      <c r="Y3419" t="s">
        <v>28</v>
      </c>
    </row>
    <row r="3420" spans="1:25" x14ac:dyDescent="0.2">
      <c r="A3420" t="s">
        <v>448</v>
      </c>
      <c r="B3420">
        <v>2013</v>
      </c>
      <c r="C3420" t="s">
        <v>816</v>
      </c>
      <c r="D3420" t="s">
        <v>817</v>
      </c>
      <c r="E3420" t="s">
        <v>31</v>
      </c>
      <c r="F3420" t="s">
        <v>307</v>
      </c>
      <c r="G3420">
        <v>54.177500000000002</v>
      </c>
      <c r="H3420">
        <v>7.8933333299999999</v>
      </c>
      <c r="I3420" t="s">
        <v>449</v>
      </c>
      <c r="J3420" s="2" t="s">
        <v>14</v>
      </c>
      <c r="K3420" t="s">
        <v>144</v>
      </c>
      <c r="L3420" t="s">
        <v>144</v>
      </c>
      <c r="M3420" t="s">
        <v>727</v>
      </c>
      <c r="N3420" t="s">
        <v>85</v>
      </c>
      <c r="O3420" s="6" t="s">
        <v>450</v>
      </c>
      <c r="P3420" t="s">
        <v>70</v>
      </c>
      <c r="Q3420">
        <v>70</v>
      </c>
      <c r="R3420" t="s">
        <v>214</v>
      </c>
      <c r="S3420" s="2" t="s">
        <v>27</v>
      </c>
      <c r="T3420">
        <v>1</v>
      </c>
      <c r="U3420" t="s">
        <v>28</v>
      </c>
      <c r="V3420" t="s">
        <v>28</v>
      </c>
      <c r="W3420">
        <v>16</v>
      </c>
      <c r="X3420">
        <v>60.2</v>
      </c>
      <c r="Y3420" t="s">
        <v>28</v>
      </c>
    </row>
    <row r="3421" spans="1:25" x14ac:dyDescent="0.2">
      <c r="A3421" t="s">
        <v>448</v>
      </c>
      <c r="B3421">
        <v>2013</v>
      </c>
      <c r="C3421" t="s">
        <v>816</v>
      </c>
      <c r="D3421" t="s">
        <v>817</v>
      </c>
      <c r="E3421" t="s">
        <v>31</v>
      </c>
      <c r="F3421" t="s">
        <v>307</v>
      </c>
      <c r="G3421">
        <v>54.177500000000002</v>
      </c>
      <c r="H3421">
        <v>7.8933333299999999</v>
      </c>
      <c r="I3421" t="s">
        <v>449</v>
      </c>
      <c r="J3421" s="2" t="s">
        <v>14</v>
      </c>
      <c r="K3421" t="s">
        <v>144</v>
      </c>
      <c r="L3421" t="s">
        <v>144</v>
      </c>
      <c r="M3421" t="s">
        <v>727</v>
      </c>
      <c r="N3421" t="s">
        <v>85</v>
      </c>
      <c r="O3421" s="6" t="s">
        <v>450</v>
      </c>
      <c r="P3421" t="s">
        <v>70</v>
      </c>
      <c r="Q3421">
        <v>77</v>
      </c>
      <c r="R3421" t="s">
        <v>214</v>
      </c>
      <c r="S3421" s="2" t="s">
        <v>27</v>
      </c>
      <c r="T3421">
        <v>1</v>
      </c>
      <c r="U3421" t="s">
        <v>28</v>
      </c>
      <c r="V3421" t="s">
        <v>28</v>
      </c>
      <c r="W3421">
        <v>16</v>
      </c>
      <c r="X3421">
        <v>63.41</v>
      </c>
      <c r="Y3421" t="s">
        <v>28</v>
      </c>
    </row>
    <row r="3422" spans="1:25" x14ac:dyDescent="0.2">
      <c r="A3422" t="s">
        <v>448</v>
      </c>
      <c r="B3422">
        <v>2013</v>
      </c>
      <c r="C3422" t="s">
        <v>816</v>
      </c>
      <c r="D3422" t="s">
        <v>817</v>
      </c>
      <c r="E3422" t="s">
        <v>31</v>
      </c>
      <c r="F3422" t="s">
        <v>307</v>
      </c>
      <c r="G3422">
        <v>54.177500000000002</v>
      </c>
      <c r="H3422">
        <v>7.8933333299999999</v>
      </c>
      <c r="I3422" t="s">
        <v>449</v>
      </c>
      <c r="J3422" s="2" t="s">
        <v>14</v>
      </c>
      <c r="K3422" t="s">
        <v>144</v>
      </c>
      <c r="L3422" t="s">
        <v>144</v>
      </c>
      <c r="M3422" t="s">
        <v>727</v>
      </c>
      <c r="N3422" t="s">
        <v>85</v>
      </c>
      <c r="O3422" s="6" t="s">
        <v>450</v>
      </c>
      <c r="P3422" t="s">
        <v>70</v>
      </c>
      <c r="Q3422">
        <v>84</v>
      </c>
      <c r="R3422" t="s">
        <v>214</v>
      </c>
      <c r="S3422" s="2" t="s">
        <v>27</v>
      </c>
      <c r="T3422">
        <v>1</v>
      </c>
      <c r="U3422" t="s">
        <v>28</v>
      </c>
      <c r="V3422" t="s">
        <v>28</v>
      </c>
      <c r="W3422">
        <v>16</v>
      </c>
      <c r="X3422">
        <v>63.56</v>
      </c>
      <c r="Y3422" t="s">
        <v>28</v>
      </c>
    </row>
    <row r="3423" spans="1:25" x14ac:dyDescent="0.2">
      <c r="A3423" t="s">
        <v>448</v>
      </c>
      <c r="B3423">
        <v>2013</v>
      </c>
      <c r="C3423" t="s">
        <v>816</v>
      </c>
      <c r="D3423" t="s">
        <v>817</v>
      </c>
      <c r="E3423" t="s">
        <v>31</v>
      </c>
      <c r="F3423" t="s">
        <v>307</v>
      </c>
      <c r="G3423">
        <v>54.177500000000002</v>
      </c>
      <c r="H3423">
        <v>7.8933333299999999</v>
      </c>
      <c r="I3423" t="s">
        <v>449</v>
      </c>
      <c r="J3423" s="2" t="s">
        <v>14</v>
      </c>
      <c r="K3423" t="s">
        <v>144</v>
      </c>
      <c r="L3423" t="s">
        <v>144</v>
      </c>
      <c r="M3423" t="s">
        <v>727</v>
      </c>
      <c r="N3423" t="s">
        <v>85</v>
      </c>
      <c r="O3423" s="6" t="s">
        <v>450</v>
      </c>
      <c r="P3423" t="s">
        <v>70</v>
      </c>
      <c r="Q3423">
        <v>91</v>
      </c>
      <c r="R3423" t="s">
        <v>214</v>
      </c>
      <c r="S3423" s="2" t="s">
        <v>27</v>
      </c>
      <c r="T3423">
        <v>1</v>
      </c>
      <c r="U3423" t="s">
        <v>28</v>
      </c>
      <c r="V3423" t="s">
        <v>28</v>
      </c>
      <c r="W3423">
        <v>16</v>
      </c>
      <c r="X3423">
        <v>63.57</v>
      </c>
      <c r="Y3423" t="s">
        <v>28</v>
      </c>
    </row>
    <row r="3424" spans="1:25" x14ac:dyDescent="0.2">
      <c r="A3424" t="s">
        <v>448</v>
      </c>
      <c r="B3424">
        <v>2013</v>
      </c>
      <c r="C3424" t="s">
        <v>816</v>
      </c>
      <c r="D3424" t="s">
        <v>817</v>
      </c>
      <c r="E3424" t="s">
        <v>31</v>
      </c>
      <c r="F3424" t="s">
        <v>307</v>
      </c>
      <c r="G3424">
        <v>54.177500000000002</v>
      </c>
      <c r="H3424">
        <v>7.8933333299999999</v>
      </c>
      <c r="I3424" t="s">
        <v>449</v>
      </c>
      <c r="J3424" s="2" t="s">
        <v>14</v>
      </c>
      <c r="K3424" t="s">
        <v>144</v>
      </c>
      <c r="L3424" t="s">
        <v>144</v>
      </c>
      <c r="M3424" t="s">
        <v>727</v>
      </c>
      <c r="N3424" t="s">
        <v>85</v>
      </c>
      <c r="O3424" s="6" t="s">
        <v>450</v>
      </c>
      <c r="P3424" t="s">
        <v>70</v>
      </c>
      <c r="Q3424">
        <v>98</v>
      </c>
      <c r="R3424" t="s">
        <v>214</v>
      </c>
      <c r="S3424" s="2" t="s">
        <v>27</v>
      </c>
      <c r="T3424">
        <v>1</v>
      </c>
      <c r="U3424" t="s">
        <v>28</v>
      </c>
      <c r="V3424" t="s">
        <v>28</v>
      </c>
      <c r="W3424">
        <v>16</v>
      </c>
      <c r="X3424">
        <v>63.59</v>
      </c>
      <c r="Y3424" t="s">
        <v>28</v>
      </c>
    </row>
    <row r="3425" spans="1:25" x14ac:dyDescent="0.2">
      <c r="A3425" t="s">
        <v>448</v>
      </c>
      <c r="B3425">
        <v>2013</v>
      </c>
      <c r="C3425" t="s">
        <v>816</v>
      </c>
      <c r="D3425" t="s">
        <v>817</v>
      </c>
      <c r="E3425" t="s">
        <v>31</v>
      </c>
      <c r="F3425" t="s">
        <v>307</v>
      </c>
      <c r="G3425">
        <v>54.177500000000002</v>
      </c>
      <c r="H3425">
        <v>7.8933333299999999</v>
      </c>
      <c r="I3425" t="s">
        <v>449</v>
      </c>
      <c r="J3425" s="2" t="s">
        <v>14</v>
      </c>
      <c r="K3425" t="s">
        <v>144</v>
      </c>
      <c r="L3425" t="s">
        <v>144</v>
      </c>
      <c r="M3425" t="s">
        <v>727</v>
      </c>
      <c r="N3425" t="s">
        <v>85</v>
      </c>
      <c r="O3425" s="6" t="s">
        <v>450</v>
      </c>
      <c r="P3425" t="s">
        <v>70</v>
      </c>
      <c r="Q3425">
        <v>112</v>
      </c>
      <c r="R3425" t="s">
        <v>213</v>
      </c>
      <c r="S3425" s="2" t="s">
        <v>27</v>
      </c>
      <c r="T3425">
        <v>1</v>
      </c>
      <c r="U3425" t="s">
        <v>28</v>
      </c>
      <c r="V3425" t="s">
        <v>28</v>
      </c>
      <c r="W3425">
        <v>16</v>
      </c>
      <c r="X3425">
        <v>70.400000000000006</v>
      </c>
      <c r="Y3425" t="s">
        <v>28</v>
      </c>
    </row>
    <row r="3426" spans="1:25" x14ac:dyDescent="0.2">
      <c r="A3426" t="s">
        <v>448</v>
      </c>
      <c r="B3426">
        <v>2013</v>
      </c>
      <c r="C3426" t="s">
        <v>816</v>
      </c>
      <c r="D3426" t="s">
        <v>817</v>
      </c>
      <c r="E3426" t="s">
        <v>31</v>
      </c>
      <c r="F3426" t="s">
        <v>307</v>
      </c>
      <c r="G3426">
        <v>54.177500000000002</v>
      </c>
      <c r="H3426">
        <v>7.8933333299999999</v>
      </c>
      <c r="I3426" t="s">
        <v>449</v>
      </c>
      <c r="J3426" s="2" t="s">
        <v>14</v>
      </c>
      <c r="K3426" t="s">
        <v>144</v>
      </c>
      <c r="L3426" t="s">
        <v>144</v>
      </c>
      <c r="M3426" t="s">
        <v>727</v>
      </c>
      <c r="N3426" t="s">
        <v>85</v>
      </c>
      <c r="O3426" s="6" t="s">
        <v>450</v>
      </c>
      <c r="P3426" t="s">
        <v>70</v>
      </c>
      <c r="Q3426">
        <v>7</v>
      </c>
      <c r="R3426" t="s">
        <v>214</v>
      </c>
      <c r="S3426" s="2" t="s">
        <v>13</v>
      </c>
      <c r="T3426">
        <v>1</v>
      </c>
      <c r="U3426" t="s">
        <v>28</v>
      </c>
      <c r="V3426" t="s">
        <v>28</v>
      </c>
      <c r="W3426">
        <v>17</v>
      </c>
      <c r="X3426">
        <v>0</v>
      </c>
      <c r="Y3426" t="s">
        <v>28</v>
      </c>
    </row>
    <row r="3427" spans="1:25" x14ac:dyDescent="0.2">
      <c r="A3427" t="s">
        <v>448</v>
      </c>
      <c r="B3427">
        <v>2013</v>
      </c>
      <c r="C3427" t="s">
        <v>816</v>
      </c>
      <c r="D3427" t="s">
        <v>817</v>
      </c>
      <c r="E3427" t="s">
        <v>31</v>
      </c>
      <c r="F3427" t="s">
        <v>307</v>
      </c>
      <c r="G3427">
        <v>54.177500000000002</v>
      </c>
      <c r="H3427">
        <v>7.8933333299999999</v>
      </c>
      <c r="I3427" t="s">
        <v>449</v>
      </c>
      <c r="J3427" s="2" t="s">
        <v>14</v>
      </c>
      <c r="K3427" t="s">
        <v>144</v>
      </c>
      <c r="L3427" t="s">
        <v>144</v>
      </c>
      <c r="M3427" t="s">
        <v>727</v>
      </c>
      <c r="N3427" t="s">
        <v>85</v>
      </c>
      <c r="O3427" s="6" t="s">
        <v>450</v>
      </c>
      <c r="P3427" t="s">
        <v>70</v>
      </c>
      <c r="Q3427">
        <v>14</v>
      </c>
      <c r="R3427" t="s">
        <v>214</v>
      </c>
      <c r="S3427" s="2" t="s">
        <v>13</v>
      </c>
      <c r="T3427">
        <v>1</v>
      </c>
      <c r="U3427" t="s">
        <v>28</v>
      </c>
      <c r="V3427" t="s">
        <v>28</v>
      </c>
      <c r="W3427">
        <v>17</v>
      </c>
      <c r="X3427">
        <v>0</v>
      </c>
      <c r="Y3427" t="s">
        <v>28</v>
      </c>
    </row>
    <row r="3428" spans="1:25" x14ac:dyDescent="0.2">
      <c r="A3428" t="s">
        <v>448</v>
      </c>
      <c r="B3428">
        <v>2013</v>
      </c>
      <c r="C3428" t="s">
        <v>816</v>
      </c>
      <c r="D3428" t="s">
        <v>817</v>
      </c>
      <c r="E3428" t="s">
        <v>31</v>
      </c>
      <c r="F3428" t="s">
        <v>307</v>
      </c>
      <c r="G3428">
        <v>54.177500000000002</v>
      </c>
      <c r="H3428">
        <v>7.8933333299999999</v>
      </c>
      <c r="I3428" t="s">
        <v>449</v>
      </c>
      <c r="J3428" s="2" t="s">
        <v>14</v>
      </c>
      <c r="K3428" t="s">
        <v>144</v>
      </c>
      <c r="L3428" t="s">
        <v>144</v>
      </c>
      <c r="M3428" t="s">
        <v>727</v>
      </c>
      <c r="N3428" t="s">
        <v>85</v>
      </c>
      <c r="O3428" s="6" t="s">
        <v>450</v>
      </c>
      <c r="P3428" t="s">
        <v>70</v>
      </c>
      <c r="Q3428">
        <v>21</v>
      </c>
      <c r="R3428" t="s">
        <v>214</v>
      </c>
      <c r="S3428" s="2" t="s">
        <v>13</v>
      </c>
      <c r="T3428">
        <v>1</v>
      </c>
      <c r="U3428" t="s">
        <v>28</v>
      </c>
      <c r="V3428" t="s">
        <v>28</v>
      </c>
      <c r="W3428">
        <v>17</v>
      </c>
      <c r="X3428">
        <v>0</v>
      </c>
      <c r="Y3428" t="s">
        <v>28</v>
      </c>
    </row>
    <row r="3429" spans="1:25" x14ac:dyDescent="0.2">
      <c r="A3429" t="s">
        <v>448</v>
      </c>
      <c r="B3429">
        <v>2013</v>
      </c>
      <c r="C3429" t="s">
        <v>816</v>
      </c>
      <c r="D3429" t="s">
        <v>817</v>
      </c>
      <c r="E3429" t="s">
        <v>31</v>
      </c>
      <c r="F3429" t="s">
        <v>307</v>
      </c>
      <c r="G3429">
        <v>54.177500000000002</v>
      </c>
      <c r="H3429">
        <v>7.8933333299999999</v>
      </c>
      <c r="I3429" t="s">
        <v>449</v>
      </c>
      <c r="J3429" s="2" t="s">
        <v>14</v>
      </c>
      <c r="K3429" t="s">
        <v>144</v>
      </c>
      <c r="L3429" t="s">
        <v>144</v>
      </c>
      <c r="M3429" t="s">
        <v>727</v>
      </c>
      <c r="N3429" t="s">
        <v>85</v>
      </c>
      <c r="O3429" s="6" t="s">
        <v>450</v>
      </c>
      <c r="P3429" t="s">
        <v>70</v>
      </c>
      <c r="Q3429">
        <v>35</v>
      </c>
      <c r="R3429" t="s">
        <v>214</v>
      </c>
      <c r="S3429" s="2" t="s">
        <v>13</v>
      </c>
      <c r="T3429">
        <v>1</v>
      </c>
      <c r="U3429" t="s">
        <v>28</v>
      </c>
      <c r="V3429" t="s">
        <v>28</v>
      </c>
      <c r="W3429">
        <v>17</v>
      </c>
      <c r="X3429">
        <v>10.039999999999999</v>
      </c>
      <c r="Y3429" t="s">
        <v>28</v>
      </c>
    </row>
    <row r="3430" spans="1:25" x14ac:dyDescent="0.2">
      <c r="A3430" t="s">
        <v>448</v>
      </c>
      <c r="B3430">
        <v>2013</v>
      </c>
      <c r="C3430" t="s">
        <v>816</v>
      </c>
      <c r="D3430" t="s">
        <v>817</v>
      </c>
      <c r="E3430" t="s">
        <v>31</v>
      </c>
      <c r="F3430" t="s">
        <v>307</v>
      </c>
      <c r="G3430">
        <v>54.177500000000002</v>
      </c>
      <c r="H3430">
        <v>7.8933333299999999</v>
      </c>
      <c r="I3430" t="s">
        <v>449</v>
      </c>
      <c r="J3430" s="2" t="s">
        <v>14</v>
      </c>
      <c r="K3430" t="s">
        <v>144</v>
      </c>
      <c r="L3430" t="s">
        <v>144</v>
      </c>
      <c r="M3430" t="s">
        <v>727</v>
      </c>
      <c r="N3430" t="s">
        <v>85</v>
      </c>
      <c r="O3430" s="6" t="s">
        <v>450</v>
      </c>
      <c r="P3430" t="s">
        <v>70</v>
      </c>
      <c r="Q3430">
        <v>42</v>
      </c>
      <c r="R3430" t="s">
        <v>214</v>
      </c>
      <c r="S3430" s="2" t="s">
        <v>13</v>
      </c>
      <c r="T3430">
        <v>1</v>
      </c>
      <c r="U3430" t="s">
        <v>28</v>
      </c>
      <c r="V3430" t="s">
        <v>28</v>
      </c>
      <c r="W3430">
        <v>17</v>
      </c>
      <c r="X3430">
        <v>16.829999999999998</v>
      </c>
      <c r="Y3430" t="s">
        <v>28</v>
      </c>
    </row>
    <row r="3431" spans="1:25" x14ac:dyDescent="0.2">
      <c r="A3431" t="s">
        <v>448</v>
      </c>
      <c r="B3431">
        <v>2013</v>
      </c>
      <c r="C3431" t="s">
        <v>816</v>
      </c>
      <c r="D3431" t="s">
        <v>817</v>
      </c>
      <c r="E3431" t="s">
        <v>31</v>
      </c>
      <c r="F3431" t="s">
        <v>307</v>
      </c>
      <c r="G3431">
        <v>54.177500000000002</v>
      </c>
      <c r="H3431">
        <v>7.8933333299999999</v>
      </c>
      <c r="I3431" t="s">
        <v>449</v>
      </c>
      <c r="J3431" s="2" t="s">
        <v>14</v>
      </c>
      <c r="K3431" t="s">
        <v>144</v>
      </c>
      <c r="L3431" t="s">
        <v>144</v>
      </c>
      <c r="M3431" t="s">
        <v>727</v>
      </c>
      <c r="N3431" t="s">
        <v>85</v>
      </c>
      <c r="O3431" s="6" t="s">
        <v>450</v>
      </c>
      <c r="P3431" t="s">
        <v>70</v>
      </c>
      <c r="Q3431">
        <v>49</v>
      </c>
      <c r="R3431" t="s">
        <v>214</v>
      </c>
      <c r="S3431" s="2" t="s">
        <v>13</v>
      </c>
      <c r="T3431">
        <v>1</v>
      </c>
      <c r="U3431" t="s">
        <v>28</v>
      </c>
      <c r="V3431" t="s">
        <v>28</v>
      </c>
      <c r="W3431">
        <v>17</v>
      </c>
      <c r="X3431">
        <v>30.13</v>
      </c>
      <c r="Y3431" t="s">
        <v>28</v>
      </c>
    </row>
    <row r="3432" spans="1:25" x14ac:dyDescent="0.2">
      <c r="A3432" t="s">
        <v>448</v>
      </c>
      <c r="B3432">
        <v>2013</v>
      </c>
      <c r="C3432" t="s">
        <v>816</v>
      </c>
      <c r="D3432" t="s">
        <v>817</v>
      </c>
      <c r="E3432" t="s">
        <v>31</v>
      </c>
      <c r="F3432" t="s">
        <v>307</v>
      </c>
      <c r="G3432">
        <v>54.177500000000002</v>
      </c>
      <c r="H3432">
        <v>7.8933333299999999</v>
      </c>
      <c r="I3432" t="s">
        <v>449</v>
      </c>
      <c r="J3432" s="2" t="s">
        <v>14</v>
      </c>
      <c r="K3432" t="s">
        <v>144</v>
      </c>
      <c r="L3432" t="s">
        <v>144</v>
      </c>
      <c r="M3432" t="s">
        <v>727</v>
      </c>
      <c r="N3432" t="s">
        <v>85</v>
      </c>
      <c r="O3432" s="6" t="s">
        <v>450</v>
      </c>
      <c r="P3432" t="s">
        <v>70</v>
      </c>
      <c r="Q3432">
        <v>56</v>
      </c>
      <c r="R3432" t="s">
        <v>214</v>
      </c>
      <c r="S3432" s="2" t="s">
        <v>13</v>
      </c>
      <c r="T3432">
        <v>1</v>
      </c>
      <c r="U3432" t="s">
        <v>28</v>
      </c>
      <c r="V3432" t="s">
        <v>28</v>
      </c>
      <c r="W3432">
        <v>17</v>
      </c>
      <c r="X3432">
        <v>33.47</v>
      </c>
      <c r="Y3432" t="s">
        <v>28</v>
      </c>
    </row>
    <row r="3433" spans="1:25" x14ac:dyDescent="0.2">
      <c r="A3433" t="s">
        <v>448</v>
      </c>
      <c r="B3433">
        <v>2013</v>
      </c>
      <c r="C3433" t="s">
        <v>816</v>
      </c>
      <c r="D3433" t="s">
        <v>817</v>
      </c>
      <c r="E3433" t="s">
        <v>31</v>
      </c>
      <c r="F3433" t="s">
        <v>307</v>
      </c>
      <c r="G3433">
        <v>54.177500000000002</v>
      </c>
      <c r="H3433">
        <v>7.8933333299999999</v>
      </c>
      <c r="I3433" t="s">
        <v>449</v>
      </c>
      <c r="J3433" s="2" t="s">
        <v>14</v>
      </c>
      <c r="K3433" t="s">
        <v>144</v>
      </c>
      <c r="L3433" t="s">
        <v>144</v>
      </c>
      <c r="M3433" t="s">
        <v>727</v>
      </c>
      <c r="N3433" t="s">
        <v>85</v>
      </c>
      <c r="O3433" s="6" t="s">
        <v>450</v>
      </c>
      <c r="P3433" t="s">
        <v>70</v>
      </c>
      <c r="Q3433">
        <v>63</v>
      </c>
      <c r="R3433" t="s">
        <v>214</v>
      </c>
      <c r="S3433" s="2" t="s">
        <v>13</v>
      </c>
      <c r="T3433">
        <v>1</v>
      </c>
      <c r="U3433" t="s">
        <v>28</v>
      </c>
      <c r="V3433" t="s">
        <v>28</v>
      </c>
      <c r="W3433">
        <v>17</v>
      </c>
      <c r="X3433">
        <v>43.45</v>
      </c>
      <c r="Y3433" t="s">
        <v>28</v>
      </c>
    </row>
    <row r="3434" spans="1:25" x14ac:dyDescent="0.2">
      <c r="A3434" t="s">
        <v>448</v>
      </c>
      <c r="B3434">
        <v>2013</v>
      </c>
      <c r="C3434" t="s">
        <v>816</v>
      </c>
      <c r="D3434" t="s">
        <v>817</v>
      </c>
      <c r="E3434" t="s">
        <v>31</v>
      </c>
      <c r="F3434" t="s">
        <v>307</v>
      </c>
      <c r="G3434">
        <v>54.177500000000002</v>
      </c>
      <c r="H3434">
        <v>7.8933333299999999</v>
      </c>
      <c r="I3434" t="s">
        <v>449</v>
      </c>
      <c r="J3434" s="2" t="s">
        <v>14</v>
      </c>
      <c r="K3434" t="s">
        <v>144</v>
      </c>
      <c r="L3434" t="s">
        <v>144</v>
      </c>
      <c r="M3434" t="s">
        <v>727</v>
      </c>
      <c r="N3434" t="s">
        <v>85</v>
      </c>
      <c r="O3434" s="6" t="s">
        <v>450</v>
      </c>
      <c r="P3434" t="s">
        <v>70</v>
      </c>
      <c r="Q3434">
        <v>70</v>
      </c>
      <c r="R3434" t="s">
        <v>214</v>
      </c>
      <c r="S3434" s="2" t="s">
        <v>13</v>
      </c>
      <c r="T3434">
        <v>1</v>
      </c>
      <c r="U3434" t="s">
        <v>28</v>
      </c>
      <c r="V3434" t="s">
        <v>28</v>
      </c>
      <c r="W3434">
        <v>17</v>
      </c>
      <c r="X3434">
        <v>46.92</v>
      </c>
      <c r="Y3434" t="s">
        <v>28</v>
      </c>
    </row>
    <row r="3435" spans="1:25" x14ac:dyDescent="0.2">
      <c r="A3435" t="s">
        <v>448</v>
      </c>
      <c r="B3435">
        <v>2013</v>
      </c>
      <c r="C3435" t="s">
        <v>816</v>
      </c>
      <c r="D3435" t="s">
        <v>817</v>
      </c>
      <c r="E3435" t="s">
        <v>31</v>
      </c>
      <c r="F3435" t="s">
        <v>307</v>
      </c>
      <c r="G3435">
        <v>54.177500000000002</v>
      </c>
      <c r="H3435">
        <v>7.8933333299999999</v>
      </c>
      <c r="I3435" t="s">
        <v>449</v>
      </c>
      <c r="J3435" s="2" t="s">
        <v>14</v>
      </c>
      <c r="K3435" t="s">
        <v>144</v>
      </c>
      <c r="L3435" t="s">
        <v>144</v>
      </c>
      <c r="M3435" t="s">
        <v>727</v>
      </c>
      <c r="N3435" t="s">
        <v>85</v>
      </c>
      <c r="O3435" s="6" t="s">
        <v>450</v>
      </c>
      <c r="P3435" t="s">
        <v>70</v>
      </c>
      <c r="Q3435">
        <v>77</v>
      </c>
      <c r="R3435" t="s">
        <v>214</v>
      </c>
      <c r="S3435" s="2" t="s">
        <v>13</v>
      </c>
      <c r="T3435">
        <v>1</v>
      </c>
      <c r="U3435" t="s">
        <v>28</v>
      </c>
      <c r="V3435" t="s">
        <v>28</v>
      </c>
      <c r="W3435">
        <v>17</v>
      </c>
      <c r="X3435">
        <v>50.26</v>
      </c>
      <c r="Y3435" t="s">
        <v>28</v>
      </c>
    </row>
    <row r="3436" spans="1:25" x14ac:dyDescent="0.2">
      <c r="A3436" t="s">
        <v>448</v>
      </c>
      <c r="B3436">
        <v>2013</v>
      </c>
      <c r="C3436" t="s">
        <v>816</v>
      </c>
      <c r="D3436" t="s">
        <v>817</v>
      </c>
      <c r="E3436" t="s">
        <v>31</v>
      </c>
      <c r="F3436" t="s">
        <v>307</v>
      </c>
      <c r="G3436">
        <v>54.177500000000002</v>
      </c>
      <c r="H3436">
        <v>7.8933333299999999</v>
      </c>
      <c r="I3436" t="s">
        <v>449</v>
      </c>
      <c r="J3436" s="2" t="s">
        <v>14</v>
      </c>
      <c r="K3436" t="s">
        <v>144</v>
      </c>
      <c r="L3436" t="s">
        <v>144</v>
      </c>
      <c r="M3436" t="s">
        <v>727</v>
      </c>
      <c r="N3436" t="s">
        <v>85</v>
      </c>
      <c r="O3436" s="6" t="s">
        <v>450</v>
      </c>
      <c r="P3436" t="s">
        <v>70</v>
      </c>
      <c r="Q3436">
        <v>84</v>
      </c>
      <c r="R3436" t="s">
        <v>214</v>
      </c>
      <c r="S3436" s="2" t="s">
        <v>13</v>
      </c>
      <c r="T3436">
        <v>1</v>
      </c>
      <c r="U3436" t="s">
        <v>28</v>
      </c>
      <c r="V3436" t="s">
        <v>28</v>
      </c>
      <c r="W3436">
        <v>17</v>
      </c>
      <c r="X3436">
        <v>53.59</v>
      </c>
      <c r="Y3436" t="s">
        <v>28</v>
      </c>
    </row>
    <row r="3437" spans="1:25" x14ac:dyDescent="0.2">
      <c r="A3437" t="s">
        <v>448</v>
      </c>
      <c r="B3437">
        <v>2013</v>
      </c>
      <c r="C3437" t="s">
        <v>816</v>
      </c>
      <c r="D3437" t="s">
        <v>817</v>
      </c>
      <c r="E3437" t="s">
        <v>31</v>
      </c>
      <c r="F3437" t="s">
        <v>307</v>
      </c>
      <c r="G3437">
        <v>54.177500000000002</v>
      </c>
      <c r="H3437">
        <v>7.8933333299999999</v>
      </c>
      <c r="I3437" t="s">
        <v>449</v>
      </c>
      <c r="J3437" s="2" t="s">
        <v>14</v>
      </c>
      <c r="K3437" t="s">
        <v>144</v>
      </c>
      <c r="L3437" t="s">
        <v>144</v>
      </c>
      <c r="M3437" t="s">
        <v>727</v>
      </c>
      <c r="N3437" t="s">
        <v>85</v>
      </c>
      <c r="O3437" s="6" t="s">
        <v>450</v>
      </c>
      <c r="P3437" t="s">
        <v>70</v>
      </c>
      <c r="Q3437">
        <v>91</v>
      </c>
      <c r="R3437" t="s">
        <v>214</v>
      </c>
      <c r="S3437" s="2" t="s">
        <v>13</v>
      </c>
      <c r="T3437">
        <v>1</v>
      </c>
      <c r="U3437" t="s">
        <v>28</v>
      </c>
      <c r="V3437" t="s">
        <v>28</v>
      </c>
      <c r="W3437">
        <v>17</v>
      </c>
      <c r="X3437">
        <v>56.93</v>
      </c>
      <c r="Y3437" t="s">
        <v>28</v>
      </c>
    </row>
    <row r="3438" spans="1:25" x14ac:dyDescent="0.2">
      <c r="A3438" t="s">
        <v>448</v>
      </c>
      <c r="B3438">
        <v>2013</v>
      </c>
      <c r="C3438" t="s">
        <v>816</v>
      </c>
      <c r="D3438" t="s">
        <v>817</v>
      </c>
      <c r="E3438" t="s">
        <v>31</v>
      </c>
      <c r="F3438" t="s">
        <v>307</v>
      </c>
      <c r="G3438">
        <v>54.177500000000002</v>
      </c>
      <c r="H3438">
        <v>7.8933333299999999</v>
      </c>
      <c r="I3438" t="s">
        <v>449</v>
      </c>
      <c r="J3438" s="2" t="s">
        <v>14</v>
      </c>
      <c r="K3438" t="s">
        <v>144</v>
      </c>
      <c r="L3438" t="s">
        <v>144</v>
      </c>
      <c r="M3438" t="s">
        <v>727</v>
      </c>
      <c r="N3438" t="s">
        <v>85</v>
      </c>
      <c r="O3438" s="6" t="s">
        <v>450</v>
      </c>
      <c r="P3438" t="s">
        <v>70</v>
      </c>
      <c r="Q3438">
        <v>98</v>
      </c>
      <c r="R3438" t="s">
        <v>213</v>
      </c>
      <c r="S3438" s="2" t="s">
        <v>13</v>
      </c>
      <c r="T3438">
        <v>1</v>
      </c>
      <c r="U3438" t="s">
        <v>28</v>
      </c>
      <c r="V3438" t="s">
        <v>28</v>
      </c>
      <c r="W3438">
        <v>17</v>
      </c>
      <c r="X3438">
        <v>56.95</v>
      </c>
      <c r="Y3438" t="s">
        <v>28</v>
      </c>
    </row>
    <row r="3439" spans="1:25" x14ac:dyDescent="0.2">
      <c r="A3439" t="s">
        <v>448</v>
      </c>
      <c r="B3439">
        <v>2013</v>
      </c>
      <c r="C3439" t="s">
        <v>816</v>
      </c>
      <c r="D3439" t="s">
        <v>817</v>
      </c>
      <c r="E3439" t="s">
        <v>31</v>
      </c>
      <c r="F3439" t="s">
        <v>307</v>
      </c>
      <c r="G3439">
        <v>54.177500000000002</v>
      </c>
      <c r="H3439">
        <v>7.8933333299999999</v>
      </c>
      <c r="I3439" t="s">
        <v>449</v>
      </c>
      <c r="J3439" s="2" t="s">
        <v>14</v>
      </c>
      <c r="K3439" t="s">
        <v>144</v>
      </c>
      <c r="L3439" t="s">
        <v>144</v>
      </c>
      <c r="M3439" t="s">
        <v>727</v>
      </c>
      <c r="N3439" t="s">
        <v>85</v>
      </c>
      <c r="O3439" s="6" t="s">
        <v>450</v>
      </c>
      <c r="P3439" t="s">
        <v>70</v>
      </c>
      <c r="Q3439">
        <v>7</v>
      </c>
      <c r="R3439" t="s">
        <v>214</v>
      </c>
      <c r="S3439" s="2" t="s">
        <v>15</v>
      </c>
      <c r="T3439">
        <v>1</v>
      </c>
      <c r="U3439" t="s">
        <v>28</v>
      </c>
      <c r="V3439" t="s">
        <v>28</v>
      </c>
      <c r="W3439">
        <v>18</v>
      </c>
      <c r="X3439">
        <v>0</v>
      </c>
      <c r="Y3439" t="s">
        <v>28</v>
      </c>
    </row>
    <row r="3440" spans="1:25" x14ac:dyDescent="0.2">
      <c r="A3440" t="s">
        <v>448</v>
      </c>
      <c r="B3440">
        <v>2013</v>
      </c>
      <c r="C3440" t="s">
        <v>816</v>
      </c>
      <c r="D3440" t="s">
        <v>817</v>
      </c>
      <c r="E3440" t="s">
        <v>31</v>
      </c>
      <c r="F3440" t="s">
        <v>307</v>
      </c>
      <c r="G3440">
        <v>54.177500000000002</v>
      </c>
      <c r="H3440">
        <v>7.8933333299999999</v>
      </c>
      <c r="I3440" t="s">
        <v>449</v>
      </c>
      <c r="J3440" s="2" t="s">
        <v>14</v>
      </c>
      <c r="K3440" t="s">
        <v>144</v>
      </c>
      <c r="L3440" t="s">
        <v>144</v>
      </c>
      <c r="M3440" t="s">
        <v>727</v>
      </c>
      <c r="N3440" t="s">
        <v>85</v>
      </c>
      <c r="O3440" s="6" t="s">
        <v>450</v>
      </c>
      <c r="P3440" t="s">
        <v>70</v>
      </c>
      <c r="Q3440">
        <v>14</v>
      </c>
      <c r="R3440" t="s">
        <v>214</v>
      </c>
      <c r="S3440" s="2" t="s">
        <v>15</v>
      </c>
      <c r="T3440">
        <v>1</v>
      </c>
      <c r="U3440" t="s">
        <v>28</v>
      </c>
      <c r="V3440" t="s">
        <v>28</v>
      </c>
      <c r="W3440">
        <v>18</v>
      </c>
      <c r="X3440">
        <v>0</v>
      </c>
      <c r="Y3440" t="s">
        <v>28</v>
      </c>
    </row>
    <row r="3441" spans="1:25" x14ac:dyDescent="0.2">
      <c r="A3441" t="s">
        <v>448</v>
      </c>
      <c r="B3441">
        <v>2013</v>
      </c>
      <c r="C3441" t="s">
        <v>816</v>
      </c>
      <c r="D3441" t="s">
        <v>817</v>
      </c>
      <c r="E3441" t="s">
        <v>31</v>
      </c>
      <c r="F3441" t="s">
        <v>307</v>
      </c>
      <c r="G3441">
        <v>54.177500000000002</v>
      </c>
      <c r="H3441">
        <v>7.8933333299999999</v>
      </c>
      <c r="I3441" t="s">
        <v>449</v>
      </c>
      <c r="J3441" s="2" t="s">
        <v>14</v>
      </c>
      <c r="K3441" t="s">
        <v>144</v>
      </c>
      <c r="L3441" t="s">
        <v>144</v>
      </c>
      <c r="M3441" t="s">
        <v>727</v>
      </c>
      <c r="N3441" t="s">
        <v>85</v>
      </c>
      <c r="O3441" s="6" t="s">
        <v>450</v>
      </c>
      <c r="P3441" t="s">
        <v>70</v>
      </c>
      <c r="Q3441">
        <v>21</v>
      </c>
      <c r="R3441" t="s">
        <v>214</v>
      </c>
      <c r="S3441" s="2" t="s">
        <v>15</v>
      </c>
      <c r="T3441">
        <v>1</v>
      </c>
      <c r="U3441" t="s">
        <v>28</v>
      </c>
      <c r="V3441" t="s">
        <v>28</v>
      </c>
      <c r="W3441">
        <v>18</v>
      </c>
      <c r="X3441">
        <v>0</v>
      </c>
      <c r="Y3441" t="s">
        <v>28</v>
      </c>
    </row>
    <row r="3442" spans="1:25" x14ac:dyDescent="0.2">
      <c r="A3442" t="s">
        <v>448</v>
      </c>
      <c r="B3442">
        <v>2013</v>
      </c>
      <c r="C3442" t="s">
        <v>816</v>
      </c>
      <c r="D3442" t="s">
        <v>817</v>
      </c>
      <c r="E3442" t="s">
        <v>31</v>
      </c>
      <c r="F3442" t="s">
        <v>307</v>
      </c>
      <c r="G3442">
        <v>54.177500000000002</v>
      </c>
      <c r="H3442">
        <v>7.8933333299999999</v>
      </c>
      <c r="I3442" t="s">
        <v>449</v>
      </c>
      <c r="J3442" s="2" t="s">
        <v>14</v>
      </c>
      <c r="K3442" t="s">
        <v>144</v>
      </c>
      <c r="L3442" t="s">
        <v>144</v>
      </c>
      <c r="M3442" t="s">
        <v>727</v>
      </c>
      <c r="N3442" t="s">
        <v>85</v>
      </c>
      <c r="O3442" s="6" t="s">
        <v>450</v>
      </c>
      <c r="P3442" t="s">
        <v>70</v>
      </c>
      <c r="Q3442">
        <v>28</v>
      </c>
      <c r="R3442" t="s">
        <v>214</v>
      </c>
      <c r="S3442" s="2" t="s">
        <v>15</v>
      </c>
      <c r="T3442">
        <v>1</v>
      </c>
      <c r="U3442" t="s">
        <v>28</v>
      </c>
      <c r="V3442" t="s">
        <v>28</v>
      </c>
      <c r="W3442">
        <v>18</v>
      </c>
      <c r="X3442">
        <v>0</v>
      </c>
      <c r="Y3442" t="s">
        <v>28</v>
      </c>
    </row>
    <row r="3443" spans="1:25" x14ac:dyDescent="0.2">
      <c r="A3443" t="s">
        <v>448</v>
      </c>
      <c r="B3443">
        <v>2013</v>
      </c>
      <c r="C3443" t="s">
        <v>816</v>
      </c>
      <c r="D3443" t="s">
        <v>817</v>
      </c>
      <c r="E3443" t="s">
        <v>31</v>
      </c>
      <c r="F3443" t="s">
        <v>307</v>
      </c>
      <c r="G3443">
        <v>54.177500000000002</v>
      </c>
      <c r="H3443">
        <v>7.8933333299999999</v>
      </c>
      <c r="I3443" t="s">
        <v>449</v>
      </c>
      <c r="J3443" s="2" t="s">
        <v>14</v>
      </c>
      <c r="K3443" t="s">
        <v>144</v>
      </c>
      <c r="L3443" t="s">
        <v>144</v>
      </c>
      <c r="M3443" t="s">
        <v>727</v>
      </c>
      <c r="N3443" t="s">
        <v>85</v>
      </c>
      <c r="O3443" s="6" t="s">
        <v>450</v>
      </c>
      <c r="P3443" t="s">
        <v>70</v>
      </c>
      <c r="Q3443">
        <v>35</v>
      </c>
      <c r="R3443" t="s">
        <v>214</v>
      </c>
      <c r="S3443" s="2" t="s">
        <v>15</v>
      </c>
      <c r="T3443">
        <v>1</v>
      </c>
      <c r="U3443" t="s">
        <v>28</v>
      </c>
      <c r="V3443" t="s">
        <v>28</v>
      </c>
      <c r="W3443">
        <v>18</v>
      </c>
      <c r="X3443">
        <v>0</v>
      </c>
      <c r="Y3443" t="s">
        <v>28</v>
      </c>
    </row>
    <row r="3444" spans="1:25" x14ac:dyDescent="0.2">
      <c r="A3444" t="s">
        <v>448</v>
      </c>
      <c r="B3444">
        <v>2013</v>
      </c>
      <c r="C3444" t="s">
        <v>816</v>
      </c>
      <c r="D3444" t="s">
        <v>817</v>
      </c>
      <c r="E3444" t="s">
        <v>31</v>
      </c>
      <c r="F3444" t="s">
        <v>307</v>
      </c>
      <c r="G3444">
        <v>54.177500000000002</v>
      </c>
      <c r="H3444">
        <v>7.8933333299999999</v>
      </c>
      <c r="I3444" t="s">
        <v>449</v>
      </c>
      <c r="J3444" s="2" t="s">
        <v>14</v>
      </c>
      <c r="K3444" t="s">
        <v>144</v>
      </c>
      <c r="L3444" t="s">
        <v>144</v>
      </c>
      <c r="M3444" t="s">
        <v>727</v>
      </c>
      <c r="N3444" t="s">
        <v>85</v>
      </c>
      <c r="O3444" s="6" t="s">
        <v>450</v>
      </c>
      <c r="P3444" t="s">
        <v>70</v>
      </c>
      <c r="Q3444">
        <v>49</v>
      </c>
      <c r="R3444" t="s">
        <v>214</v>
      </c>
      <c r="S3444" s="2" t="s">
        <v>15</v>
      </c>
      <c r="T3444">
        <v>1</v>
      </c>
      <c r="U3444" t="s">
        <v>28</v>
      </c>
      <c r="V3444" t="s">
        <v>28</v>
      </c>
      <c r="W3444">
        <v>18</v>
      </c>
      <c r="X3444">
        <v>6.89</v>
      </c>
      <c r="Y3444" t="s">
        <v>28</v>
      </c>
    </row>
    <row r="3445" spans="1:25" x14ac:dyDescent="0.2">
      <c r="A3445" t="s">
        <v>448</v>
      </c>
      <c r="B3445">
        <v>2013</v>
      </c>
      <c r="C3445" t="s">
        <v>816</v>
      </c>
      <c r="D3445" t="s">
        <v>817</v>
      </c>
      <c r="E3445" t="s">
        <v>31</v>
      </c>
      <c r="F3445" t="s">
        <v>307</v>
      </c>
      <c r="G3445">
        <v>54.177500000000002</v>
      </c>
      <c r="H3445">
        <v>7.8933333299999999</v>
      </c>
      <c r="I3445" t="s">
        <v>449</v>
      </c>
      <c r="J3445" s="2" t="s">
        <v>14</v>
      </c>
      <c r="K3445" t="s">
        <v>144</v>
      </c>
      <c r="L3445" t="s">
        <v>144</v>
      </c>
      <c r="M3445" t="s">
        <v>727</v>
      </c>
      <c r="N3445" t="s">
        <v>85</v>
      </c>
      <c r="O3445" s="6" t="s">
        <v>450</v>
      </c>
      <c r="P3445" t="s">
        <v>70</v>
      </c>
      <c r="Q3445">
        <v>56</v>
      </c>
      <c r="R3445" t="s">
        <v>214</v>
      </c>
      <c r="S3445" s="2" t="s">
        <v>15</v>
      </c>
      <c r="T3445">
        <v>1</v>
      </c>
      <c r="U3445" t="s">
        <v>28</v>
      </c>
      <c r="V3445" t="s">
        <v>28</v>
      </c>
      <c r="W3445">
        <v>18</v>
      </c>
      <c r="X3445">
        <v>6.91</v>
      </c>
      <c r="Y3445" t="s">
        <v>28</v>
      </c>
    </row>
    <row r="3446" spans="1:25" x14ac:dyDescent="0.2">
      <c r="A3446" t="s">
        <v>448</v>
      </c>
      <c r="B3446">
        <v>2013</v>
      </c>
      <c r="C3446" t="s">
        <v>816</v>
      </c>
      <c r="D3446" t="s">
        <v>817</v>
      </c>
      <c r="E3446" t="s">
        <v>31</v>
      </c>
      <c r="F3446" t="s">
        <v>307</v>
      </c>
      <c r="G3446">
        <v>54.177500000000002</v>
      </c>
      <c r="H3446">
        <v>7.8933333299999999</v>
      </c>
      <c r="I3446" t="s">
        <v>449</v>
      </c>
      <c r="J3446" s="2" t="s">
        <v>14</v>
      </c>
      <c r="K3446" t="s">
        <v>144</v>
      </c>
      <c r="L3446" t="s">
        <v>144</v>
      </c>
      <c r="M3446" t="s">
        <v>727</v>
      </c>
      <c r="N3446" t="s">
        <v>85</v>
      </c>
      <c r="O3446" s="6" t="s">
        <v>450</v>
      </c>
      <c r="P3446" t="s">
        <v>70</v>
      </c>
      <c r="Q3446">
        <v>63</v>
      </c>
      <c r="R3446" t="s">
        <v>214</v>
      </c>
      <c r="S3446" s="2" t="s">
        <v>15</v>
      </c>
      <c r="T3446">
        <v>1</v>
      </c>
      <c r="U3446" t="s">
        <v>28</v>
      </c>
      <c r="V3446" t="s">
        <v>28</v>
      </c>
      <c r="W3446">
        <v>18</v>
      </c>
      <c r="X3446">
        <v>10.24</v>
      </c>
      <c r="Y3446" t="s">
        <v>28</v>
      </c>
    </row>
    <row r="3447" spans="1:25" x14ac:dyDescent="0.2">
      <c r="A3447" t="s">
        <v>448</v>
      </c>
      <c r="B3447">
        <v>2013</v>
      </c>
      <c r="C3447" t="s">
        <v>816</v>
      </c>
      <c r="D3447" t="s">
        <v>817</v>
      </c>
      <c r="E3447" t="s">
        <v>31</v>
      </c>
      <c r="F3447" t="s">
        <v>307</v>
      </c>
      <c r="G3447">
        <v>54.177500000000002</v>
      </c>
      <c r="H3447">
        <v>7.8933333299999999</v>
      </c>
      <c r="I3447" t="s">
        <v>449</v>
      </c>
      <c r="J3447" s="2" t="s">
        <v>14</v>
      </c>
      <c r="K3447" t="s">
        <v>144</v>
      </c>
      <c r="L3447" t="s">
        <v>144</v>
      </c>
      <c r="M3447" t="s">
        <v>727</v>
      </c>
      <c r="N3447" t="s">
        <v>85</v>
      </c>
      <c r="O3447" s="6" t="s">
        <v>450</v>
      </c>
      <c r="P3447" t="s">
        <v>70</v>
      </c>
      <c r="Q3447">
        <v>70</v>
      </c>
      <c r="R3447" t="s">
        <v>214</v>
      </c>
      <c r="S3447" s="2" t="s">
        <v>15</v>
      </c>
      <c r="T3447">
        <v>1</v>
      </c>
      <c r="U3447" t="s">
        <v>28</v>
      </c>
      <c r="V3447" t="s">
        <v>28</v>
      </c>
      <c r="W3447">
        <v>18</v>
      </c>
      <c r="X3447">
        <v>10.14</v>
      </c>
      <c r="Y3447" t="s">
        <v>28</v>
      </c>
    </row>
    <row r="3448" spans="1:25" x14ac:dyDescent="0.2">
      <c r="A3448" t="s">
        <v>448</v>
      </c>
      <c r="B3448">
        <v>2013</v>
      </c>
      <c r="C3448" t="s">
        <v>816</v>
      </c>
      <c r="D3448" t="s">
        <v>817</v>
      </c>
      <c r="E3448" t="s">
        <v>31</v>
      </c>
      <c r="F3448" t="s">
        <v>307</v>
      </c>
      <c r="G3448">
        <v>54.177500000000002</v>
      </c>
      <c r="H3448">
        <v>7.8933333299999999</v>
      </c>
      <c r="I3448" t="s">
        <v>449</v>
      </c>
      <c r="J3448" s="2" t="s">
        <v>14</v>
      </c>
      <c r="K3448" t="s">
        <v>144</v>
      </c>
      <c r="L3448" t="s">
        <v>144</v>
      </c>
      <c r="M3448" t="s">
        <v>727</v>
      </c>
      <c r="N3448" t="s">
        <v>85</v>
      </c>
      <c r="O3448" s="6" t="s">
        <v>450</v>
      </c>
      <c r="P3448" t="s">
        <v>70</v>
      </c>
      <c r="Q3448">
        <v>77</v>
      </c>
      <c r="R3448" t="s">
        <v>214</v>
      </c>
      <c r="S3448" s="2" t="s">
        <v>15</v>
      </c>
      <c r="T3448">
        <v>1</v>
      </c>
      <c r="U3448" t="s">
        <v>28</v>
      </c>
      <c r="V3448" t="s">
        <v>28</v>
      </c>
      <c r="W3448">
        <v>18</v>
      </c>
      <c r="X3448">
        <v>10.28</v>
      </c>
      <c r="Y3448" t="s">
        <v>28</v>
      </c>
    </row>
    <row r="3449" spans="1:25" x14ac:dyDescent="0.2">
      <c r="A3449" t="s">
        <v>448</v>
      </c>
      <c r="B3449">
        <v>2013</v>
      </c>
      <c r="C3449" t="s">
        <v>816</v>
      </c>
      <c r="D3449" t="s">
        <v>817</v>
      </c>
      <c r="E3449" t="s">
        <v>31</v>
      </c>
      <c r="F3449" t="s">
        <v>307</v>
      </c>
      <c r="G3449">
        <v>54.177500000000002</v>
      </c>
      <c r="H3449">
        <v>7.8933333299999999</v>
      </c>
      <c r="I3449" t="s">
        <v>449</v>
      </c>
      <c r="J3449" s="2" t="s">
        <v>14</v>
      </c>
      <c r="K3449" t="s">
        <v>144</v>
      </c>
      <c r="L3449" t="s">
        <v>144</v>
      </c>
      <c r="M3449" t="s">
        <v>727</v>
      </c>
      <c r="N3449" t="s">
        <v>85</v>
      </c>
      <c r="O3449" s="6" t="s">
        <v>450</v>
      </c>
      <c r="P3449" t="s">
        <v>70</v>
      </c>
      <c r="Q3449">
        <v>84</v>
      </c>
      <c r="R3449" t="s">
        <v>214</v>
      </c>
      <c r="S3449" s="2" t="s">
        <v>15</v>
      </c>
      <c r="T3449">
        <v>1</v>
      </c>
      <c r="U3449" t="s">
        <v>28</v>
      </c>
      <c r="V3449" t="s">
        <v>28</v>
      </c>
      <c r="W3449">
        <v>18</v>
      </c>
      <c r="X3449">
        <v>16.940000000000001</v>
      </c>
      <c r="Y3449" t="s">
        <v>28</v>
      </c>
    </row>
    <row r="3450" spans="1:25" x14ac:dyDescent="0.2">
      <c r="A3450" t="s">
        <v>448</v>
      </c>
      <c r="B3450">
        <v>2013</v>
      </c>
      <c r="C3450" t="s">
        <v>816</v>
      </c>
      <c r="D3450" t="s">
        <v>817</v>
      </c>
      <c r="E3450" t="s">
        <v>31</v>
      </c>
      <c r="F3450" t="s">
        <v>307</v>
      </c>
      <c r="G3450">
        <v>54.177500000000002</v>
      </c>
      <c r="H3450">
        <v>7.8933333299999999</v>
      </c>
      <c r="I3450" t="s">
        <v>449</v>
      </c>
      <c r="J3450" s="2" t="s">
        <v>14</v>
      </c>
      <c r="K3450" t="s">
        <v>144</v>
      </c>
      <c r="L3450" t="s">
        <v>144</v>
      </c>
      <c r="M3450" t="s">
        <v>727</v>
      </c>
      <c r="N3450" t="s">
        <v>85</v>
      </c>
      <c r="O3450" s="6" t="s">
        <v>450</v>
      </c>
      <c r="P3450" t="s">
        <v>70</v>
      </c>
      <c r="Q3450">
        <v>91</v>
      </c>
      <c r="R3450" t="s">
        <v>214</v>
      </c>
      <c r="S3450" s="2" t="s">
        <v>15</v>
      </c>
      <c r="T3450">
        <v>1</v>
      </c>
      <c r="U3450" t="s">
        <v>28</v>
      </c>
      <c r="V3450" t="s">
        <v>28</v>
      </c>
      <c r="W3450">
        <v>18</v>
      </c>
      <c r="X3450">
        <v>16.96</v>
      </c>
      <c r="Y3450" t="s">
        <v>28</v>
      </c>
    </row>
    <row r="3451" spans="1:25" x14ac:dyDescent="0.2">
      <c r="A3451" t="s">
        <v>448</v>
      </c>
      <c r="B3451">
        <v>2013</v>
      </c>
      <c r="C3451" t="s">
        <v>816</v>
      </c>
      <c r="D3451" t="s">
        <v>817</v>
      </c>
      <c r="E3451" t="s">
        <v>31</v>
      </c>
      <c r="F3451" t="s">
        <v>307</v>
      </c>
      <c r="G3451">
        <v>54.177500000000002</v>
      </c>
      <c r="H3451">
        <v>7.8933333299999999</v>
      </c>
      <c r="I3451" t="s">
        <v>449</v>
      </c>
      <c r="J3451" s="2" t="s">
        <v>14</v>
      </c>
      <c r="K3451" t="s">
        <v>144</v>
      </c>
      <c r="L3451" t="s">
        <v>144</v>
      </c>
      <c r="M3451" t="s">
        <v>727</v>
      </c>
      <c r="N3451" t="s">
        <v>85</v>
      </c>
      <c r="O3451" s="6" t="s">
        <v>450</v>
      </c>
      <c r="P3451" t="s">
        <v>70</v>
      </c>
      <c r="Q3451">
        <v>98</v>
      </c>
      <c r="R3451" t="s">
        <v>214</v>
      </c>
      <c r="S3451" s="2" t="s">
        <v>15</v>
      </c>
      <c r="T3451">
        <v>1</v>
      </c>
      <c r="U3451" t="s">
        <v>28</v>
      </c>
      <c r="V3451" t="s">
        <v>28</v>
      </c>
      <c r="W3451">
        <v>18</v>
      </c>
      <c r="X3451">
        <v>17.100000000000001</v>
      </c>
      <c r="Y3451" t="s">
        <v>28</v>
      </c>
    </row>
    <row r="3452" spans="1:25" x14ac:dyDescent="0.2">
      <c r="A3452" t="s">
        <v>448</v>
      </c>
      <c r="B3452">
        <v>2013</v>
      </c>
      <c r="C3452" t="s">
        <v>816</v>
      </c>
      <c r="D3452" t="s">
        <v>817</v>
      </c>
      <c r="E3452" t="s">
        <v>31</v>
      </c>
      <c r="F3452" t="s">
        <v>307</v>
      </c>
      <c r="G3452">
        <v>54.177500000000002</v>
      </c>
      <c r="H3452">
        <v>7.8933333299999999</v>
      </c>
      <c r="I3452" t="s">
        <v>449</v>
      </c>
      <c r="J3452" s="2" t="s">
        <v>14</v>
      </c>
      <c r="K3452" t="s">
        <v>144</v>
      </c>
      <c r="L3452" t="s">
        <v>144</v>
      </c>
      <c r="M3452" t="s">
        <v>727</v>
      </c>
      <c r="N3452" t="s">
        <v>85</v>
      </c>
      <c r="O3452" s="6" t="s">
        <v>450</v>
      </c>
      <c r="P3452" t="s">
        <v>70</v>
      </c>
      <c r="Q3452">
        <v>105</v>
      </c>
      <c r="R3452" t="s">
        <v>214</v>
      </c>
      <c r="S3452" s="2" t="s">
        <v>15</v>
      </c>
      <c r="T3452">
        <v>1</v>
      </c>
      <c r="U3452" t="s">
        <v>28</v>
      </c>
      <c r="V3452" t="s">
        <v>28</v>
      </c>
      <c r="W3452">
        <v>18</v>
      </c>
      <c r="X3452">
        <v>20.32</v>
      </c>
      <c r="Y3452" t="s">
        <v>28</v>
      </c>
    </row>
    <row r="3453" spans="1:25" x14ac:dyDescent="0.2">
      <c r="A3453" t="s">
        <v>448</v>
      </c>
      <c r="B3453">
        <v>2013</v>
      </c>
      <c r="C3453" t="s">
        <v>816</v>
      </c>
      <c r="D3453" t="s">
        <v>817</v>
      </c>
      <c r="E3453" t="s">
        <v>31</v>
      </c>
      <c r="F3453" t="s">
        <v>307</v>
      </c>
      <c r="G3453">
        <v>54.177500000000002</v>
      </c>
      <c r="H3453">
        <v>7.8933333299999999</v>
      </c>
      <c r="I3453" t="s">
        <v>449</v>
      </c>
      <c r="J3453" s="2" t="s">
        <v>14</v>
      </c>
      <c r="K3453" t="s">
        <v>144</v>
      </c>
      <c r="L3453" t="s">
        <v>144</v>
      </c>
      <c r="M3453" t="s">
        <v>727</v>
      </c>
      <c r="N3453" t="s">
        <v>85</v>
      </c>
      <c r="O3453" s="6" t="s">
        <v>450</v>
      </c>
      <c r="P3453" t="s">
        <v>70</v>
      </c>
      <c r="Q3453">
        <v>112</v>
      </c>
      <c r="R3453" t="s">
        <v>213</v>
      </c>
      <c r="S3453" s="2" t="s">
        <v>15</v>
      </c>
      <c r="T3453">
        <v>1</v>
      </c>
      <c r="U3453" t="s">
        <v>28</v>
      </c>
      <c r="V3453" t="s">
        <v>28</v>
      </c>
      <c r="W3453">
        <v>18</v>
      </c>
      <c r="X3453">
        <v>30.3</v>
      </c>
      <c r="Y3453" t="s">
        <v>28</v>
      </c>
    </row>
    <row r="3454" spans="1:25" x14ac:dyDescent="0.2">
      <c r="A3454" t="s">
        <v>448</v>
      </c>
      <c r="B3454">
        <v>2013</v>
      </c>
      <c r="C3454" t="s">
        <v>816</v>
      </c>
      <c r="D3454" t="s">
        <v>817</v>
      </c>
      <c r="E3454" t="s">
        <v>31</v>
      </c>
      <c r="F3454" t="s">
        <v>307</v>
      </c>
      <c r="G3454">
        <v>54.177500000000002</v>
      </c>
      <c r="H3454">
        <v>7.8933333299999999</v>
      </c>
      <c r="I3454" t="s">
        <v>449</v>
      </c>
      <c r="J3454" s="2" t="s">
        <v>14</v>
      </c>
      <c r="K3454" t="s">
        <v>144</v>
      </c>
      <c r="L3454" t="s">
        <v>144</v>
      </c>
      <c r="M3454" t="s">
        <v>727</v>
      </c>
      <c r="N3454" t="s">
        <v>85</v>
      </c>
      <c r="O3454" s="6" t="s">
        <v>450</v>
      </c>
      <c r="P3454" t="s">
        <v>70</v>
      </c>
      <c r="Q3454">
        <v>7</v>
      </c>
      <c r="R3454" t="s">
        <v>214</v>
      </c>
      <c r="S3454" s="2" t="s">
        <v>37</v>
      </c>
      <c r="T3454">
        <v>1</v>
      </c>
      <c r="U3454" t="s">
        <v>28</v>
      </c>
      <c r="V3454" t="s">
        <v>28</v>
      </c>
      <c r="W3454">
        <v>19</v>
      </c>
      <c r="X3454">
        <v>0</v>
      </c>
      <c r="Y3454" t="s">
        <v>28</v>
      </c>
    </row>
    <row r="3455" spans="1:25" x14ac:dyDescent="0.2">
      <c r="A3455" t="s">
        <v>448</v>
      </c>
      <c r="B3455">
        <v>2013</v>
      </c>
      <c r="C3455" t="s">
        <v>816</v>
      </c>
      <c r="D3455" t="s">
        <v>817</v>
      </c>
      <c r="E3455" t="s">
        <v>31</v>
      </c>
      <c r="F3455" t="s">
        <v>307</v>
      </c>
      <c r="G3455">
        <v>54.177500000000002</v>
      </c>
      <c r="H3455">
        <v>7.8933333299999999</v>
      </c>
      <c r="I3455" t="s">
        <v>449</v>
      </c>
      <c r="J3455" s="2" t="s">
        <v>14</v>
      </c>
      <c r="K3455" t="s">
        <v>144</v>
      </c>
      <c r="L3455" t="s">
        <v>144</v>
      </c>
      <c r="M3455" t="s">
        <v>727</v>
      </c>
      <c r="N3455" t="s">
        <v>85</v>
      </c>
      <c r="O3455" s="6" t="s">
        <v>450</v>
      </c>
      <c r="P3455" t="s">
        <v>70</v>
      </c>
      <c r="Q3455">
        <v>14</v>
      </c>
      <c r="R3455" t="s">
        <v>214</v>
      </c>
      <c r="S3455" s="2" t="s">
        <v>37</v>
      </c>
      <c r="T3455">
        <v>1</v>
      </c>
      <c r="U3455" t="s">
        <v>28</v>
      </c>
      <c r="V3455" t="s">
        <v>28</v>
      </c>
      <c r="W3455">
        <v>19</v>
      </c>
      <c r="X3455">
        <v>0</v>
      </c>
      <c r="Y3455" t="s">
        <v>28</v>
      </c>
    </row>
    <row r="3456" spans="1:25" x14ac:dyDescent="0.2">
      <c r="A3456" t="s">
        <v>448</v>
      </c>
      <c r="B3456">
        <v>2013</v>
      </c>
      <c r="C3456" t="s">
        <v>816</v>
      </c>
      <c r="D3456" t="s">
        <v>817</v>
      </c>
      <c r="E3456" t="s">
        <v>31</v>
      </c>
      <c r="F3456" t="s">
        <v>307</v>
      </c>
      <c r="G3456">
        <v>54.177500000000002</v>
      </c>
      <c r="H3456">
        <v>7.8933333299999999</v>
      </c>
      <c r="I3456" t="s">
        <v>449</v>
      </c>
      <c r="J3456" s="2" t="s">
        <v>14</v>
      </c>
      <c r="K3456" t="s">
        <v>144</v>
      </c>
      <c r="L3456" t="s">
        <v>144</v>
      </c>
      <c r="M3456" t="s">
        <v>727</v>
      </c>
      <c r="N3456" t="s">
        <v>85</v>
      </c>
      <c r="O3456" s="6" t="s">
        <v>450</v>
      </c>
      <c r="P3456" t="s">
        <v>70</v>
      </c>
      <c r="Q3456">
        <v>21</v>
      </c>
      <c r="R3456" t="s">
        <v>214</v>
      </c>
      <c r="S3456" s="2" t="s">
        <v>37</v>
      </c>
      <c r="T3456">
        <v>1</v>
      </c>
      <c r="U3456" t="s">
        <v>28</v>
      </c>
      <c r="V3456" t="s">
        <v>28</v>
      </c>
      <c r="W3456">
        <v>19</v>
      </c>
      <c r="X3456">
        <v>0</v>
      </c>
      <c r="Y3456" t="s">
        <v>28</v>
      </c>
    </row>
    <row r="3457" spans="1:25" x14ac:dyDescent="0.2">
      <c r="A3457" t="s">
        <v>448</v>
      </c>
      <c r="B3457">
        <v>2013</v>
      </c>
      <c r="C3457" t="s">
        <v>816</v>
      </c>
      <c r="D3457" t="s">
        <v>817</v>
      </c>
      <c r="E3457" t="s">
        <v>31</v>
      </c>
      <c r="F3457" t="s">
        <v>307</v>
      </c>
      <c r="G3457">
        <v>54.177500000000002</v>
      </c>
      <c r="H3457">
        <v>7.8933333299999999</v>
      </c>
      <c r="I3457" t="s">
        <v>449</v>
      </c>
      <c r="J3457" s="2" t="s">
        <v>14</v>
      </c>
      <c r="K3457" t="s">
        <v>144</v>
      </c>
      <c r="L3457" t="s">
        <v>144</v>
      </c>
      <c r="M3457" t="s">
        <v>727</v>
      </c>
      <c r="N3457" t="s">
        <v>85</v>
      </c>
      <c r="O3457" s="6" t="s">
        <v>450</v>
      </c>
      <c r="P3457" t="s">
        <v>70</v>
      </c>
      <c r="Q3457">
        <v>28</v>
      </c>
      <c r="R3457" t="s">
        <v>214</v>
      </c>
      <c r="S3457" s="2" t="s">
        <v>37</v>
      </c>
      <c r="T3457">
        <v>1</v>
      </c>
      <c r="U3457" t="s">
        <v>28</v>
      </c>
      <c r="V3457" t="s">
        <v>28</v>
      </c>
      <c r="W3457">
        <v>19</v>
      </c>
      <c r="X3457">
        <v>0</v>
      </c>
      <c r="Y3457" t="s">
        <v>28</v>
      </c>
    </row>
    <row r="3458" spans="1:25" x14ac:dyDescent="0.2">
      <c r="A3458" t="s">
        <v>448</v>
      </c>
      <c r="B3458">
        <v>2013</v>
      </c>
      <c r="C3458" t="s">
        <v>816</v>
      </c>
      <c r="D3458" t="s">
        <v>817</v>
      </c>
      <c r="E3458" t="s">
        <v>31</v>
      </c>
      <c r="F3458" t="s">
        <v>307</v>
      </c>
      <c r="G3458">
        <v>54.177500000000002</v>
      </c>
      <c r="H3458">
        <v>7.8933333299999999</v>
      </c>
      <c r="I3458" t="s">
        <v>449</v>
      </c>
      <c r="J3458" s="2" t="s">
        <v>14</v>
      </c>
      <c r="K3458" t="s">
        <v>144</v>
      </c>
      <c r="L3458" t="s">
        <v>144</v>
      </c>
      <c r="M3458" t="s">
        <v>727</v>
      </c>
      <c r="N3458" t="s">
        <v>85</v>
      </c>
      <c r="O3458" s="6" t="s">
        <v>450</v>
      </c>
      <c r="P3458" t="s">
        <v>70</v>
      </c>
      <c r="Q3458">
        <v>35</v>
      </c>
      <c r="R3458" t="s">
        <v>214</v>
      </c>
      <c r="S3458" s="2" t="s">
        <v>37</v>
      </c>
      <c r="T3458">
        <v>1</v>
      </c>
      <c r="U3458" t="s">
        <v>28</v>
      </c>
      <c r="V3458" t="s">
        <v>28</v>
      </c>
      <c r="W3458">
        <v>19</v>
      </c>
      <c r="X3458">
        <v>0</v>
      </c>
      <c r="Y3458" t="s">
        <v>28</v>
      </c>
    </row>
    <row r="3459" spans="1:25" x14ac:dyDescent="0.2">
      <c r="A3459" t="s">
        <v>448</v>
      </c>
      <c r="B3459">
        <v>2013</v>
      </c>
      <c r="C3459" t="s">
        <v>816</v>
      </c>
      <c r="D3459" t="s">
        <v>817</v>
      </c>
      <c r="E3459" t="s">
        <v>31</v>
      </c>
      <c r="F3459" t="s">
        <v>307</v>
      </c>
      <c r="G3459">
        <v>54.177500000000002</v>
      </c>
      <c r="H3459">
        <v>7.8933333299999999</v>
      </c>
      <c r="I3459" t="s">
        <v>449</v>
      </c>
      <c r="J3459" s="2" t="s">
        <v>14</v>
      </c>
      <c r="K3459" t="s">
        <v>144</v>
      </c>
      <c r="L3459" t="s">
        <v>144</v>
      </c>
      <c r="M3459" t="s">
        <v>727</v>
      </c>
      <c r="N3459" t="s">
        <v>85</v>
      </c>
      <c r="O3459" s="6" t="s">
        <v>450</v>
      </c>
      <c r="P3459" t="s">
        <v>70</v>
      </c>
      <c r="Q3459">
        <v>42</v>
      </c>
      <c r="R3459" t="s">
        <v>214</v>
      </c>
      <c r="S3459" s="2" t="s">
        <v>37</v>
      </c>
      <c r="T3459">
        <v>1</v>
      </c>
      <c r="U3459" t="s">
        <v>28</v>
      </c>
      <c r="V3459" t="s">
        <v>28</v>
      </c>
      <c r="W3459">
        <v>19</v>
      </c>
      <c r="X3459">
        <v>0.1</v>
      </c>
      <c r="Y3459" t="s">
        <v>28</v>
      </c>
    </row>
    <row r="3460" spans="1:25" x14ac:dyDescent="0.2">
      <c r="A3460" t="s">
        <v>448</v>
      </c>
      <c r="B3460">
        <v>2013</v>
      </c>
      <c r="C3460" t="s">
        <v>816</v>
      </c>
      <c r="D3460" t="s">
        <v>817</v>
      </c>
      <c r="E3460" t="s">
        <v>31</v>
      </c>
      <c r="F3460" t="s">
        <v>307</v>
      </c>
      <c r="G3460">
        <v>54.177500000000002</v>
      </c>
      <c r="H3460">
        <v>7.8933333299999999</v>
      </c>
      <c r="I3460" t="s">
        <v>449</v>
      </c>
      <c r="J3460" s="2" t="s">
        <v>14</v>
      </c>
      <c r="K3460" t="s">
        <v>144</v>
      </c>
      <c r="L3460" t="s">
        <v>144</v>
      </c>
      <c r="M3460" t="s">
        <v>727</v>
      </c>
      <c r="N3460" t="s">
        <v>85</v>
      </c>
      <c r="O3460" s="6" t="s">
        <v>450</v>
      </c>
      <c r="P3460" t="s">
        <v>70</v>
      </c>
      <c r="Q3460">
        <v>49</v>
      </c>
      <c r="R3460" t="s">
        <v>214</v>
      </c>
      <c r="S3460" s="2" t="s">
        <v>37</v>
      </c>
      <c r="T3460">
        <v>1</v>
      </c>
      <c r="U3460" t="s">
        <v>28</v>
      </c>
      <c r="V3460" t="s">
        <v>28</v>
      </c>
      <c r="W3460">
        <v>19</v>
      </c>
      <c r="X3460">
        <v>0.12</v>
      </c>
      <c r="Y3460" t="s">
        <v>28</v>
      </c>
    </row>
    <row r="3461" spans="1:25" x14ac:dyDescent="0.2">
      <c r="A3461" t="s">
        <v>448</v>
      </c>
      <c r="B3461">
        <v>2013</v>
      </c>
      <c r="C3461" t="s">
        <v>816</v>
      </c>
      <c r="D3461" t="s">
        <v>817</v>
      </c>
      <c r="E3461" t="s">
        <v>31</v>
      </c>
      <c r="F3461" t="s">
        <v>307</v>
      </c>
      <c r="G3461">
        <v>54.177500000000002</v>
      </c>
      <c r="H3461">
        <v>7.8933333299999999</v>
      </c>
      <c r="I3461" t="s">
        <v>449</v>
      </c>
      <c r="J3461" s="2" t="s">
        <v>14</v>
      </c>
      <c r="K3461" t="s">
        <v>144</v>
      </c>
      <c r="L3461" t="s">
        <v>144</v>
      </c>
      <c r="M3461" t="s">
        <v>727</v>
      </c>
      <c r="N3461" t="s">
        <v>85</v>
      </c>
      <c r="O3461" s="6" t="s">
        <v>450</v>
      </c>
      <c r="P3461" t="s">
        <v>70</v>
      </c>
      <c r="Q3461">
        <v>56</v>
      </c>
      <c r="R3461" t="s">
        <v>214</v>
      </c>
      <c r="S3461" s="2" t="s">
        <v>37</v>
      </c>
      <c r="T3461">
        <v>1</v>
      </c>
      <c r="U3461" t="s">
        <v>28</v>
      </c>
      <c r="V3461" t="s">
        <v>28</v>
      </c>
      <c r="W3461">
        <v>19</v>
      </c>
      <c r="X3461">
        <v>0.14000000000000001</v>
      </c>
      <c r="Y3461" t="s">
        <v>28</v>
      </c>
    </row>
    <row r="3462" spans="1:25" x14ac:dyDescent="0.2">
      <c r="A3462" t="s">
        <v>448</v>
      </c>
      <c r="B3462">
        <v>2013</v>
      </c>
      <c r="C3462" t="s">
        <v>816</v>
      </c>
      <c r="D3462" t="s">
        <v>817</v>
      </c>
      <c r="E3462" t="s">
        <v>31</v>
      </c>
      <c r="F3462" t="s">
        <v>307</v>
      </c>
      <c r="G3462">
        <v>54.177500000000002</v>
      </c>
      <c r="H3462">
        <v>7.8933333299999999</v>
      </c>
      <c r="I3462" t="s">
        <v>449</v>
      </c>
      <c r="J3462" s="2" t="s">
        <v>14</v>
      </c>
      <c r="K3462" t="s">
        <v>144</v>
      </c>
      <c r="L3462" t="s">
        <v>144</v>
      </c>
      <c r="M3462" t="s">
        <v>727</v>
      </c>
      <c r="N3462" t="s">
        <v>85</v>
      </c>
      <c r="O3462" s="6" t="s">
        <v>450</v>
      </c>
      <c r="P3462" t="s">
        <v>70</v>
      </c>
      <c r="Q3462">
        <v>63</v>
      </c>
      <c r="R3462" t="s">
        <v>214</v>
      </c>
      <c r="S3462" s="2" t="s">
        <v>37</v>
      </c>
      <c r="T3462">
        <v>1</v>
      </c>
      <c r="U3462" t="s">
        <v>28</v>
      </c>
      <c r="V3462" t="s">
        <v>28</v>
      </c>
      <c r="W3462">
        <v>19</v>
      </c>
      <c r="X3462">
        <v>3.09</v>
      </c>
      <c r="Y3462" t="s">
        <v>28</v>
      </c>
    </row>
    <row r="3463" spans="1:25" x14ac:dyDescent="0.2">
      <c r="A3463" t="s">
        <v>448</v>
      </c>
      <c r="B3463">
        <v>2013</v>
      </c>
      <c r="C3463" t="s">
        <v>816</v>
      </c>
      <c r="D3463" t="s">
        <v>817</v>
      </c>
      <c r="E3463" t="s">
        <v>31</v>
      </c>
      <c r="F3463" t="s">
        <v>307</v>
      </c>
      <c r="G3463">
        <v>54.177500000000002</v>
      </c>
      <c r="H3463">
        <v>7.8933333299999999</v>
      </c>
      <c r="I3463" t="s">
        <v>449</v>
      </c>
      <c r="J3463" s="2" t="s">
        <v>14</v>
      </c>
      <c r="K3463" t="s">
        <v>144</v>
      </c>
      <c r="L3463" t="s">
        <v>144</v>
      </c>
      <c r="M3463" t="s">
        <v>727</v>
      </c>
      <c r="N3463" t="s">
        <v>85</v>
      </c>
      <c r="O3463" s="6" t="s">
        <v>450</v>
      </c>
      <c r="P3463" t="s">
        <v>70</v>
      </c>
      <c r="Q3463">
        <v>70</v>
      </c>
      <c r="R3463" t="s">
        <v>214</v>
      </c>
      <c r="S3463" s="2" t="s">
        <v>37</v>
      </c>
      <c r="T3463">
        <v>1</v>
      </c>
      <c r="U3463" t="s">
        <v>28</v>
      </c>
      <c r="V3463" t="s">
        <v>28</v>
      </c>
      <c r="W3463">
        <v>19</v>
      </c>
      <c r="X3463">
        <v>9.75</v>
      </c>
      <c r="Y3463" t="s">
        <v>28</v>
      </c>
    </row>
    <row r="3464" spans="1:25" x14ac:dyDescent="0.2">
      <c r="A3464" t="s">
        <v>448</v>
      </c>
      <c r="B3464">
        <v>2013</v>
      </c>
      <c r="C3464" t="s">
        <v>816</v>
      </c>
      <c r="D3464" t="s">
        <v>817</v>
      </c>
      <c r="E3464" t="s">
        <v>31</v>
      </c>
      <c r="F3464" t="s">
        <v>307</v>
      </c>
      <c r="G3464">
        <v>54.177500000000002</v>
      </c>
      <c r="H3464">
        <v>7.8933333299999999</v>
      </c>
      <c r="I3464" t="s">
        <v>449</v>
      </c>
      <c r="J3464" s="2" t="s">
        <v>14</v>
      </c>
      <c r="K3464" t="s">
        <v>144</v>
      </c>
      <c r="L3464" t="s">
        <v>144</v>
      </c>
      <c r="M3464" t="s">
        <v>727</v>
      </c>
      <c r="N3464" t="s">
        <v>85</v>
      </c>
      <c r="O3464" s="6" t="s">
        <v>450</v>
      </c>
      <c r="P3464" t="s">
        <v>70</v>
      </c>
      <c r="Q3464">
        <v>77</v>
      </c>
      <c r="R3464" t="s">
        <v>214</v>
      </c>
      <c r="S3464" s="2" t="s">
        <v>37</v>
      </c>
      <c r="T3464">
        <v>1</v>
      </c>
      <c r="U3464" t="s">
        <v>28</v>
      </c>
      <c r="V3464" t="s">
        <v>28</v>
      </c>
      <c r="W3464">
        <v>19</v>
      </c>
      <c r="X3464">
        <v>16.54</v>
      </c>
      <c r="Y3464" t="s">
        <v>28</v>
      </c>
    </row>
    <row r="3465" spans="1:25" x14ac:dyDescent="0.2">
      <c r="A3465" t="s">
        <v>448</v>
      </c>
      <c r="B3465">
        <v>2013</v>
      </c>
      <c r="C3465" t="s">
        <v>816</v>
      </c>
      <c r="D3465" t="s">
        <v>817</v>
      </c>
      <c r="E3465" t="s">
        <v>31</v>
      </c>
      <c r="F3465" t="s">
        <v>307</v>
      </c>
      <c r="G3465">
        <v>54.177500000000002</v>
      </c>
      <c r="H3465">
        <v>7.8933333299999999</v>
      </c>
      <c r="I3465" t="s">
        <v>449</v>
      </c>
      <c r="J3465" s="2" t="s">
        <v>14</v>
      </c>
      <c r="K3465" t="s">
        <v>144</v>
      </c>
      <c r="L3465" t="s">
        <v>144</v>
      </c>
      <c r="M3465" t="s">
        <v>727</v>
      </c>
      <c r="N3465" t="s">
        <v>85</v>
      </c>
      <c r="O3465" s="6" t="s">
        <v>450</v>
      </c>
      <c r="P3465" t="s">
        <v>70</v>
      </c>
      <c r="Q3465">
        <v>84</v>
      </c>
      <c r="R3465" t="s">
        <v>214</v>
      </c>
      <c r="S3465" s="2" t="s">
        <v>37</v>
      </c>
      <c r="T3465">
        <v>1</v>
      </c>
      <c r="U3465" t="s">
        <v>28</v>
      </c>
      <c r="V3465" t="s">
        <v>28</v>
      </c>
      <c r="W3465">
        <v>19</v>
      </c>
      <c r="X3465">
        <v>19.75</v>
      </c>
      <c r="Y3465" t="s">
        <v>28</v>
      </c>
    </row>
    <row r="3466" spans="1:25" x14ac:dyDescent="0.2">
      <c r="A3466" t="s">
        <v>448</v>
      </c>
      <c r="B3466">
        <v>2013</v>
      </c>
      <c r="C3466" t="s">
        <v>816</v>
      </c>
      <c r="D3466" t="s">
        <v>817</v>
      </c>
      <c r="E3466" t="s">
        <v>31</v>
      </c>
      <c r="F3466" t="s">
        <v>307</v>
      </c>
      <c r="G3466">
        <v>54.177500000000002</v>
      </c>
      <c r="H3466">
        <v>7.8933333299999999</v>
      </c>
      <c r="I3466" t="s">
        <v>449</v>
      </c>
      <c r="J3466" s="2" t="s">
        <v>14</v>
      </c>
      <c r="K3466" t="s">
        <v>144</v>
      </c>
      <c r="L3466" t="s">
        <v>144</v>
      </c>
      <c r="M3466" t="s">
        <v>727</v>
      </c>
      <c r="N3466" t="s">
        <v>85</v>
      </c>
      <c r="O3466" s="6" t="s">
        <v>450</v>
      </c>
      <c r="P3466" t="s">
        <v>70</v>
      </c>
      <c r="Q3466">
        <v>91</v>
      </c>
      <c r="R3466" t="s">
        <v>214</v>
      </c>
      <c r="S3466" s="2" t="s">
        <v>37</v>
      </c>
      <c r="T3466">
        <v>1</v>
      </c>
      <c r="U3466" t="s">
        <v>28</v>
      </c>
      <c r="V3466" t="s">
        <v>28</v>
      </c>
      <c r="W3466">
        <v>19</v>
      </c>
      <c r="X3466">
        <v>19.899999999999999</v>
      </c>
      <c r="Y3466" t="s">
        <v>28</v>
      </c>
    </row>
    <row r="3467" spans="1:25" x14ac:dyDescent="0.2">
      <c r="A3467" t="s">
        <v>448</v>
      </c>
      <c r="B3467">
        <v>2013</v>
      </c>
      <c r="C3467" t="s">
        <v>816</v>
      </c>
      <c r="D3467" t="s">
        <v>817</v>
      </c>
      <c r="E3467" t="s">
        <v>31</v>
      </c>
      <c r="F3467" t="s">
        <v>307</v>
      </c>
      <c r="G3467">
        <v>54.177500000000002</v>
      </c>
      <c r="H3467">
        <v>7.8933333299999999</v>
      </c>
      <c r="I3467" t="s">
        <v>449</v>
      </c>
      <c r="J3467" s="2" t="s">
        <v>14</v>
      </c>
      <c r="K3467" t="s">
        <v>144</v>
      </c>
      <c r="L3467" t="s">
        <v>144</v>
      </c>
      <c r="M3467" t="s">
        <v>727</v>
      </c>
      <c r="N3467" t="s">
        <v>85</v>
      </c>
      <c r="O3467" s="6" t="s">
        <v>450</v>
      </c>
      <c r="P3467" t="s">
        <v>70</v>
      </c>
      <c r="Q3467">
        <v>98</v>
      </c>
      <c r="R3467" t="s">
        <v>214</v>
      </c>
      <c r="S3467" s="2" t="s">
        <v>37</v>
      </c>
      <c r="T3467">
        <v>1</v>
      </c>
      <c r="U3467" t="s">
        <v>28</v>
      </c>
      <c r="V3467" t="s">
        <v>28</v>
      </c>
      <c r="W3467">
        <v>19</v>
      </c>
      <c r="X3467">
        <v>19.79</v>
      </c>
      <c r="Y3467" t="s">
        <v>28</v>
      </c>
    </row>
    <row r="3468" spans="1:25" x14ac:dyDescent="0.2">
      <c r="A3468" t="s">
        <v>448</v>
      </c>
      <c r="B3468">
        <v>2013</v>
      </c>
      <c r="C3468" t="s">
        <v>816</v>
      </c>
      <c r="D3468" t="s">
        <v>817</v>
      </c>
      <c r="E3468" t="s">
        <v>31</v>
      </c>
      <c r="F3468" t="s">
        <v>307</v>
      </c>
      <c r="G3468">
        <v>54.177500000000002</v>
      </c>
      <c r="H3468">
        <v>7.8933333299999999</v>
      </c>
      <c r="I3468" t="s">
        <v>449</v>
      </c>
      <c r="J3468" s="2" t="s">
        <v>14</v>
      </c>
      <c r="K3468" t="s">
        <v>144</v>
      </c>
      <c r="L3468" t="s">
        <v>144</v>
      </c>
      <c r="M3468" t="s">
        <v>727</v>
      </c>
      <c r="N3468" t="s">
        <v>85</v>
      </c>
      <c r="O3468" s="6" t="s">
        <v>450</v>
      </c>
      <c r="P3468" t="s">
        <v>70</v>
      </c>
      <c r="Q3468">
        <v>105</v>
      </c>
      <c r="R3468" t="s">
        <v>214</v>
      </c>
      <c r="S3468" s="2" t="s">
        <v>37</v>
      </c>
      <c r="T3468">
        <v>1</v>
      </c>
      <c r="U3468" t="s">
        <v>28</v>
      </c>
      <c r="V3468" t="s">
        <v>28</v>
      </c>
      <c r="W3468">
        <v>19</v>
      </c>
      <c r="X3468">
        <v>19.93</v>
      </c>
      <c r="Y3468" t="s">
        <v>28</v>
      </c>
    </row>
    <row r="3469" spans="1:25" x14ac:dyDescent="0.2">
      <c r="A3469" t="s">
        <v>448</v>
      </c>
      <c r="B3469">
        <v>2013</v>
      </c>
      <c r="C3469" t="s">
        <v>816</v>
      </c>
      <c r="D3469" t="s">
        <v>817</v>
      </c>
      <c r="E3469" t="s">
        <v>31</v>
      </c>
      <c r="F3469" t="s">
        <v>307</v>
      </c>
      <c r="G3469">
        <v>54.177500000000002</v>
      </c>
      <c r="H3469">
        <v>7.8933333299999999</v>
      </c>
      <c r="I3469" t="s">
        <v>449</v>
      </c>
      <c r="J3469" s="2" t="s">
        <v>14</v>
      </c>
      <c r="K3469" t="s">
        <v>144</v>
      </c>
      <c r="L3469" t="s">
        <v>144</v>
      </c>
      <c r="M3469" t="s">
        <v>727</v>
      </c>
      <c r="N3469" t="s">
        <v>85</v>
      </c>
      <c r="O3469" s="6" t="s">
        <v>450</v>
      </c>
      <c r="P3469" t="s">
        <v>70</v>
      </c>
      <c r="Q3469">
        <v>112</v>
      </c>
      <c r="R3469" t="s">
        <v>213</v>
      </c>
      <c r="S3469" s="2" t="s">
        <v>37</v>
      </c>
      <c r="T3469">
        <v>1</v>
      </c>
      <c r="U3469" t="s">
        <v>28</v>
      </c>
      <c r="V3469" t="s">
        <v>28</v>
      </c>
      <c r="W3469">
        <v>19</v>
      </c>
      <c r="X3469">
        <v>19.95</v>
      </c>
      <c r="Y3469" t="s">
        <v>28</v>
      </c>
    </row>
    <row r="3470" spans="1:25" x14ac:dyDescent="0.2">
      <c r="A3470" t="s">
        <v>448</v>
      </c>
      <c r="B3470">
        <v>2013</v>
      </c>
      <c r="C3470" t="s">
        <v>816</v>
      </c>
      <c r="D3470" t="s">
        <v>817</v>
      </c>
      <c r="E3470" t="s">
        <v>31</v>
      </c>
      <c r="F3470" t="s">
        <v>307</v>
      </c>
      <c r="G3470">
        <v>54.177500000000002</v>
      </c>
      <c r="H3470">
        <v>7.8933333299999999</v>
      </c>
      <c r="I3470" t="s">
        <v>449</v>
      </c>
      <c r="J3470" s="2" t="s">
        <v>14</v>
      </c>
      <c r="K3470" t="s">
        <v>144</v>
      </c>
      <c r="L3470" t="s">
        <v>144</v>
      </c>
      <c r="M3470" t="s">
        <v>727</v>
      </c>
      <c r="N3470" t="s">
        <v>85</v>
      </c>
      <c r="O3470" s="6" t="s">
        <v>450</v>
      </c>
      <c r="P3470" t="s">
        <v>70</v>
      </c>
      <c r="Q3470">
        <v>7</v>
      </c>
      <c r="R3470" t="s">
        <v>214</v>
      </c>
      <c r="S3470" s="2" t="s">
        <v>116</v>
      </c>
      <c r="T3470">
        <v>1</v>
      </c>
      <c r="U3470" t="s">
        <v>28</v>
      </c>
      <c r="V3470" t="s">
        <v>28</v>
      </c>
      <c r="W3470">
        <v>20</v>
      </c>
      <c r="X3470">
        <v>0</v>
      </c>
      <c r="Y3470" t="s">
        <v>28</v>
      </c>
    </row>
    <row r="3471" spans="1:25" x14ac:dyDescent="0.2">
      <c r="A3471" t="s">
        <v>448</v>
      </c>
      <c r="B3471">
        <v>2013</v>
      </c>
      <c r="C3471" t="s">
        <v>816</v>
      </c>
      <c r="D3471" t="s">
        <v>817</v>
      </c>
      <c r="E3471" t="s">
        <v>31</v>
      </c>
      <c r="F3471" t="s">
        <v>307</v>
      </c>
      <c r="G3471">
        <v>54.177500000000002</v>
      </c>
      <c r="H3471">
        <v>7.8933333299999999</v>
      </c>
      <c r="I3471" t="s">
        <v>449</v>
      </c>
      <c r="J3471" s="2" t="s">
        <v>14</v>
      </c>
      <c r="K3471" t="s">
        <v>144</v>
      </c>
      <c r="L3471" t="s">
        <v>144</v>
      </c>
      <c r="M3471" t="s">
        <v>727</v>
      </c>
      <c r="N3471" t="s">
        <v>85</v>
      </c>
      <c r="O3471" s="6" t="s">
        <v>450</v>
      </c>
      <c r="P3471" t="s">
        <v>70</v>
      </c>
      <c r="Q3471">
        <v>14</v>
      </c>
      <c r="R3471" t="s">
        <v>214</v>
      </c>
      <c r="S3471" s="2" t="s">
        <v>116</v>
      </c>
      <c r="T3471">
        <v>1</v>
      </c>
      <c r="U3471" t="s">
        <v>28</v>
      </c>
      <c r="V3471" t="s">
        <v>28</v>
      </c>
      <c r="W3471">
        <v>20</v>
      </c>
      <c r="X3471">
        <v>0</v>
      </c>
      <c r="Y3471" t="s">
        <v>28</v>
      </c>
    </row>
    <row r="3472" spans="1:25" x14ac:dyDescent="0.2">
      <c r="A3472" t="s">
        <v>448</v>
      </c>
      <c r="B3472">
        <v>2013</v>
      </c>
      <c r="C3472" t="s">
        <v>816</v>
      </c>
      <c r="D3472" t="s">
        <v>817</v>
      </c>
      <c r="E3472" t="s">
        <v>31</v>
      </c>
      <c r="F3472" t="s">
        <v>307</v>
      </c>
      <c r="G3472">
        <v>54.177500000000002</v>
      </c>
      <c r="H3472">
        <v>7.8933333299999999</v>
      </c>
      <c r="I3472" t="s">
        <v>449</v>
      </c>
      <c r="J3472" s="2" t="s">
        <v>14</v>
      </c>
      <c r="K3472" t="s">
        <v>144</v>
      </c>
      <c r="L3472" t="s">
        <v>144</v>
      </c>
      <c r="M3472" t="s">
        <v>727</v>
      </c>
      <c r="N3472" t="s">
        <v>85</v>
      </c>
      <c r="O3472" s="6" t="s">
        <v>450</v>
      </c>
      <c r="P3472" t="s">
        <v>70</v>
      </c>
      <c r="Q3472">
        <v>21</v>
      </c>
      <c r="R3472" t="s">
        <v>214</v>
      </c>
      <c r="S3472" s="2" t="s">
        <v>116</v>
      </c>
      <c r="T3472">
        <v>1</v>
      </c>
      <c r="U3472" t="s">
        <v>28</v>
      </c>
      <c r="V3472" t="s">
        <v>28</v>
      </c>
      <c r="W3472">
        <v>20</v>
      </c>
      <c r="X3472">
        <v>0.05</v>
      </c>
      <c r="Y3472" t="s">
        <v>28</v>
      </c>
    </row>
    <row r="3473" spans="1:28" x14ac:dyDescent="0.2">
      <c r="A3473" t="s">
        <v>448</v>
      </c>
      <c r="B3473">
        <v>2013</v>
      </c>
      <c r="C3473" t="s">
        <v>816</v>
      </c>
      <c r="D3473" t="s">
        <v>817</v>
      </c>
      <c r="E3473" t="s">
        <v>31</v>
      </c>
      <c r="F3473" t="s">
        <v>307</v>
      </c>
      <c r="G3473">
        <v>54.177500000000002</v>
      </c>
      <c r="H3473">
        <v>7.8933333299999999</v>
      </c>
      <c r="I3473" t="s">
        <v>449</v>
      </c>
      <c r="J3473" s="2" t="s">
        <v>14</v>
      </c>
      <c r="K3473" t="s">
        <v>144</v>
      </c>
      <c r="L3473" t="s">
        <v>144</v>
      </c>
      <c r="M3473" t="s">
        <v>727</v>
      </c>
      <c r="N3473" t="s">
        <v>85</v>
      </c>
      <c r="O3473" s="6" t="s">
        <v>450</v>
      </c>
      <c r="P3473" t="s">
        <v>70</v>
      </c>
      <c r="Q3473">
        <v>28</v>
      </c>
      <c r="R3473" t="s">
        <v>214</v>
      </c>
      <c r="S3473" s="2" t="s">
        <v>116</v>
      </c>
      <c r="T3473">
        <v>1</v>
      </c>
      <c r="U3473" t="s">
        <v>28</v>
      </c>
      <c r="V3473" t="s">
        <v>28</v>
      </c>
      <c r="W3473">
        <v>20</v>
      </c>
      <c r="X3473">
        <v>0.06</v>
      </c>
      <c r="Y3473" t="s">
        <v>28</v>
      </c>
    </row>
    <row r="3474" spans="1:28" x14ac:dyDescent="0.2">
      <c r="A3474" t="s">
        <v>448</v>
      </c>
      <c r="B3474">
        <v>2013</v>
      </c>
      <c r="C3474" t="s">
        <v>816</v>
      </c>
      <c r="D3474" t="s">
        <v>817</v>
      </c>
      <c r="E3474" t="s">
        <v>31</v>
      </c>
      <c r="F3474" t="s">
        <v>307</v>
      </c>
      <c r="G3474">
        <v>54.177500000000002</v>
      </c>
      <c r="H3474">
        <v>7.8933333299999999</v>
      </c>
      <c r="I3474" t="s">
        <v>449</v>
      </c>
      <c r="J3474" s="2" t="s">
        <v>14</v>
      </c>
      <c r="K3474" t="s">
        <v>144</v>
      </c>
      <c r="L3474" t="s">
        <v>144</v>
      </c>
      <c r="M3474" t="s">
        <v>727</v>
      </c>
      <c r="N3474" t="s">
        <v>85</v>
      </c>
      <c r="O3474" s="6" t="s">
        <v>450</v>
      </c>
      <c r="P3474" t="s">
        <v>70</v>
      </c>
      <c r="Q3474">
        <v>35</v>
      </c>
      <c r="R3474" t="s">
        <v>214</v>
      </c>
      <c r="S3474" s="2" t="s">
        <v>116</v>
      </c>
      <c r="T3474">
        <v>1</v>
      </c>
      <c r="U3474" t="s">
        <v>28</v>
      </c>
      <c r="V3474" t="s">
        <v>28</v>
      </c>
      <c r="W3474">
        <v>20</v>
      </c>
      <c r="X3474">
        <v>0.08</v>
      </c>
      <c r="Y3474" t="s">
        <v>28</v>
      </c>
    </row>
    <row r="3475" spans="1:28" x14ac:dyDescent="0.2">
      <c r="A3475" t="s">
        <v>448</v>
      </c>
      <c r="B3475">
        <v>2013</v>
      </c>
      <c r="C3475" t="s">
        <v>816</v>
      </c>
      <c r="D3475" t="s">
        <v>817</v>
      </c>
      <c r="E3475" t="s">
        <v>31</v>
      </c>
      <c r="F3475" t="s">
        <v>307</v>
      </c>
      <c r="G3475">
        <v>54.177500000000002</v>
      </c>
      <c r="H3475">
        <v>7.8933333299999999</v>
      </c>
      <c r="I3475" t="s">
        <v>449</v>
      </c>
      <c r="J3475" s="2" t="s">
        <v>14</v>
      </c>
      <c r="K3475" t="s">
        <v>144</v>
      </c>
      <c r="L3475" t="s">
        <v>144</v>
      </c>
      <c r="M3475" t="s">
        <v>727</v>
      </c>
      <c r="N3475" t="s">
        <v>85</v>
      </c>
      <c r="O3475" s="6" t="s">
        <v>450</v>
      </c>
      <c r="P3475" t="s">
        <v>70</v>
      </c>
      <c r="Q3475">
        <v>42</v>
      </c>
      <c r="R3475" t="s">
        <v>214</v>
      </c>
      <c r="S3475" s="2" t="s">
        <v>116</v>
      </c>
      <c r="T3475">
        <v>1</v>
      </c>
      <c r="U3475" t="s">
        <v>28</v>
      </c>
      <c r="V3475" t="s">
        <v>28</v>
      </c>
      <c r="W3475">
        <v>20</v>
      </c>
      <c r="X3475">
        <v>0.1</v>
      </c>
      <c r="Y3475" t="s">
        <v>28</v>
      </c>
    </row>
    <row r="3476" spans="1:28" x14ac:dyDescent="0.2">
      <c r="A3476" t="s">
        <v>448</v>
      </c>
      <c r="B3476">
        <v>2013</v>
      </c>
      <c r="C3476" t="s">
        <v>816</v>
      </c>
      <c r="D3476" t="s">
        <v>817</v>
      </c>
      <c r="E3476" t="s">
        <v>31</v>
      </c>
      <c r="F3476" t="s">
        <v>307</v>
      </c>
      <c r="G3476">
        <v>54.177500000000002</v>
      </c>
      <c r="H3476">
        <v>7.8933333299999999</v>
      </c>
      <c r="I3476" t="s">
        <v>449</v>
      </c>
      <c r="J3476" s="2" t="s">
        <v>14</v>
      </c>
      <c r="K3476" t="s">
        <v>144</v>
      </c>
      <c r="L3476" t="s">
        <v>144</v>
      </c>
      <c r="M3476" t="s">
        <v>727</v>
      </c>
      <c r="N3476" t="s">
        <v>85</v>
      </c>
      <c r="O3476" s="6" t="s">
        <v>450</v>
      </c>
      <c r="P3476" t="s">
        <v>70</v>
      </c>
      <c r="Q3476">
        <v>49</v>
      </c>
      <c r="R3476" t="s">
        <v>214</v>
      </c>
      <c r="S3476" s="2" t="s">
        <v>116</v>
      </c>
      <c r="T3476">
        <v>1</v>
      </c>
      <c r="U3476" t="s">
        <v>28</v>
      </c>
      <c r="V3476" t="s">
        <v>28</v>
      </c>
      <c r="W3476">
        <v>20</v>
      </c>
      <c r="X3476">
        <v>0.12</v>
      </c>
      <c r="Y3476" t="s">
        <v>28</v>
      </c>
    </row>
    <row r="3477" spans="1:28" x14ac:dyDescent="0.2">
      <c r="A3477" t="s">
        <v>448</v>
      </c>
      <c r="B3477">
        <v>2013</v>
      </c>
      <c r="C3477" t="s">
        <v>816</v>
      </c>
      <c r="D3477" t="s">
        <v>817</v>
      </c>
      <c r="E3477" t="s">
        <v>31</v>
      </c>
      <c r="F3477" t="s">
        <v>307</v>
      </c>
      <c r="G3477">
        <v>54.177500000000002</v>
      </c>
      <c r="H3477">
        <v>7.8933333299999999</v>
      </c>
      <c r="I3477" t="s">
        <v>449</v>
      </c>
      <c r="J3477" s="2" t="s">
        <v>14</v>
      </c>
      <c r="K3477" t="s">
        <v>144</v>
      </c>
      <c r="L3477" t="s">
        <v>144</v>
      </c>
      <c r="M3477" t="s">
        <v>727</v>
      </c>
      <c r="N3477" t="s">
        <v>85</v>
      </c>
      <c r="O3477" s="6" t="s">
        <v>450</v>
      </c>
      <c r="P3477" t="s">
        <v>70</v>
      </c>
      <c r="Q3477">
        <v>56</v>
      </c>
      <c r="R3477" t="s">
        <v>214</v>
      </c>
      <c r="S3477" s="2" t="s">
        <v>116</v>
      </c>
      <c r="T3477">
        <v>1</v>
      </c>
      <c r="U3477" t="s">
        <v>28</v>
      </c>
      <c r="V3477" t="s">
        <v>28</v>
      </c>
      <c r="W3477">
        <v>20</v>
      </c>
      <c r="X3477">
        <v>0.14000000000000001</v>
      </c>
      <c r="Y3477" t="s">
        <v>28</v>
      </c>
    </row>
    <row r="3478" spans="1:28" x14ac:dyDescent="0.2">
      <c r="A3478" t="s">
        <v>448</v>
      </c>
      <c r="B3478">
        <v>2013</v>
      </c>
      <c r="C3478" t="s">
        <v>816</v>
      </c>
      <c r="D3478" t="s">
        <v>817</v>
      </c>
      <c r="E3478" t="s">
        <v>31</v>
      </c>
      <c r="F3478" t="s">
        <v>307</v>
      </c>
      <c r="G3478">
        <v>54.177500000000002</v>
      </c>
      <c r="H3478">
        <v>7.8933333299999999</v>
      </c>
      <c r="I3478" t="s">
        <v>449</v>
      </c>
      <c r="J3478" s="2" t="s">
        <v>14</v>
      </c>
      <c r="K3478" t="s">
        <v>144</v>
      </c>
      <c r="L3478" t="s">
        <v>144</v>
      </c>
      <c r="M3478" t="s">
        <v>727</v>
      </c>
      <c r="N3478" t="s">
        <v>85</v>
      </c>
      <c r="O3478" s="6" t="s">
        <v>450</v>
      </c>
      <c r="P3478" t="s">
        <v>70</v>
      </c>
      <c r="Q3478">
        <v>63</v>
      </c>
      <c r="R3478" t="s">
        <v>214</v>
      </c>
      <c r="S3478" s="2" t="s">
        <v>116</v>
      </c>
      <c r="T3478">
        <v>1</v>
      </c>
      <c r="U3478" t="s">
        <v>28</v>
      </c>
      <c r="V3478" t="s">
        <v>28</v>
      </c>
      <c r="W3478">
        <v>20</v>
      </c>
      <c r="X3478">
        <v>0.16</v>
      </c>
      <c r="Y3478" t="s">
        <v>28</v>
      </c>
    </row>
    <row r="3479" spans="1:28" x14ac:dyDescent="0.2">
      <c r="A3479" t="s">
        <v>448</v>
      </c>
      <c r="B3479">
        <v>2013</v>
      </c>
      <c r="C3479" t="s">
        <v>816</v>
      </c>
      <c r="D3479" t="s">
        <v>817</v>
      </c>
      <c r="E3479" t="s">
        <v>31</v>
      </c>
      <c r="F3479" t="s">
        <v>307</v>
      </c>
      <c r="G3479">
        <v>54.177500000000002</v>
      </c>
      <c r="H3479">
        <v>7.8933333299999999</v>
      </c>
      <c r="I3479" t="s">
        <v>449</v>
      </c>
      <c r="J3479" s="2" t="s">
        <v>14</v>
      </c>
      <c r="K3479" t="s">
        <v>144</v>
      </c>
      <c r="L3479" t="s">
        <v>144</v>
      </c>
      <c r="M3479" t="s">
        <v>727</v>
      </c>
      <c r="N3479" t="s">
        <v>85</v>
      </c>
      <c r="O3479" s="6" t="s">
        <v>450</v>
      </c>
      <c r="P3479" t="s">
        <v>70</v>
      </c>
      <c r="Q3479">
        <v>70</v>
      </c>
      <c r="R3479" t="s">
        <v>214</v>
      </c>
      <c r="S3479" s="2" t="s">
        <v>116</v>
      </c>
      <c r="T3479">
        <v>1</v>
      </c>
      <c r="U3479" t="s">
        <v>28</v>
      </c>
      <c r="V3479" t="s">
        <v>28</v>
      </c>
      <c r="W3479">
        <v>20</v>
      </c>
      <c r="X3479">
        <v>0.68</v>
      </c>
      <c r="Y3479" t="s">
        <v>28</v>
      </c>
    </row>
    <row r="3480" spans="1:28" x14ac:dyDescent="0.2">
      <c r="A3480" t="s">
        <v>448</v>
      </c>
      <c r="B3480">
        <v>2013</v>
      </c>
      <c r="C3480" t="s">
        <v>816</v>
      </c>
      <c r="D3480" t="s">
        <v>817</v>
      </c>
      <c r="E3480" t="s">
        <v>31</v>
      </c>
      <c r="F3480" t="s">
        <v>307</v>
      </c>
      <c r="G3480">
        <v>54.177500000000002</v>
      </c>
      <c r="H3480">
        <v>7.8933333299999999</v>
      </c>
      <c r="I3480" t="s">
        <v>449</v>
      </c>
      <c r="J3480" s="2" t="s">
        <v>14</v>
      </c>
      <c r="K3480" t="s">
        <v>144</v>
      </c>
      <c r="L3480" t="s">
        <v>144</v>
      </c>
      <c r="M3480" t="s">
        <v>727</v>
      </c>
      <c r="N3480" t="s">
        <v>85</v>
      </c>
      <c r="O3480" s="6" t="s">
        <v>450</v>
      </c>
      <c r="P3480" t="s">
        <v>70</v>
      </c>
      <c r="Q3480">
        <v>77</v>
      </c>
      <c r="R3480" t="s">
        <v>214</v>
      </c>
      <c r="S3480" s="2" t="s">
        <v>116</v>
      </c>
      <c r="T3480">
        <v>1</v>
      </c>
      <c r="U3480" t="s">
        <v>28</v>
      </c>
      <c r="V3480" t="s">
        <v>28</v>
      </c>
      <c r="W3480">
        <v>20</v>
      </c>
      <c r="X3480">
        <v>0.7</v>
      </c>
      <c r="Y3480" t="s">
        <v>28</v>
      </c>
    </row>
    <row r="3481" spans="1:28" x14ac:dyDescent="0.2">
      <c r="A3481" t="s">
        <v>448</v>
      </c>
      <c r="B3481">
        <v>2013</v>
      </c>
      <c r="C3481" t="s">
        <v>816</v>
      </c>
      <c r="D3481" t="s">
        <v>817</v>
      </c>
      <c r="E3481" t="s">
        <v>31</v>
      </c>
      <c r="F3481" t="s">
        <v>307</v>
      </c>
      <c r="G3481">
        <v>54.177500000000002</v>
      </c>
      <c r="H3481">
        <v>7.8933333299999999</v>
      </c>
      <c r="I3481" t="s">
        <v>449</v>
      </c>
      <c r="J3481" s="2" t="s">
        <v>14</v>
      </c>
      <c r="K3481" t="s">
        <v>144</v>
      </c>
      <c r="L3481" t="s">
        <v>144</v>
      </c>
      <c r="M3481" t="s">
        <v>727</v>
      </c>
      <c r="N3481" t="s">
        <v>85</v>
      </c>
      <c r="O3481" s="6" t="s">
        <v>450</v>
      </c>
      <c r="P3481" t="s">
        <v>70</v>
      </c>
      <c r="Q3481">
        <v>84</v>
      </c>
      <c r="R3481" t="s">
        <v>214</v>
      </c>
      <c r="S3481" s="2" t="s">
        <v>116</v>
      </c>
      <c r="T3481">
        <v>1</v>
      </c>
      <c r="U3481" t="s">
        <v>28</v>
      </c>
      <c r="V3481" t="s">
        <v>28</v>
      </c>
      <c r="W3481">
        <v>20</v>
      </c>
      <c r="X3481">
        <v>0.72</v>
      </c>
      <c r="Y3481" t="s">
        <v>28</v>
      </c>
    </row>
    <row r="3482" spans="1:28" x14ac:dyDescent="0.2">
      <c r="A3482" t="s">
        <v>448</v>
      </c>
      <c r="B3482">
        <v>2013</v>
      </c>
      <c r="C3482" t="s">
        <v>816</v>
      </c>
      <c r="D3482" t="s">
        <v>817</v>
      </c>
      <c r="E3482" t="s">
        <v>31</v>
      </c>
      <c r="F3482" t="s">
        <v>307</v>
      </c>
      <c r="G3482">
        <v>54.177500000000002</v>
      </c>
      <c r="H3482">
        <v>7.8933333299999999</v>
      </c>
      <c r="I3482" t="s">
        <v>449</v>
      </c>
      <c r="J3482" s="2" t="s">
        <v>14</v>
      </c>
      <c r="K3482" t="s">
        <v>144</v>
      </c>
      <c r="L3482" t="s">
        <v>144</v>
      </c>
      <c r="M3482" t="s">
        <v>727</v>
      </c>
      <c r="N3482" t="s">
        <v>85</v>
      </c>
      <c r="O3482" s="6" t="s">
        <v>450</v>
      </c>
      <c r="P3482" t="s">
        <v>70</v>
      </c>
      <c r="Q3482">
        <v>91</v>
      </c>
      <c r="R3482" t="s">
        <v>214</v>
      </c>
      <c r="S3482" s="2" t="s">
        <v>116</v>
      </c>
      <c r="T3482">
        <v>1</v>
      </c>
      <c r="U3482" t="s">
        <v>28</v>
      </c>
      <c r="V3482" t="s">
        <v>28</v>
      </c>
      <c r="W3482">
        <v>20</v>
      </c>
      <c r="X3482">
        <v>0.74</v>
      </c>
      <c r="Y3482" t="s">
        <v>28</v>
      </c>
    </row>
    <row r="3483" spans="1:28" x14ac:dyDescent="0.2">
      <c r="A3483" t="s">
        <v>448</v>
      </c>
      <c r="B3483">
        <v>2013</v>
      </c>
      <c r="C3483" t="s">
        <v>816</v>
      </c>
      <c r="D3483" t="s">
        <v>817</v>
      </c>
      <c r="E3483" t="s">
        <v>31</v>
      </c>
      <c r="F3483" t="s">
        <v>307</v>
      </c>
      <c r="G3483">
        <v>54.177500000000002</v>
      </c>
      <c r="H3483">
        <v>7.8933333299999999</v>
      </c>
      <c r="I3483" t="s">
        <v>449</v>
      </c>
      <c r="J3483" s="2" t="s">
        <v>14</v>
      </c>
      <c r="K3483" t="s">
        <v>144</v>
      </c>
      <c r="L3483" t="s">
        <v>144</v>
      </c>
      <c r="M3483" t="s">
        <v>727</v>
      </c>
      <c r="N3483" t="s">
        <v>85</v>
      </c>
      <c r="O3483" s="6" t="s">
        <v>450</v>
      </c>
      <c r="P3483" t="s">
        <v>70</v>
      </c>
      <c r="Q3483">
        <v>98</v>
      </c>
      <c r="R3483" t="s">
        <v>213</v>
      </c>
      <c r="S3483" s="2" t="s">
        <v>116</v>
      </c>
      <c r="T3483">
        <v>1</v>
      </c>
      <c r="U3483" t="s">
        <v>28</v>
      </c>
      <c r="V3483" t="s">
        <v>28</v>
      </c>
      <c r="W3483">
        <v>20</v>
      </c>
      <c r="X3483">
        <v>0.76</v>
      </c>
      <c r="Y3483" t="s">
        <v>28</v>
      </c>
    </row>
    <row r="3484" spans="1:28" x14ac:dyDescent="0.2">
      <c r="A3484" t="s">
        <v>448</v>
      </c>
      <c r="B3484">
        <v>2013</v>
      </c>
      <c r="C3484" t="s">
        <v>816</v>
      </c>
      <c r="D3484" t="s">
        <v>817</v>
      </c>
      <c r="E3484" t="s">
        <v>31</v>
      </c>
      <c r="F3484" t="s">
        <v>307</v>
      </c>
      <c r="G3484">
        <v>54.177500000000002</v>
      </c>
      <c r="H3484">
        <v>7.8933333299999999</v>
      </c>
      <c r="I3484" t="s">
        <v>449</v>
      </c>
      <c r="J3484" s="2" t="s">
        <v>7</v>
      </c>
      <c r="K3484" t="s">
        <v>144</v>
      </c>
      <c r="L3484" t="s">
        <v>144</v>
      </c>
      <c r="M3484" t="s">
        <v>727</v>
      </c>
      <c r="N3484" s="19" t="s">
        <v>86</v>
      </c>
      <c r="O3484" s="6" t="s">
        <v>451</v>
      </c>
      <c r="P3484" t="s">
        <v>452</v>
      </c>
      <c r="Q3484">
        <f>16*7</f>
        <v>112</v>
      </c>
      <c r="R3484" t="s">
        <v>213</v>
      </c>
      <c r="S3484" s="2" t="s">
        <v>7</v>
      </c>
      <c r="T3484">
        <v>3</v>
      </c>
      <c r="U3484" t="s">
        <v>28</v>
      </c>
      <c r="V3484" t="s">
        <v>28</v>
      </c>
      <c r="W3484">
        <v>10</v>
      </c>
      <c r="X3484">
        <v>5.3</v>
      </c>
      <c r="Y3484">
        <v>1.7</v>
      </c>
      <c r="AA3484" s="6"/>
      <c r="AB3484" s="6"/>
    </row>
    <row r="3485" spans="1:28" x14ac:dyDescent="0.2">
      <c r="A3485" t="s">
        <v>448</v>
      </c>
      <c r="B3485">
        <v>2013</v>
      </c>
      <c r="C3485" t="s">
        <v>816</v>
      </c>
      <c r="D3485" t="s">
        <v>817</v>
      </c>
      <c r="E3485" t="s">
        <v>31</v>
      </c>
      <c r="F3485" t="s">
        <v>307</v>
      </c>
      <c r="G3485">
        <v>54.177500000000002</v>
      </c>
      <c r="H3485">
        <v>7.8933333299999999</v>
      </c>
      <c r="I3485" t="s">
        <v>449</v>
      </c>
      <c r="J3485" s="2" t="s">
        <v>14</v>
      </c>
      <c r="K3485" t="s">
        <v>144</v>
      </c>
      <c r="L3485" t="s">
        <v>144</v>
      </c>
      <c r="M3485" t="s">
        <v>727</v>
      </c>
      <c r="N3485" s="19" t="s">
        <v>86</v>
      </c>
      <c r="O3485" s="6" t="s">
        <v>451</v>
      </c>
      <c r="P3485" t="s">
        <v>452</v>
      </c>
      <c r="Q3485">
        <f t="shared" ref="Q3485:Q3503" si="66">16*7</f>
        <v>112</v>
      </c>
      <c r="R3485" t="s">
        <v>213</v>
      </c>
      <c r="S3485" s="2" t="s">
        <v>9</v>
      </c>
      <c r="T3485">
        <v>2</v>
      </c>
      <c r="U3485" t="s">
        <v>28</v>
      </c>
      <c r="V3485" t="s">
        <v>28</v>
      </c>
      <c r="W3485">
        <v>15</v>
      </c>
      <c r="X3485">
        <v>5.8</v>
      </c>
      <c r="Y3485">
        <v>1.1000000000000001</v>
      </c>
      <c r="AA3485" s="6"/>
      <c r="AB3485" s="6"/>
    </row>
    <row r="3486" spans="1:28" x14ac:dyDescent="0.2">
      <c r="A3486" t="s">
        <v>448</v>
      </c>
      <c r="B3486">
        <v>2013</v>
      </c>
      <c r="C3486" t="s">
        <v>816</v>
      </c>
      <c r="D3486" t="s">
        <v>817</v>
      </c>
      <c r="E3486" t="s">
        <v>31</v>
      </c>
      <c r="F3486" t="s">
        <v>307</v>
      </c>
      <c r="G3486">
        <v>54.177500000000002</v>
      </c>
      <c r="H3486">
        <v>7.8933333299999999</v>
      </c>
      <c r="I3486" t="s">
        <v>449</v>
      </c>
      <c r="J3486" s="2" t="s">
        <v>14</v>
      </c>
      <c r="K3486" t="s">
        <v>144</v>
      </c>
      <c r="L3486" t="s">
        <v>144</v>
      </c>
      <c r="M3486" t="s">
        <v>727</v>
      </c>
      <c r="N3486" s="19" t="s">
        <v>86</v>
      </c>
      <c r="O3486" s="6" t="s">
        <v>451</v>
      </c>
      <c r="P3486" t="s">
        <v>452</v>
      </c>
      <c r="Q3486">
        <f t="shared" si="66"/>
        <v>112</v>
      </c>
      <c r="R3486" t="s">
        <v>213</v>
      </c>
      <c r="S3486" s="2" t="s">
        <v>27</v>
      </c>
      <c r="T3486">
        <v>3</v>
      </c>
      <c r="U3486" t="s">
        <v>28</v>
      </c>
      <c r="V3486" t="s">
        <v>28</v>
      </c>
      <c r="W3486">
        <v>16</v>
      </c>
      <c r="X3486">
        <v>9.1300000000000008</v>
      </c>
      <c r="Y3486">
        <v>5.9</v>
      </c>
      <c r="AA3486" s="6"/>
      <c r="AB3486" s="6"/>
    </row>
    <row r="3487" spans="1:28" x14ac:dyDescent="0.2">
      <c r="A3487" t="s">
        <v>448</v>
      </c>
      <c r="B3487">
        <v>2013</v>
      </c>
      <c r="C3487" t="s">
        <v>816</v>
      </c>
      <c r="D3487" t="s">
        <v>817</v>
      </c>
      <c r="E3487" t="s">
        <v>31</v>
      </c>
      <c r="F3487" t="s">
        <v>307</v>
      </c>
      <c r="G3487">
        <v>54.177500000000002</v>
      </c>
      <c r="H3487">
        <v>7.8933333299999999</v>
      </c>
      <c r="I3487" t="s">
        <v>449</v>
      </c>
      <c r="J3487" s="2" t="s">
        <v>14</v>
      </c>
      <c r="K3487" t="s">
        <v>144</v>
      </c>
      <c r="L3487" t="s">
        <v>144</v>
      </c>
      <c r="M3487" t="s">
        <v>727</v>
      </c>
      <c r="N3487" s="19" t="s">
        <v>86</v>
      </c>
      <c r="O3487" s="6" t="s">
        <v>451</v>
      </c>
      <c r="P3487" t="s">
        <v>452</v>
      </c>
      <c r="Q3487">
        <f t="shared" si="66"/>
        <v>112</v>
      </c>
      <c r="R3487" t="s">
        <v>213</v>
      </c>
      <c r="S3487" s="2" t="s">
        <v>15</v>
      </c>
      <c r="T3487">
        <v>2</v>
      </c>
      <c r="U3487" t="s">
        <v>28</v>
      </c>
      <c r="V3487" t="s">
        <v>28</v>
      </c>
      <c r="W3487">
        <v>18</v>
      </c>
      <c r="X3487">
        <v>10.95</v>
      </c>
      <c r="Y3487">
        <v>5.7</v>
      </c>
      <c r="AA3487" s="6"/>
      <c r="AB3487" s="6"/>
    </row>
    <row r="3488" spans="1:28" x14ac:dyDescent="0.2">
      <c r="A3488" t="s">
        <v>448</v>
      </c>
      <c r="B3488">
        <v>2013</v>
      </c>
      <c r="C3488" t="s">
        <v>816</v>
      </c>
      <c r="D3488" t="s">
        <v>817</v>
      </c>
      <c r="E3488" t="s">
        <v>31</v>
      </c>
      <c r="F3488" t="s">
        <v>307</v>
      </c>
      <c r="G3488">
        <v>54.177500000000002</v>
      </c>
      <c r="H3488">
        <v>7.8933333299999999</v>
      </c>
      <c r="I3488" t="s">
        <v>449</v>
      </c>
      <c r="J3488" s="2" t="s">
        <v>14</v>
      </c>
      <c r="K3488" t="s">
        <v>144</v>
      </c>
      <c r="L3488" t="s">
        <v>144</v>
      </c>
      <c r="M3488" t="s">
        <v>727</v>
      </c>
      <c r="N3488" s="19" t="s">
        <v>86</v>
      </c>
      <c r="O3488" s="6" t="s">
        <v>451</v>
      </c>
      <c r="P3488" t="s">
        <v>452</v>
      </c>
      <c r="Q3488">
        <f t="shared" si="66"/>
        <v>112</v>
      </c>
      <c r="R3488" t="s">
        <v>213</v>
      </c>
      <c r="S3488" s="2" t="s">
        <v>37</v>
      </c>
      <c r="T3488">
        <v>1</v>
      </c>
      <c r="U3488" t="s">
        <v>28</v>
      </c>
      <c r="V3488" t="s">
        <v>28</v>
      </c>
      <c r="W3488">
        <v>19</v>
      </c>
      <c r="X3488">
        <v>9.8000000000000007</v>
      </c>
      <c r="Y3488" t="s">
        <v>28</v>
      </c>
      <c r="AA3488" s="6"/>
      <c r="AB3488" s="6"/>
    </row>
    <row r="3489" spans="1:28" x14ac:dyDescent="0.2">
      <c r="A3489" t="s">
        <v>448</v>
      </c>
      <c r="B3489">
        <v>2013</v>
      </c>
      <c r="C3489" t="s">
        <v>816</v>
      </c>
      <c r="D3489" t="s">
        <v>817</v>
      </c>
      <c r="E3489" t="s">
        <v>31</v>
      </c>
      <c r="F3489" t="s">
        <v>307</v>
      </c>
      <c r="G3489">
        <v>54.177500000000002</v>
      </c>
      <c r="H3489">
        <v>7.8933333299999999</v>
      </c>
      <c r="I3489" t="s">
        <v>449</v>
      </c>
      <c r="J3489" s="2" t="s">
        <v>7</v>
      </c>
      <c r="K3489" t="s">
        <v>144</v>
      </c>
      <c r="L3489" t="s">
        <v>144</v>
      </c>
      <c r="M3489" t="s">
        <v>727</v>
      </c>
      <c r="N3489" t="s">
        <v>85</v>
      </c>
      <c r="O3489" s="6" t="s">
        <v>453</v>
      </c>
      <c r="P3489" t="s">
        <v>454</v>
      </c>
      <c r="Q3489">
        <f>16*7</f>
        <v>112</v>
      </c>
      <c r="R3489" t="s">
        <v>213</v>
      </c>
      <c r="S3489" s="2" t="s">
        <v>7</v>
      </c>
      <c r="T3489">
        <v>3</v>
      </c>
      <c r="U3489" t="s">
        <v>28</v>
      </c>
      <c r="V3489" t="s">
        <v>28</v>
      </c>
      <c r="W3489">
        <v>10</v>
      </c>
      <c r="X3489">
        <v>1820</v>
      </c>
      <c r="Y3489">
        <v>599</v>
      </c>
      <c r="AA3489" s="6"/>
      <c r="AB3489" s="6"/>
    </row>
    <row r="3490" spans="1:28" x14ac:dyDescent="0.2">
      <c r="A3490" t="s">
        <v>448</v>
      </c>
      <c r="B3490">
        <v>2013</v>
      </c>
      <c r="C3490" t="s">
        <v>816</v>
      </c>
      <c r="D3490" t="s">
        <v>817</v>
      </c>
      <c r="E3490" t="s">
        <v>31</v>
      </c>
      <c r="F3490" t="s">
        <v>307</v>
      </c>
      <c r="G3490">
        <v>54.177500000000002</v>
      </c>
      <c r="H3490">
        <v>7.8933333299999999</v>
      </c>
      <c r="I3490" t="s">
        <v>449</v>
      </c>
      <c r="J3490" s="2" t="s">
        <v>14</v>
      </c>
      <c r="K3490" t="s">
        <v>144</v>
      </c>
      <c r="L3490" t="s">
        <v>144</v>
      </c>
      <c r="M3490" t="s">
        <v>727</v>
      </c>
      <c r="N3490" t="s">
        <v>85</v>
      </c>
      <c r="O3490" s="6" t="s">
        <v>453</v>
      </c>
      <c r="P3490" t="s">
        <v>454</v>
      </c>
      <c r="Q3490">
        <f t="shared" si="66"/>
        <v>112</v>
      </c>
      <c r="R3490" t="s">
        <v>213</v>
      </c>
      <c r="S3490" s="2" t="s">
        <v>9</v>
      </c>
      <c r="T3490">
        <v>3</v>
      </c>
      <c r="U3490" t="s">
        <v>28</v>
      </c>
      <c r="V3490" t="s">
        <v>28</v>
      </c>
      <c r="W3490">
        <v>15</v>
      </c>
      <c r="X3490">
        <v>573</v>
      </c>
      <c r="Y3490">
        <v>405</v>
      </c>
      <c r="AA3490" s="6"/>
      <c r="AB3490" s="6"/>
    </row>
    <row r="3491" spans="1:28" x14ac:dyDescent="0.2">
      <c r="A3491" t="s">
        <v>448</v>
      </c>
      <c r="B3491">
        <v>2013</v>
      </c>
      <c r="C3491" t="s">
        <v>816</v>
      </c>
      <c r="D3491" t="s">
        <v>817</v>
      </c>
      <c r="E3491" t="s">
        <v>31</v>
      </c>
      <c r="F3491" t="s">
        <v>307</v>
      </c>
      <c r="G3491">
        <v>54.177500000000002</v>
      </c>
      <c r="H3491">
        <v>7.8933333299999999</v>
      </c>
      <c r="I3491" t="s">
        <v>449</v>
      </c>
      <c r="J3491" s="2" t="s">
        <v>14</v>
      </c>
      <c r="K3491" t="s">
        <v>144</v>
      </c>
      <c r="L3491" t="s">
        <v>144</v>
      </c>
      <c r="M3491" t="s">
        <v>727</v>
      </c>
      <c r="N3491" t="s">
        <v>85</v>
      </c>
      <c r="O3491" s="6" t="s">
        <v>453</v>
      </c>
      <c r="P3491" t="s">
        <v>454</v>
      </c>
      <c r="Q3491">
        <f t="shared" si="66"/>
        <v>112</v>
      </c>
      <c r="R3491" t="s">
        <v>213</v>
      </c>
      <c r="S3491" s="2" t="s">
        <v>27</v>
      </c>
      <c r="T3491">
        <v>3</v>
      </c>
      <c r="U3491" t="s">
        <v>28</v>
      </c>
      <c r="V3491" t="s">
        <v>28</v>
      </c>
      <c r="W3491">
        <v>16</v>
      </c>
      <c r="X3491">
        <v>399</v>
      </c>
      <c r="Y3491">
        <v>414</v>
      </c>
      <c r="AA3491" s="6"/>
      <c r="AB3491" s="6"/>
    </row>
    <row r="3492" spans="1:28" x14ac:dyDescent="0.2">
      <c r="A3492" t="s">
        <v>448</v>
      </c>
      <c r="B3492">
        <v>2013</v>
      </c>
      <c r="C3492" t="s">
        <v>816</v>
      </c>
      <c r="D3492" t="s">
        <v>817</v>
      </c>
      <c r="E3492" t="s">
        <v>31</v>
      </c>
      <c r="F3492" t="s">
        <v>307</v>
      </c>
      <c r="G3492">
        <v>54.177500000000002</v>
      </c>
      <c r="H3492">
        <v>7.8933333299999999</v>
      </c>
      <c r="I3492" t="s">
        <v>449</v>
      </c>
      <c r="J3492" s="2" t="s">
        <v>14</v>
      </c>
      <c r="K3492" t="s">
        <v>144</v>
      </c>
      <c r="L3492" t="s">
        <v>144</v>
      </c>
      <c r="M3492" t="s">
        <v>727</v>
      </c>
      <c r="N3492" t="s">
        <v>85</v>
      </c>
      <c r="O3492" s="6" t="s">
        <v>453</v>
      </c>
      <c r="P3492" t="s">
        <v>454</v>
      </c>
      <c r="Q3492">
        <f t="shared" si="66"/>
        <v>112</v>
      </c>
      <c r="R3492" t="s">
        <v>213</v>
      </c>
      <c r="S3492" s="2" t="s">
        <v>15</v>
      </c>
      <c r="T3492">
        <v>3</v>
      </c>
      <c r="U3492" t="s">
        <v>28</v>
      </c>
      <c r="V3492" t="s">
        <v>28</v>
      </c>
      <c r="W3492">
        <v>18</v>
      </c>
      <c r="X3492">
        <v>73</v>
      </c>
      <c r="Y3492">
        <v>77</v>
      </c>
      <c r="AA3492" s="6"/>
      <c r="AB3492" s="6"/>
    </row>
    <row r="3493" spans="1:28" x14ac:dyDescent="0.2">
      <c r="A3493" t="s">
        <v>448</v>
      </c>
      <c r="B3493">
        <v>2013</v>
      </c>
      <c r="C3493" t="s">
        <v>816</v>
      </c>
      <c r="D3493" t="s">
        <v>817</v>
      </c>
      <c r="E3493" t="s">
        <v>31</v>
      </c>
      <c r="F3493" t="s">
        <v>307</v>
      </c>
      <c r="G3493">
        <v>54.177500000000002</v>
      </c>
      <c r="H3493">
        <v>7.8933333299999999</v>
      </c>
      <c r="I3493" t="s">
        <v>449</v>
      </c>
      <c r="J3493" s="2" t="s">
        <v>14</v>
      </c>
      <c r="K3493" t="s">
        <v>144</v>
      </c>
      <c r="L3493" t="s">
        <v>144</v>
      </c>
      <c r="M3493" t="s">
        <v>727</v>
      </c>
      <c r="N3493" t="s">
        <v>85</v>
      </c>
      <c r="O3493" s="6" t="s">
        <v>453</v>
      </c>
      <c r="P3493" t="s">
        <v>454</v>
      </c>
      <c r="Q3493">
        <f t="shared" si="66"/>
        <v>112</v>
      </c>
      <c r="R3493" t="s">
        <v>213</v>
      </c>
      <c r="S3493" s="2" t="s">
        <v>37</v>
      </c>
      <c r="T3493">
        <v>3</v>
      </c>
      <c r="U3493" t="s">
        <v>28</v>
      </c>
      <c r="V3493" t="s">
        <v>28</v>
      </c>
      <c r="W3493">
        <v>19</v>
      </c>
      <c r="X3493">
        <v>46</v>
      </c>
      <c r="Y3493">
        <v>63</v>
      </c>
      <c r="AA3493" s="6"/>
      <c r="AB3493" s="6"/>
    </row>
    <row r="3494" spans="1:28" x14ac:dyDescent="0.2">
      <c r="A3494" t="s">
        <v>448</v>
      </c>
      <c r="B3494">
        <v>2013</v>
      </c>
      <c r="C3494" t="s">
        <v>816</v>
      </c>
      <c r="D3494" t="s">
        <v>817</v>
      </c>
      <c r="E3494" t="s">
        <v>31</v>
      </c>
      <c r="F3494" t="s">
        <v>307</v>
      </c>
      <c r="G3494">
        <v>54.177500000000002</v>
      </c>
      <c r="H3494">
        <v>7.8933333299999999</v>
      </c>
      <c r="I3494" t="s">
        <v>449</v>
      </c>
      <c r="J3494" s="2" t="s">
        <v>7</v>
      </c>
      <c r="K3494" t="s">
        <v>144</v>
      </c>
      <c r="L3494" t="s">
        <v>144</v>
      </c>
      <c r="M3494" t="s">
        <v>727</v>
      </c>
      <c r="N3494" t="s">
        <v>85</v>
      </c>
      <c r="O3494" s="6" t="s">
        <v>450</v>
      </c>
      <c r="P3494" t="s">
        <v>70</v>
      </c>
      <c r="Q3494">
        <f>16*7</f>
        <v>112</v>
      </c>
      <c r="R3494" t="s">
        <v>213</v>
      </c>
      <c r="S3494" s="2" t="s">
        <v>7</v>
      </c>
      <c r="T3494">
        <v>3</v>
      </c>
      <c r="U3494" t="s">
        <v>28</v>
      </c>
      <c r="V3494" t="s">
        <v>28</v>
      </c>
      <c r="W3494">
        <v>10</v>
      </c>
      <c r="X3494">
        <v>1</v>
      </c>
      <c r="Y3494">
        <v>0</v>
      </c>
      <c r="AA3494" s="6"/>
      <c r="AB3494" s="6"/>
    </row>
    <row r="3495" spans="1:28" x14ac:dyDescent="0.2">
      <c r="A3495" t="s">
        <v>448</v>
      </c>
      <c r="B3495">
        <v>2013</v>
      </c>
      <c r="C3495" t="s">
        <v>816</v>
      </c>
      <c r="D3495" t="s">
        <v>817</v>
      </c>
      <c r="E3495" t="s">
        <v>31</v>
      </c>
      <c r="F3495" t="s">
        <v>307</v>
      </c>
      <c r="G3495">
        <v>54.177500000000002</v>
      </c>
      <c r="H3495">
        <v>7.8933333299999999</v>
      </c>
      <c r="I3495" t="s">
        <v>449</v>
      </c>
      <c r="J3495" s="2" t="s">
        <v>14</v>
      </c>
      <c r="K3495" t="s">
        <v>144</v>
      </c>
      <c r="L3495" t="s">
        <v>144</v>
      </c>
      <c r="M3495" t="s">
        <v>727</v>
      </c>
      <c r="N3495" t="s">
        <v>85</v>
      </c>
      <c r="O3495" s="6" t="s">
        <v>450</v>
      </c>
      <c r="P3495" t="s">
        <v>70</v>
      </c>
      <c r="Q3495">
        <f t="shared" si="66"/>
        <v>112</v>
      </c>
      <c r="R3495" t="s">
        <v>213</v>
      </c>
      <c r="S3495" s="2" t="s">
        <v>9</v>
      </c>
      <c r="T3495">
        <v>3</v>
      </c>
      <c r="U3495" t="s">
        <v>28</v>
      </c>
      <c r="V3495" t="s">
        <v>28</v>
      </c>
      <c r="W3495">
        <v>15</v>
      </c>
      <c r="X3495">
        <v>0.63</v>
      </c>
      <c r="Y3495">
        <v>0.5</v>
      </c>
      <c r="AA3495" s="6"/>
      <c r="AB3495" s="6"/>
    </row>
    <row r="3496" spans="1:28" x14ac:dyDescent="0.2">
      <c r="A3496" t="s">
        <v>448</v>
      </c>
      <c r="B3496">
        <v>2013</v>
      </c>
      <c r="C3496" t="s">
        <v>816</v>
      </c>
      <c r="D3496" t="s">
        <v>817</v>
      </c>
      <c r="E3496" t="s">
        <v>31</v>
      </c>
      <c r="F3496" t="s">
        <v>307</v>
      </c>
      <c r="G3496">
        <v>54.177500000000002</v>
      </c>
      <c r="H3496">
        <v>7.8933333299999999</v>
      </c>
      <c r="I3496" t="s">
        <v>449</v>
      </c>
      <c r="J3496" s="2" t="s">
        <v>14</v>
      </c>
      <c r="K3496" t="s">
        <v>144</v>
      </c>
      <c r="L3496" t="s">
        <v>144</v>
      </c>
      <c r="M3496" t="s">
        <v>727</v>
      </c>
      <c r="N3496" t="s">
        <v>85</v>
      </c>
      <c r="O3496" s="6" t="s">
        <v>450</v>
      </c>
      <c r="P3496" t="s">
        <v>70</v>
      </c>
      <c r="Q3496">
        <f t="shared" si="66"/>
        <v>112</v>
      </c>
      <c r="R3496" t="s">
        <v>213</v>
      </c>
      <c r="S3496" s="2" t="s">
        <v>27</v>
      </c>
      <c r="T3496">
        <v>3</v>
      </c>
      <c r="U3496" t="s">
        <v>28</v>
      </c>
      <c r="V3496" t="s">
        <v>28</v>
      </c>
      <c r="W3496">
        <v>16</v>
      </c>
      <c r="X3496">
        <v>0.7</v>
      </c>
      <c r="Y3496">
        <v>0.4</v>
      </c>
      <c r="AA3496" s="6"/>
      <c r="AB3496" s="6"/>
    </row>
    <row r="3497" spans="1:28" x14ac:dyDescent="0.2">
      <c r="A3497" t="s">
        <v>448</v>
      </c>
      <c r="B3497">
        <v>2013</v>
      </c>
      <c r="C3497" t="s">
        <v>816</v>
      </c>
      <c r="D3497" t="s">
        <v>817</v>
      </c>
      <c r="E3497" t="s">
        <v>31</v>
      </c>
      <c r="F3497" t="s">
        <v>307</v>
      </c>
      <c r="G3497">
        <v>54.177500000000002</v>
      </c>
      <c r="H3497">
        <v>7.8933333299999999</v>
      </c>
      <c r="I3497" t="s">
        <v>449</v>
      </c>
      <c r="J3497" s="2" t="s">
        <v>14</v>
      </c>
      <c r="K3497" t="s">
        <v>144</v>
      </c>
      <c r="L3497" t="s">
        <v>144</v>
      </c>
      <c r="M3497" t="s">
        <v>727</v>
      </c>
      <c r="N3497" t="s">
        <v>85</v>
      </c>
      <c r="O3497" s="6" t="s">
        <v>450</v>
      </c>
      <c r="P3497" t="s">
        <v>70</v>
      </c>
      <c r="Q3497">
        <f t="shared" si="66"/>
        <v>112</v>
      </c>
      <c r="R3497" t="s">
        <v>213</v>
      </c>
      <c r="S3497" s="2" t="s">
        <v>15</v>
      </c>
      <c r="T3497">
        <v>3</v>
      </c>
      <c r="U3497" t="s">
        <v>28</v>
      </c>
      <c r="V3497" t="s">
        <v>28</v>
      </c>
      <c r="W3497">
        <v>18</v>
      </c>
      <c r="X3497">
        <v>0.3</v>
      </c>
      <c r="Y3497">
        <v>0.1</v>
      </c>
      <c r="AA3497" s="6"/>
      <c r="AB3497" s="6"/>
    </row>
    <row r="3498" spans="1:28" x14ac:dyDescent="0.2">
      <c r="A3498" t="s">
        <v>448</v>
      </c>
      <c r="B3498">
        <v>2013</v>
      </c>
      <c r="C3498" t="s">
        <v>816</v>
      </c>
      <c r="D3498" t="s">
        <v>817</v>
      </c>
      <c r="E3498" t="s">
        <v>31</v>
      </c>
      <c r="F3498" t="s">
        <v>307</v>
      </c>
      <c r="G3498">
        <v>54.177500000000002</v>
      </c>
      <c r="H3498">
        <v>7.8933333299999999</v>
      </c>
      <c r="I3498" t="s">
        <v>449</v>
      </c>
      <c r="J3498" s="2" t="s">
        <v>14</v>
      </c>
      <c r="K3498" t="s">
        <v>144</v>
      </c>
      <c r="L3498" t="s">
        <v>144</v>
      </c>
      <c r="M3498" t="s">
        <v>727</v>
      </c>
      <c r="N3498" t="s">
        <v>85</v>
      </c>
      <c r="O3498" s="6" t="s">
        <v>450</v>
      </c>
      <c r="P3498" t="s">
        <v>70</v>
      </c>
      <c r="Q3498">
        <f t="shared" si="66"/>
        <v>112</v>
      </c>
      <c r="R3498" t="s">
        <v>213</v>
      </c>
      <c r="S3498" s="2" t="s">
        <v>37</v>
      </c>
      <c r="T3498">
        <v>3</v>
      </c>
      <c r="U3498" t="s">
        <v>28</v>
      </c>
      <c r="V3498" t="s">
        <v>28</v>
      </c>
      <c r="W3498">
        <v>19</v>
      </c>
      <c r="X3498">
        <v>0.2</v>
      </c>
      <c r="Y3498">
        <v>0.3</v>
      </c>
      <c r="AA3498" s="6"/>
      <c r="AB3498" s="6"/>
    </row>
    <row r="3499" spans="1:28" x14ac:dyDescent="0.2">
      <c r="A3499" t="s">
        <v>448</v>
      </c>
      <c r="B3499">
        <v>2013</v>
      </c>
      <c r="C3499" t="s">
        <v>816</v>
      </c>
      <c r="D3499" t="s">
        <v>817</v>
      </c>
      <c r="E3499" t="s">
        <v>31</v>
      </c>
      <c r="F3499" t="s">
        <v>307</v>
      </c>
      <c r="G3499">
        <v>54.177500000000002</v>
      </c>
      <c r="H3499">
        <v>7.8933333299999999</v>
      </c>
      <c r="I3499" t="s">
        <v>449</v>
      </c>
      <c r="J3499" s="2" t="s">
        <v>7</v>
      </c>
      <c r="K3499" t="s">
        <v>144</v>
      </c>
      <c r="L3499" t="s">
        <v>144</v>
      </c>
      <c r="M3499" t="s">
        <v>727</v>
      </c>
      <c r="N3499" t="s">
        <v>85</v>
      </c>
      <c r="O3499" s="6" t="s">
        <v>508</v>
      </c>
      <c r="P3499" t="s">
        <v>70</v>
      </c>
      <c r="Q3499">
        <f>16*7</f>
        <v>112</v>
      </c>
      <c r="R3499" t="s">
        <v>213</v>
      </c>
      <c r="S3499" s="2" t="s">
        <v>7</v>
      </c>
      <c r="T3499">
        <v>3</v>
      </c>
      <c r="U3499" t="s">
        <v>28</v>
      </c>
      <c r="V3499" t="s">
        <v>28</v>
      </c>
      <c r="W3499">
        <v>10</v>
      </c>
      <c r="X3499">
        <v>39.700000000000003</v>
      </c>
      <c r="Y3499">
        <f>45.14-X3499</f>
        <v>5.4399999999999977</v>
      </c>
      <c r="AA3499" s="6"/>
      <c r="AB3499" s="6"/>
    </row>
    <row r="3500" spans="1:28" x14ac:dyDescent="0.2">
      <c r="A3500" t="s">
        <v>448</v>
      </c>
      <c r="B3500">
        <v>2013</v>
      </c>
      <c r="C3500" t="s">
        <v>816</v>
      </c>
      <c r="D3500" t="s">
        <v>817</v>
      </c>
      <c r="E3500" t="s">
        <v>31</v>
      </c>
      <c r="F3500" t="s">
        <v>307</v>
      </c>
      <c r="G3500">
        <v>54.177500000000002</v>
      </c>
      <c r="H3500">
        <v>7.8933333299999999</v>
      </c>
      <c r="I3500" t="s">
        <v>449</v>
      </c>
      <c r="J3500" s="2" t="s">
        <v>14</v>
      </c>
      <c r="K3500" t="s">
        <v>144</v>
      </c>
      <c r="L3500" t="s">
        <v>144</v>
      </c>
      <c r="M3500" t="s">
        <v>727</v>
      </c>
      <c r="N3500" t="s">
        <v>85</v>
      </c>
      <c r="O3500" s="6" t="s">
        <v>508</v>
      </c>
      <c r="P3500" t="s">
        <v>70</v>
      </c>
      <c r="Q3500">
        <f t="shared" si="66"/>
        <v>112</v>
      </c>
      <c r="R3500" t="s">
        <v>213</v>
      </c>
      <c r="S3500" s="2" t="s">
        <v>9</v>
      </c>
      <c r="T3500">
        <v>3</v>
      </c>
      <c r="U3500" t="s">
        <v>28</v>
      </c>
      <c r="V3500" t="s">
        <v>28</v>
      </c>
      <c r="W3500">
        <v>15</v>
      </c>
      <c r="X3500">
        <v>24.18</v>
      </c>
      <c r="Y3500">
        <f>30.37-X3500</f>
        <v>6.1900000000000013</v>
      </c>
      <c r="AA3500" s="6"/>
      <c r="AB3500" s="6"/>
    </row>
    <row r="3501" spans="1:28" x14ac:dyDescent="0.2">
      <c r="A3501" t="s">
        <v>448</v>
      </c>
      <c r="B3501">
        <v>2013</v>
      </c>
      <c r="C3501" t="s">
        <v>816</v>
      </c>
      <c r="D3501" t="s">
        <v>817</v>
      </c>
      <c r="E3501" t="s">
        <v>31</v>
      </c>
      <c r="F3501" t="s">
        <v>307</v>
      </c>
      <c r="G3501">
        <v>54.177500000000002</v>
      </c>
      <c r="H3501">
        <v>7.8933333299999999</v>
      </c>
      <c r="I3501" t="s">
        <v>449</v>
      </c>
      <c r="J3501" s="2" t="s">
        <v>14</v>
      </c>
      <c r="K3501" t="s">
        <v>144</v>
      </c>
      <c r="L3501" t="s">
        <v>144</v>
      </c>
      <c r="M3501" t="s">
        <v>727</v>
      </c>
      <c r="N3501" t="s">
        <v>85</v>
      </c>
      <c r="O3501" s="6" t="s">
        <v>508</v>
      </c>
      <c r="P3501" t="s">
        <v>70</v>
      </c>
      <c r="Q3501">
        <f t="shared" si="66"/>
        <v>112</v>
      </c>
      <c r="R3501" t="s">
        <v>213</v>
      </c>
      <c r="S3501" s="2" t="s">
        <v>27</v>
      </c>
      <c r="T3501">
        <v>3</v>
      </c>
      <c r="U3501" t="s">
        <v>28</v>
      </c>
      <c r="V3501" t="s">
        <v>28</v>
      </c>
      <c r="W3501">
        <v>16</v>
      </c>
      <c r="X3501">
        <v>14.94</v>
      </c>
      <c r="Y3501">
        <f>23.77-X3501</f>
        <v>8.83</v>
      </c>
      <c r="AA3501" s="6"/>
      <c r="AB3501" s="6"/>
    </row>
    <row r="3502" spans="1:28" x14ac:dyDescent="0.2">
      <c r="A3502" t="s">
        <v>448</v>
      </c>
      <c r="B3502">
        <v>2013</v>
      </c>
      <c r="C3502" t="s">
        <v>816</v>
      </c>
      <c r="D3502" t="s">
        <v>817</v>
      </c>
      <c r="E3502" t="s">
        <v>31</v>
      </c>
      <c r="F3502" t="s">
        <v>307</v>
      </c>
      <c r="G3502">
        <v>54.177500000000002</v>
      </c>
      <c r="H3502">
        <v>7.8933333299999999</v>
      </c>
      <c r="I3502" t="s">
        <v>449</v>
      </c>
      <c r="J3502" s="2" t="s">
        <v>14</v>
      </c>
      <c r="K3502" t="s">
        <v>144</v>
      </c>
      <c r="L3502" t="s">
        <v>144</v>
      </c>
      <c r="M3502" t="s">
        <v>727</v>
      </c>
      <c r="N3502" t="s">
        <v>85</v>
      </c>
      <c r="O3502" s="6" t="s">
        <v>508</v>
      </c>
      <c r="P3502" t="s">
        <v>70</v>
      </c>
      <c r="Q3502">
        <f t="shared" si="66"/>
        <v>112</v>
      </c>
      <c r="R3502" t="s">
        <v>213</v>
      </c>
      <c r="S3502" s="2" t="s">
        <v>15</v>
      </c>
      <c r="T3502">
        <v>3</v>
      </c>
      <c r="U3502" t="s">
        <v>28</v>
      </c>
      <c r="V3502" t="s">
        <v>28</v>
      </c>
      <c r="W3502">
        <v>18</v>
      </c>
      <c r="X3502">
        <v>10.23</v>
      </c>
      <c r="Y3502">
        <f>15.52-X3502</f>
        <v>5.2899999999999991</v>
      </c>
      <c r="AA3502" s="6"/>
      <c r="AB3502" s="6"/>
    </row>
    <row r="3503" spans="1:28" x14ac:dyDescent="0.2">
      <c r="A3503" t="s">
        <v>448</v>
      </c>
      <c r="B3503">
        <v>2013</v>
      </c>
      <c r="C3503" t="s">
        <v>816</v>
      </c>
      <c r="D3503" t="s">
        <v>817</v>
      </c>
      <c r="E3503" t="s">
        <v>31</v>
      </c>
      <c r="F3503" t="s">
        <v>307</v>
      </c>
      <c r="G3503">
        <v>54.177500000000002</v>
      </c>
      <c r="H3503">
        <v>7.8933333299999999</v>
      </c>
      <c r="I3503" t="s">
        <v>449</v>
      </c>
      <c r="J3503" s="2" t="s">
        <v>14</v>
      </c>
      <c r="K3503" t="s">
        <v>144</v>
      </c>
      <c r="L3503" t="s">
        <v>144</v>
      </c>
      <c r="M3503" t="s">
        <v>727</v>
      </c>
      <c r="N3503" t="s">
        <v>85</v>
      </c>
      <c r="O3503" s="6" t="s">
        <v>508</v>
      </c>
      <c r="P3503" t="s">
        <v>70</v>
      </c>
      <c r="Q3503">
        <f t="shared" si="66"/>
        <v>112</v>
      </c>
      <c r="R3503" t="s">
        <v>213</v>
      </c>
      <c r="S3503" s="2" t="s">
        <v>37</v>
      </c>
      <c r="T3503">
        <v>3</v>
      </c>
      <c r="U3503" t="s">
        <v>28</v>
      </c>
      <c r="V3503" t="s">
        <v>28</v>
      </c>
      <c r="W3503">
        <v>19</v>
      </c>
      <c r="X3503">
        <v>5.45</v>
      </c>
      <c r="Y3503">
        <f>8.17-X3503</f>
        <v>2.7199999999999998</v>
      </c>
      <c r="AA3503" s="6"/>
      <c r="AB3503" s="6"/>
    </row>
    <row r="3504" spans="1:28" x14ac:dyDescent="0.2">
      <c r="A3504" t="s">
        <v>448</v>
      </c>
      <c r="B3504">
        <v>2013</v>
      </c>
      <c r="C3504" t="s">
        <v>816</v>
      </c>
      <c r="D3504" t="s">
        <v>817</v>
      </c>
      <c r="E3504" t="s">
        <v>31</v>
      </c>
      <c r="F3504" t="s">
        <v>307</v>
      </c>
      <c r="G3504">
        <v>54.177500000000002</v>
      </c>
      <c r="H3504">
        <v>7.8933333299999999</v>
      </c>
      <c r="I3504" t="s">
        <v>762</v>
      </c>
      <c r="J3504" s="2" t="s">
        <v>7</v>
      </c>
      <c r="K3504" t="s">
        <v>92</v>
      </c>
      <c r="L3504" t="s">
        <v>300</v>
      </c>
      <c r="M3504" t="s">
        <v>727</v>
      </c>
      <c r="N3504" t="s">
        <v>85</v>
      </c>
      <c r="O3504" s="6" t="s">
        <v>81</v>
      </c>
      <c r="P3504" t="s">
        <v>381</v>
      </c>
      <c r="Q3504">
        <v>3</v>
      </c>
      <c r="R3504" t="s">
        <v>213</v>
      </c>
      <c r="S3504" s="2" t="s">
        <v>7</v>
      </c>
      <c r="T3504">
        <v>4</v>
      </c>
      <c r="U3504" t="s">
        <v>28</v>
      </c>
      <c r="V3504" t="s">
        <v>28</v>
      </c>
      <c r="W3504">
        <v>10</v>
      </c>
      <c r="X3504">
        <v>202824</v>
      </c>
      <c r="Y3504">
        <f>228498-X3504</f>
        <v>25674</v>
      </c>
      <c r="AA3504" s="6"/>
      <c r="AB3504" s="6"/>
    </row>
    <row r="3505" spans="1:28" x14ac:dyDescent="0.2">
      <c r="A3505" t="s">
        <v>448</v>
      </c>
      <c r="B3505">
        <v>2013</v>
      </c>
      <c r="C3505" t="s">
        <v>816</v>
      </c>
      <c r="D3505" t="s">
        <v>817</v>
      </c>
      <c r="E3505" t="s">
        <v>31</v>
      </c>
      <c r="F3505" t="s">
        <v>307</v>
      </c>
      <c r="G3505">
        <v>54.177500000000002</v>
      </c>
      <c r="H3505">
        <v>7.8933333299999999</v>
      </c>
      <c r="I3505" t="s">
        <v>762</v>
      </c>
      <c r="J3505" s="2" t="s">
        <v>14</v>
      </c>
      <c r="K3505" t="s">
        <v>92</v>
      </c>
      <c r="L3505" t="s">
        <v>300</v>
      </c>
      <c r="M3505" t="s">
        <v>727</v>
      </c>
      <c r="N3505" t="s">
        <v>85</v>
      </c>
      <c r="O3505" s="6" t="s">
        <v>81</v>
      </c>
      <c r="P3505" t="s">
        <v>381</v>
      </c>
      <c r="Q3505">
        <v>3</v>
      </c>
      <c r="R3505" t="s">
        <v>213</v>
      </c>
      <c r="S3505" s="2" t="s">
        <v>9</v>
      </c>
      <c r="T3505">
        <v>4</v>
      </c>
      <c r="U3505" t="s">
        <v>28</v>
      </c>
      <c r="V3505" t="s">
        <v>28</v>
      </c>
      <c r="W3505">
        <v>15</v>
      </c>
      <c r="X3505">
        <v>354300</v>
      </c>
      <c r="Y3505">
        <f>459564-X3505</f>
        <v>105264</v>
      </c>
      <c r="AA3505" s="6"/>
      <c r="AB3505" s="6"/>
    </row>
    <row r="3506" spans="1:28" x14ac:dyDescent="0.2">
      <c r="A3506" t="s">
        <v>448</v>
      </c>
      <c r="B3506">
        <v>2013</v>
      </c>
      <c r="C3506" t="s">
        <v>816</v>
      </c>
      <c r="D3506" t="s">
        <v>817</v>
      </c>
      <c r="E3506" t="s">
        <v>31</v>
      </c>
      <c r="F3506" t="s">
        <v>307</v>
      </c>
      <c r="G3506">
        <v>54.177500000000002</v>
      </c>
      <c r="H3506">
        <v>7.8933333299999999</v>
      </c>
      <c r="I3506" t="s">
        <v>762</v>
      </c>
      <c r="J3506" s="2" t="s">
        <v>14</v>
      </c>
      <c r="K3506" t="s">
        <v>92</v>
      </c>
      <c r="L3506" t="s">
        <v>300</v>
      </c>
      <c r="M3506" t="s">
        <v>727</v>
      </c>
      <c r="N3506" t="s">
        <v>85</v>
      </c>
      <c r="O3506" s="6" t="s">
        <v>81</v>
      </c>
      <c r="P3506" t="s">
        <v>381</v>
      </c>
      <c r="Q3506">
        <v>3</v>
      </c>
      <c r="R3506" t="s">
        <v>213</v>
      </c>
      <c r="S3506" s="2" t="s">
        <v>13</v>
      </c>
      <c r="T3506">
        <v>4</v>
      </c>
      <c r="U3506" t="s">
        <v>28</v>
      </c>
      <c r="V3506" t="s">
        <v>28</v>
      </c>
      <c r="W3506">
        <v>17</v>
      </c>
      <c r="X3506">
        <v>490372</v>
      </c>
      <c r="Y3506">
        <f>590501-X3506</f>
        <v>100129</v>
      </c>
      <c r="AA3506" s="6"/>
      <c r="AB3506" s="6"/>
    </row>
    <row r="3507" spans="1:28" x14ac:dyDescent="0.2">
      <c r="A3507" t="s">
        <v>448</v>
      </c>
      <c r="B3507">
        <v>2013</v>
      </c>
      <c r="C3507" t="s">
        <v>816</v>
      </c>
      <c r="D3507" t="s">
        <v>817</v>
      </c>
      <c r="E3507" t="s">
        <v>31</v>
      </c>
      <c r="F3507" t="s">
        <v>307</v>
      </c>
      <c r="G3507">
        <v>54.177500000000002</v>
      </c>
      <c r="H3507">
        <v>7.8933333299999999</v>
      </c>
      <c r="I3507" t="s">
        <v>762</v>
      </c>
      <c r="J3507" s="2" t="s">
        <v>14</v>
      </c>
      <c r="K3507" t="s">
        <v>92</v>
      </c>
      <c r="L3507" t="s">
        <v>300</v>
      </c>
      <c r="M3507" t="s">
        <v>727</v>
      </c>
      <c r="N3507" t="s">
        <v>85</v>
      </c>
      <c r="O3507" s="6" t="s">
        <v>81</v>
      </c>
      <c r="P3507" t="s">
        <v>381</v>
      </c>
      <c r="Q3507">
        <v>3</v>
      </c>
      <c r="R3507" t="s">
        <v>213</v>
      </c>
      <c r="S3507" s="2" t="s">
        <v>37</v>
      </c>
      <c r="T3507">
        <v>4</v>
      </c>
      <c r="U3507" t="s">
        <v>28</v>
      </c>
      <c r="V3507" t="s">
        <v>28</v>
      </c>
      <c r="W3507">
        <v>19</v>
      </c>
      <c r="X3507">
        <v>284981</v>
      </c>
      <c r="Y3507">
        <f>313222-X3507</f>
        <v>28241</v>
      </c>
      <c r="AA3507" s="6"/>
      <c r="AB3507" s="6"/>
    </row>
    <row r="3508" spans="1:28" x14ac:dyDescent="0.2">
      <c r="A3508" t="s">
        <v>448</v>
      </c>
      <c r="B3508">
        <v>2013</v>
      </c>
      <c r="C3508" t="s">
        <v>816</v>
      </c>
      <c r="D3508" t="s">
        <v>817</v>
      </c>
      <c r="E3508" t="s">
        <v>31</v>
      </c>
      <c r="F3508" t="s">
        <v>307</v>
      </c>
      <c r="G3508">
        <v>54.177500000000002</v>
      </c>
      <c r="H3508">
        <v>7.8933333299999999</v>
      </c>
      <c r="I3508" t="s">
        <v>762</v>
      </c>
      <c r="J3508" s="2" t="s">
        <v>14</v>
      </c>
      <c r="K3508" t="s">
        <v>92</v>
      </c>
      <c r="L3508" t="s">
        <v>300</v>
      </c>
      <c r="M3508" t="s">
        <v>727</v>
      </c>
      <c r="N3508" t="s">
        <v>85</v>
      </c>
      <c r="O3508" s="6" t="s">
        <v>81</v>
      </c>
      <c r="P3508" t="s">
        <v>381</v>
      </c>
      <c r="Q3508">
        <v>3</v>
      </c>
      <c r="R3508" t="s">
        <v>213</v>
      </c>
      <c r="S3508" s="2" t="s">
        <v>116</v>
      </c>
      <c r="T3508">
        <v>4</v>
      </c>
      <c r="U3508" t="s">
        <v>28</v>
      </c>
      <c r="V3508" t="s">
        <v>28</v>
      </c>
      <c r="W3508">
        <v>20</v>
      </c>
      <c r="X3508">
        <v>1322208</v>
      </c>
      <c r="Y3508">
        <f>1750963-X3508</f>
        <v>428755</v>
      </c>
      <c r="AA3508" s="6"/>
      <c r="AB3508" s="6"/>
    </row>
    <row r="3509" spans="1:28" x14ac:dyDescent="0.2">
      <c r="A3509" t="s">
        <v>448</v>
      </c>
      <c r="B3509">
        <v>2013</v>
      </c>
      <c r="C3509" t="s">
        <v>816</v>
      </c>
      <c r="D3509" t="s">
        <v>817</v>
      </c>
      <c r="E3509" t="s">
        <v>31</v>
      </c>
      <c r="F3509" t="s">
        <v>307</v>
      </c>
      <c r="G3509">
        <v>54.177500000000002</v>
      </c>
      <c r="H3509">
        <v>7.8933333299999999</v>
      </c>
      <c r="I3509" t="s">
        <v>762</v>
      </c>
      <c r="J3509" s="2" t="s">
        <v>14</v>
      </c>
      <c r="K3509" t="s">
        <v>92</v>
      </c>
      <c r="L3509" t="s">
        <v>300</v>
      </c>
      <c r="M3509" t="s">
        <v>727</v>
      </c>
      <c r="N3509" t="s">
        <v>85</v>
      </c>
      <c r="O3509" s="6" t="s">
        <v>81</v>
      </c>
      <c r="P3509" t="s">
        <v>381</v>
      </c>
      <c r="Q3509">
        <v>3</v>
      </c>
      <c r="R3509" t="s">
        <v>213</v>
      </c>
      <c r="S3509" s="2" t="s">
        <v>117</v>
      </c>
      <c r="T3509">
        <v>4</v>
      </c>
      <c r="U3509" t="s">
        <v>28</v>
      </c>
      <c r="V3509" t="s">
        <v>28</v>
      </c>
      <c r="W3509">
        <v>22</v>
      </c>
      <c r="X3509">
        <v>569961</v>
      </c>
      <c r="Y3509">
        <f>664955-X3509</f>
        <v>94994</v>
      </c>
      <c r="AA3509" s="6"/>
      <c r="AB3509" s="6"/>
    </row>
    <row r="3510" spans="1:28" x14ac:dyDescent="0.2">
      <c r="A3510" t="s">
        <v>448</v>
      </c>
      <c r="B3510">
        <v>2013</v>
      </c>
      <c r="C3510" t="s">
        <v>816</v>
      </c>
      <c r="D3510" t="s">
        <v>817</v>
      </c>
      <c r="E3510" t="s">
        <v>31</v>
      </c>
      <c r="F3510" t="s">
        <v>307</v>
      </c>
      <c r="G3510">
        <v>54.177500000000002</v>
      </c>
      <c r="H3510">
        <v>7.8933333299999999</v>
      </c>
      <c r="I3510" t="s">
        <v>762</v>
      </c>
      <c r="J3510" s="2" t="s">
        <v>7</v>
      </c>
      <c r="K3510" t="s">
        <v>92</v>
      </c>
      <c r="L3510" t="s">
        <v>300</v>
      </c>
      <c r="M3510" t="s">
        <v>727</v>
      </c>
      <c r="N3510" t="s">
        <v>85</v>
      </c>
      <c r="O3510" s="6" t="s">
        <v>81</v>
      </c>
      <c r="P3510" t="s">
        <v>381</v>
      </c>
      <c r="Q3510">
        <v>7</v>
      </c>
      <c r="R3510" t="s">
        <v>213</v>
      </c>
      <c r="S3510" s="2" t="s">
        <v>7</v>
      </c>
      <c r="T3510">
        <v>4</v>
      </c>
      <c r="U3510" t="s">
        <v>28</v>
      </c>
      <c r="V3510" t="s">
        <v>28</v>
      </c>
      <c r="W3510">
        <v>10</v>
      </c>
      <c r="X3510">
        <v>348718</v>
      </c>
      <c r="Y3510">
        <f>461538-X3510</f>
        <v>112820</v>
      </c>
      <c r="AA3510" s="6"/>
      <c r="AB3510" s="6"/>
    </row>
    <row r="3511" spans="1:28" x14ac:dyDescent="0.2">
      <c r="A3511" t="s">
        <v>448</v>
      </c>
      <c r="B3511">
        <v>2013</v>
      </c>
      <c r="C3511" t="s">
        <v>816</v>
      </c>
      <c r="D3511" t="s">
        <v>817</v>
      </c>
      <c r="E3511" t="s">
        <v>31</v>
      </c>
      <c r="F3511" t="s">
        <v>307</v>
      </c>
      <c r="G3511">
        <v>54.177500000000002</v>
      </c>
      <c r="H3511">
        <v>7.8933333299999999</v>
      </c>
      <c r="I3511" t="s">
        <v>762</v>
      </c>
      <c r="J3511" s="2" t="s">
        <v>14</v>
      </c>
      <c r="K3511" t="s">
        <v>92</v>
      </c>
      <c r="L3511" t="s">
        <v>300</v>
      </c>
      <c r="M3511" t="s">
        <v>727</v>
      </c>
      <c r="N3511" t="s">
        <v>85</v>
      </c>
      <c r="O3511" s="6" t="s">
        <v>81</v>
      </c>
      <c r="P3511" t="s">
        <v>381</v>
      </c>
      <c r="Q3511">
        <v>7</v>
      </c>
      <c r="R3511" t="s">
        <v>213</v>
      </c>
      <c r="S3511" s="2" t="s">
        <v>9</v>
      </c>
      <c r="T3511">
        <v>4</v>
      </c>
      <c r="U3511" t="s">
        <v>28</v>
      </c>
      <c r="V3511" t="s">
        <v>28</v>
      </c>
      <c r="W3511">
        <v>15</v>
      </c>
      <c r="X3511">
        <v>176923</v>
      </c>
      <c r="Y3511">
        <f>253846-X3511</f>
        <v>76923</v>
      </c>
      <c r="AA3511" s="6"/>
      <c r="AB3511" s="6"/>
    </row>
    <row r="3512" spans="1:28" x14ac:dyDescent="0.2">
      <c r="A3512" t="s">
        <v>448</v>
      </c>
      <c r="B3512">
        <v>2013</v>
      </c>
      <c r="C3512" t="s">
        <v>816</v>
      </c>
      <c r="D3512" t="s">
        <v>817</v>
      </c>
      <c r="E3512" t="s">
        <v>31</v>
      </c>
      <c r="F3512" t="s">
        <v>307</v>
      </c>
      <c r="G3512">
        <v>54.177500000000002</v>
      </c>
      <c r="H3512">
        <v>7.8933333299999999</v>
      </c>
      <c r="I3512" t="s">
        <v>762</v>
      </c>
      <c r="J3512" s="2" t="s">
        <v>14</v>
      </c>
      <c r="K3512" t="s">
        <v>92</v>
      </c>
      <c r="L3512" t="s">
        <v>300</v>
      </c>
      <c r="M3512" t="s">
        <v>727</v>
      </c>
      <c r="N3512" t="s">
        <v>85</v>
      </c>
      <c r="O3512" s="6" t="s">
        <v>81</v>
      </c>
      <c r="P3512" t="s">
        <v>381</v>
      </c>
      <c r="Q3512">
        <v>7</v>
      </c>
      <c r="R3512" t="s">
        <v>213</v>
      </c>
      <c r="S3512" s="2" t="s">
        <v>13</v>
      </c>
      <c r="T3512">
        <v>4</v>
      </c>
      <c r="U3512" t="s">
        <v>28</v>
      </c>
      <c r="V3512" t="s">
        <v>28</v>
      </c>
      <c r="W3512">
        <v>17</v>
      </c>
      <c r="X3512">
        <v>158974</v>
      </c>
      <c r="Y3512">
        <f>225641-X3512</f>
        <v>66667</v>
      </c>
      <c r="AA3512" s="6"/>
      <c r="AB3512" s="6"/>
    </row>
    <row r="3513" spans="1:28" x14ac:dyDescent="0.2">
      <c r="A3513" t="s">
        <v>448</v>
      </c>
      <c r="B3513">
        <v>2013</v>
      </c>
      <c r="C3513" t="s">
        <v>816</v>
      </c>
      <c r="D3513" t="s">
        <v>817</v>
      </c>
      <c r="E3513" t="s">
        <v>31</v>
      </c>
      <c r="F3513" t="s">
        <v>307</v>
      </c>
      <c r="G3513">
        <v>54.177500000000002</v>
      </c>
      <c r="H3513">
        <v>7.8933333299999999</v>
      </c>
      <c r="I3513" t="s">
        <v>762</v>
      </c>
      <c r="J3513" s="2" t="s">
        <v>14</v>
      </c>
      <c r="K3513" t="s">
        <v>92</v>
      </c>
      <c r="L3513" t="s">
        <v>300</v>
      </c>
      <c r="M3513" t="s">
        <v>727</v>
      </c>
      <c r="N3513" t="s">
        <v>85</v>
      </c>
      <c r="O3513" s="6" t="s">
        <v>81</v>
      </c>
      <c r="P3513" t="s">
        <v>381</v>
      </c>
      <c r="Q3513">
        <v>7</v>
      </c>
      <c r="R3513" t="s">
        <v>213</v>
      </c>
      <c r="S3513" s="2" t="s">
        <v>37</v>
      </c>
      <c r="T3513">
        <v>4</v>
      </c>
      <c r="U3513" t="s">
        <v>28</v>
      </c>
      <c r="V3513" t="s">
        <v>28</v>
      </c>
      <c r="W3513">
        <v>19</v>
      </c>
      <c r="X3513">
        <v>41026</v>
      </c>
      <c r="Y3513">
        <f>43590-X3513</f>
        <v>2564</v>
      </c>
      <c r="AA3513" s="6"/>
      <c r="AB3513" s="6"/>
    </row>
    <row r="3514" spans="1:28" x14ac:dyDescent="0.2">
      <c r="A3514" t="s">
        <v>448</v>
      </c>
      <c r="B3514">
        <v>2013</v>
      </c>
      <c r="C3514" t="s">
        <v>816</v>
      </c>
      <c r="D3514" t="s">
        <v>817</v>
      </c>
      <c r="E3514" t="s">
        <v>31</v>
      </c>
      <c r="F3514" t="s">
        <v>307</v>
      </c>
      <c r="G3514">
        <v>54.177500000000002</v>
      </c>
      <c r="H3514">
        <v>7.8933333299999999</v>
      </c>
      <c r="I3514" t="s">
        <v>762</v>
      </c>
      <c r="J3514" s="2" t="s">
        <v>14</v>
      </c>
      <c r="K3514" t="s">
        <v>92</v>
      </c>
      <c r="L3514" t="s">
        <v>300</v>
      </c>
      <c r="M3514" t="s">
        <v>727</v>
      </c>
      <c r="N3514" t="s">
        <v>85</v>
      </c>
      <c r="O3514" s="6" t="s">
        <v>81</v>
      </c>
      <c r="P3514" t="s">
        <v>381</v>
      </c>
      <c r="Q3514">
        <v>7</v>
      </c>
      <c r="R3514" t="s">
        <v>213</v>
      </c>
      <c r="S3514" s="2" t="s">
        <v>116</v>
      </c>
      <c r="T3514">
        <v>4</v>
      </c>
      <c r="U3514" t="s">
        <v>28</v>
      </c>
      <c r="V3514" t="s">
        <v>28</v>
      </c>
      <c r="W3514">
        <v>20</v>
      </c>
      <c r="X3514">
        <v>23077</v>
      </c>
      <c r="Y3514">
        <f>25641-X3514</f>
        <v>2564</v>
      </c>
      <c r="AA3514" s="6"/>
      <c r="AB3514" s="6"/>
    </row>
    <row r="3515" spans="1:28" x14ac:dyDescent="0.2">
      <c r="A3515" t="s">
        <v>448</v>
      </c>
      <c r="B3515">
        <v>2013</v>
      </c>
      <c r="C3515" t="s">
        <v>816</v>
      </c>
      <c r="D3515" t="s">
        <v>817</v>
      </c>
      <c r="E3515" t="s">
        <v>31</v>
      </c>
      <c r="F3515" t="s">
        <v>307</v>
      </c>
      <c r="G3515">
        <v>54.177500000000002</v>
      </c>
      <c r="H3515">
        <v>7.8933333299999999</v>
      </c>
      <c r="I3515" t="s">
        <v>762</v>
      </c>
      <c r="J3515" s="2" t="s">
        <v>14</v>
      </c>
      <c r="K3515" t="s">
        <v>92</v>
      </c>
      <c r="L3515" t="s">
        <v>300</v>
      </c>
      <c r="M3515" t="s">
        <v>727</v>
      </c>
      <c r="N3515" t="s">
        <v>85</v>
      </c>
      <c r="O3515" s="6" t="s">
        <v>81</v>
      </c>
      <c r="P3515" t="s">
        <v>381</v>
      </c>
      <c r="Q3515">
        <v>7</v>
      </c>
      <c r="R3515" t="s">
        <v>213</v>
      </c>
      <c r="S3515" s="2" t="s">
        <v>117</v>
      </c>
      <c r="T3515">
        <v>4</v>
      </c>
      <c r="U3515" t="s">
        <v>28</v>
      </c>
      <c r="V3515" t="s">
        <v>28</v>
      </c>
      <c r="W3515">
        <v>22</v>
      </c>
      <c r="X3515">
        <v>48718</v>
      </c>
      <c r="Y3515">
        <f>56410-X3515</f>
        <v>7692</v>
      </c>
      <c r="AA3515" s="6"/>
      <c r="AB3515" s="6"/>
    </row>
    <row r="3516" spans="1:28" x14ac:dyDescent="0.2">
      <c r="A3516" t="s">
        <v>448</v>
      </c>
      <c r="B3516">
        <v>2013</v>
      </c>
      <c r="C3516" t="s">
        <v>816</v>
      </c>
      <c r="D3516" t="s">
        <v>817</v>
      </c>
      <c r="E3516" t="s">
        <v>31</v>
      </c>
      <c r="F3516" t="s">
        <v>307</v>
      </c>
      <c r="G3516">
        <v>54.177500000000002</v>
      </c>
      <c r="H3516">
        <v>7.8933333299999999</v>
      </c>
      <c r="I3516" t="s">
        <v>762</v>
      </c>
      <c r="J3516" s="2" t="s">
        <v>7</v>
      </c>
      <c r="K3516" t="s">
        <v>92</v>
      </c>
      <c r="L3516" t="s">
        <v>300</v>
      </c>
      <c r="M3516" t="s">
        <v>727</v>
      </c>
      <c r="N3516" t="s">
        <v>85</v>
      </c>
      <c r="O3516" s="6" t="s">
        <v>71</v>
      </c>
      <c r="P3516" t="s">
        <v>70</v>
      </c>
      <c r="Q3516">
        <v>3</v>
      </c>
      <c r="R3516" t="s">
        <v>213</v>
      </c>
      <c r="S3516" s="2" t="s">
        <v>7</v>
      </c>
      <c r="T3516">
        <v>4</v>
      </c>
      <c r="U3516" t="s">
        <v>28</v>
      </c>
      <c r="V3516" t="s">
        <v>28</v>
      </c>
      <c r="W3516">
        <v>10</v>
      </c>
      <c r="X3516">
        <v>66.92</v>
      </c>
      <c r="Y3516">
        <f>70.9-X3516</f>
        <v>3.980000000000004</v>
      </c>
      <c r="AA3516" s="6"/>
      <c r="AB3516" s="6"/>
    </row>
    <row r="3517" spans="1:28" x14ac:dyDescent="0.2">
      <c r="A3517" t="s">
        <v>448</v>
      </c>
      <c r="B3517">
        <v>2013</v>
      </c>
      <c r="C3517" t="s">
        <v>816</v>
      </c>
      <c r="D3517" t="s">
        <v>817</v>
      </c>
      <c r="E3517" t="s">
        <v>31</v>
      </c>
      <c r="F3517" t="s">
        <v>307</v>
      </c>
      <c r="G3517">
        <v>54.177500000000002</v>
      </c>
      <c r="H3517">
        <v>7.8933333299999999</v>
      </c>
      <c r="I3517" t="s">
        <v>762</v>
      </c>
      <c r="J3517" s="2" t="s">
        <v>14</v>
      </c>
      <c r="K3517" t="s">
        <v>92</v>
      </c>
      <c r="L3517" t="s">
        <v>300</v>
      </c>
      <c r="M3517" t="s">
        <v>727</v>
      </c>
      <c r="N3517" t="s">
        <v>85</v>
      </c>
      <c r="O3517" s="6" t="s">
        <v>71</v>
      </c>
      <c r="P3517" t="s">
        <v>70</v>
      </c>
      <c r="Q3517">
        <v>3</v>
      </c>
      <c r="R3517" t="s">
        <v>213</v>
      </c>
      <c r="S3517" s="2" t="s">
        <v>9</v>
      </c>
      <c r="T3517">
        <v>4</v>
      </c>
      <c r="U3517" t="s">
        <v>28</v>
      </c>
      <c r="V3517" t="s">
        <v>28</v>
      </c>
      <c r="W3517">
        <v>15</v>
      </c>
      <c r="X3517">
        <v>73.209999999999994</v>
      </c>
      <c r="Y3517">
        <f>79.62-X3517</f>
        <v>6.4100000000000108</v>
      </c>
      <c r="AA3517" s="6"/>
      <c r="AB3517" s="6"/>
    </row>
    <row r="3518" spans="1:28" x14ac:dyDescent="0.2">
      <c r="A3518" t="s">
        <v>448</v>
      </c>
      <c r="B3518">
        <v>2013</v>
      </c>
      <c r="C3518" t="s">
        <v>816</v>
      </c>
      <c r="D3518" t="s">
        <v>817</v>
      </c>
      <c r="E3518" t="s">
        <v>31</v>
      </c>
      <c r="F3518" t="s">
        <v>307</v>
      </c>
      <c r="G3518">
        <v>54.177500000000002</v>
      </c>
      <c r="H3518">
        <v>7.8933333299999999</v>
      </c>
      <c r="I3518" t="s">
        <v>762</v>
      </c>
      <c r="J3518" s="2" t="s">
        <v>14</v>
      </c>
      <c r="K3518" t="s">
        <v>92</v>
      </c>
      <c r="L3518" t="s">
        <v>300</v>
      </c>
      <c r="M3518" t="s">
        <v>727</v>
      </c>
      <c r="N3518" t="s">
        <v>85</v>
      </c>
      <c r="O3518" s="6" t="s">
        <v>71</v>
      </c>
      <c r="P3518" t="s">
        <v>70</v>
      </c>
      <c r="Q3518">
        <v>3</v>
      </c>
      <c r="R3518" t="s">
        <v>213</v>
      </c>
      <c r="S3518" s="2" t="s">
        <v>13</v>
      </c>
      <c r="T3518">
        <v>4</v>
      </c>
      <c r="U3518" t="s">
        <v>28</v>
      </c>
      <c r="V3518" t="s">
        <v>28</v>
      </c>
      <c r="W3518">
        <v>17</v>
      </c>
      <c r="X3518">
        <v>69.23</v>
      </c>
      <c r="Y3518">
        <f>76.41-X3518</f>
        <v>7.1799999999999926</v>
      </c>
      <c r="AA3518" s="6"/>
      <c r="AB3518" s="6"/>
    </row>
    <row r="3519" spans="1:28" x14ac:dyDescent="0.2">
      <c r="A3519" t="s">
        <v>448</v>
      </c>
      <c r="B3519">
        <v>2013</v>
      </c>
      <c r="C3519" t="s">
        <v>816</v>
      </c>
      <c r="D3519" t="s">
        <v>817</v>
      </c>
      <c r="E3519" t="s">
        <v>31</v>
      </c>
      <c r="F3519" t="s">
        <v>307</v>
      </c>
      <c r="G3519">
        <v>54.177500000000002</v>
      </c>
      <c r="H3519">
        <v>7.8933333299999999</v>
      </c>
      <c r="I3519" t="s">
        <v>762</v>
      </c>
      <c r="J3519" s="2" t="s">
        <v>14</v>
      </c>
      <c r="K3519" t="s">
        <v>92</v>
      </c>
      <c r="L3519" t="s">
        <v>300</v>
      </c>
      <c r="M3519" t="s">
        <v>727</v>
      </c>
      <c r="N3519" t="s">
        <v>85</v>
      </c>
      <c r="O3519" s="6" t="s">
        <v>71</v>
      </c>
      <c r="P3519" t="s">
        <v>70</v>
      </c>
      <c r="Q3519">
        <v>3</v>
      </c>
      <c r="R3519" t="s">
        <v>213</v>
      </c>
      <c r="S3519" s="2" t="s">
        <v>37</v>
      </c>
      <c r="T3519">
        <v>4</v>
      </c>
      <c r="U3519" t="s">
        <v>28</v>
      </c>
      <c r="V3519" t="s">
        <v>28</v>
      </c>
      <c r="W3519">
        <v>19</v>
      </c>
      <c r="X3519">
        <v>63.21</v>
      </c>
      <c r="Y3519">
        <f>71.79-X3519</f>
        <v>8.5800000000000054</v>
      </c>
      <c r="AA3519" s="6"/>
      <c r="AB3519" s="6"/>
    </row>
    <row r="3520" spans="1:28" x14ac:dyDescent="0.2">
      <c r="A3520" t="s">
        <v>448</v>
      </c>
      <c r="B3520">
        <v>2013</v>
      </c>
      <c r="C3520" t="s">
        <v>816</v>
      </c>
      <c r="D3520" t="s">
        <v>817</v>
      </c>
      <c r="E3520" t="s">
        <v>31</v>
      </c>
      <c r="F3520" t="s">
        <v>307</v>
      </c>
      <c r="G3520">
        <v>54.177500000000002</v>
      </c>
      <c r="H3520">
        <v>7.8933333299999999</v>
      </c>
      <c r="I3520" t="s">
        <v>762</v>
      </c>
      <c r="J3520" s="2" t="s">
        <v>14</v>
      </c>
      <c r="K3520" t="s">
        <v>92</v>
      </c>
      <c r="L3520" t="s">
        <v>300</v>
      </c>
      <c r="M3520" t="s">
        <v>727</v>
      </c>
      <c r="N3520" t="s">
        <v>85</v>
      </c>
      <c r="O3520" s="6" t="s">
        <v>71</v>
      </c>
      <c r="P3520" t="s">
        <v>70</v>
      </c>
      <c r="Q3520">
        <v>3</v>
      </c>
      <c r="R3520" t="s">
        <v>213</v>
      </c>
      <c r="S3520" s="2" t="s">
        <v>116</v>
      </c>
      <c r="T3520">
        <v>4</v>
      </c>
      <c r="U3520" t="s">
        <v>28</v>
      </c>
      <c r="V3520" t="s">
        <v>28</v>
      </c>
      <c r="W3520">
        <v>20</v>
      </c>
      <c r="X3520">
        <v>42.69</v>
      </c>
      <c r="Y3520">
        <f>45.13-X3520</f>
        <v>2.4400000000000048</v>
      </c>
      <c r="AA3520" s="6"/>
      <c r="AB3520" s="6"/>
    </row>
    <row r="3521" spans="1:28" x14ac:dyDescent="0.2">
      <c r="A3521" t="s">
        <v>448</v>
      </c>
      <c r="B3521">
        <v>2013</v>
      </c>
      <c r="C3521" t="s">
        <v>816</v>
      </c>
      <c r="D3521" t="s">
        <v>817</v>
      </c>
      <c r="E3521" t="s">
        <v>31</v>
      </c>
      <c r="F3521" t="s">
        <v>307</v>
      </c>
      <c r="G3521">
        <v>54.177500000000002</v>
      </c>
      <c r="H3521">
        <v>7.8933333299999999</v>
      </c>
      <c r="I3521" t="s">
        <v>762</v>
      </c>
      <c r="J3521" s="2" t="s">
        <v>14</v>
      </c>
      <c r="K3521" t="s">
        <v>92</v>
      </c>
      <c r="L3521" t="s">
        <v>300</v>
      </c>
      <c r="M3521" t="s">
        <v>727</v>
      </c>
      <c r="N3521" t="s">
        <v>85</v>
      </c>
      <c r="O3521" s="6" t="s">
        <v>71</v>
      </c>
      <c r="P3521" t="s">
        <v>70</v>
      </c>
      <c r="Q3521">
        <v>3</v>
      </c>
      <c r="R3521" t="s">
        <v>213</v>
      </c>
      <c r="S3521" s="2" t="s">
        <v>117</v>
      </c>
      <c r="T3521">
        <v>4</v>
      </c>
      <c r="U3521" t="s">
        <v>28</v>
      </c>
      <c r="V3521" t="s">
        <v>28</v>
      </c>
      <c r="W3521">
        <v>22</v>
      </c>
      <c r="X3521">
        <v>3.97</v>
      </c>
      <c r="Y3521">
        <f>5.26-X3521</f>
        <v>1.2899999999999996</v>
      </c>
      <c r="AA3521" s="6"/>
      <c r="AB3521" s="6"/>
    </row>
    <row r="3522" spans="1:28" x14ac:dyDescent="0.2">
      <c r="A3522" t="s">
        <v>448</v>
      </c>
      <c r="B3522">
        <v>2013</v>
      </c>
      <c r="C3522" t="s">
        <v>816</v>
      </c>
      <c r="D3522" t="s">
        <v>817</v>
      </c>
      <c r="E3522" t="s">
        <v>31</v>
      </c>
      <c r="F3522" t="s">
        <v>307</v>
      </c>
      <c r="G3522">
        <v>54.177500000000002</v>
      </c>
      <c r="H3522">
        <v>7.8933333299999999</v>
      </c>
      <c r="I3522" t="s">
        <v>762</v>
      </c>
      <c r="J3522" s="2" t="s">
        <v>7</v>
      </c>
      <c r="K3522" t="s">
        <v>92</v>
      </c>
      <c r="L3522" t="s">
        <v>300</v>
      </c>
      <c r="M3522" t="s">
        <v>727</v>
      </c>
      <c r="N3522" t="s">
        <v>85</v>
      </c>
      <c r="O3522" s="6" t="s">
        <v>71</v>
      </c>
      <c r="P3522" t="s">
        <v>70</v>
      </c>
      <c r="Q3522">
        <v>3</v>
      </c>
      <c r="R3522" t="s">
        <v>213</v>
      </c>
      <c r="S3522" s="2" t="s">
        <v>7</v>
      </c>
      <c r="T3522">
        <v>4</v>
      </c>
      <c r="U3522" t="s">
        <v>28</v>
      </c>
      <c r="V3522" t="s">
        <v>28</v>
      </c>
      <c r="W3522">
        <v>10</v>
      </c>
      <c r="X3522">
        <v>55.71</v>
      </c>
      <c r="Y3522">
        <f>65.21-X3522</f>
        <v>9.4999999999999929</v>
      </c>
      <c r="AA3522" s="6"/>
      <c r="AB3522" s="6"/>
    </row>
    <row r="3523" spans="1:28" x14ac:dyDescent="0.2">
      <c r="A3523" t="s">
        <v>448</v>
      </c>
      <c r="B3523">
        <v>2013</v>
      </c>
      <c r="C3523" t="s">
        <v>816</v>
      </c>
      <c r="D3523" t="s">
        <v>817</v>
      </c>
      <c r="E3523" t="s">
        <v>31</v>
      </c>
      <c r="F3523" t="s">
        <v>307</v>
      </c>
      <c r="G3523">
        <v>54.177500000000002</v>
      </c>
      <c r="H3523">
        <v>7.8933333299999999</v>
      </c>
      <c r="I3523" t="s">
        <v>762</v>
      </c>
      <c r="J3523" s="2" t="s">
        <v>14</v>
      </c>
      <c r="K3523" t="s">
        <v>92</v>
      </c>
      <c r="L3523" t="s">
        <v>300</v>
      </c>
      <c r="M3523" t="s">
        <v>727</v>
      </c>
      <c r="N3523" t="s">
        <v>85</v>
      </c>
      <c r="O3523" s="6" t="s">
        <v>71</v>
      </c>
      <c r="P3523" t="s">
        <v>70</v>
      </c>
      <c r="Q3523">
        <v>3</v>
      </c>
      <c r="R3523" t="s">
        <v>213</v>
      </c>
      <c r="S3523" s="2" t="s">
        <v>9</v>
      </c>
      <c r="T3523">
        <v>4</v>
      </c>
      <c r="U3523" t="s">
        <v>28</v>
      </c>
      <c r="V3523" t="s">
        <v>28</v>
      </c>
      <c r="W3523">
        <v>15</v>
      </c>
      <c r="X3523">
        <v>63.67</v>
      </c>
      <c r="Y3523">
        <f>67.65-X3523</f>
        <v>3.980000000000004</v>
      </c>
      <c r="AA3523" s="6"/>
      <c r="AB3523" s="6"/>
    </row>
    <row r="3524" spans="1:28" x14ac:dyDescent="0.2">
      <c r="A3524" t="s">
        <v>448</v>
      </c>
      <c r="B3524">
        <v>2013</v>
      </c>
      <c r="C3524" t="s">
        <v>816</v>
      </c>
      <c r="D3524" t="s">
        <v>817</v>
      </c>
      <c r="E3524" t="s">
        <v>31</v>
      </c>
      <c r="F3524" t="s">
        <v>307</v>
      </c>
      <c r="G3524">
        <v>54.177500000000002</v>
      </c>
      <c r="H3524">
        <v>7.8933333299999999</v>
      </c>
      <c r="I3524" t="s">
        <v>762</v>
      </c>
      <c r="J3524" s="2" t="s">
        <v>14</v>
      </c>
      <c r="K3524" t="s">
        <v>92</v>
      </c>
      <c r="L3524" t="s">
        <v>300</v>
      </c>
      <c r="M3524" t="s">
        <v>727</v>
      </c>
      <c r="N3524" t="s">
        <v>85</v>
      </c>
      <c r="O3524" s="6" t="s">
        <v>71</v>
      </c>
      <c r="P3524" t="s">
        <v>70</v>
      </c>
      <c r="Q3524">
        <v>3</v>
      </c>
      <c r="R3524" t="s">
        <v>213</v>
      </c>
      <c r="S3524" s="2" t="s">
        <v>13</v>
      </c>
      <c r="T3524">
        <v>4</v>
      </c>
      <c r="U3524" t="s">
        <v>28</v>
      </c>
      <c r="V3524" t="s">
        <v>28</v>
      </c>
      <c r="W3524">
        <v>17</v>
      </c>
      <c r="X3524">
        <v>44.54</v>
      </c>
      <c r="Y3524">
        <f>46.73-X3524</f>
        <v>2.1899999999999977</v>
      </c>
      <c r="AA3524" s="6"/>
      <c r="AB3524" s="6"/>
    </row>
    <row r="3525" spans="1:28" x14ac:dyDescent="0.2">
      <c r="A3525" t="s">
        <v>448</v>
      </c>
      <c r="B3525">
        <v>2013</v>
      </c>
      <c r="C3525" t="s">
        <v>816</v>
      </c>
      <c r="D3525" t="s">
        <v>817</v>
      </c>
      <c r="E3525" t="s">
        <v>31</v>
      </c>
      <c r="F3525" t="s">
        <v>307</v>
      </c>
      <c r="G3525">
        <v>54.177500000000002</v>
      </c>
      <c r="H3525">
        <v>7.8933333299999999</v>
      </c>
      <c r="I3525" t="s">
        <v>762</v>
      </c>
      <c r="J3525" s="2" t="s">
        <v>14</v>
      </c>
      <c r="K3525" t="s">
        <v>92</v>
      </c>
      <c r="L3525" t="s">
        <v>300</v>
      </c>
      <c r="M3525" t="s">
        <v>727</v>
      </c>
      <c r="N3525" t="s">
        <v>85</v>
      </c>
      <c r="O3525" s="6" t="s">
        <v>71</v>
      </c>
      <c r="P3525" t="s">
        <v>70</v>
      </c>
      <c r="Q3525">
        <v>3</v>
      </c>
      <c r="R3525" t="s">
        <v>213</v>
      </c>
      <c r="S3525" s="2" t="s">
        <v>37</v>
      </c>
      <c r="T3525">
        <v>4</v>
      </c>
      <c r="U3525" t="s">
        <v>28</v>
      </c>
      <c r="V3525" t="s">
        <v>28</v>
      </c>
      <c r="W3525">
        <v>19</v>
      </c>
      <c r="X3525">
        <v>32.479999999999997</v>
      </c>
      <c r="Y3525">
        <f>36.71-X3525</f>
        <v>4.230000000000004</v>
      </c>
      <c r="AA3525" s="6"/>
      <c r="AB3525" s="6"/>
    </row>
    <row r="3526" spans="1:28" x14ac:dyDescent="0.2">
      <c r="A3526" t="s">
        <v>448</v>
      </c>
      <c r="B3526">
        <v>2013</v>
      </c>
      <c r="C3526" t="s">
        <v>816</v>
      </c>
      <c r="D3526" t="s">
        <v>817</v>
      </c>
      <c r="E3526" t="s">
        <v>31</v>
      </c>
      <c r="F3526" t="s">
        <v>307</v>
      </c>
      <c r="G3526">
        <v>54.177500000000002</v>
      </c>
      <c r="H3526">
        <v>7.8933333299999999</v>
      </c>
      <c r="I3526" t="s">
        <v>762</v>
      </c>
      <c r="J3526" s="2" t="s">
        <v>14</v>
      </c>
      <c r="K3526" t="s">
        <v>92</v>
      </c>
      <c r="L3526" t="s">
        <v>300</v>
      </c>
      <c r="M3526" t="s">
        <v>727</v>
      </c>
      <c r="N3526" t="s">
        <v>85</v>
      </c>
      <c r="O3526" s="6" t="s">
        <v>71</v>
      </c>
      <c r="P3526" t="s">
        <v>70</v>
      </c>
      <c r="Q3526">
        <v>3</v>
      </c>
      <c r="R3526" t="s">
        <v>213</v>
      </c>
      <c r="S3526" s="2" t="s">
        <v>116</v>
      </c>
      <c r="T3526">
        <v>4</v>
      </c>
      <c r="U3526" t="s">
        <v>28</v>
      </c>
      <c r="V3526" t="s">
        <v>28</v>
      </c>
      <c r="W3526">
        <v>20</v>
      </c>
      <c r="X3526">
        <v>11.68</v>
      </c>
      <c r="Y3526">
        <f>18.61-X3526</f>
        <v>6.93</v>
      </c>
      <c r="AA3526" s="6"/>
      <c r="AB3526" s="6"/>
    </row>
    <row r="3527" spans="1:28" x14ac:dyDescent="0.2">
      <c r="A3527" t="s">
        <v>448</v>
      </c>
      <c r="B3527">
        <v>2013</v>
      </c>
      <c r="C3527" t="s">
        <v>816</v>
      </c>
      <c r="D3527" t="s">
        <v>817</v>
      </c>
      <c r="E3527" t="s">
        <v>31</v>
      </c>
      <c r="F3527" t="s">
        <v>307</v>
      </c>
      <c r="G3527">
        <v>54.177500000000002</v>
      </c>
      <c r="H3527">
        <v>7.8933333299999999</v>
      </c>
      <c r="I3527" t="s">
        <v>762</v>
      </c>
      <c r="J3527" s="2" t="s">
        <v>14</v>
      </c>
      <c r="K3527" t="s">
        <v>92</v>
      </c>
      <c r="L3527" t="s">
        <v>300</v>
      </c>
      <c r="M3527" t="s">
        <v>727</v>
      </c>
      <c r="N3527" t="s">
        <v>85</v>
      </c>
      <c r="O3527" s="6" t="s">
        <v>71</v>
      </c>
      <c r="P3527" t="s">
        <v>70</v>
      </c>
      <c r="Q3527">
        <v>3</v>
      </c>
      <c r="R3527" t="s">
        <v>213</v>
      </c>
      <c r="S3527" s="2" t="s">
        <v>117</v>
      </c>
      <c r="T3527">
        <v>4</v>
      </c>
      <c r="U3527" t="s">
        <v>28</v>
      </c>
      <c r="V3527" t="s">
        <v>28</v>
      </c>
      <c r="W3527">
        <v>22</v>
      </c>
      <c r="X3527">
        <v>4.24</v>
      </c>
      <c r="Y3527">
        <f>7.19-X3527</f>
        <v>2.95</v>
      </c>
      <c r="AA3527" s="6"/>
      <c r="AB3527" s="6"/>
    </row>
    <row r="3528" spans="1:28" x14ac:dyDescent="0.2">
      <c r="A3528" t="s">
        <v>455</v>
      </c>
      <c r="B3528">
        <v>2019</v>
      </c>
      <c r="C3528" t="s">
        <v>807</v>
      </c>
      <c r="D3528" t="s">
        <v>808</v>
      </c>
      <c r="E3528" t="s">
        <v>205</v>
      </c>
      <c r="F3528" t="s">
        <v>531</v>
      </c>
      <c r="G3528">
        <v>79.650000000000006</v>
      </c>
      <c r="H3528">
        <v>11.95</v>
      </c>
      <c r="I3528" t="s">
        <v>766</v>
      </c>
      <c r="J3528" s="2" t="s">
        <v>7</v>
      </c>
      <c r="K3528" t="s">
        <v>92</v>
      </c>
      <c r="L3528" t="s">
        <v>300</v>
      </c>
      <c r="M3528" t="s">
        <v>727</v>
      </c>
      <c r="N3528" t="s">
        <v>85</v>
      </c>
      <c r="O3528" s="6" t="s">
        <v>71</v>
      </c>
      <c r="P3528" t="s">
        <v>70</v>
      </c>
      <c r="Q3528">
        <v>3</v>
      </c>
      <c r="R3528" t="s">
        <v>213</v>
      </c>
      <c r="S3528" s="2" t="s">
        <v>7</v>
      </c>
      <c r="T3528">
        <v>5</v>
      </c>
      <c r="U3528" t="s">
        <v>28</v>
      </c>
      <c r="V3528" t="s">
        <v>28</v>
      </c>
      <c r="W3528">
        <v>4</v>
      </c>
      <c r="X3528">
        <v>56.99</v>
      </c>
      <c r="Y3528" s="3"/>
    </row>
    <row r="3529" spans="1:28" x14ac:dyDescent="0.2">
      <c r="A3529" t="s">
        <v>455</v>
      </c>
      <c r="B3529">
        <v>2019</v>
      </c>
      <c r="C3529" t="s">
        <v>807</v>
      </c>
      <c r="D3529" t="s">
        <v>808</v>
      </c>
      <c r="E3529" t="s">
        <v>205</v>
      </c>
      <c r="F3529" t="s">
        <v>531</v>
      </c>
      <c r="G3529">
        <v>79.650000000000006</v>
      </c>
      <c r="H3529">
        <v>11.95</v>
      </c>
      <c r="I3529" t="s">
        <v>766</v>
      </c>
      <c r="J3529" s="2" t="s">
        <v>14</v>
      </c>
      <c r="K3529" t="s">
        <v>92</v>
      </c>
      <c r="L3529" t="s">
        <v>300</v>
      </c>
      <c r="M3529" t="s">
        <v>727</v>
      </c>
      <c r="N3529" t="s">
        <v>85</v>
      </c>
      <c r="O3529" s="6" t="s">
        <v>71</v>
      </c>
      <c r="P3529" t="s">
        <v>70</v>
      </c>
      <c r="Q3529">
        <v>3</v>
      </c>
      <c r="R3529" t="s">
        <v>213</v>
      </c>
      <c r="S3529" s="2" t="s">
        <v>9</v>
      </c>
      <c r="T3529">
        <v>5</v>
      </c>
      <c r="U3529" t="s">
        <v>28</v>
      </c>
      <c r="V3529" t="s">
        <v>28</v>
      </c>
      <c r="W3529">
        <v>9</v>
      </c>
      <c r="X3529">
        <v>63.08</v>
      </c>
      <c r="Y3529" s="3"/>
    </row>
    <row r="3530" spans="1:28" x14ac:dyDescent="0.2">
      <c r="A3530" t="s">
        <v>455</v>
      </c>
      <c r="B3530">
        <v>2019</v>
      </c>
      <c r="C3530" t="s">
        <v>816</v>
      </c>
      <c r="D3530" t="s">
        <v>817</v>
      </c>
      <c r="E3530" t="s">
        <v>31</v>
      </c>
      <c r="F3530" t="s">
        <v>531</v>
      </c>
      <c r="G3530">
        <v>79.650000000000006</v>
      </c>
      <c r="H3530">
        <v>11.95</v>
      </c>
      <c r="I3530" t="s">
        <v>766</v>
      </c>
      <c r="J3530" s="2" t="s">
        <v>7</v>
      </c>
      <c r="K3530" t="s">
        <v>92</v>
      </c>
      <c r="L3530" t="s">
        <v>300</v>
      </c>
      <c r="M3530" t="s">
        <v>727</v>
      </c>
      <c r="N3530" t="s">
        <v>85</v>
      </c>
      <c r="O3530" s="6" t="s">
        <v>71</v>
      </c>
      <c r="P3530" t="s">
        <v>70</v>
      </c>
      <c r="Q3530">
        <v>3</v>
      </c>
      <c r="R3530" t="s">
        <v>213</v>
      </c>
      <c r="S3530" s="2" t="s">
        <v>7</v>
      </c>
      <c r="T3530">
        <v>5</v>
      </c>
      <c r="U3530" t="s">
        <v>28</v>
      </c>
      <c r="V3530" t="s">
        <v>28</v>
      </c>
      <c r="W3530">
        <v>4</v>
      </c>
      <c r="X3530">
        <v>54.3</v>
      </c>
      <c r="Y3530" s="3"/>
    </row>
    <row r="3531" spans="1:28" x14ac:dyDescent="0.2">
      <c r="A3531" t="s">
        <v>455</v>
      </c>
      <c r="B3531">
        <v>2019</v>
      </c>
      <c r="C3531" t="s">
        <v>816</v>
      </c>
      <c r="D3531" t="s">
        <v>817</v>
      </c>
      <c r="E3531" t="s">
        <v>31</v>
      </c>
      <c r="F3531" t="s">
        <v>531</v>
      </c>
      <c r="G3531">
        <v>79.650000000000006</v>
      </c>
      <c r="H3531">
        <v>11.95</v>
      </c>
      <c r="I3531" t="s">
        <v>766</v>
      </c>
      <c r="J3531" s="2" t="s">
        <v>14</v>
      </c>
      <c r="K3531" t="s">
        <v>92</v>
      </c>
      <c r="L3531" t="s">
        <v>300</v>
      </c>
      <c r="M3531" t="s">
        <v>727</v>
      </c>
      <c r="N3531" t="s">
        <v>85</v>
      </c>
      <c r="O3531" s="6" t="s">
        <v>71</v>
      </c>
      <c r="P3531" t="s">
        <v>70</v>
      </c>
      <c r="Q3531">
        <v>3</v>
      </c>
      <c r="R3531" t="s">
        <v>213</v>
      </c>
      <c r="S3531" s="2" t="s">
        <v>9</v>
      </c>
      <c r="T3531">
        <v>5</v>
      </c>
      <c r="U3531" t="s">
        <v>28</v>
      </c>
      <c r="V3531" t="s">
        <v>28</v>
      </c>
      <c r="W3531">
        <v>9</v>
      </c>
      <c r="X3531">
        <v>70.069999999999993</v>
      </c>
      <c r="Y3531" s="3"/>
    </row>
    <row r="3532" spans="1:28" x14ac:dyDescent="0.2">
      <c r="A3532" t="s">
        <v>455</v>
      </c>
      <c r="B3532">
        <v>2019</v>
      </c>
      <c r="C3532" t="s">
        <v>807</v>
      </c>
      <c r="D3532" t="s">
        <v>808</v>
      </c>
      <c r="E3532" t="s">
        <v>205</v>
      </c>
      <c r="F3532" t="s">
        <v>531</v>
      </c>
      <c r="G3532">
        <v>79.650000000000006</v>
      </c>
      <c r="H3532">
        <v>11.95</v>
      </c>
      <c r="I3532" t="s">
        <v>766</v>
      </c>
      <c r="J3532" s="2" t="s">
        <v>7</v>
      </c>
      <c r="K3532" t="s">
        <v>143</v>
      </c>
      <c r="L3532" t="s">
        <v>143</v>
      </c>
      <c r="M3532" t="s">
        <v>12</v>
      </c>
      <c r="N3532" t="s">
        <v>85</v>
      </c>
      <c r="O3532" s="6" t="s">
        <v>141</v>
      </c>
      <c r="P3532" t="s">
        <v>381</v>
      </c>
      <c r="Q3532">
        <v>16</v>
      </c>
      <c r="R3532" t="s">
        <v>213</v>
      </c>
      <c r="S3532" s="2" t="s">
        <v>7</v>
      </c>
      <c r="T3532">
        <v>5</v>
      </c>
      <c r="U3532" t="s">
        <v>28</v>
      </c>
      <c r="V3532" t="s">
        <v>28</v>
      </c>
      <c r="W3532">
        <v>4</v>
      </c>
      <c r="X3532">
        <v>3290</v>
      </c>
      <c r="Y3532" s="3"/>
    </row>
    <row r="3533" spans="1:28" x14ac:dyDescent="0.2">
      <c r="A3533" t="s">
        <v>455</v>
      </c>
      <c r="B3533">
        <v>2019</v>
      </c>
      <c r="C3533" t="s">
        <v>807</v>
      </c>
      <c r="D3533" t="s">
        <v>808</v>
      </c>
      <c r="E3533" t="s">
        <v>205</v>
      </c>
      <c r="F3533" t="s">
        <v>531</v>
      </c>
      <c r="G3533">
        <v>79.650000000000006</v>
      </c>
      <c r="H3533">
        <v>11.95</v>
      </c>
      <c r="I3533" t="s">
        <v>766</v>
      </c>
      <c r="J3533" s="2" t="s">
        <v>14</v>
      </c>
      <c r="K3533" t="s">
        <v>143</v>
      </c>
      <c r="L3533" t="s">
        <v>143</v>
      </c>
      <c r="M3533" t="s">
        <v>12</v>
      </c>
      <c r="N3533" t="s">
        <v>85</v>
      </c>
      <c r="O3533" s="6" t="s">
        <v>141</v>
      </c>
      <c r="P3533" t="s">
        <v>381</v>
      </c>
      <c r="Q3533">
        <v>16</v>
      </c>
      <c r="R3533" t="s">
        <v>213</v>
      </c>
      <c r="S3533" s="2" t="s">
        <v>9</v>
      </c>
      <c r="T3533">
        <v>5</v>
      </c>
      <c r="U3533" t="s">
        <v>28</v>
      </c>
      <c r="V3533" t="s">
        <v>28</v>
      </c>
      <c r="W3533">
        <v>9</v>
      </c>
      <c r="X3533">
        <v>4271</v>
      </c>
      <c r="Y3533" s="3"/>
    </row>
    <row r="3534" spans="1:28" x14ac:dyDescent="0.2">
      <c r="A3534" t="s">
        <v>455</v>
      </c>
      <c r="B3534">
        <v>2019</v>
      </c>
      <c r="C3534" t="s">
        <v>816</v>
      </c>
      <c r="D3534" t="s">
        <v>817</v>
      </c>
      <c r="E3534" t="s">
        <v>31</v>
      </c>
      <c r="F3534" t="s">
        <v>531</v>
      </c>
      <c r="G3534">
        <v>79.650000000000006</v>
      </c>
      <c r="H3534">
        <v>11.95</v>
      </c>
      <c r="I3534" t="s">
        <v>766</v>
      </c>
      <c r="J3534" s="2" t="s">
        <v>7</v>
      </c>
      <c r="K3534" t="s">
        <v>143</v>
      </c>
      <c r="L3534" t="s">
        <v>143</v>
      </c>
      <c r="M3534" t="s">
        <v>12</v>
      </c>
      <c r="N3534" t="s">
        <v>85</v>
      </c>
      <c r="O3534" s="6" t="s">
        <v>141</v>
      </c>
      <c r="P3534" t="s">
        <v>381</v>
      </c>
      <c r="Q3534">
        <v>16</v>
      </c>
      <c r="R3534" t="s">
        <v>213</v>
      </c>
      <c r="S3534" s="2" t="s">
        <v>7</v>
      </c>
      <c r="T3534">
        <v>5</v>
      </c>
      <c r="U3534" t="s">
        <v>28</v>
      </c>
      <c r="V3534" t="s">
        <v>28</v>
      </c>
      <c r="W3534">
        <v>4</v>
      </c>
      <c r="X3534">
        <v>918</v>
      </c>
      <c r="Y3534" s="3"/>
    </row>
    <row r="3535" spans="1:28" x14ac:dyDescent="0.2">
      <c r="A3535" t="s">
        <v>455</v>
      </c>
      <c r="B3535">
        <v>2019</v>
      </c>
      <c r="C3535" t="s">
        <v>816</v>
      </c>
      <c r="D3535" t="s">
        <v>817</v>
      </c>
      <c r="E3535" t="s">
        <v>31</v>
      </c>
      <c r="F3535" t="s">
        <v>531</v>
      </c>
      <c r="G3535">
        <v>79.650000000000006</v>
      </c>
      <c r="H3535">
        <v>11.95</v>
      </c>
      <c r="I3535" t="s">
        <v>766</v>
      </c>
      <c r="J3535" s="2" t="s">
        <v>14</v>
      </c>
      <c r="K3535" t="s">
        <v>143</v>
      </c>
      <c r="L3535" t="s">
        <v>143</v>
      </c>
      <c r="M3535" t="s">
        <v>12</v>
      </c>
      <c r="N3535" t="s">
        <v>85</v>
      </c>
      <c r="O3535" s="6" t="s">
        <v>141</v>
      </c>
      <c r="P3535" t="s">
        <v>381</v>
      </c>
      <c r="Q3535">
        <v>16</v>
      </c>
      <c r="R3535" t="s">
        <v>213</v>
      </c>
      <c r="S3535" s="2" t="s">
        <v>9</v>
      </c>
      <c r="T3535">
        <v>5</v>
      </c>
      <c r="U3535" t="s">
        <v>28</v>
      </c>
      <c r="V3535" t="s">
        <v>28</v>
      </c>
      <c r="W3535">
        <v>9</v>
      </c>
      <c r="X3535">
        <v>1733</v>
      </c>
      <c r="Y3535" s="3"/>
    </row>
    <row r="3536" spans="1:28" x14ac:dyDescent="0.2">
      <c r="A3536" t="s">
        <v>456</v>
      </c>
      <c r="B3536">
        <v>2014</v>
      </c>
      <c r="C3536" t="s">
        <v>807</v>
      </c>
      <c r="D3536" t="s">
        <v>825</v>
      </c>
      <c r="E3536" t="s">
        <v>35</v>
      </c>
      <c r="F3536" t="s">
        <v>457</v>
      </c>
      <c r="G3536">
        <v>31.212914999999999</v>
      </c>
      <c r="H3536">
        <v>130.64360199999999</v>
      </c>
      <c r="I3536" t="s">
        <v>767</v>
      </c>
      <c r="J3536" s="2" t="s">
        <v>7</v>
      </c>
      <c r="K3536" t="s">
        <v>3</v>
      </c>
      <c r="L3536" t="s">
        <v>3</v>
      </c>
      <c r="M3536" t="s">
        <v>26</v>
      </c>
      <c r="N3536" t="s">
        <v>85</v>
      </c>
      <c r="O3536" s="6" t="s">
        <v>207</v>
      </c>
      <c r="P3536" t="s">
        <v>458</v>
      </c>
      <c r="Q3536">
        <v>13</v>
      </c>
      <c r="R3536" t="s">
        <v>213</v>
      </c>
      <c r="S3536" s="2" t="s">
        <v>7</v>
      </c>
      <c r="T3536">
        <v>30</v>
      </c>
      <c r="U3536" t="s">
        <v>28</v>
      </c>
      <c r="V3536" t="s">
        <v>28</v>
      </c>
      <c r="W3536">
        <v>20</v>
      </c>
      <c r="X3536">
        <v>25</v>
      </c>
      <c r="Y3536">
        <v>7.6</v>
      </c>
      <c r="AA3536" s="6"/>
      <c r="AB3536" s="6"/>
    </row>
    <row r="3537" spans="1:28" x14ac:dyDescent="0.2">
      <c r="A3537" t="s">
        <v>456</v>
      </c>
      <c r="B3537">
        <v>2014</v>
      </c>
      <c r="C3537" t="s">
        <v>807</v>
      </c>
      <c r="D3537" t="s">
        <v>825</v>
      </c>
      <c r="E3537" t="s">
        <v>35</v>
      </c>
      <c r="F3537" t="s">
        <v>457</v>
      </c>
      <c r="G3537">
        <v>31.212914999999999</v>
      </c>
      <c r="H3537">
        <v>130.64360199999999</v>
      </c>
      <c r="I3537" t="s">
        <v>767</v>
      </c>
      <c r="J3537" s="2" t="s">
        <v>14</v>
      </c>
      <c r="K3537" t="s">
        <v>3</v>
      </c>
      <c r="L3537" t="s">
        <v>3</v>
      </c>
      <c r="M3537" t="s">
        <v>26</v>
      </c>
      <c r="N3537" t="s">
        <v>85</v>
      </c>
      <c r="O3537" s="6" t="s">
        <v>207</v>
      </c>
      <c r="P3537" t="s">
        <v>458</v>
      </c>
      <c r="Q3537">
        <v>13</v>
      </c>
      <c r="R3537" t="s">
        <v>213</v>
      </c>
      <c r="S3537" s="2" t="s">
        <v>9</v>
      </c>
      <c r="T3537">
        <v>30</v>
      </c>
      <c r="U3537" t="s">
        <v>28</v>
      </c>
      <c r="V3537" t="s">
        <v>28</v>
      </c>
      <c r="W3537">
        <v>22</v>
      </c>
      <c r="X3537">
        <v>17</v>
      </c>
      <c r="Y3537">
        <v>12</v>
      </c>
      <c r="AA3537" s="6"/>
      <c r="AB3537" s="6"/>
    </row>
    <row r="3538" spans="1:28" x14ac:dyDescent="0.2">
      <c r="A3538" t="s">
        <v>456</v>
      </c>
      <c r="B3538">
        <v>2014</v>
      </c>
      <c r="C3538" t="s">
        <v>807</v>
      </c>
      <c r="D3538" t="s">
        <v>825</v>
      </c>
      <c r="E3538" t="s">
        <v>35</v>
      </c>
      <c r="F3538" t="s">
        <v>457</v>
      </c>
      <c r="G3538">
        <v>31.212914999999999</v>
      </c>
      <c r="H3538">
        <v>130.64360199999999</v>
      </c>
      <c r="I3538" t="s">
        <v>767</v>
      </c>
      <c r="J3538" s="2" t="s">
        <v>14</v>
      </c>
      <c r="K3538" t="s">
        <v>3</v>
      </c>
      <c r="L3538" t="s">
        <v>3</v>
      </c>
      <c r="M3538" t="s">
        <v>26</v>
      </c>
      <c r="N3538" t="s">
        <v>85</v>
      </c>
      <c r="O3538" s="6" t="s">
        <v>207</v>
      </c>
      <c r="P3538" t="s">
        <v>458</v>
      </c>
      <c r="Q3538">
        <v>13</v>
      </c>
      <c r="R3538" t="s">
        <v>213</v>
      </c>
      <c r="S3538" s="2" t="s">
        <v>27</v>
      </c>
      <c r="T3538">
        <v>30</v>
      </c>
      <c r="U3538" t="s">
        <v>28</v>
      </c>
      <c r="V3538" t="s">
        <v>28</v>
      </c>
      <c r="W3538">
        <v>24</v>
      </c>
      <c r="X3538">
        <v>14</v>
      </c>
      <c r="Y3538">
        <v>11</v>
      </c>
      <c r="AA3538" s="6"/>
      <c r="AB3538" s="6"/>
    </row>
    <row r="3539" spans="1:28" x14ac:dyDescent="0.2">
      <c r="A3539" t="s">
        <v>456</v>
      </c>
      <c r="B3539">
        <v>2014</v>
      </c>
      <c r="C3539" t="s">
        <v>807</v>
      </c>
      <c r="D3539" t="s">
        <v>825</v>
      </c>
      <c r="E3539" t="s">
        <v>35</v>
      </c>
      <c r="F3539" t="s">
        <v>457</v>
      </c>
      <c r="G3539">
        <v>31.212914999999999</v>
      </c>
      <c r="H3539">
        <v>130.64360199999999</v>
      </c>
      <c r="I3539" t="s">
        <v>767</v>
      </c>
      <c r="J3539" s="2" t="s">
        <v>14</v>
      </c>
      <c r="K3539" t="s">
        <v>3</v>
      </c>
      <c r="L3539" t="s">
        <v>3</v>
      </c>
      <c r="M3539" t="s">
        <v>26</v>
      </c>
      <c r="N3539" t="s">
        <v>85</v>
      </c>
      <c r="O3539" s="6" t="s">
        <v>207</v>
      </c>
      <c r="P3539" t="s">
        <v>458</v>
      </c>
      <c r="Q3539">
        <v>13</v>
      </c>
      <c r="R3539" t="s">
        <v>213</v>
      </c>
      <c r="S3539" s="2" t="s">
        <v>15</v>
      </c>
      <c r="T3539">
        <v>30</v>
      </c>
      <c r="U3539" t="s">
        <v>28</v>
      </c>
      <c r="V3539" t="s">
        <v>28</v>
      </c>
      <c r="W3539">
        <v>28</v>
      </c>
      <c r="X3539">
        <v>1.7</v>
      </c>
      <c r="Y3539">
        <v>2.6</v>
      </c>
      <c r="AA3539" s="6"/>
      <c r="AB3539" s="6"/>
    </row>
    <row r="3540" spans="1:28" x14ac:dyDescent="0.2">
      <c r="A3540" t="s">
        <v>456</v>
      </c>
      <c r="B3540">
        <v>2014</v>
      </c>
      <c r="C3540" t="s">
        <v>807</v>
      </c>
      <c r="D3540" t="s">
        <v>825</v>
      </c>
      <c r="E3540" t="s">
        <v>35</v>
      </c>
      <c r="F3540" t="s">
        <v>457</v>
      </c>
      <c r="G3540">
        <v>31.212914999999999</v>
      </c>
      <c r="H3540">
        <v>130.64360199999999</v>
      </c>
      <c r="I3540" t="s">
        <v>767</v>
      </c>
      <c r="J3540" s="2" t="s">
        <v>14</v>
      </c>
      <c r="K3540" t="s">
        <v>3</v>
      </c>
      <c r="L3540" t="s">
        <v>3</v>
      </c>
      <c r="M3540" t="s">
        <v>26</v>
      </c>
      <c r="N3540" t="s">
        <v>85</v>
      </c>
      <c r="O3540" s="6" t="s">
        <v>207</v>
      </c>
      <c r="P3540" t="s">
        <v>458</v>
      </c>
      <c r="Q3540">
        <v>13</v>
      </c>
      <c r="R3540" t="s">
        <v>213</v>
      </c>
      <c r="S3540" s="2" t="s">
        <v>116</v>
      </c>
      <c r="T3540">
        <v>30</v>
      </c>
      <c r="U3540" t="s">
        <v>28</v>
      </c>
      <c r="V3540" t="s">
        <v>28</v>
      </c>
      <c r="W3540">
        <v>32</v>
      </c>
      <c r="X3540">
        <v>0</v>
      </c>
      <c r="Y3540">
        <v>0</v>
      </c>
      <c r="AA3540" s="6"/>
      <c r="AB3540" s="6"/>
    </row>
    <row r="3541" spans="1:28" x14ac:dyDescent="0.2">
      <c r="A3541" t="s">
        <v>456</v>
      </c>
      <c r="B3541">
        <v>2014</v>
      </c>
      <c r="C3541" t="s">
        <v>807</v>
      </c>
      <c r="D3541" t="s">
        <v>825</v>
      </c>
      <c r="E3541" t="s">
        <v>35</v>
      </c>
      <c r="F3541" t="s">
        <v>457</v>
      </c>
      <c r="G3541">
        <v>31.212914999999999</v>
      </c>
      <c r="H3541">
        <v>130.64360199999999</v>
      </c>
      <c r="I3541" t="s">
        <v>767</v>
      </c>
      <c r="J3541" s="2" t="s">
        <v>7</v>
      </c>
      <c r="K3541" t="s">
        <v>3</v>
      </c>
      <c r="L3541" t="s">
        <v>3</v>
      </c>
      <c r="M3541" t="s">
        <v>26</v>
      </c>
      <c r="N3541" t="s">
        <v>85</v>
      </c>
      <c r="O3541" t="s">
        <v>839</v>
      </c>
      <c r="Q3541">
        <v>13</v>
      </c>
      <c r="R3541" t="s">
        <v>213</v>
      </c>
      <c r="S3541" s="2" t="s">
        <v>7</v>
      </c>
      <c r="T3541">
        <v>30</v>
      </c>
      <c r="U3541" t="s">
        <v>28</v>
      </c>
      <c r="V3541" t="s">
        <v>28</v>
      </c>
      <c r="W3541">
        <v>20</v>
      </c>
      <c r="X3541">
        <v>0.26</v>
      </c>
      <c r="Y3541">
        <v>2.8000000000000001E-2</v>
      </c>
      <c r="AA3541" s="6"/>
      <c r="AB3541" s="6"/>
    </row>
    <row r="3542" spans="1:28" x14ac:dyDescent="0.2">
      <c r="A3542" t="s">
        <v>456</v>
      </c>
      <c r="B3542">
        <v>2014</v>
      </c>
      <c r="C3542" t="s">
        <v>807</v>
      </c>
      <c r="D3542" t="s">
        <v>825</v>
      </c>
      <c r="E3542" t="s">
        <v>35</v>
      </c>
      <c r="F3542" t="s">
        <v>457</v>
      </c>
      <c r="G3542">
        <v>31.212914999999999</v>
      </c>
      <c r="H3542">
        <v>130.64360199999999</v>
      </c>
      <c r="I3542" t="s">
        <v>767</v>
      </c>
      <c r="J3542" s="2" t="s">
        <v>14</v>
      </c>
      <c r="K3542" t="s">
        <v>3</v>
      </c>
      <c r="L3542" t="s">
        <v>3</v>
      </c>
      <c r="M3542" t="s">
        <v>26</v>
      </c>
      <c r="N3542" t="s">
        <v>85</v>
      </c>
      <c r="O3542" t="s">
        <v>839</v>
      </c>
      <c r="Q3542">
        <v>13</v>
      </c>
      <c r="R3542" t="s">
        <v>213</v>
      </c>
      <c r="S3542" s="2" t="s">
        <v>9</v>
      </c>
      <c r="T3542">
        <v>30</v>
      </c>
      <c r="U3542" t="s">
        <v>28</v>
      </c>
      <c r="V3542" t="s">
        <v>28</v>
      </c>
      <c r="W3542">
        <v>22</v>
      </c>
      <c r="X3542">
        <v>0.18</v>
      </c>
      <c r="Y3542">
        <v>0.12</v>
      </c>
      <c r="AA3542" s="6"/>
      <c r="AB3542" s="6"/>
    </row>
    <row r="3543" spans="1:28" x14ac:dyDescent="0.2">
      <c r="A3543" t="s">
        <v>456</v>
      </c>
      <c r="B3543">
        <v>2014</v>
      </c>
      <c r="C3543" t="s">
        <v>807</v>
      </c>
      <c r="D3543" t="s">
        <v>825</v>
      </c>
      <c r="E3543" t="s">
        <v>35</v>
      </c>
      <c r="F3543" t="s">
        <v>457</v>
      </c>
      <c r="G3543">
        <v>31.212914999999999</v>
      </c>
      <c r="H3543">
        <v>130.64360199999999</v>
      </c>
      <c r="I3543" t="s">
        <v>767</v>
      </c>
      <c r="J3543" s="2" t="s">
        <v>14</v>
      </c>
      <c r="K3543" t="s">
        <v>3</v>
      </c>
      <c r="L3543" t="s">
        <v>3</v>
      </c>
      <c r="M3543" t="s">
        <v>26</v>
      </c>
      <c r="N3543" t="s">
        <v>85</v>
      </c>
      <c r="O3543" t="s">
        <v>839</v>
      </c>
      <c r="Q3543">
        <v>13</v>
      </c>
      <c r="R3543" t="s">
        <v>213</v>
      </c>
      <c r="S3543" s="2" t="s">
        <v>27</v>
      </c>
      <c r="T3543">
        <v>30</v>
      </c>
      <c r="U3543" t="s">
        <v>28</v>
      </c>
      <c r="V3543" t="s">
        <v>28</v>
      </c>
      <c r="W3543">
        <v>24</v>
      </c>
      <c r="X3543">
        <v>0.17</v>
      </c>
      <c r="Y3543">
        <v>0.12</v>
      </c>
      <c r="AA3543" s="6"/>
      <c r="AB3543" s="6"/>
    </row>
    <row r="3544" spans="1:28" x14ac:dyDescent="0.2">
      <c r="A3544" t="s">
        <v>456</v>
      </c>
      <c r="B3544">
        <v>2014</v>
      </c>
      <c r="C3544" t="s">
        <v>807</v>
      </c>
      <c r="D3544" t="s">
        <v>825</v>
      </c>
      <c r="E3544" t="s">
        <v>35</v>
      </c>
      <c r="F3544" t="s">
        <v>457</v>
      </c>
      <c r="G3544">
        <v>31.212914999999999</v>
      </c>
      <c r="H3544">
        <v>130.64360199999999</v>
      </c>
      <c r="I3544" t="s">
        <v>767</v>
      </c>
      <c r="J3544" s="2" t="s">
        <v>14</v>
      </c>
      <c r="K3544" t="s">
        <v>3</v>
      </c>
      <c r="L3544" t="s">
        <v>3</v>
      </c>
      <c r="M3544" t="s">
        <v>26</v>
      </c>
      <c r="N3544" t="s">
        <v>85</v>
      </c>
      <c r="O3544" t="s">
        <v>839</v>
      </c>
      <c r="Q3544">
        <v>13</v>
      </c>
      <c r="R3544" t="s">
        <v>213</v>
      </c>
      <c r="S3544" s="2" t="s">
        <v>15</v>
      </c>
      <c r="T3544">
        <v>30</v>
      </c>
      <c r="U3544" t="s">
        <v>28</v>
      </c>
      <c r="V3544" t="s">
        <v>28</v>
      </c>
      <c r="W3544">
        <v>28</v>
      </c>
      <c r="X3544">
        <v>4.4999999999999998E-2</v>
      </c>
      <c r="Y3544">
        <v>6.6000000000000003E-2</v>
      </c>
      <c r="AA3544" s="6"/>
      <c r="AB3544" s="6"/>
    </row>
    <row r="3545" spans="1:28" x14ac:dyDescent="0.2">
      <c r="A3545" t="s">
        <v>456</v>
      </c>
      <c r="B3545">
        <v>2014</v>
      </c>
      <c r="C3545" t="s">
        <v>807</v>
      </c>
      <c r="D3545" t="s">
        <v>825</v>
      </c>
      <c r="E3545" t="s">
        <v>35</v>
      </c>
      <c r="F3545" t="s">
        <v>457</v>
      </c>
      <c r="G3545">
        <v>31.212914999999999</v>
      </c>
      <c r="H3545">
        <v>130.64360199999999</v>
      </c>
      <c r="I3545" t="s">
        <v>767</v>
      </c>
      <c r="J3545" s="2" t="s">
        <v>14</v>
      </c>
      <c r="K3545" t="s">
        <v>3</v>
      </c>
      <c r="L3545" t="s">
        <v>3</v>
      </c>
      <c r="M3545" t="s">
        <v>26</v>
      </c>
      <c r="N3545" t="s">
        <v>85</v>
      </c>
      <c r="O3545" t="s">
        <v>839</v>
      </c>
      <c r="Q3545">
        <v>13</v>
      </c>
      <c r="R3545" t="s">
        <v>213</v>
      </c>
      <c r="S3545" s="2" t="s">
        <v>116</v>
      </c>
      <c r="T3545">
        <v>30</v>
      </c>
      <c r="U3545" t="s">
        <v>28</v>
      </c>
      <c r="V3545" t="s">
        <v>28</v>
      </c>
      <c r="W3545">
        <v>32</v>
      </c>
      <c r="X3545">
        <v>0</v>
      </c>
      <c r="Y3545">
        <v>0</v>
      </c>
      <c r="AA3545" s="6"/>
      <c r="AB3545" s="6"/>
    </row>
    <row r="3546" spans="1:28" x14ac:dyDescent="0.2">
      <c r="A3546" t="s">
        <v>456</v>
      </c>
      <c r="B3546">
        <v>2014</v>
      </c>
      <c r="C3546" t="s">
        <v>807</v>
      </c>
      <c r="D3546" t="s">
        <v>825</v>
      </c>
      <c r="E3546" t="s">
        <v>35</v>
      </c>
      <c r="F3546" t="s">
        <v>457</v>
      </c>
      <c r="G3546">
        <v>31.212914999999999</v>
      </c>
      <c r="H3546">
        <v>130.64360199999999</v>
      </c>
      <c r="I3546" t="s">
        <v>767</v>
      </c>
      <c r="J3546" s="2" t="s">
        <v>7</v>
      </c>
      <c r="K3546" t="s">
        <v>3</v>
      </c>
      <c r="L3546" t="s">
        <v>3</v>
      </c>
      <c r="M3546" t="s">
        <v>12</v>
      </c>
      <c r="N3546" t="s">
        <v>85</v>
      </c>
      <c r="O3546" s="6" t="s">
        <v>12</v>
      </c>
      <c r="P3546" t="s">
        <v>70</v>
      </c>
      <c r="Q3546">
        <v>13</v>
      </c>
      <c r="R3546" t="s">
        <v>213</v>
      </c>
      <c r="S3546" s="2" t="s">
        <v>7</v>
      </c>
      <c r="T3546">
        <v>1</v>
      </c>
      <c r="U3546" t="s">
        <v>28</v>
      </c>
      <c r="V3546" t="s">
        <v>28</v>
      </c>
      <c r="W3546">
        <v>20</v>
      </c>
      <c r="X3546">
        <v>99.93</v>
      </c>
      <c r="Y3546" t="s">
        <v>28</v>
      </c>
      <c r="AA3546" t="s">
        <v>28</v>
      </c>
      <c r="AB3546" t="s">
        <v>28</v>
      </c>
    </row>
    <row r="3547" spans="1:28" x14ac:dyDescent="0.2">
      <c r="A3547" t="s">
        <v>456</v>
      </c>
      <c r="B3547">
        <v>2014</v>
      </c>
      <c r="C3547" t="s">
        <v>807</v>
      </c>
      <c r="D3547" t="s">
        <v>825</v>
      </c>
      <c r="E3547" t="s">
        <v>35</v>
      </c>
      <c r="F3547" t="s">
        <v>457</v>
      </c>
      <c r="G3547">
        <v>31.212914999999999</v>
      </c>
      <c r="H3547">
        <v>130.64360199999999</v>
      </c>
      <c r="I3547" t="s">
        <v>767</v>
      </c>
      <c r="J3547" s="2" t="s">
        <v>14</v>
      </c>
      <c r="K3547" t="s">
        <v>3</v>
      </c>
      <c r="L3547" t="s">
        <v>3</v>
      </c>
      <c r="M3547" t="s">
        <v>12</v>
      </c>
      <c r="N3547" t="s">
        <v>85</v>
      </c>
      <c r="O3547" s="6" t="s">
        <v>12</v>
      </c>
      <c r="P3547" t="s">
        <v>70</v>
      </c>
      <c r="Q3547">
        <v>13</v>
      </c>
      <c r="R3547" t="s">
        <v>213</v>
      </c>
      <c r="S3547" s="2" t="s">
        <v>9</v>
      </c>
      <c r="T3547">
        <v>1</v>
      </c>
      <c r="U3547" t="s">
        <v>28</v>
      </c>
      <c r="V3547" t="s">
        <v>28</v>
      </c>
      <c r="W3547">
        <v>22</v>
      </c>
      <c r="X3547">
        <v>69.87</v>
      </c>
      <c r="Y3547" t="s">
        <v>28</v>
      </c>
      <c r="AA3547" t="s">
        <v>28</v>
      </c>
      <c r="AB3547" t="s">
        <v>28</v>
      </c>
    </row>
    <row r="3548" spans="1:28" x14ac:dyDescent="0.2">
      <c r="A3548" t="s">
        <v>456</v>
      </c>
      <c r="B3548">
        <v>2014</v>
      </c>
      <c r="C3548" t="s">
        <v>807</v>
      </c>
      <c r="D3548" t="s">
        <v>825</v>
      </c>
      <c r="E3548" t="s">
        <v>35</v>
      </c>
      <c r="F3548" t="s">
        <v>457</v>
      </c>
      <c r="G3548">
        <v>31.212914999999999</v>
      </c>
      <c r="H3548">
        <v>130.64360199999999</v>
      </c>
      <c r="I3548" t="s">
        <v>767</v>
      </c>
      <c r="J3548" s="2" t="s">
        <v>14</v>
      </c>
      <c r="K3548" t="s">
        <v>3</v>
      </c>
      <c r="L3548" t="s">
        <v>3</v>
      </c>
      <c r="M3548" t="s">
        <v>12</v>
      </c>
      <c r="N3548" t="s">
        <v>85</v>
      </c>
      <c r="O3548" s="6" t="s">
        <v>12</v>
      </c>
      <c r="P3548" t="s">
        <v>70</v>
      </c>
      <c r="Q3548">
        <v>13</v>
      </c>
      <c r="R3548" t="s">
        <v>213</v>
      </c>
      <c r="S3548" s="2" t="s">
        <v>27</v>
      </c>
      <c r="T3548">
        <v>1</v>
      </c>
      <c r="U3548" t="s">
        <v>28</v>
      </c>
      <c r="V3548" t="s">
        <v>28</v>
      </c>
      <c r="W3548">
        <v>24</v>
      </c>
      <c r="X3548">
        <v>66.67</v>
      </c>
      <c r="Y3548" t="s">
        <v>28</v>
      </c>
      <c r="AA3548" t="s">
        <v>28</v>
      </c>
      <c r="AB3548" t="s">
        <v>28</v>
      </c>
    </row>
    <row r="3549" spans="1:28" x14ac:dyDescent="0.2">
      <c r="A3549" t="s">
        <v>456</v>
      </c>
      <c r="B3549">
        <v>2014</v>
      </c>
      <c r="C3549" t="s">
        <v>807</v>
      </c>
      <c r="D3549" t="s">
        <v>825</v>
      </c>
      <c r="E3549" t="s">
        <v>35</v>
      </c>
      <c r="F3549" t="s">
        <v>457</v>
      </c>
      <c r="G3549">
        <v>31.212914999999999</v>
      </c>
      <c r="H3549">
        <v>130.64360199999999</v>
      </c>
      <c r="I3549" t="s">
        <v>767</v>
      </c>
      <c r="J3549" s="2" t="s">
        <v>14</v>
      </c>
      <c r="K3549" t="s">
        <v>3</v>
      </c>
      <c r="L3549" t="s">
        <v>3</v>
      </c>
      <c r="M3549" t="s">
        <v>12</v>
      </c>
      <c r="N3549" t="s">
        <v>85</v>
      </c>
      <c r="O3549" s="6" t="s">
        <v>12</v>
      </c>
      <c r="P3549" t="s">
        <v>70</v>
      </c>
      <c r="Q3549">
        <v>13</v>
      </c>
      <c r="R3549" t="s">
        <v>213</v>
      </c>
      <c r="S3549" s="2" t="s">
        <v>15</v>
      </c>
      <c r="T3549">
        <v>1</v>
      </c>
      <c r="U3549" t="s">
        <v>28</v>
      </c>
      <c r="V3549" t="s">
        <v>28</v>
      </c>
      <c r="W3549">
        <v>28</v>
      </c>
      <c r="X3549">
        <v>33.28</v>
      </c>
      <c r="Y3549" t="s">
        <v>28</v>
      </c>
      <c r="AA3549" t="s">
        <v>28</v>
      </c>
      <c r="AB3549" t="s">
        <v>28</v>
      </c>
    </row>
    <row r="3550" spans="1:28" x14ac:dyDescent="0.2">
      <c r="A3550" t="s">
        <v>456</v>
      </c>
      <c r="B3550">
        <v>2014</v>
      </c>
      <c r="C3550" t="s">
        <v>807</v>
      </c>
      <c r="D3550" t="s">
        <v>825</v>
      </c>
      <c r="E3550" t="s">
        <v>35</v>
      </c>
      <c r="F3550" t="s">
        <v>457</v>
      </c>
      <c r="G3550">
        <v>31.212914999999999</v>
      </c>
      <c r="H3550">
        <v>130.64360199999999</v>
      </c>
      <c r="I3550" t="s">
        <v>767</v>
      </c>
      <c r="J3550" s="2" t="s">
        <v>14</v>
      </c>
      <c r="K3550" t="s">
        <v>3</v>
      </c>
      <c r="L3550" t="s">
        <v>3</v>
      </c>
      <c r="M3550" t="s">
        <v>12</v>
      </c>
      <c r="N3550" t="s">
        <v>85</v>
      </c>
      <c r="O3550" s="6" t="s">
        <v>12</v>
      </c>
      <c r="P3550" t="s">
        <v>70</v>
      </c>
      <c r="Q3550">
        <v>13</v>
      </c>
      <c r="R3550" t="s">
        <v>213</v>
      </c>
      <c r="S3550" s="2" t="s">
        <v>116</v>
      </c>
      <c r="T3550">
        <v>1</v>
      </c>
      <c r="U3550" t="s">
        <v>28</v>
      </c>
      <c r="V3550" t="s">
        <v>28</v>
      </c>
      <c r="W3550">
        <v>32</v>
      </c>
      <c r="X3550">
        <v>0</v>
      </c>
      <c r="Y3550" t="s">
        <v>28</v>
      </c>
      <c r="AA3550" t="s">
        <v>28</v>
      </c>
      <c r="AB3550" t="s">
        <v>28</v>
      </c>
    </row>
    <row r="3551" spans="1:28" x14ac:dyDescent="0.2">
      <c r="A3551" t="s">
        <v>456</v>
      </c>
      <c r="B3551">
        <v>2014</v>
      </c>
      <c r="C3551" t="s">
        <v>807</v>
      </c>
      <c r="D3551" t="s">
        <v>825</v>
      </c>
      <c r="E3551" t="s">
        <v>35</v>
      </c>
      <c r="F3551" t="s">
        <v>457</v>
      </c>
      <c r="G3551">
        <v>31.212914999999999</v>
      </c>
      <c r="H3551">
        <v>130.64360199999999</v>
      </c>
      <c r="I3551" t="s">
        <v>771</v>
      </c>
      <c r="J3551" s="2" t="s">
        <v>7</v>
      </c>
      <c r="K3551" t="s">
        <v>144</v>
      </c>
      <c r="L3551" t="s">
        <v>144</v>
      </c>
      <c r="M3551" t="s">
        <v>73</v>
      </c>
      <c r="N3551" t="s">
        <v>85</v>
      </c>
      <c r="O3551" s="6" t="s">
        <v>834</v>
      </c>
      <c r="P3551" t="s">
        <v>459</v>
      </c>
      <c r="Q3551">
        <f>0.5/24</f>
        <v>2.0833333333333332E-2</v>
      </c>
      <c r="R3551" t="s">
        <v>213</v>
      </c>
      <c r="S3551" s="2" t="s">
        <v>7</v>
      </c>
      <c r="T3551">
        <v>5</v>
      </c>
      <c r="U3551" t="s">
        <v>28</v>
      </c>
      <c r="V3551" t="s">
        <v>28</v>
      </c>
      <c r="W3551">
        <v>20</v>
      </c>
      <c r="X3551">
        <v>47.04</v>
      </c>
      <c r="Y3551">
        <f t="shared" ref="Y3551:Y3568" si="67">SQRT(T3551) * (AB3551-AA3551)/3.92</f>
        <v>8.7275102183027489</v>
      </c>
      <c r="AA3551">
        <v>37.86</v>
      </c>
      <c r="AB3551">
        <v>53.16</v>
      </c>
    </row>
    <row r="3552" spans="1:28" x14ac:dyDescent="0.2">
      <c r="A3552" t="s">
        <v>456</v>
      </c>
      <c r="B3552">
        <v>2014</v>
      </c>
      <c r="C3552" t="s">
        <v>807</v>
      </c>
      <c r="D3552" t="s">
        <v>825</v>
      </c>
      <c r="E3552" t="s">
        <v>35</v>
      </c>
      <c r="F3552" t="s">
        <v>457</v>
      </c>
      <c r="G3552">
        <v>31.212914999999999</v>
      </c>
      <c r="H3552">
        <v>130.64360199999999</v>
      </c>
      <c r="I3552" t="s">
        <v>771</v>
      </c>
      <c r="J3552" s="2" t="s">
        <v>14</v>
      </c>
      <c r="K3552" t="s">
        <v>144</v>
      </c>
      <c r="L3552" t="s">
        <v>144</v>
      </c>
      <c r="M3552" t="s">
        <v>73</v>
      </c>
      <c r="N3552" t="s">
        <v>85</v>
      </c>
      <c r="O3552" s="6" t="s">
        <v>834</v>
      </c>
      <c r="P3552" t="s">
        <v>459</v>
      </c>
      <c r="Q3552">
        <f t="shared" ref="Q3552:Q3568" si="68">0.5/24</f>
        <v>2.0833333333333332E-2</v>
      </c>
      <c r="R3552" t="s">
        <v>213</v>
      </c>
      <c r="S3552" s="2" t="s">
        <v>27</v>
      </c>
      <c r="T3552">
        <v>5</v>
      </c>
      <c r="U3552" t="s">
        <v>28</v>
      </c>
      <c r="V3552" t="s">
        <v>28</v>
      </c>
      <c r="W3552">
        <v>24</v>
      </c>
      <c r="X3552">
        <v>49.49</v>
      </c>
      <c r="Y3552">
        <f t="shared" si="67"/>
        <v>5.9381295014726545</v>
      </c>
      <c r="AA3552">
        <v>43.06</v>
      </c>
      <c r="AB3552">
        <v>53.47</v>
      </c>
    </row>
    <row r="3553" spans="1:28" x14ac:dyDescent="0.2">
      <c r="A3553" t="s">
        <v>456</v>
      </c>
      <c r="B3553">
        <v>2014</v>
      </c>
      <c r="C3553" t="s">
        <v>807</v>
      </c>
      <c r="D3553" t="s">
        <v>825</v>
      </c>
      <c r="E3553" t="s">
        <v>35</v>
      </c>
      <c r="F3553" t="s">
        <v>457</v>
      </c>
      <c r="G3553">
        <v>31.212914999999999</v>
      </c>
      <c r="H3553">
        <v>130.64360199999999</v>
      </c>
      <c r="I3553" t="s">
        <v>771</v>
      </c>
      <c r="J3553" s="2" t="s">
        <v>14</v>
      </c>
      <c r="K3553" t="s">
        <v>144</v>
      </c>
      <c r="L3553" t="s">
        <v>144</v>
      </c>
      <c r="M3553" t="s">
        <v>73</v>
      </c>
      <c r="N3553" t="s">
        <v>85</v>
      </c>
      <c r="O3553" s="6" t="s">
        <v>834</v>
      </c>
      <c r="P3553" t="s">
        <v>459</v>
      </c>
      <c r="Q3553">
        <f t="shared" si="68"/>
        <v>2.0833333333333332E-2</v>
      </c>
      <c r="R3553" t="s">
        <v>213</v>
      </c>
      <c r="S3553" s="2" t="s">
        <v>15</v>
      </c>
      <c r="T3553">
        <v>5</v>
      </c>
      <c r="U3553" t="s">
        <v>28</v>
      </c>
      <c r="V3553" t="s">
        <v>28</v>
      </c>
      <c r="W3553">
        <v>28</v>
      </c>
      <c r="X3553">
        <v>40</v>
      </c>
      <c r="Y3553">
        <f t="shared" si="67"/>
        <v>11.174635632454308</v>
      </c>
      <c r="AA3553">
        <v>27.45</v>
      </c>
      <c r="AB3553">
        <v>47.04</v>
      </c>
    </row>
    <row r="3554" spans="1:28" x14ac:dyDescent="0.2">
      <c r="A3554" t="s">
        <v>456</v>
      </c>
      <c r="B3554">
        <v>2014</v>
      </c>
      <c r="C3554" t="s">
        <v>807</v>
      </c>
      <c r="D3554" t="s">
        <v>825</v>
      </c>
      <c r="E3554" t="s">
        <v>35</v>
      </c>
      <c r="F3554" t="s">
        <v>457</v>
      </c>
      <c r="G3554">
        <v>31.212914999999999</v>
      </c>
      <c r="H3554">
        <v>130.64360199999999</v>
      </c>
      <c r="I3554" t="s">
        <v>771</v>
      </c>
      <c r="J3554" s="2" t="s">
        <v>14</v>
      </c>
      <c r="K3554" t="s">
        <v>144</v>
      </c>
      <c r="L3554" t="s">
        <v>144</v>
      </c>
      <c r="M3554" t="s">
        <v>73</v>
      </c>
      <c r="N3554" t="s">
        <v>85</v>
      </c>
      <c r="O3554" s="6" t="s">
        <v>834</v>
      </c>
      <c r="P3554" t="s">
        <v>459</v>
      </c>
      <c r="Q3554">
        <f t="shared" si="68"/>
        <v>2.0833333333333332E-2</v>
      </c>
      <c r="R3554" t="s">
        <v>213</v>
      </c>
      <c r="S3554" s="2" t="s">
        <v>116</v>
      </c>
      <c r="T3554">
        <v>5</v>
      </c>
      <c r="U3554" t="s">
        <v>28</v>
      </c>
      <c r="V3554" t="s">
        <v>28</v>
      </c>
      <c r="W3554">
        <v>32</v>
      </c>
      <c r="X3554">
        <v>19.18</v>
      </c>
      <c r="Y3554">
        <f t="shared" si="67"/>
        <v>4.7174189219191991</v>
      </c>
      <c r="AA3554">
        <v>14.59</v>
      </c>
      <c r="AB3554">
        <v>22.86</v>
      </c>
    </row>
    <row r="3555" spans="1:28" x14ac:dyDescent="0.2">
      <c r="A3555" t="s">
        <v>456</v>
      </c>
      <c r="B3555">
        <v>2014</v>
      </c>
      <c r="C3555" t="s">
        <v>807</v>
      </c>
      <c r="D3555" t="s">
        <v>825</v>
      </c>
      <c r="E3555" t="s">
        <v>35</v>
      </c>
      <c r="F3555" t="s">
        <v>457</v>
      </c>
      <c r="G3555">
        <v>31.212914999999999</v>
      </c>
      <c r="H3555">
        <v>130.64360199999999</v>
      </c>
      <c r="I3555" t="s">
        <v>771</v>
      </c>
      <c r="J3555" s="2" t="s">
        <v>14</v>
      </c>
      <c r="K3555" t="s">
        <v>144</v>
      </c>
      <c r="L3555" t="s">
        <v>144</v>
      </c>
      <c r="M3555" t="s">
        <v>73</v>
      </c>
      <c r="N3555" t="s">
        <v>85</v>
      </c>
      <c r="O3555" s="6" t="s">
        <v>834</v>
      </c>
      <c r="P3555" t="s">
        <v>459</v>
      </c>
      <c r="Q3555">
        <f t="shared" si="68"/>
        <v>2.0833333333333332E-2</v>
      </c>
      <c r="R3555" t="s">
        <v>213</v>
      </c>
      <c r="S3555" s="2" t="s">
        <v>118</v>
      </c>
      <c r="T3555">
        <v>5</v>
      </c>
      <c r="U3555" t="s">
        <v>28</v>
      </c>
      <c r="V3555" t="s">
        <v>28</v>
      </c>
      <c r="W3555">
        <v>36</v>
      </c>
      <c r="X3555">
        <v>-15.1</v>
      </c>
      <c r="Y3555">
        <f t="shared" si="67"/>
        <v>5.4133380373655617</v>
      </c>
      <c r="AA3555">
        <v>-21.22</v>
      </c>
      <c r="AB3555">
        <v>-11.73</v>
      </c>
    </row>
    <row r="3556" spans="1:28" x14ac:dyDescent="0.2">
      <c r="A3556" t="s">
        <v>456</v>
      </c>
      <c r="B3556">
        <v>2014</v>
      </c>
      <c r="C3556" t="s">
        <v>807</v>
      </c>
      <c r="D3556" t="s">
        <v>825</v>
      </c>
      <c r="E3556" t="s">
        <v>35</v>
      </c>
      <c r="F3556" t="s">
        <v>457</v>
      </c>
      <c r="G3556">
        <v>31.212914999999999</v>
      </c>
      <c r="H3556">
        <v>130.64360199999999</v>
      </c>
      <c r="I3556" t="s">
        <v>771</v>
      </c>
      <c r="J3556" s="2" t="s">
        <v>7</v>
      </c>
      <c r="K3556" t="s">
        <v>144</v>
      </c>
      <c r="L3556" t="s">
        <v>144</v>
      </c>
      <c r="M3556" t="s">
        <v>172</v>
      </c>
      <c r="N3556" t="s">
        <v>86</v>
      </c>
      <c r="O3556" s="6" t="s">
        <v>62</v>
      </c>
      <c r="P3556" t="s">
        <v>459</v>
      </c>
      <c r="Q3556">
        <f>0.5/24</f>
        <v>2.0833333333333332E-2</v>
      </c>
      <c r="R3556" t="s">
        <v>213</v>
      </c>
      <c r="S3556" s="2" t="s">
        <v>7</v>
      </c>
      <c r="T3556">
        <v>5</v>
      </c>
      <c r="U3556" t="s">
        <v>28</v>
      </c>
      <c r="V3556" t="s">
        <v>28</v>
      </c>
      <c r="W3556">
        <v>20</v>
      </c>
      <c r="X3556">
        <v>9.1999999999999993</v>
      </c>
      <c r="Y3556">
        <f t="shared" si="67"/>
        <v>2.5212807297319055</v>
      </c>
      <c r="AA3556">
        <v>7.35</v>
      </c>
      <c r="AB3556">
        <v>11.77</v>
      </c>
    </row>
    <row r="3557" spans="1:28" x14ac:dyDescent="0.2">
      <c r="A3557" t="s">
        <v>456</v>
      </c>
      <c r="B3557">
        <v>2014</v>
      </c>
      <c r="C3557" t="s">
        <v>807</v>
      </c>
      <c r="D3557" t="s">
        <v>825</v>
      </c>
      <c r="E3557" t="s">
        <v>35</v>
      </c>
      <c r="F3557" t="s">
        <v>457</v>
      </c>
      <c r="G3557">
        <v>31.212914999999999</v>
      </c>
      <c r="H3557">
        <v>130.64360199999999</v>
      </c>
      <c r="I3557" t="s">
        <v>771</v>
      </c>
      <c r="J3557" s="2" t="s">
        <v>14</v>
      </c>
      <c r="K3557" t="s">
        <v>144</v>
      </c>
      <c r="L3557" t="s">
        <v>144</v>
      </c>
      <c r="M3557" t="s">
        <v>172</v>
      </c>
      <c r="N3557" t="s">
        <v>86</v>
      </c>
      <c r="O3557" s="6" t="s">
        <v>62</v>
      </c>
      <c r="P3557" t="s">
        <v>459</v>
      </c>
      <c r="Q3557">
        <f t="shared" si="68"/>
        <v>2.0833333333333332E-2</v>
      </c>
      <c r="R3557" t="s">
        <v>213</v>
      </c>
      <c r="S3557" s="2" t="s">
        <v>27</v>
      </c>
      <c r="T3557">
        <v>5</v>
      </c>
      <c r="U3557" t="s">
        <v>28</v>
      </c>
      <c r="V3557" t="s">
        <v>28</v>
      </c>
      <c r="W3557">
        <v>24</v>
      </c>
      <c r="X3557">
        <v>13.8</v>
      </c>
      <c r="Y3557">
        <f t="shared" si="67"/>
        <v>2.3216318031694247</v>
      </c>
      <c r="AA3557">
        <v>11.95</v>
      </c>
      <c r="AB3557">
        <v>16.02</v>
      </c>
    </row>
    <row r="3558" spans="1:28" x14ac:dyDescent="0.2">
      <c r="A3558" t="s">
        <v>456</v>
      </c>
      <c r="B3558">
        <v>2014</v>
      </c>
      <c r="C3558" t="s">
        <v>807</v>
      </c>
      <c r="D3558" t="s">
        <v>825</v>
      </c>
      <c r="E3558" t="s">
        <v>35</v>
      </c>
      <c r="F3558" t="s">
        <v>457</v>
      </c>
      <c r="G3558">
        <v>31.212914999999999</v>
      </c>
      <c r="H3558">
        <v>130.64360199999999</v>
      </c>
      <c r="I3558" t="s">
        <v>771</v>
      </c>
      <c r="J3558" s="2" t="s">
        <v>14</v>
      </c>
      <c r="K3558" t="s">
        <v>144</v>
      </c>
      <c r="L3558" t="s">
        <v>144</v>
      </c>
      <c r="M3558" t="s">
        <v>172</v>
      </c>
      <c r="N3558" t="s">
        <v>86</v>
      </c>
      <c r="O3558" s="6" t="s">
        <v>62</v>
      </c>
      <c r="P3558" t="s">
        <v>459</v>
      </c>
      <c r="Q3558">
        <f t="shared" si="68"/>
        <v>2.0833333333333332E-2</v>
      </c>
      <c r="R3558" t="s">
        <v>213</v>
      </c>
      <c r="S3558" s="2" t="s">
        <v>15</v>
      </c>
      <c r="T3558">
        <v>5</v>
      </c>
      <c r="U3558" t="s">
        <v>28</v>
      </c>
      <c r="V3558" t="s">
        <v>28</v>
      </c>
      <c r="W3558">
        <v>28</v>
      </c>
      <c r="X3558">
        <v>15.6</v>
      </c>
      <c r="Y3558">
        <f t="shared" si="67"/>
        <v>2.2132509573212213</v>
      </c>
      <c r="AA3558">
        <v>13.69</v>
      </c>
      <c r="AB3558">
        <v>17.57</v>
      </c>
    </row>
    <row r="3559" spans="1:28" x14ac:dyDescent="0.2">
      <c r="A3559" t="s">
        <v>456</v>
      </c>
      <c r="B3559">
        <v>2014</v>
      </c>
      <c r="C3559" t="s">
        <v>807</v>
      </c>
      <c r="D3559" t="s">
        <v>825</v>
      </c>
      <c r="E3559" t="s">
        <v>35</v>
      </c>
      <c r="F3559" t="s">
        <v>457</v>
      </c>
      <c r="G3559">
        <v>31.212914999999999</v>
      </c>
      <c r="H3559">
        <v>130.64360199999999</v>
      </c>
      <c r="I3559" t="s">
        <v>771</v>
      </c>
      <c r="J3559" s="2" t="s">
        <v>14</v>
      </c>
      <c r="K3559" t="s">
        <v>144</v>
      </c>
      <c r="L3559" t="s">
        <v>144</v>
      </c>
      <c r="M3559" t="s">
        <v>172</v>
      </c>
      <c r="N3559" t="s">
        <v>86</v>
      </c>
      <c r="O3559" s="6" t="s">
        <v>62</v>
      </c>
      <c r="P3559" t="s">
        <v>459</v>
      </c>
      <c r="Q3559">
        <f t="shared" si="68"/>
        <v>2.0833333333333332E-2</v>
      </c>
      <c r="R3559" t="s">
        <v>213</v>
      </c>
      <c r="S3559" s="2" t="s">
        <v>116</v>
      </c>
      <c r="T3559">
        <v>5</v>
      </c>
      <c r="U3559" t="s">
        <v>28</v>
      </c>
      <c r="V3559" t="s">
        <v>28</v>
      </c>
      <c r="W3559">
        <v>32</v>
      </c>
      <c r="X3559">
        <v>16.79</v>
      </c>
      <c r="Y3559">
        <f t="shared" si="67"/>
        <v>4.4664316999549376</v>
      </c>
      <c r="AA3559">
        <v>14.22</v>
      </c>
      <c r="AB3559">
        <v>22.05</v>
      </c>
    </row>
    <row r="3560" spans="1:28" x14ac:dyDescent="0.2">
      <c r="A3560" t="s">
        <v>456</v>
      </c>
      <c r="B3560">
        <v>2014</v>
      </c>
      <c r="C3560" t="s">
        <v>807</v>
      </c>
      <c r="D3560" t="s">
        <v>825</v>
      </c>
      <c r="E3560" t="s">
        <v>35</v>
      </c>
      <c r="F3560" t="s">
        <v>457</v>
      </c>
      <c r="G3560">
        <v>31.212914999999999</v>
      </c>
      <c r="H3560">
        <v>130.64360199999999</v>
      </c>
      <c r="I3560" t="s">
        <v>771</v>
      </c>
      <c r="J3560" s="2" t="s">
        <v>14</v>
      </c>
      <c r="K3560" t="s">
        <v>144</v>
      </c>
      <c r="L3560" t="s">
        <v>144</v>
      </c>
      <c r="M3560" t="s">
        <v>172</v>
      </c>
      <c r="N3560" t="s">
        <v>86</v>
      </c>
      <c r="O3560" s="6" t="s">
        <v>62</v>
      </c>
      <c r="P3560" t="s">
        <v>459</v>
      </c>
      <c r="Q3560">
        <f t="shared" si="68"/>
        <v>2.0833333333333332E-2</v>
      </c>
      <c r="R3560" t="s">
        <v>213</v>
      </c>
      <c r="S3560" s="2" t="s">
        <v>118</v>
      </c>
      <c r="T3560">
        <v>5</v>
      </c>
      <c r="U3560" t="s">
        <v>28</v>
      </c>
      <c r="V3560" t="s">
        <v>28</v>
      </c>
      <c r="W3560">
        <v>36</v>
      </c>
      <c r="X3560">
        <v>24.5</v>
      </c>
      <c r="Y3560">
        <f t="shared" si="67"/>
        <v>6.0693273674994277</v>
      </c>
      <c r="AA3560">
        <v>18.760000000000002</v>
      </c>
      <c r="AB3560">
        <v>29.4</v>
      </c>
    </row>
    <row r="3561" spans="1:28" x14ac:dyDescent="0.2">
      <c r="A3561" t="s">
        <v>456</v>
      </c>
      <c r="B3561">
        <v>2014</v>
      </c>
      <c r="C3561" t="s">
        <v>807</v>
      </c>
      <c r="D3561" t="s">
        <v>825</v>
      </c>
      <c r="E3561" t="s">
        <v>35</v>
      </c>
      <c r="F3561" t="s">
        <v>457</v>
      </c>
      <c r="G3561">
        <v>31.212914999999999</v>
      </c>
      <c r="H3561">
        <v>130.64360199999999</v>
      </c>
      <c r="I3561" t="s">
        <v>771</v>
      </c>
      <c r="J3561" s="2" t="s">
        <v>7</v>
      </c>
      <c r="K3561" t="s">
        <v>144</v>
      </c>
      <c r="L3561" t="s">
        <v>144</v>
      </c>
      <c r="M3561" t="s">
        <v>726</v>
      </c>
      <c r="N3561" t="s">
        <v>85</v>
      </c>
      <c r="O3561" s="6" t="s">
        <v>396</v>
      </c>
      <c r="Q3561">
        <f t="shared" si="68"/>
        <v>2.0833333333333332E-2</v>
      </c>
      <c r="R3561" t="s">
        <v>213</v>
      </c>
      <c r="S3561" s="2" t="s">
        <v>7</v>
      </c>
      <c r="T3561">
        <v>10</v>
      </c>
      <c r="U3561" t="s">
        <v>28</v>
      </c>
      <c r="V3561" t="s">
        <v>28</v>
      </c>
      <c r="W3561">
        <v>20</v>
      </c>
      <c r="X3561">
        <v>0.70279999999999998</v>
      </c>
      <c r="Y3561">
        <f t="shared" si="67"/>
        <v>4.7434164902525666E-2</v>
      </c>
      <c r="AA3561">
        <v>0.6593</v>
      </c>
      <c r="AB3561">
        <v>0.71809999999999996</v>
      </c>
    </row>
    <row r="3562" spans="1:28" x14ac:dyDescent="0.2">
      <c r="A3562" t="s">
        <v>456</v>
      </c>
      <c r="B3562">
        <v>2014</v>
      </c>
      <c r="C3562" t="s">
        <v>807</v>
      </c>
      <c r="D3562" t="s">
        <v>825</v>
      </c>
      <c r="E3562" t="s">
        <v>35</v>
      </c>
      <c r="F3562" t="s">
        <v>457</v>
      </c>
      <c r="G3562">
        <v>31.212914999999999</v>
      </c>
      <c r="H3562">
        <v>130.64360199999999</v>
      </c>
      <c r="I3562" t="s">
        <v>771</v>
      </c>
      <c r="J3562" s="2" t="s">
        <v>14</v>
      </c>
      <c r="K3562" t="s">
        <v>144</v>
      </c>
      <c r="L3562" t="s">
        <v>144</v>
      </c>
      <c r="M3562" t="s">
        <v>726</v>
      </c>
      <c r="N3562" t="s">
        <v>85</v>
      </c>
      <c r="O3562" s="6" t="s">
        <v>396</v>
      </c>
      <c r="Q3562">
        <f t="shared" si="68"/>
        <v>2.0833333333333332E-2</v>
      </c>
      <c r="R3562" t="s">
        <v>213</v>
      </c>
      <c r="S3562" s="2" t="s">
        <v>9</v>
      </c>
      <c r="T3562">
        <v>10</v>
      </c>
      <c r="U3562" t="s">
        <v>28</v>
      </c>
      <c r="V3562" t="s">
        <v>28</v>
      </c>
      <c r="W3562">
        <v>22</v>
      </c>
      <c r="X3562">
        <v>0.66700000000000004</v>
      </c>
      <c r="Y3562">
        <f t="shared" si="67"/>
        <v>2.6137192905473328E-2</v>
      </c>
      <c r="AA3562">
        <v>0.64900000000000002</v>
      </c>
      <c r="AB3562">
        <v>0.68140000000000001</v>
      </c>
    </row>
    <row r="3563" spans="1:28" x14ac:dyDescent="0.2">
      <c r="A3563" t="s">
        <v>456</v>
      </c>
      <c r="B3563">
        <v>2014</v>
      </c>
      <c r="C3563" t="s">
        <v>807</v>
      </c>
      <c r="D3563" t="s">
        <v>825</v>
      </c>
      <c r="E3563" t="s">
        <v>35</v>
      </c>
      <c r="F3563" t="s">
        <v>457</v>
      </c>
      <c r="G3563">
        <v>31.212914999999999</v>
      </c>
      <c r="H3563">
        <v>130.64360199999999</v>
      </c>
      <c r="I3563" t="s">
        <v>771</v>
      </c>
      <c r="J3563" s="2" t="s">
        <v>14</v>
      </c>
      <c r="K3563" t="s">
        <v>144</v>
      </c>
      <c r="L3563" t="s">
        <v>144</v>
      </c>
      <c r="M3563" t="s">
        <v>726</v>
      </c>
      <c r="N3563" t="s">
        <v>85</v>
      </c>
      <c r="O3563" s="6" t="s">
        <v>396</v>
      </c>
      <c r="Q3563">
        <f t="shared" si="68"/>
        <v>2.0833333333333332E-2</v>
      </c>
      <c r="R3563" t="s">
        <v>213</v>
      </c>
      <c r="S3563" s="2" t="s">
        <v>15</v>
      </c>
      <c r="T3563">
        <v>10</v>
      </c>
      <c r="U3563" t="s">
        <v>28</v>
      </c>
      <c r="V3563" t="s">
        <v>28</v>
      </c>
      <c r="W3563">
        <v>24</v>
      </c>
      <c r="X3563">
        <v>0.59870000000000001</v>
      </c>
      <c r="Y3563">
        <f t="shared" si="67"/>
        <v>2.2023005133315492E-2</v>
      </c>
      <c r="AA3563">
        <v>0.58589999999999998</v>
      </c>
      <c r="AB3563">
        <v>0.61319999999999997</v>
      </c>
    </row>
    <row r="3564" spans="1:28" x14ac:dyDescent="0.2">
      <c r="A3564" t="s">
        <v>456</v>
      </c>
      <c r="B3564">
        <v>2014</v>
      </c>
      <c r="C3564" t="s">
        <v>807</v>
      </c>
      <c r="D3564" t="s">
        <v>825</v>
      </c>
      <c r="E3564" t="s">
        <v>35</v>
      </c>
      <c r="F3564" t="s">
        <v>457</v>
      </c>
      <c r="G3564">
        <v>31.212914999999999</v>
      </c>
      <c r="H3564">
        <v>130.64360199999999</v>
      </c>
      <c r="I3564" t="s">
        <v>771</v>
      </c>
      <c r="J3564" s="2" t="s">
        <v>14</v>
      </c>
      <c r="K3564" t="s">
        <v>144</v>
      </c>
      <c r="L3564" t="s">
        <v>144</v>
      </c>
      <c r="M3564" t="s">
        <v>726</v>
      </c>
      <c r="N3564" t="s">
        <v>85</v>
      </c>
      <c r="O3564" s="6" t="s">
        <v>396</v>
      </c>
      <c r="Q3564">
        <f t="shared" si="68"/>
        <v>2.0833333333333332E-2</v>
      </c>
      <c r="R3564" t="s">
        <v>213</v>
      </c>
      <c r="S3564" s="2" t="s">
        <v>13</v>
      </c>
      <c r="T3564">
        <v>10</v>
      </c>
      <c r="U3564" t="s">
        <v>28</v>
      </c>
      <c r="V3564" t="s">
        <v>28</v>
      </c>
      <c r="W3564">
        <v>26</v>
      </c>
      <c r="X3564">
        <v>0.57140000000000002</v>
      </c>
      <c r="Y3564">
        <f t="shared" si="67"/>
        <v>4.4046010266631075E-2</v>
      </c>
      <c r="AA3564">
        <v>0.54579999999999995</v>
      </c>
      <c r="AB3564">
        <v>0.60040000000000004</v>
      </c>
    </row>
    <row r="3565" spans="1:28" x14ac:dyDescent="0.2">
      <c r="A3565" t="s">
        <v>456</v>
      </c>
      <c r="B3565">
        <v>2014</v>
      </c>
      <c r="C3565" t="s">
        <v>807</v>
      </c>
      <c r="D3565" t="s">
        <v>825</v>
      </c>
      <c r="E3565" t="s">
        <v>35</v>
      </c>
      <c r="F3565" t="s">
        <v>457</v>
      </c>
      <c r="G3565">
        <v>31.212914999999999</v>
      </c>
      <c r="H3565">
        <v>130.64360199999999</v>
      </c>
      <c r="I3565" t="s">
        <v>771</v>
      </c>
      <c r="J3565" s="2" t="s">
        <v>14</v>
      </c>
      <c r="K3565" t="s">
        <v>144</v>
      </c>
      <c r="L3565" t="s">
        <v>144</v>
      </c>
      <c r="M3565" t="s">
        <v>726</v>
      </c>
      <c r="N3565" t="s">
        <v>85</v>
      </c>
      <c r="O3565" s="6" t="s">
        <v>396</v>
      </c>
      <c r="Q3565">
        <f t="shared" si="68"/>
        <v>2.0833333333333332E-2</v>
      </c>
      <c r="R3565" t="s">
        <v>213</v>
      </c>
      <c r="S3565" s="2" t="s">
        <v>37</v>
      </c>
      <c r="T3565">
        <v>10</v>
      </c>
      <c r="U3565" t="s">
        <v>28</v>
      </c>
      <c r="V3565" t="s">
        <v>28</v>
      </c>
      <c r="W3565">
        <v>30</v>
      </c>
      <c r="X3565">
        <v>0.46910000000000002</v>
      </c>
      <c r="Y3565">
        <f t="shared" si="67"/>
        <v>6.8811807248051721E-2</v>
      </c>
      <c r="AA3565">
        <v>0.42299999999999999</v>
      </c>
      <c r="AB3565">
        <v>0.50829999999999997</v>
      </c>
    </row>
    <row r="3566" spans="1:28" x14ac:dyDescent="0.2">
      <c r="A3566" t="s">
        <v>456</v>
      </c>
      <c r="B3566">
        <v>2014</v>
      </c>
      <c r="C3566" t="s">
        <v>807</v>
      </c>
      <c r="D3566" t="s">
        <v>825</v>
      </c>
      <c r="E3566" t="s">
        <v>35</v>
      </c>
      <c r="F3566" t="s">
        <v>457</v>
      </c>
      <c r="G3566">
        <v>31.212914999999999</v>
      </c>
      <c r="H3566">
        <v>130.64360199999999</v>
      </c>
      <c r="I3566" t="s">
        <v>771</v>
      </c>
      <c r="J3566" s="2" t="s">
        <v>14</v>
      </c>
      <c r="K3566" t="s">
        <v>144</v>
      </c>
      <c r="L3566" t="s">
        <v>144</v>
      </c>
      <c r="M3566" t="s">
        <v>726</v>
      </c>
      <c r="N3566" t="s">
        <v>85</v>
      </c>
      <c r="O3566" s="6" t="s">
        <v>396</v>
      </c>
      <c r="Q3566">
        <f t="shared" si="68"/>
        <v>2.0833333333333332E-2</v>
      </c>
      <c r="R3566" t="s">
        <v>213</v>
      </c>
      <c r="S3566" s="2" t="s">
        <v>116</v>
      </c>
      <c r="T3566">
        <v>10</v>
      </c>
      <c r="U3566" t="s">
        <v>28</v>
      </c>
      <c r="V3566" t="s">
        <v>28</v>
      </c>
      <c r="W3566">
        <v>32</v>
      </c>
      <c r="X3566">
        <v>0.3659</v>
      </c>
      <c r="Y3566">
        <f t="shared" si="67"/>
        <v>0.17545800793026084</v>
      </c>
      <c r="AA3566">
        <v>0.24990000000000001</v>
      </c>
      <c r="AB3566">
        <v>0.46739999999999998</v>
      </c>
    </row>
    <row r="3567" spans="1:28" x14ac:dyDescent="0.2">
      <c r="A3567" t="s">
        <v>456</v>
      </c>
      <c r="B3567">
        <v>2014</v>
      </c>
      <c r="C3567" t="s">
        <v>807</v>
      </c>
      <c r="D3567" t="s">
        <v>825</v>
      </c>
      <c r="E3567" t="s">
        <v>35</v>
      </c>
      <c r="F3567" t="s">
        <v>457</v>
      </c>
      <c r="G3567">
        <v>31.212914999999999</v>
      </c>
      <c r="H3567">
        <v>130.64360199999999</v>
      </c>
      <c r="I3567" t="s">
        <v>771</v>
      </c>
      <c r="J3567" s="2" t="s">
        <v>14</v>
      </c>
      <c r="K3567" t="s">
        <v>144</v>
      </c>
      <c r="L3567" t="s">
        <v>144</v>
      </c>
      <c r="M3567" t="s">
        <v>726</v>
      </c>
      <c r="N3567" t="s">
        <v>85</v>
      </c>
      <c r="O3567" s="6" t="s">
        <v>396</v>
      </c>
      <c r="Q3567">
        <f t="shared" si="68"/>
        <v>2.0833333333333332E-2</v>
      </c>
      <c r="R3567" t="s">
        <v>213</v>
      </c>
      <c r="S3567" s="2" t="s">
        <v>117</v>
      </c>
      <c r="T3567">
        <v>10</v>
      </c>
      <c r="U3567" t="s">
        <v>28</v>
      </c>
      <c r="V3567" t="s">
        <v>28</v>
      </c>
      <c r="W3567">
        <v>34</v>
      </c>
      <c r="X3567">
        <v>0.24990000000000001</v>
      </c>
      <c r="Y3567">
        <f t="shared" si="67"/>
        <v>9.56750332897882E-2</v>
      </c>
      <c r="AA3567">
        <v>0.2021</v>
      </c>
      <c r="AB3567">
        <v>0.32069999999999999</v>
      </c>
    </row>
    <row r="3568" spans="1:28" x14ac:dyDescent="0.2">
      <c r="A3568" t="s">
        <v>456</v>
      </c>
      <c r="B3568">
        <v>2014</v>
      </c>
      <c r="C3568" t="s">
        <v>807</v>
      </c>
      <c r="D3568" t="s">
        <v>825</v>
      </c>
      <c r="E3568" t="s">
        <v>35</v>
      </c>
      <c r="F3568" t="s">
        <v>457</v>
      </c>
      <c r="G3568">
        <v>31.212914999999999</v>
      </c>
      <c r="H3568">
        <v>130.64360199999999</v>
      </c>
      <c r="I3568" t="s">
        <v>771</v>
      </c>
      <c r="J3568" s="2" t="s">
        <v>14</v>
      </c>
      <c r="K3568" t="s">
        <v>144</v>
      </c>
      <c r="L3568" t="s">
        <v>144</v>
      </c>
      <c r="M3568" t="s">
        <v>726</v>
      </c>
      <c r="N3568" t="s">
        <v>85</v>
      </c>
      <c r="O3568" s="6" t="s">
        <v>396</v>
      </c>
      <c r="Q3568">
        <f t="shared" si="68"/>
        <v>2.0833333333333332E-2</v>
      </c>
      <c r="R3568" t="s">
        <v>213</v>
      </c>
      <c r="S3568" s="2" t="s">
        <v>118</v>
      </c>
      <c r="T3568">
        <v>10</v>
      </c>
      <c r="U3568" t="s">
        <v>28</v>
      </c>
      <c r="V3568" t="s">
        <v>28</v>
      </c>
      <c r="W3568">
        <v>36</v>
      </c>
      <c r="X3568">
        <v>9.98E-2</v>
      </c>
      <c r="Y3568">
        <f t="shared" si="67"/>
        <v>0.13625221857205086</v>
      </c>
      <c r="AA3568">
        <v>2.3900000000000001E-2</v>
      </c>
      <c r="AB3568">
        <v>0.1928</v>
      </c>
    </row>
    <row r="3569" spans="1:28" x14ac:dyDescent="0.2">
      <c r="A3569" t="s">
        <v>460</v>
      </c>
      <c r="B3569">
        <v>2017</v>
      </c>
      <c r="C3569" t="s">
        <v>816</v>
      </c>
      <c r="D3569" t="s">
        <v>817</v>
      </c>
      <c r="E3569" t="s">
        <v>31</v>
      </c>
      <c r="F3569" t="s">
        <v>307</v>
      </c>
      <c r="G3569">
        <v>54.177500000000002</v>
      </c>
      <c r="H3569">
        <v>7.8933333299999999</v>
      </c>
      <c r="I3569" t="s">
        <v>765</v>
      </c>
      <c r="J3569" s="2" t="s">
        <v>7</v>
      </c>
      <c r="K3569" t="s">
        <v>3</v>
      </c>
      <c r="L3569" t="s">
        <v>3</v>
      </c>
      <c r="M3569" t="s">
        <v>26</v>
      </c>
      <c r="N3569" t="s">
        <v>85</v>
      </c>
      <c r="O3569" s="6" t="s">
        <v>80</v>
      </c>
      <c r="P3569" t="s">
        <v>461</v>
      </c>
      <c r="Q3569">
        <v>7</v>
      </c>
      <c r="R3569" t="s">
        <v>213</v>
      </c>
      <c r="S3569" s="2" t="s">
        <v>7</v>
      </c>
      <c r="T3569">
        <v>4</v>
      </c>
      <c r="U3569" t="s">
        <v>28</v>
      </c>
      <c r="V3569" t="s">
        <v>28</v>
      </c>
      <c r="W3569">
        <v>15</v>
      </c>
      <c r="X3569">
        <v>0.94769999999999999</v>
      </c>
      <c r="Y3569" s="6">
        <f>Z3569*SQRT(T3569)</f>
        <v>6.8200000000000038E-2</v>
      </c>
      <c r="Z3569">
        <f>0.9818-X3569</f>
        <v>3.4100000000000019E-2</v>
      </c>
      <c r="AA3569" s="6"/>
      <c r="AB3569" s="6"/>
    </row>
    <row r="3570" spans="1:28" x14ac:dyDescent="0.2">
      <c r="A3570" t="s">
        <v>460</v>
      </c>
      <c r="B3570">
        <v>2017</v>
      </c>
      <c r="C3570" t="s">
        <v>816</v>
      </c>
      <c r="D3570" t="s">
        <v>817</v>
      </c>
      <c r="E3570" t="s">
        <v>31</v>
      </c>
      <c r="F3570" t="s">
        <v>307</v>
      </c>
      <c r="G3570">
        <v>54.177500000000002</v>
      </c>
      <c r="H3570">
        <v>7.8933333299999999</v>
      </c>
      <c r="I3570" t="s">
        <v>765</v>
      </c>
      <c r="J3570" s="2" t="s">
        <v>14</v>
      </c>
      <c r="K3570" t="s">
        <v>3</v>
      </c>
      <c r="L3570" t="s">
        <v>3</v>
      </c>
      <c r="M3570" t="s">
        <v>26</v>
      </c>
      <c r="N3570" t="s">
        <v>85</v>
      </c>
      <c r="O3570" s="6" t="s">
        <v>80</v>
      </c>
      <c r="P3570" t="s">
        <v>461</v>
      </c>
      <c r="Q3570">
        <v>7</v>
      </c>
      <c r="R3570" t="s">
        <v>213</v>
      </c>
      <c r="S3570" s="2" t="s">
        <v>9</v>
      </c>
      <c r="T3570">
        <v>4</v>
      </c>
      <c r="U3570" t="s">
        <v>28</v>
      </c>
      <c r="V3570" t="s">
        <v>28</v>
      </c>
      <c r="W3570">
        <v>18</v>
      </c>
      <c r="X3570">
        <v>0.82330000000000003</v>
      </c>
      <c r="Y3570" s="6">
        <f>Z3570*SQRT(T3570)</f>
        <v>6.8200000000000038E-2</v>
      </c>
      <c r="Z3570">
        <f>0.8574-X3570</f>
        <v>3.4100000000000019E-2</v>
      </c>
      <c r="AA3570" s="6"/>
      <c r="AB3570" s="6"/>
    </row>
    <row r="3571" spans="1:28" x14ac:dyDescent="0.2">
      <c r="A3571" t="s">
        <v>505</v>
      </c>
      <c r="B3571">
        <v>2011</v>
      </c>
      <c r="C3571" t="s">
        <v>816</v>
      </c>
      <c r="D3571" t="s">
        <v>820</v>
      </c>
      <c r="E3571" t="s">
        <v>34</v>
      </c>
      <c r="F3571" t="s">
        <v>380</v>
      </c>
      <c r="G3571">
        <v>-29.966666669999999</v>
      </c>
      <c r="H3571">
        <v>-71.349999999999994</v>
      </c>
      <c r="I3571" t="s">
        <v>769</v>
      </c>
      <c r="J3571" s="2" t="s">
        <v>7</v>
      </c>
      <c r="K3571" t="s">
        <v>466</v>
      </c>
      <c r="L3571" t="s">
        <v>143</v>
      </c>
      <c r="M3571" t="s">
        <v>638</v>
      </c>
      <c r="N3571" t="s">
        <v>85</v>
      </c>
      <c r="O3571" s="6" t="s">
        <v>221</v>
      </c>
      <c r="P3571" t="s">
        <v>70</v>
      </c>
      <c r="Q3571">
        <v>14</v>
      </c>
      <c r="R3571" t="s">
        <v>213</v>
      </c>
      <c r="S3571" s="2" t="s">
        <v>7</v>
      </c>
      <c r="T3571">
        <v>4</v>
      </c>
      <c r="U3571" t="s">
        <v>28</v>
      </c>
      <c r="V3571" t="s">
        <v>28</v>
      </c>
      <c r="W3571">
        <v>17.600000000000001</v>
      </c>
      <c r="X3571">
        <v>27.5</v>
      </c>
      <c r="Y3571">
        <v>0.9</v>
      </c>
      <c r="AA3571" s="6"/>
      <c r="AB3571" s="6"/>
    </row>
    <row r="3572" spans="1:28" x14ac:dyDescent="0.2">
      <c r="A3572" t="s">
        <v>505</v>
      </c>
      <c r="B3572">
        <v>2011</v>
      </c>
      <c r="C3572" t="s">
        <v>816</v>
      </c>
      <c r="D3572" t="s">
        <v>820</v>
      </c>
      <c r="E3572" t="s">
        <v>34</v>
      </c>
      <c r="F3572" t="s">
        <v>380</v>
      </c>
      <c r="G3572">
        <v>-29.966666669999999</v>
      </c>
      <c r="H3572">
        <v>-71.349999999999994</v>
      </c>
      <c r="I3572" t="s">
        <v>769</v>
      </c>
      <c r="J3572" s="2" t="s">
        <v>14</v>
      </c>
      <c r="K3572" t="s">
        <v>466</v>
      </c>
      <c r="L3572" t="s">
        <v>143</v>
      </c>
      <c r="M3572" t="s">
        <v>638</v>
      </c>
      <c r="N3572" t="s">
        <v>85</v>
      </c>
      <c r="O3572" s="6" t="s">
        <v>221</v>
      </c>
      <c r="P3572" t="s">
        <v>70</v>
      </c>
      <c r="Q3572">
        <v>14</v>
      </c>
      <c r="R3572" t="s">
        <v>213</v>
      </c>
      <c r="S3572" s="2" t="s">
        <v>9</v>
      </c>
      <c r="T3572">
        <v>4</v>
      </c>
      <c r="U3572" t="s">
        <v>28</v>
      </c>
      <c r="V3572" t="s">
        <v>28</v>
      </c>
      <c r="W3572">
        <v>20.6</v>
      </c>
      <c r="X3572">
        <v>27.4</v>
      </c>
      <c r="Y3572">
        <v>0.9</v>
      </c>
      <c r="AA3572" s="6"/>
      <c r="AB3572" s="6"/>
    </row>
    <row r="3573" spans="1:28" x14ac:dyDescent="0.2">
      <c r="A3573" t="s">
        <v>505</v>
      </c>
      <c r="B3573">
        <v>2011</v>
      </c>
      <c r="C3573" t="s">
        <v>816</v>
      </c>
      <c r="D3573" t="s">
        <v>820</v>
      </c>
      <c r="E3573" t="s">
        <v>34</v>
      </c>
      <c r="F3573" t="s">
        <v>465</v>
      </c>
      <c r="G3573">
        <v>-39.75</v>
      </c>
      <c r="H3573">
        <v>-73.383330000000001</v>
      </c>
      <c r="I3573" t="s">
        <v>770</v>
      </c>
      <c r="J3573" s="2" t="s">
        <v>7</v>
      </c>
      <c r="K3573" t="s">
        <v>466</v>
      </c>
      <c r="L3573" t="s">
        <v>143</v>
      </c>
      <c r="M3573" t="s">
        <v>638</v>
      </c>
      <c r="N3573" t="s">
        <v>85</v>
      </c>
      <c r="O3573" s="6" t="s">
        <v>221</v>
      </c>
      <c r="P3573" t="s">
        <v>70</v>
      </c>
      <c r="Q3573">
        <v>14</v>
      </c>
      <c r="R3573" t="s">
        <v>213</v>
      </c>
      <c r="S3573" s="2" t="s">
        <v>7</v>
      </c>
      <c r="T3573">
        <v>4</v>
      </c>
      <c r="U3573" t="s">
        <v>28</v>
      </c>
      <c r="V3573" t="s">
        <v>28</v>
      </c>
      <c r="W3573">
        <v>15.5</v>
      </c>
      <c r="X3573">
        <v>29.9</v>
      </c>
      <c r="Y3573">
        <v>1.4</v>
      </c>
      <c r="AA3573" s="6"/>
      <c r="AB3573" s="6"/>
    </row>
    <row r="3574" spans="1:28" x14ac:dyDescent="0.2">
      <c r="A3574" t="s">
        <v>505</v>
      </c>
      <c r="B3574">
        <v>2011</v>
      </c>
      <c r="C3574" t="s">
        <v>816</v>
      </c>
      <c r="D3574" t="s">
        <v>820</v>
      </c>
      <c r="E3574" t="s">
        <v>34</v>
      </c>
      <c r="F3574" t="s">
        <v>465</v>
      </c>
      <c r="G3574">
        <v>-39.75</v>
      </c>
      <c r="H3574">
        <v>-73.383330000000001</v>
      </c>
      <c r="I3574" t="s">
        <v>770</v>
      </c>
      <c r="J3574" s="2" t="s">
        <v>14</v>
      </c>
      <c r="K3574" t="s">
        <v>466</v>
      </c>
      <c r="L3574" t="s">
        <v>143</v>
      </c>
      <c r="M3574" t="s">
        <v>638</v>
      </c>
      <c r="N3574" t="s">
        <v>85</v>
      </c>
      <c r="O3574" s="6" t="s">
        <v>221</v>
      </c>
      <c r="P3574" t="s">
        <v>70</v>
      </c>
      <c r="Q3574">
        <v>14</v>
      </c>
      <c r="R3574" t="s">
        <v>213</v>
      </c>
      <c r="S3574" s="2" t="s">
        <v>9</v>
      </c>
      <c r="T3574">
        <v>4</v>
      </c>
      <c r="U3574" t="s">
        <v>28</v>
      </c>
      <c r="V3574" t="s">
        <v>28</v>
      </c>
      <c r="W3574">
        <v>18.899999999999999</v>
      </c>
      <c r="X3574">
        <v>27.2</v>
      </c>
      <c r="Y3574">
        <v>1</v>
      </c>
      <c r="AA3574" s="6"/>
      <c r="AB3574" s="6"/>
    </row>
    <row r="3575" spans="1:28" x14ac:dyDescent="0.2">
      <c r="A3575" t="s">
        <v>505</v>
      </c>
      <c r="B3575">
        <v>2011</v>
      </c>
      <c r="C3575" t="s">
        <v>816</v>
      </c>
      <c r="D3575" t="s">
        <v>820</v>
      </c>
      <c r="E3575" t="s">
        <v>34</v>
      </c>
      <c r="F3575" t="s">
        <v>380</v>
      </c>
      <c r="G3575">
        <v>-29.966666669999999</v>
      </c>
      <c r="H3575">
        <v>-71.349999999999994</v>
      </c>
      <c r="I3575" t="s">
        <v>769</v>
      </c>
      <c r="J3575" s="2" t="s">
        <v>7</v>
      </c>
      <c r="K3575" t="s">
        <v>466</v>
      </c>
      <c r="L3575" t="s">
        <v>143</v>
      </c>
      <c r="M3575" t="s">
        <v>638</v>
      </c>
      <c r="N3575" t="s">
        <v>85</v>
      </c>
      <c r="O3575" s="6" t="s">
        <v>107</v>
      </c>
      <c r="P3575" t="s">
        <v>70</v>
      </c>
      <c r="Q3575">
        <v>14</v>
      </c>
      <c r="R3575" t="s">
        <v>213</v>
      </c>
      <c r="S3575" s="2" t="s">
        <v>7</v>
      </c>
      <c r="T3575">
        <v>4</v>
      </c>
      <c r="U3575" t="s">
        <v>28</v>
      </c>
      <c r="V3575" t="s">
        <v>28</v>
      </c>
      <c r="W3575">
        <v>17.600000000000001</v>
      </c>
      <c r="X3575">
        <v>1.2</v>
      </c>
      <c r="Y3575">
        <v>0.1</v>
      </c>
      <c r="AA3575" s="6"/>
      <c r="AB3575" s="6"/>
    </row>
    <row r="3576" spans="1:28" x14ac:dyDescent="0.2">
      <c r="A3576" t="s">
        <v>505</v>
      </c>
      <c r="B3576">
        <v>2011</v>
      </c>
      <c r="C3576" t="s">
        <v>816</v>
      </c>
      <c r="D3576" t="s">
        <v>820</v>
      </c>
      <c r="E3576" t="s">
        <v>34</v>
      </c>
      <c r="F3576" t="s">
        <v>380</v>
      </c>
      <c r="G3576">
        <v>-29.966666669999999</v>
      </c>
      <c r="H3576">
        <v>-71.349999999999994</v>
      </c>
      <c r="I3576" t="s">
        <v>769</v>
      </c>
      <c r="J3576" s="2" t="s">
        <v>14</v>
      </c>
      <c r="K3576" t="s">
        <v>466</v>
      </c>
      <c r="L3576" t="s">
        <v>143</v>
      </c>
      <c r="M3576" t="s">
        <v>638</v>
      </c>
      <c r="N3576" t="s">
        <v>85</v>
      </c>
      <c r="O3576" s="6" t="s">
        <v>107</v>
      </c>
      <c r="P3576" t="s">
        <v>70</v>
      </c>
      <c r="Q3576">
        <v>14</v>
      </c>
      <c r="R3576" t="s">
        <v>213</v>
      </c>
      <c r="S3576" s="2" t="s">
        <v>9</v>
      </c>
      <c r="T3576">
        <v>4</v>
      </c>
      <c r="U3576" t="s">
        <v>28</v>
      </c>
      <c r="V3576" t="s">
        <v>28</v>
      </c>
      <c r="W3576">
        <v>20.6</v>
      </c>
      <c r="X3576">
        <v>1.4</v>
      </c>
      <c r="Y3576">
        <v>0.1</v>
      </c>
      <c r="AA3576" s="6"/>
      <c r="AB3576" s="6"/>
    </row>
    <row r="3577" spans="1:28" x14ac:dyDescent="0.2">
      <c r="A3577" t="s">
        <v>505</v>
      </c>
      <c r="B3577">
        <v>2011</v>
      </c>
      <c r="C3577" t="s">
        <v>816</v>
      </c>
      <c r="D3577" t="s">
        <v>820</v>
      </c>
      <c r="E3577" t="s">
        <v>34</v>
      </c>
      <c r="F3577" t="s">
        <v>465</v>
      </c>
      <c r="G3577">
        <v>-39.75</v>
      </c>
      <c r="H3577">
        <v>-73.383330000000001</v>
      </c>
      <c r="I3577" t="s">
        <v>770</v>
      </c>
      <c r="J3577" s="2" t="s">
        <v>7</v>
      </c>
      <c r="K3577" t="s">
        <v>466</v>
      </c>
      <c r="L3577" t="s">
        <v>143</v>
      </c>
      <c r="M3577" t="s">
        <v>638</v>
      </c>
      <c r="N3577" t="s">
        <v>85</v>
      </c>
      <c r="O3577" s="6" t="s">
        <v>107</v>
      </c>
      <c r="P3577" t="s">
        <v>70</v>
      </c>
      <c r="Q3577">
        <v>14</v>
      </c>
      <c r="R3577" t="s">
        <v>213</v>
      </c>
      <c r="S3577" s="2" t="s">
        <v>7</v>
      </c>
      <c r="T3577">
        <v>4</v>
      </c>
      <c r="U3577" t="s">
        <v>28</v>
      </c>
      <c r="V3577" t="s">
        <v>28</v>
      </c>
      <c r="W3577">
        <v>15.5</v>
      </c>
      <c r="X3577">
        <v>2.5</v>
      </c>
      <c r="Y3577">
        <v>0.7</v>
      </c>
      <c r="AA3577" s="6"/>
      <c r="AB3577" s="6"/>
    </row>
    <row r="3578" spans="1:28" x14ac:dyDescent="0.2">
      <c r="A3578" t="s">
        <v>505</v>
      </c>
      <c r="B3578">
        <v>2011</v>
      </c>
      <c r="C3578" t="s">
        <v>816</v>
      </c>
      <c r="D3578" t="s">
        <v>820</v>
      </c>
      <c r="E3578" t="s">
        <v>34</v>
      </c>
      <c r="F3578" t="s">
        <v>465</v>
      </c>
      <c r="G3578">
        <v>-39.75</v>
      </c>
      <c r="H3578">
        <v>-73.383330000000001</v>
      </c>
      <c r="I3578" t="s">
        <v>770</v>
      </c>
      <c r="J3578" s="2" t="s">
        <v>14</v>
      </c>
      <c r="K3578" t="s">
        <v>466</v>
      </c>
      <c r="L3578" t="s">
        <v>143</v>
      </c>
      <c r="M3578" t="s">
        <v>638</v>
      </c>
      <c r="N3578" t="s">
        <v>85</v>
      </c>
      <c r="O3578" s="6" t="s">
        <v>107</v>
      </c>
      <c r="P3578" t="s">
        <v>70</v>
      </c>
      <c r="Q3578">
        <v>14</v>
      </c>
      <c r="R3578" t="s">
        <v>213</v>
      </c>
      <c r="S3578" s="2" t="s">
        <v>9</v>
      </c>
      <c r="T3578">
        <v>4</v>
      </c>
      <c r="U3578" t="s">
        <v>28</v>
      </c>
      <c r="V3578" t="s">
        <v>28</v>
      </c>
      <c r="W3578">
        <v>18.899999999999999</v>
      </c>
      <c r="X3578">
        <v>2</v>
      </c>
      <c r="Y3578">
        <v>0.2</v>
      </c>
      <c r="AA3578" s="6"/>
      <c r="AB3578" s="6"/>
    </row>
    <row r="3579" spans="1:28" x14ac:dyDescent="0.2">
      <c r="A3579" t="s">
        <v>505</v>
      </c>
      <c r="B3579">
        <v>2011</v>
      </c>
      <c r="C3579" t="s">
        <v>816</v>
      </c>
      <c r="D3579" t="s">
        <v>820</v>
      </c>
      <c r="E3579" t="s">
        <v>34</v>
      </c>
      <c r="F3579" t="s">
        <v>380</v>
      </c>
      <c r="G3579">
        <v>-29.966666669999999</v>
      </c>
      <c r="H3579">
        <v>-71.349999999999994</v>
      </c>
      <c r="I3579" t="s">
        <v>769</v>
      </c>
      <c r="J3579" s="2" t="s">
        <v>7</v>
      </c>
      <c r="K3579" t="s">
        <v>466</v>
      </c>
      <c r="L3579" t="s">
        <v>143</v>
      </c>
      <c r="M3579" s="6" t="s">
        <v>664</v>
      </c>
      <c r="N3579" t="s">
        <v>86</v>
      </c>
      <c r="O3579" s="6" t="s">
        <v>848</v>
      </c>
      <c r="P3579" t="s">
        <v>467</v>
      </c>
      <c r="Q3579">
        <v>10</v>
      </c>
      <c r="R3579" t="s">
        <v>213</v>
      </c>
      <c r="S3579" s="2" t="s">
        <v>7</v>
      </c>
      <c r="T3579">
        <v>4</v>
      </c>
      <c r="U3579" t="s">
        <v>28</v>
      </c>
      <c r="V3579" t="s">
        <v>28</v>
      </c>
      <c r="W3579">
        <v>17.600000000000001</v>
      </c>
      <c r="X3579">
        <v>65.56</v>
      </c>
      <c r="Y3579">
        <f>90-X3579</f>
        <v>24.439999999999998</v>
      </c>
      <c r="AA3579" s="6"/>
      <c r="AB3579" s="6"/>
    </row>
    <row r="3580" spans="1:28" x14ac:dyDescent="0.2">
      <c r="A3580" t="s">
        <v>505</v>
      </c>
      <c r="B3580">
        <v>2011</v>
      </c>
      <c r="C3580" t="s">
        <v>816</v>
      </c>
      <c r="D3580" t="s">
        <v>820</v>
      </c>
      <c r="E3580" t="s">
        <v>34</v>
      </c>
      <c r="F3580" t="s">
        <v>380</v>
      </c>
      <c r="G3580">
        <v>-29.966666669999999</v>
      </c>
      <c r="H3580">
        <v>-71.349999999999994</v>
      </c>
      <c r="I3580" t="s">
        <v>769</v>
      </c>
      <c r="J3580" s="2" t="s">
        <v>14</v>
      </c>
      <c r="K3580" t="s">
        <v>466</v>
      </c>
      <c r="L3580" t="s">
        <v>143</v>
      </c>
      <c r="M3580" s="6" t="s">
        <v>664</v>
      </c>
      <c r="N3580" t="s">
        <v>86</v>
      </c>
      <c r="O3580" s="6" t="s">
        <v>848</v>
      </c>
      <c r="P3580" t="s">
        <v>467</v>
      </c>
      <c r="Q3580">
        <v>10</v>
      </c>
      <c r="R3580" t="s">
        <v>213</v>
      </c>
      <c r="S3580" s="2" t="s">
        <v>9</v>
      </c>
      <c r="T3580">
        <v>4</v>
      </c>
      <c r="U3580" t="s">
        <v>28</v>
      </c>
      <c r="V3580" t="s">
        <v>28</v>
      </c>
      <c r="W3580">
        <v>20.6</v>
      </c>
      <c r="X3580">
        <v>79.63</v>
      </c>
      <c r="Y3580">
        <f>90.37-X3580</f>
        <v>10.740000000000009</v>
      </c>
      <c r="AA3580" s="6"/>
      <c r="AB3580" s="6"/>
    </row>
    <row r="3581" spans="1:28" x14ac:dyDescent="0.2">
      <c r="A3581" t="s">
        <v>505</v>
      </c>
      <c r="B3581">
        <v>2011</v>
      </c>
      <c r="C3581" t="s">
        <v>816</v>
      </c>
      <c r="D3581" t="s">
        <v>820</v>
      </c>
      <c r="E3581" t="s">
        <v>34</v>
      </c>
      <c r="F3581" t="s">
        <v>465</v>
      </c>
      <c r="G3581">
        <v>-39.75</v>
      </c>
      <c r="H3581">
        <v>-73.383330000000001</v>
      </c>
      <c r="I3581" t="s">
        <v>770</v>
      </c>
      <c r="J3581" s="2" t="s">
        <v>7</v>
      </c>
      <c r="K3581" t="s">
        <v>466</v>
      </c>
      <c r="L3581" t="s">
        <v>143</v>
      </c>
      <c r="M3581" s="6" t="s">
        <v>664</v>
      </c>
      <c r="N3581" t="s">
        <v>86</v>
      </c>
      <c r="O3581" s="6" t="s">
        <v>848</v>
      </c>
      <c r="P3581" t="s">
        <v>467</v>
      </c>
      <c r="Q3581">
        <v>10</v>
      </c>
      <c r="R3581" t="s">
        <v>213</v>
      </c>
      <c r="S3581" s="2" t="s">
        <v>7</v>
      </c>
      <c r="T3581">
        <v>4</v>
      </c>
      <c r="U3581" t="s">
        <v>28</v>
      </c>
      <c r="V3581" t="s">
        <v>28</v>
      </c>
      <c r="W3581">
        <v>15.5</v>
      </c>
      <c r="X3581">
        <v>55.56</v>
      </c>
      <c r="Y3581">
        <f>84.07-X3581</f>
        <v>28.509999999999991</v>
      </c>
      <c r="AA3581" s="6"/>
      <c r="AB3581" s="6"/>
    </row>
    <row r="3582" spans="1:28" x14ac:dyDescent="0.2">
      <c r="A3582" t="s">
        <v>505</v>
      </c>
      <c r="B3582">
        <v>2011</v>
      </c>
      <c r="C3582" t="s">
        <v>816</v>
      </c>
      <c r="D3582" t="s">
        <v>820</v>
      </c>
      <c r="E3582" t="s">
        <v>34</v>
      </c>
      <c r="F3582" t="s">
        <v>465</v>
      </c>
      <c r="G3582">
        <v>-39.75</v>
      </c>
      <c r="H3582">
        <v>-73.383330000000001</v>
      </c>
      <c r="I3582" t="s">
        <v>770</v>
      </c>
      <c r="J3582" s="2" t="s">
        <v>14</v>
      </c>
      <c r="K3582" t="s">
        <v>466</v>
      </c>
      <c r="L3582" t="s">
        <v>143</v>
      </c>
      <c r="M3582" s="6" t="s">
        <v>664</v>
      </c>
      <c r="N3582" t="s">
        <v>86</v>
      </c>
      <c r="O3582" s="6" t="s">
        <v>848</v>
      </c>
      <c r="P3582" t="s">
        <v>467</v>
      </c>
      <c r="Q3582">
        <v>10</v>
      </c>
      <c r="R3582" t="s">
        <v>213</v>
      </c>
      <c r="S3582" s="2" t="s">
        <v>9</v>
      </c>
      <c r="T3582">
        <v>4</v>
      </c>
      <c r="U3582" t="s">
        <v>28</v>
      </c>
      <c r="V3582" t="s">
        <v>28</v>
      </c>
      <c r="W3582">
        <v>18.899999999999999</v>
      </c>
      <c r="X3582">
        <v>105.19</v>
      </c>
      <c r="Y3582">
        <f>112.22-X3582</f>
        <v>7.0300000000000011</v>
      </c>
      <c r="AA3582" s="6"/>
      <c r="AB3582" s="6"/>
    </row>
    <row r="3583" spans="1:28" x14ac:dyDescent="0.2">
      <c r="A3583" t="s">
        <v>505</v>
      </c>
      <c r="B3583">
        <v>2011</v>
      </c>
      <c r="C3583" t="s">
        <v>816</v>
      </c>
      <c r="D3583" t="s">
        <v>820</v>
      </c>
      <c r="E3583" t="s">
        <v>34</v>
      </c>
      <c r="F3583" t="s">
        <v>380</v>
      </c>
      <c r="G3583">
        <v>-29.966666669999999</v>
      </c>
      <c r="H3583">
        <v>-71.349999999999994</v>
      </c>
      <c r="I3583" t="s">
        <v>769</v>
      </c>
      <c r="J3583" s="2" t="s">
        <v>7</v>
      </c>
      <c r="K3583" t="s">
        <v>466</v>
      </c>
      <c r="L3583" t="s">
        <v>143</v>
      </c>
      <c r="M3583" t="s">
        <v>553</v>
      </c>
      <c r="N3583" t="s">
        <v>85</v>
      </c>
      <c r="O3583" s="6" t="s">
        <v>61</v>
      </c>
      <c r="P3583" t="s">
        <v>147</v>
      </c>
      <c r="Q3583">
        <v>14</v>
      </c>
      <c r="R3583" t="s">
        <v>213</v>
      </c>
      <c r="S3583" s="2" t="s">
        <v>7</v>
      </c>
      <c r="T3583">
        <v>4</v>
      </c>
      <c r="U3583" t="s">
        <v>28</v>
      </c>
      <c r="V3583" t="s">
        <v>28</v>
      </c>
      <c r="W3583">
        <v>17.600000000000001</v>
      </c>
      <c r="X3583">
        <v>0.33579999999999999</v>
      </c>
      <c r="Y3583">
        <f>0.3882-X3583</f>
        <v>5.2400000000000002E-2</v>
      </c>
      <c r="AA3583" s="6"/>
      <c r="AB3583" s="6"/>
    </row>
    <row r="3584" spans="1:28" x14ac:dyDescent="0.2">
      <c r="A3584" t="s">
        <v>505</v>
      </c>
      <c r="B3584">
        <v>2011</v>
      </c>
      <c r="C3584" t="s">
        <v>816</v>
      </c>
      <c r="D3584" t="s">
        <v>820</v>
      </c>
      <c r="E3584" t="s">
        <v>34</v>
      </c>
      <c r="F3584" t="s">
        <v>380</v>
      </c>
      <c r="G3584">
        <v>-29.966666669999999</v>
      </c>
      <c r="H3584">
        <v>-71.349999999999994</v>
      </c>
      <c r="I3584" t="s">
        <v>769</v>
      </c>
      <c r="J3584" s="2" t="s">
        <v>14</v>
      </c>
      <c r="K3584" t="s">
        <v>466</v>
      </c>
      <c r="L3584" t="s">
        <v>143</v>
      </c>
      <c r="M3584" t="s">
        <v>553</v>
      </c>
      <c r="N3584" t="s">
        <v>85</v>
      </c>
      <c r="O3584" s="6" t="s">
        <v>61</v>
      </c>
      <c r="P3584" t="s">
        <v>147</v>
      </c>
      <c r="Q3584">
        <v>14</v>
      </c>
      <c r="R3584" t="s">
        <v>213</v>
      </c>
      <c r="S3584" s="2" t="s">
        <v>9</v>
      </c>
      <c r="T3584">
        <v>4</v>
      </c>
      <c r="U3584" t="s">
        <v>28</v>
      </c>
      <c r="V3584" t="s">
        <v>28</v>
      </c>
      <c r="W3584">
        <v>20.6</v>
      </c>
      <c r="X3584">
        <v>0.36420000000000002</v>
      </c>
      <c r="Y3584">
        <f>0.3969-X3584</f>
        <v>3.2699999999999951E-2</v>
      </c>
      <c r="AA3584" s="6"/>
      <c r="AB3584" s="6"/>
    </row>
    <row r="3585" spans="1:28" x14ac:dyDescent="0.2">
      <c r="A3585" t="s">
        <v>505</v>
      </c>
      <c r="B3585">
        <v>2011</v>
      </c>
      <c r="C3585" t="s">
        <v>816</v>
      </c>
      <c r="D3585" t="s">
        <v>820</v>
      </c>
      <c r="E3585" t="s">
        <v>34</v>
      </c>
      <c r="F3585" t="s">
        <v>465</v>
      </c>
      <c r="G3585">
        <v>-39.75</v>
      </c>
      <c r="H3585">
        <v>-73.383330000000001</v>
      </c>
      <c r="I3585" t="s">
        <v>770</v>
      </c>
      <c r="J3585" s="2" t="s">
        <v>7</v>
      </c>
      <c r="K3585" t="s">
        <v>466</v>
      </c>
      <c r="L3585" t="s">
        <v>143</v>
      </c>
      <c r="M3585" t="s">
        <v>553</v>
      </c>
      <c r="N3585" t="s">
        <v>85</v>
      </c>
      <c r="O3585" s="6" t="s">
        <v>61</v>
      </c>
      <c r="P3585" t="s">
        <v>147</v>
      </c>
      <c r="Q3585">
        <v>14</v>
      </c>
      <c r="R3585" t="s">
        <v>213</v>
      </c>
      <c r="S3585" s="2" t="s">
        <v>7</v>
      </c>
      <c r="T3585">
        <v>4</v>
      </c>
      <c r="U3585" t="s">
        <v>28</v>
      </c>
      <c r="V3585" t="s">
        <v>28</v>
      </c>
      <c r="W3585">
        <v>15.5</v>
      </c>
      <c r="X3585">
        <v>0.78200000000000003</v>
      </c>
      <c r="Y3585">
        <f>0.8418-X3585</f>
        <v>5.9799999999999964E-2</v>
      </c>
      <c r="AA3585" s="6"/>
      <c r="AB3585" s="6"/>
    </row>
    <row r="3586" spans="1:28" x14ac:dyDescent="0.2">
      <c r="A3586" t="s">
        <v>505</v>
      </c>
      <c r="B3586">
        <v>2011</v>
      </c>
      <c r="C3586" t="s">
        <v>816</v>
      </c>
      <c r="D3586" t="s">
        <v>820</v>
      </c>
      <c r="E3586" t="s">
        <v>34</v>
      </c>
      <c r="F3586" t="s">
        <v>465</v>
      </c>
      <c r="G3586">
        <v>-39.75</v>
      </c>
      <c r="H3586">
        <v>-73.383330000000001</v>
      </c>
      <c r="I3586" t="s">
        <v>770</v>
      </c>
      <c r="J3586" s="2" t="s">
        <v>14</v>
      </c>
      <c r="K3586" t="s">
        <v>466</v>
      </c>
      <c r="L3586" t="s">
        <v>143</v>
      </c>
      <c r="M3586" t="s">
        <v>553</v>
      </c>
      <c r="N3586" t="s">
        <v>85</v>
      </c>
      <c r="O3586" s="6" t="s">
        <v>61</v>
      </c>
      <c r="P3586" t="s">
        <v>147</v>
      </c>
      <c r="Q3586">
        <v>14</v>
      </c>
      <c r="R3586" t="s">
        <v>213</v>
      </c>
      <c r="S3586" s="2" t="s">
        <v>9</v>
      </c>
      <c r="T3586">
        <v>4</v>
      </c>
      <c r="U3586" t="s">
        <v>28</v>
      </c>
      <c r="V3586" t="s">
        <v>28</v>
      </c>
      <c r="W3586">
        <v>18.899999999999999</v>
      </c>
      <c r="X3586">
        <v>0.58699999999999997</v>
      </c>
      <c r="Y3586">
        <f>0.6291-X3586</f>
        <v>4.2100000000000026E-2</v>
      </c>
      <c r="AA3586" s="6"/>
      <c r="AB3586" s="6"/>
    </row>
    <row r="3587" spans="1:28" x14ac:dyDescent="0.2">
      <c r="A3587" t="s">
        <v>505</v>
      </c>
      <c r="B3587">
        <v>2011</v>
      </c>
      <c r="C3587" t="s">
        <v>816</v>
      </c>
      <c r="D3587" t="s">
        <v>820</v>
      </c>
      <c r="E3587" t="s">
        <v>34</v>
      </c>
      <c r="F3587" t="s">
        <v>380</v>
      </c>
      <c r="G3587">
        <v>-29.966666669999999</v>
      </c>
      <c r="H3587">
        <v>-71.349999999999994</v>
      </c>
      <c r="I3587" t="s">
        <v>769</v>
      </c>
      <c r="J3587" s="2" t="s">
        <v>7</v>
      </c>
      <c r="K3587" t="s">
        <v>466</v>
      </c>
      <c r="L3587" t="s">
        <v>143</v>
      </c>
      <c r="M3587" t="s">
        <v>553</v>
      </c>
      <c r="N3587" t="s">
        <v>85</v>
      </c>
      <c r="O3587" s="6" t="s">
        <v>241</v>
      </c>
      <c r="P3587" t="s">
        <v>147</v>
      </c>
      <c r="Q3587">
        <v>14</v>
      </c>
      <c r="R3587" t="s">
        <v>213</v>
      </c>
      <c r="S3587" s="2" t="s">
        <v>7</v>
      </c>
      <c r="T3587">
        <v>4</v>
      </c>
      <c r="U3587" t="s">
        <v>28</v>
      </c>
      <c r="V3587" t="s">
        <v>28</v>
      </c>
      <c r="W3587">
        <v>17.600000000000001</v>
      </c>
      <c r="X3587">
        <v>5.0500000000000003E-2</v>
      </c>
      <c r="Y3587">
        <f>0.0542-X3587</f>
        <v>3.699999999999995E-3</v>
      </c>
      <c r="AA3587" s="6"/>
      <c r="AB3587" s="6"/>
    </row>
    <row r="3588" spans="1:28" x14ac:dyDescent="0.2">
      <c r="A3588" t="s">
        <v>505</v>
      </c>
      <c r="B3588">
        <v>2011</v>
      </c>
      <c r="C3588" t="s">
        <v>816</v>
      </c>
      <c r="D3588" t="s">
        <v>820</v>
      </c>
      <c r="E3588" t="s">
        <v>34</v>
      </c>
      <c r="F3588" t="s">
        <v>380</v>
      </c>
      <c r="G3588">
        <v>-29.966666669999999</v>
      </c>
      <c r="H3588">
        <v>-71.349999999999994</v>
      </c>
      <c r="I3588" t="s">
        <v>769</v>
      </c>
      <c r="J3588" s="2" t="s">
        <v>14</v>
      </c>
      <c r="K3588" t="s">
        <v>466</v>
      </c>
      <c r="L3588" t="s">
        <v>143</v>
      </c>
      <c r="M3588" t="s">
        <v>553</v>
      </c>
      <c r="N3588" t="s">
        <v>85</v>
      </c>
      <c r="O3588" s="6" t="s">
        <v>241</v>
      </c>
      <c r="P3588" t="s">
        <v>147</v>
      </c>
      <c r="Q3588">
        <v>14</v>
      </c>
      <c r="R3588" t="s">
        <v>213</v>
      </c>
      <c r="S3588" s="2" t="s">
        <v>9</v>
      </c>
      <c r="T3588">
        <v>4</v>
      </c>
      <c r="U3588" t="s">
        <v>28</v>
      </c>
      <c r="V3588" t="s">
        <v>28</v>
      </c>
      <c r="W3588">
        <v>20.6</v>
      </c>
      <c r="X3588">
        <v>5.6300000000000003E-2</v>
      </c>
      <c r="Y3588">
        <f>0.0625-X3588</f>
        <v>6.1999999999999972E-3</v>
      </c>
      <c r="AA3588" s="6"/>
      <c r="AB3588" s="6"/>
    </row>
    <row r="3589" spans="1:28" x14ac:dyDescent="0.2">
      <c r="A3589" t="s">
        <v>505</v>
      </c>
      <c r="B3589">
        <v>2011</v>
      </c>
      <c r="C3589" t="s">
        <v>816</v>
      </c>
      <c r="D3589" t="s">
        <v>820</v>
      </c>
      <c r="E3589" t="s">
        <v>34</v>
      </c>
      <c r="F3589" t="s">
        <v>465</v>
      </c>
      <c r="G3589">
        <v>-39.75</v>
      </c>
      <c r="H3589">
        <v>-73.383330000000001</v>
      </c>
      <c r="I3589" t="s">
        <v>770</v>
      </c>
      <c r="J3589" s="2" t="s">
        <v>7</v>
      </c>
      <c r="K3589" t="s">
        <v>466</v>
      </c>
      <c r="L3589" t="s">
        <v>143</v>
      </c>
      <c r="M3589" t="s">
        <v>553</v>
      </c>
      <c r="N3589" t="s">
        <v>85</v>
      </c>
      <c r="O3589" s="6" t="s">
        <v>241</v>
      </c>
      <c r="P3589" t="s">
        <v>147</v>
      </c>
      <c r="Q3589">
        <v>14</v>
      </c>
      <c r="R3589" t="s">
        <v>213</v>
      </c>
      <c r="S3589" s="2" t="s">
        <v>7</v>
      </c>
      <c r="T3589">
        <v>4</v>
      </c>
      <c r="U3589" t="s">
        <v>28</v>
      </c>
      <c r="V3589" t="s">
        <v>28</v>
      </c>
      <c r="W3589">
        <v>15.5</v>
      </c>
      <c r="X3589">
        <v>0.11940000000000001</v>
      </c>
      <c r="Y3589">
        <f>0.13-X3589</f>
        <v>1.0599999999999998E-2</v>
      </c>
      <c r="AA3589" s="6"/>
      <c r="AB3589" s="6"/>
    </row>
    <row r="3590" spans="1:28" x14ac:dyDescent="0.2">
      <c r="A3590" t="s">
        <v>505</v>
      </c>
      <c r="B3590">
        <v>2011</v>
      </c>
      <c r="C3590" t="s">
        <v>816</v>
      </c>
      <c r="D3590" t="s">
        <v>820</v>
      </c>
      <c r="E3590" t="s">
        <v>34</v>
      </c>
      <c r="F3590" t="s">
        <v>465</v>
      </c>
      <c r="G3590">
        <v>-39.75</v>
      </c>
      <c r="H3590">
        <v>-73.383330000000001</v>
      </c>
      <c r="I3590" t="s">
        <v>770</v>
      </c>
      <c r="J3590" s="2" t="s">
        <v>14</v>
      </c>
      <c r="K3590" t="s">
        <v>466</v>
      </c>
      <c r="L3590" t="s">
        <v>143</v>
      </c>
      <c r="M3590" t="s">
        <v>553</v>
      </c>
      <c r="N3590" t="s">
        <v>85</v>
      </c>
      <c r="O3590" s="6" t="s">
        <v>241</v>
      </c>
      <c r="P3590" t="s">
        <v>147</v>
      </c>
      <c r="Q3590">
        <v>14</v>
      </c>
      <c r="R3590" t="s">
        <v>213</v>
      </c>
      <c r="S3590" s="2" t="s">
        <v>9</v>
      </c>
      <c r="T3590">
        <v>4</v>
      </c>
      <c r="U3590" t="s">
        <v>28</v>
      </c>
      <c r="V3590" t="s">
        <v>28</v>
      </c>
      <c r="W3590">
        <v>18.899999999999999</v>
      </c>
      <c r="X3590">
        <v>8.7499999999999994E-2</v>
      </c>
      <c r="Y3590">
        <f>0.0953-X3590</f>
        <v>7.8000000000000014E-3</v>
      </c>
      <c r="AA3590" s="6"/>
      <c r="AB3590" s="6"/>
    </row>
    <row r="3591" spans="1:28" x14ac:dyDescent="0.2">
      <c r="A3591" t="s">
        <v>505</v>
      </c>
      <c r="B3591">
        <v>2011</v>
      </c>
      <c r="C3591" t="s">
        <v>816</v>
      </c>
      <c r="D3591" t="s">
        <v>820</v>
      </c>
      <c r="E3591" t="s">
        <v>34</v>
      </c>
      <c r="F3591" t="s">
        <v>380</v>
      </c>
      <c r="G3591">
        <v>-29.966666669999999</v>
      </c>
      <c r="H3591">
        <v>-71.349999999999994</v>
      </c>
      <c r="I3591" t="s">
        <v>769</v>
      </c>
      <c r="J3591" s="2" t="s">
        <v>7</v>
      </c>
      <c r="K3591" t="s">
        <v>466</v>
      </c>
      <c r="L3591" t="s">
        <v>143</v>
      </c>
      <c r="M3591" t="s">
        <v>553</v>
      </c>
      <c r="N3591" t="s">
        <v>85</v>
      </c>
      <c r="O3591" s="6" t="s">
        <v>432</v>
      </c>
      <c r="P3591" t="s">
        <v>147</v>
      </c>
      <c r="Q3591">
        <v>14</v>
      </c>
      <c r="R3591" t="s">
        <v>213</v>
      </c>
      <c r="S3591" s="2" t="s">
        <v>7</v>
      </c>
      <c r="T3591">
        <v>4</v>
      </c>
      <c r="U3591" t="s">
        <v>28</v>
      </c>
      <c r="V3591" t="s">
        <v>28</v>
      </c>
      <c r="W3591">
        <v>17.600000000000001</v>
      </c>
      <c r="X3591">
        <v>0.21249999999999999</v>
      </c>
      <c r="Y3591">
        <f>0.2389-X3591</f>
        <v>2.6400000000000007E-2</v>
      </c>
      <c r="AA3591" s="6"/>
      <c r="AB3591" s="6"/>
    </row>
    <row r="3592" spans="1:28" x14ac:dyDescent="0.2">
      <c r="A3592" t="s">
        <v>505</v>
      </c>
      <c r="B3592">
        <v>2011</v>
      </c>
      <c r="C3592" t="s">
        <v>816</v>
      </c>
      <c r="D3592" t="s">
        <v>820</v>
      </c>
      <c r="E3592" t="s">
        <v>34</v>
      </c>
      <c r="F3592" t="s">
        <v>380</v>
      </c>
      <c r="G3592">
        <v>-29.966666669999999</v>
      </c>
      <c r="H3592">
        <v>-71.349999999999994</v>
      </c>
      <c r="I3592" t="s">
        <v>769</v>
      </c>
      <c r="J3592" s="2" t="s">
        <v>14</v>
      </c>
      <c r="K3592" t="s">
        <v>466</v>
      </c>
      <c r="L3592" t="s">
        <v>143</v>
      </c>
      <c r="M3592" t="s">
        <v>553</v>
      </c>
      <c r="N3592" t="s">
        <v>85</v>
      </c>
      <c r="O3592" s="6" t="s">
        <v>432</v>
      </c>
      <c r="P3592" t="s">
        <v>147</v>
      </c>
      <c r="Q3592">
        <v>14</v>
      </c>
      <c r="R3592" t="s">
        <v>213</v>
      </c>
      <c r="S3592" s="2" t="s">
        <v>9</v>
      </c>
      <c r="T3592">
        <v>4</v>
      </c>
      <c r="U3592" t="s">
        <v>28</v>
      </c>
      <c r="V3592" t="s">
        <v>28</v>
      </c>
      <c r="W3592">
        <v>20.6</v>
      </c>
      <c r="X3592">
        <v>0.2248</v>
      </c>
      <c r="Y3592">
        <f>0.253-X3592</f>
        <v>2.8200000000000003E-2</v>
      </c>
      <c r="AA3592" s="6"/>
      <c r="AB3592" s="6"/>
    </row>
    <row r="3593" spans="1:28" x14ac:dyDescent="0.2">
      <c r="A3593" t="s">
        <v>505</v>
      </c>
      <c r="B3593">
        <v>2011</v>
      </c>
      <c r="C3593" t="s">
        <v>816</v>
      </c>
      <c r="D3593" t="s">
        <v>820</v>
      </c>
      <c r="E3593" t="s">
        <v>34</v>
      </c>
      <c r="F3593" t="s">
        <v>465</v>
      </c>
      <c r="G3593">
        <v>-39.75</v>
      </c>
      <c r="H3593">
        <v>-73.383330000000001</v>
      </c>
      <c r="I3593" t="s">
        <v>770</v>
      </c>
      <c r="J3593" s="2" t="s">
        <v>7</v>
      </c>
      <c r="K3593" t="s">
        <v>466</v>
      </c>
      <c r="L3593" t="s">
        <v>143</v>
      </c>
      <c r="M3593" t="s">
        <v>553</v>
      </c>
      <c r="N3593" t="s">
        <v>85</v>
      </c>
      <c r="O3593" s="6" t="s">
        <v>432</v>
      </c>
      <c r="P3593" t="s">
        <v>147</v>
      </c>
      <c r="Q3593">
        <v>14</v>
      </c>
      <c r="R3593" t="s">
        <v>213</v>
      </c>
      <c r="S3593" s="2" t="s">
        <v>7</v>
      </c>
      <c r="T3593">
        <v>4</v>
      </c>
      <c r="U3593" t="s">
        <v>28</v>
      </c>
      <c r="V3593" t="s">
        <v>28</v>
      </c>
      <c r="W3593">
        <v>15.5</v>
      </c>
      <c r="X3593">
        <v>0.26369999999999999</v>
      </c>
      <c r="Y3593">
        <f>0.279-X3593</f>
        <v>1.5300000000000036E-2</v>
      </c>
      <c r="AA3593" s="6"/>
      <c r="AB3593" s="6"/>
    </row>
    <row r="3594" spans="1:28" x14ac:dyDescent="0.2">
      <c r="A3594" t="s">
        <v>505</v>
      </c>
      <c r="B3594">
        <v>2011</v>
      </c>
      <c r="C3594" t="s">
        <v>816</v>
      </c>
      <c r="D3594" t="s">
        <v>820</v>
      </c>
      <c r="E3594" t="s">
        <v>34</v>
      </c>
      <c r="F3594" t="s">
        <v>465</v>
      </c>
      <c r="G3594">
        <v>-39.75</v>
      </c>
      <c r="H3594">
        <v>-73.383330000000001</v>
      </c>
      <c r="I3594" t="s">
        <v>770</v>
      </c>
      <c r="J3594" s="2" t="s">
        <v>14</v>
      </c>
      <c r="K3594" t="s">
        <v>466</v>
      </c>
      <c r="L3594" t="s">
        <v>143</v>
      </c>
      <c r="M3594" t="s">
        <v>553</v>
      </c>
      <c r="N3594" t="s">
        <v>85</v>
      </c>
      <c r="O3594" s="6" t="s">
        <v>432</v>
      </c>
      <c r="P3594" t="s">
        <v>147</v>
      </c>
      <c r="Q3594">
        <v>14</v>
      </c>
      <c r="R3594" t="s">
        <v>213</v>
      </c>
      <c r="S3594" s="2" t="s">
        <v>9</v>
      </c>
      <c r="T3594">
        <v>4</v>
      </c>
      <c r="U3594" t="s">
        <v>28</v>
      </c>
      <c r="V3594" t="s">
        <v>28</v>
      </c>
      <c r="W3594">
        <v>18.899999999999999</v>
      </c>
      <c r="X3594">
        <v>0.24360000000000001</v>
      </c>
      <c r="Y3594">
        <f>0.258-X3594</f>
        <v>1.4399999999999996E-2</v>
      </c>
      <c r="AA3594" s="6"/>
      <c r="AB3594" s="6"/>
    </row>
    <row r="3595" spans="1:28" x14ac:dyDescent="0.2">
      <c r="A3595" t="s">
        <v>505</v>
      </c>
      <c r="B3595">
        <v>2011</v>
      </c>
      <c r="C3595" t="s">
        <v>816</v>
      </c>
      <c r="D3595" t="s">
        <v>820</v>
      </c>
      <c r="E3595" t="s">
        <v>34</v>
      </c>
      <c r="F3595" t="s">
        <v>380</v>
      </c>
      <c r="G3595">
        <v>-29.966666669999999</v>
      </c>
      <c r="H3595">
        <v>-71.349999999999994</v>
      </c>
      <c r="I3595" t="s">
        <v>769</v>
      </c>
      <c r="J3595" s="2" t="s">
        <v>7</v>
      </c>
      <c r="K3595" t="s">
        <v>466</v>
      </c>
      <c r="L3595" t="s">
        <v>143</v>
      </c>
      <c r="M3595" t="s">
        <v>726</v>
      </c>
      <c r="N3595" t="s">
        <v>85</v>
      </c>
      <c r="O3595" s="6" t="s">
        <v>835</v>
      </c>
      <c r="P3595" t="s">
        <v>83</v>
      </c>
      <c r="Q3595">
        <v>14</v>
      </c>
      <c r="R3595" t="s">
        <v>213</v>
      </c>
      <c r="S3595" s="2" t="s">
        <v>7</v>
      </c>
      <c r="T3595">
        <v>4</v>
      </c>
      <c r="U3595" t="s">
        <v>28</v>
      </c>
      <c r="V3595" t="s">
        <v>28</v>
      </c>
      <c r="W3595">
        <v>17.600000000000001</v>
      </c>
      <c r="X3595">
        <v>14.7</v>
      </c>
      <c r="Y3595">
        <v>0.3</v>
      </c>
      <c r="AA3595" s="6"/>
      <c r="AB3595" s="6"/>
    </row>
    <row r="3596" spans="1:28" x14ac:dyDescent="0.2">
      <c r="A3596" t="s">
        <v>505</v>
      </c>
      <c r="B3596">
        <v>2011</v>
      </c>
      <c r="C3596" t="s">
        <v>816</v>
      </c>
      <c r="D3596" t="s">
        <v>820</v>
      </c>
      <c r="E3596" t="s">
        <v>34</v>
      </c>
      <c r="F3596" t="s">
        <v>380</v>
      </c>
      <c r="G3596">
        <v>-29.966666669999999</v>
      </c>
      <c r="H3596">
        <v>-71.349999999999994</v>
      </c>
      <c r="I3596" t="s">
        <v>769</v>
      </c>
      <c r="J3596" s="2" t="s">
        <v>14</v>
      </c>
      <c r="K3596" t="s">
        <v>466</v>
      </c>
      <c r="L3596" t="s">
        <v>143</v>
      </c>
      <c r="M3596" t="s">
        <v>726</v>
      </c>
      <c r="N3596" t="s">
        <v>85</v>
      </c>
      <c r="O3596" s="6" t="s">
        <v>835</v>
      </c>
      <c r="P3596" t="s">
        <v>83</v>
      </c>
      <c r="Q3596">
        <v>14</v>
      </c>
      <c r="R3596" t="s">
        <v>213</v>
      </c>
      <c r="S3596" s="2" t="s">
        <v>9</v>
      </c>
      <c r="T3596">
        <v>4</v>
      </c>
      <c r="U3596" t="s">
        <v>28</v>
      </c>
      <c r="V3596" t="s">
        <v>28</v>
      </c>
      <c r="W3596">
        <v>20.6</v>
      </c>
      <c r="X3596">
        <v>13.7</v>
      </c>
      <c r="Y3596">
        <v>0.4</v>
      </c>
      <c r="AA3596" s="6"/>
      <c r="AB3596" s="6"/>
    </row>
    <row r="3597" spans="1:28" x14ac:dyDescent="0.2">
      <c r="A3597" t="s">
        <v>505</v>
      </c>
      <c r="B3597">
        <v>2011</v>
      </c>
      <c r="C3597" t="s">
        <v>816</v>
      </c>
      <c r="D3597" t="s">
        <v>820</v>
      </c>
      <c r="E3597" t="s">
        <v>34</v>
      </c>
      <c r="F3597" t="s">
        <v>465</v>
      </c>
      <c r="G3597">
        <v>-39.75</v>
      </c>
      <c r="H3597">
        <v>-73.383330000000001</v>
      </c>
      <c r="I3597" t="s">
        <v>770</v>
      </c>
      <c r="J3597" s="2" t="s">
        <v>7</v>
      </c>
      <c r="K3597" t="s">
        <v>466</v>
      </c>
      <c r="L3597" t="s">
        <v>143</v>
      </c>
      <c r="M3597" t="s">
        <v>726</v>
      </c>
      <c r="N3597" t="s">
        <v>85</v>
      </c>
      <c r="O3597" s="6" t="s">
        <v>835</v>
      </c>
      <c r="P3597" t="s">
        <v>83</v>
      </c>
      <c r="Q3597">
        <v>14</v>
      </c>
      <c r="R3597" t="s">
        <v>213</v>
      </c>
      <c r="S3597" s="2" t="s">
        <v>7</v>
      </c>
      <c r="T3597">
        <v>4</v>
      </c>
      <c r="U3597" t="s">
        <v>28</v>
      </c>
      <c r="V3597" t="s">
        <v>28</v>
      </c>
      <c r="W3597">
        <v>15.5</v>
      </c>
      <c r="X3597">
        <v>38.9</v>
      </c>
      <c r="Y3597">
        <v>2.6</v>
      </c>
      <c r="AA3597" s="6"/>
      <c r="AB3597" s="6"/>
    </row>
    <row r="3598" spans="1:28" x14ac:dyDescent="0.2">
      <c r="A3598" t="s">
        <v>505</v>
      </c>
      <c r="B3598">
        <v>2011</v>
      </c>
      <c r="C3598" t="s">
        <v>816</v>
      </c>
      <c r="D3598" t="s">
        <v>820</v>
      </c>
      <c r="E3598" t="s">
        <v>34</v>
      </c>
      <c r="F3598" t="s">
        <v>465</v>
      </c>
      <c r="G3598">
        <v>-39.75</v>
      </c>
      <c r="H3598">
        <v>-73.383330000000001</v>
      </c>
      <c r="I3598" t="s">
        <v>770</v>
      </c>
      <c r="J3598" s="2" t="s">
        <v>14</v>
      </c>
      <c r="K3598" t="s">
        <v>466</v>
      </c>
      <c r="L3598" t="s">
        <v>143</v>
      </c>
      <c r="M3598" t="s">
        <v>726</v>
      </c>
      <c r="N3598" t="s">
        <v>85</v>
      </c>
      <c r="O3598" s="6" t="s">
        <v>835</v>
      </c>
      <c r="P3598" t="s">
        <v>83</v>
      </c>
      <c r="Q3598">
        <v>14</v>
      </c>
      <c r="R3598" t="s">
        <v>213</v>
      </c>
      <c r="S3598" s="2" t="s">
        <v>9</v>
      </c>
      <c r="T3598">
        <v>4</v>
      </c>
      <c r="U3598" t="s">
        <v>28</v>
      </c>
      <c r="V3598" t="s">
        <v>28</v>
      </c>
      <c r="W3598">
        <v>18.899999999999999</v>
      </c>
      <c r="X3598">
        <v>53.9</v>
      </c>
      <c r="Y3598">
        <v>2.8</v>
      </c>
      <c r="AA3598" s="6"/>
      <c r="AB3598" s="6"/>
    </row>
    <row r="3599" spans="1:28" x14ac:dyDescent="0.2">
      <c r="A3599" t="s">
        <v>505</v>
      </c>
      <c r="B3599">
        <v>2011</v>
      </c>
      <c r="C3599" t="s">
        <v>816</v>
      </c>
      <c r="D3599" t="s">
        <v>820</v>
      </c>
      <c r="E3599" t="s">
        <v>34</v>
      </c>
      <c r="F3599" t="s">
        <v>380</v>
      </c>
      <c r="G3599">
        <v>-29.966666669999999</v>
      </c>
      <c r="H3599">
        <v>-71.349999999999994</v>
      </c>
      <c r="I3599" t="s">
        <v>769</v>
      </c>
      <c r="J3599" s="2" t="s">
        <v>7</v>
      </c>
      <c r="K3599" t="s">
        <v>466</v>
      </c>
      <c r="L3599" t="s">
        <v>143</v>
      </c>
      <c r="M3599" t="s">
        <v>726</v>
      </c>
      <c r="N3599" t="s">
        <v>85</v>
      </c>
      <c r="O3599" s="6" t="s">
        <v>58</v>
      </c>
      <c r="P3599" t="s">
        <v>468</v>
      </c>
      <c r="Q3599">
        <v>14</v>
      </c>
      <c r="R3599" t="s">
        <v>213</v>
      </c>
      <c r="S3599" s="2" t="s">
        <v>7</v>
      </c>
      <c r="T3599">
        <v>4</v>
      </c>
      <c r="U3599" t="s">
        <v>28</v>
      </c>
      <c r="V3599" t="s">
        <v>28</v>
      </c>
      <c r="W3599">
        <v>17.600000000000001</v>
      </c>
      <c r="X3599">
        <v>0.4</v>
      </c>
      <c r="Y3599">
        <v>0</v>
      </c>
      <c r="AA3599" s="6"/>
      <c r="AB3599" s="6"/>
    </row>
    <row r="3600" spans="1:28" x14ac:dyDescent="0.2">
      <c r="A3600" t="s">
        <v>505</v>
      </c>
      <c r="B3600">
        <v>2011</v>
      </c>
      <c r="C3600" t="s">
        <v>816</v>
      </c>
      <c r="D3600" t="s">
        <v>820</v>
      </c>
      <c r="E3600" t="s">
        <v>34</v>
      </c>
      <c r="F3600" t="s">
        <v>380</v>
      </c>
      <c r="G3600">
        <v>-29.966666669999999</v>
      </c>
      <c r="H3600">
        <v>-71.349999999999994</v>
      </c>
      <c r="I3600" t="s">
        <v>769</v>
      </c>
      <c r="J3600" s="2" t="s">
        <v>14</v>
      </c>
      <c r="K3600" t="s">
        <v>466</v>
      </c>
      <c r="L3600" t="s">
        <v>143</v>
      </c>
      <c r="M3600" t="s">
        <v>726</v>
      </c>
      <c r="N3600" t="s">
        <v>85</v>
      </c>
      <c r="O3600" s="6" t="s">
        <v>58</v>
      </c>
      <c r="P3600" t="s">
        <v>468</v>
      </c>
      <c r="Q3600">
        <v>14</v>
      </c>
      <c r="R3600" t="s">
        <v>213</v>
      </c>
      <c r="S3600" s="2" t="s">
        <v>9</v>
      </c>
      <c r="T3600">
        <v>4</v>
      </c>
      <c r="U3600" t="s">
        <v>28</v>
      </c>
      <c r="V3600" t="s">
        <v>28</v>
      </c>
      <c r="W3600">
        <v>20.6</v>
      </c>
      <c r="X3600">
        <v>0.4</v>
      </c>
      <c r="Y3600">
        <v>0</v>
      </c>
      <c r="AA3600" s="6"/>
      <c r="AB3600" s="6"/>
    </row>
    <row r="3601" spans="1:28" x14ac:dyDescent="0.2">
      <c r="A3601" t="s">
        <v>505</v>
      </c>
      <c r="B3601">
        <v>2011</v>
      </c>
      <c r="C3601" t="s">
        <v>816</v>
      </c>
      <c r="D3601" t="s">
        <v>820</v>
      </c>
      <c r="E3601" t="s">
        <v>34</v>
      </c>
      <c r="F3601" t="s">
        <v>465</v>
      </c>
      <c r="G3601">
        <v>-39.75</v>
      </c>
      <c r="H3601">
        <v>-73.383330000000001</v>
      </c>
      <c r="I3601" t="s">
        <v>770</v>
      </c>
      <c r="J3601" s="2" t="s">
        <v>7</v>
      </c>
      <c r="K3601" t="s">
        <v>466</v>
      </c>
      <c r="L3601" t="s">
        <v>143</v>
      </c>
      <c r="M3601" t="s">
        <v>726</v>
      </c>
      <c r="N3601" t="s">
        <v>85</v>
      </c>
      <c r="O3601" s="6" t="s">
        <v>58</v>
      </c>
      <c r="P3601" t="s">
        <v>468</v>
      </c>
      <c r="Q3601">
        <v>14</v>
      </c>
      <c r="R3601" t="s">
        <v>213</v>
      </c>
      <c r="S3601" s="2" t="s">
        <v>7</v>
      </c>
      <c r="T3601">
        <v>4</v>
      </c>
      <c r="U3601" t="s">
        <v>28</v>
      </c>
      <c r="V3601" t="s">
        <v>28</v>
      </c>
      <c r="W3601">
        <v>15.5</v>
      </c>
      <c r="X3601">
        <v>0.5</v>
      </c>
      <c r="Y3601">
        <v>0</v>
      </c>
      <c r="AA3601" s="6"/>
      <c r="AB3601" s="6"/>
    </row>
    <row r="3602" spans="1:28" x14ac:dyDescent="0.2">
      <c r="A3602" t="s">
        <v>505</v>
      </c>
      <c r="B3602">
        <v>2011</v>
      </c>
      <c r="C3602" t="s">
        <v>816</v>
      </c>
      <c r="D3602" t="s">
        <v>820</v>
      </c>
      <c r="E3602" t="s">
        <v>34</v>
      </c>
      <c r="F3602" t="s">
        <v>465</v>
      </c>
      <c r="G3602">
        <v>-39.75</v>
      </c>
      <c r="H3602">
        <v>-73.383330000000001</v>
      </c>
      <c r="I3602" t="s">
        <v>770</v>
      </c>
      <c r="J3602" s="2" t="s">
        <v>14</v>
      </c>
      <c r="K3602" t="s">
        <v>466</v>
      </c>
      <c r="L3602" t="s">
        <v>143</v>
      </c>
      <c r="M3602" t="s">
        <v>726</v>
      </c>
      <c r="N3602" t="s">
        <v>85</v>
      </c>
      <c r="O3602" s="6" t="s">
        <v>58</v>
      </c>
      <c r="P3602" t="s">
        <v>468</v>
      </c>
      <c r="Q3602">
        <v>14</v>
      </c>
      <c r="R3602" t="s">
        <v>213</v>
      </c>
      <c r="S3602" s="2" t="s">
        <v>9</v>
      </c>
      <c r="T3602">
        <v>4</v>
      </c>
      <c r="U3602" t="s">
        <v>28</v>
      </c>
      <c r="V3602" t="s">
        <v>28</v>
      </c>
      <c r="W3602">
        <v>18.899999999999999</v>
      </c>
      <c r="X3602">
        <v>0.5</v>
      </c>
      <c r="Y3602">
        <v>0</v>
      </c>
      <c r="AA3602" s="6"/>
      <c r="AB3602" s="6"/>
    </row>
    <row r="3603" spans="1:28" x14ac:dyDescent="0.2">
      <c r="A3603" t="s">
        <v>505</v>
      </c>
      <c r="B3603">
        <v>2011</v>
      </c>
      <c r="C3603" t="s">
        <v>816</v>
      </c>
      <c r="D3603" t="s">
        <v>820</v>
      </c>
      <c r="E3603" t="s">
        <v>34</v>
      </c>
      <c r="F3603" t="s">
        <v>380</v>
      </c>
      <c r="G3603">
        <v>-29.966666669999999</v>
      </c>
      <c r="H3603">
        <v>-71.349999999999994</v>
      </c>
      <c r="I3603" t="s">
        <v>769</v>
      </c>
      <c r="J3603" s="2" t="s">
        <v>7</v>
      </c>
      <c r="K3603" t="s">
        <v>466</v>
      </c>
      <c r="L3603" t="s">
        <v>143</v>
      </c>
      <c r="M3603" t="s">
        <v>726</v>
      </c>
      <c r="N3603" t="s">
        <v>85</v>
      </c>
      <c r="O3603" s="6" t="s">
        <v>196</v>
      </c>
      <c r="P3603" t="s">
        <v>83</v>
      </c>
      <c r="Q3603">
        <v>14</v>
      </c>
      <c r="R3603" t="s">
        <v>213</v>
      </c>
      <c r="S3603" s="2" t="s">
        <v>7</v>
      </c>
      <c r="T3603">
        <v>4</v>
      </c>
      <c r="U3603" t="s">
        <v>28</v>
      </c>
      <c r="V3603" t="s">
        <v>28</v>
      </c>
      <c r="W3603">
        <v>17.600000000000001</v>
      </c>
      <c r="X3603">
        <v>34.4</v>
      </c>
      <c r="Y3603">
        <v>1.5</v>
      </c>
      <c r="AA3603" s="6"/>
      <c r="AB3603" s="6"/>
    </row>
    <row r="3604" spans="1:28" x14ac:dyDescent="0.2">
      <c r="A3604" t="s">
        <v>505</v>
      </c>
      <c r="B3604">
        <v>2011</v>
      </c>
      <c r="C3604" t="s">
        <v>816</v>
      </c>
      <c r="D3604" t="s">
        <v>820</v>
      </c>
      <c r="E3604" t="s">
        <v>34</v>
      </c>
      <c r="F3604" t="s">
        <v>380</v>
      </c>
      <c r="G3604">
        <v>-29.966666669999999</v>
      </c>
      <c r="H3604">
        <v>-71.349999999999994</v>
      </c>
      <c r="I3604" t="s">
        <v>769</v>
      </c>
      <c r="J3604" s="2" t="s">
        <v>14</v>
      </c>
      <c r="K3604" t="s">
        <v>466</v>
      </c>
      <c r="L3604" t="s">
        <v>143</v>
      </c>
      <c r="M3604" t="s">
        <v>726</v>
      </c>
      <c r="N3604" t="s">
        <v>85</v>
      </c>
      <c r="O3604" s="6" t="s">
        <v>196</v>
      </c>
      <c r="P3604" t="s">
        <v>83</v>
      </c>
      <c r="Q3604">
        <v>14</v>
      </c>
      <c r="R3604" t="s">
        <v>213</v>
      </c>
      <c r="S3604" s="2" t="s">
        <v>9</v>
      </c>
      <c r="T3604">
        <v>4</v>
      </c>
      <c r="U3604" t="s">
        <v>28</v>
      </c>
      <c r="V3604" t="s">
        <v>28</v>
      </c>
      <c r="W3604">
        <v>20.6</v>
      </c>
      <c r="X3604">
        <v>31.9</v>
      </c>
      <c r="Y3604">
        <v>2.9</v>
      </c>
      <c r="AA3604" s="6"/>
      <c r="AB3604" s="6"/>
    </row>
    <row r="3605" spans="1:28" x14ac:dyDescent="0.2">
      <c r="A3605" t="s">
        <v>505</v>
      </c>
      <c r="B3605">
        <v>2011</v>
      </c>
      <c r="C3605" t="s">
        <v>816</v>
      </c>
      <c r="D3605" t="s">
        <v>820</v>
      </c>
      <c r="E3605" t="s">
        <v>34</v>
      </c>
      <c r="F3605" t="s">
        <v>465</v>
      </c>
      <c r="G3605">
        <v>-39.75</v>
      </c>
      <c r="H3605">
        <v>-73.383330000000001</v>
      </c>
      <c r="I3605" t="s">
        <v>770</v>
      </c>
      <c r="J3605" s="2" t="s">
        <v>7</v>
      </c>
      <c r="K3605" t="s">
        <v>466</v>
      </c>
      <c r="L3605" t="s">
        <v>143</v>
      </c>
      <c r="M3605" t="s">
        <v>726</v>
      </c>
      <c r="N3605" t="s">
        <v>85</v>
      </c>
      <c r="O3605" s="6" t="s">
        <v>196</v>
      </c>
      <c r="P3605" t="s">
        <v>83</v>
      </c>
      <c r="Q3605">
        <v>14</v>
      </c>
      <c r="R3605" t="s">
        <v>213</v>
      </c>
      <c r="S3605" s="2" t="s">
        <v>7</v>
      </c>
      <c r="T3605">
        <v>4</v>
      </c>
      <c r="U3605" t="s">
        <v>28</v>
      </c>
      <c r="V3605" t="s">
        <v>28</v>
      </c>
      <c r="W3605">
        <v>15.5</v>
      </c>
      <c r="X3605">
        <v>87.9</v>
      </c>
      <c r="Y3605">
        <v>4</v>
      </c>
      <c r="AA3605" s="6"/>
      <c r="AB3605" s="6"/>
    </row>
    <row r="3606" spans="1:28" x14ac:dyDescent="0.2">
      <c r="A3606" t="s">
        <v>505</v>
      </c>
      <c r="B3606">
        <v>2011</v>
      </c>
      <c r="C3606" t="s">
        <v>816</v>
      </c>
      <c r="D3606" t="s">
        <v>820</v>
      </c>
      <c r="E3606" t="s">
        <v>34</v>
      </c>
      <c r="F3606" t="s">
        <v>465</v>
      </c>
      <c r="G3606">
        <v>-39.75</v>
      </c>
      <c r="H3606">
        <v>-73.383330000000001</v>
      </c>
      <c r="I3606" t="s">
        <v>770</v>
      </c>
      <c r="J3606" s="2" t="s">
        <v>14</v>
      </c>
      <c r="K3606" t="s">
        <v>466</v>
      </c>
      <c r="L3606" t="s">
        <v>143</v>
      </c>
      <c r="M3606" t="s">
        <v>726</v>
      </c>
      <c r="N3606" t="s">
        <v>85</v>
      </c>
      <c r="O3606" s="6" t="s">
        <v>196</v>
      </c>
      <c r="P3606" t="s">
        <v>83</v>
      </c>
      <c r="Q3606">
        <v>14</v>
      </c>
      <c r="R3606" t="s">
        <v>213</v>
      </c>
      <c r="S3606" s="2" t="s">
        <v>9</v>
      </c>
      <c r="T3606">
        <v>4</v>
      </c>
      <c r="U3606" t="s">
        <v>28</v>
      </c>
      <c r="V3606" t="s">
        <v>28</v>
      </c>
      <c r="W3606">
        <v>18.899999999999999</v>
      </c>
      <c r="X3606">
        <v>118.5</v>
      </c>
      <c r="Y3606">
        <v>0.9</v>
      </c>
      <c r="AA3606" s="6"/>
      <c r="AB3606" s="6"/>
    </row>
    <row r="3607" spans="1:28" x14ac:dyDescent="0.2">
      <c r="A3607" t="s">
        <v>505</v>
      </c>
      <c r="B3607">
        <v>2011</v>
      </c>
      <c r="C3607" t="s">
        <v>816</v>
      </c>
      <c r="D3607" t="s">
        <v>820</v>
      </c>
      <c r="E3607" t="s">
        <v>34</v>
      </c>
      <c r="F3607" t="s">
        <v>380</v>
      </c>
      <c r="G3607">
        <v>-29.966666669999999</v>
      </c>
      <c r="H3607">
        <v>-71.349999999999994</v>
      </c>
      <c r="I3607" t="s">
        <v>769</v>
      </c>
      <c r="J3607" s="2" t="s">
        <v>7</v>
      </c>
      <c r="K3607" t="s">
        <v>466</v>
      </c>
      <c r="L3607" t="s">
        <v>143</v>
      </c>
      <c r="M3607" t="s">
        <v>726</v>
      </c>
      <c r="N3607" t="s">
        <v>85</v>
      </c>
      <c r="O3607" s="6" t="s">
        <v>84</v>
      </c>
      <c r="Q3607">
        <v>14</v>
      </c>
      <c r="R3607" t="s">
        <v>213</v>
      </c>
      <c r="S3607" s="2" t="s">
        <v>7</v>
      </c>
      <c r="T3607">
        <v>4</v>
      </c>
      <c r="U3607" t="s">
        <v>28</v>
      </c>
      <c r="V3607" t="s">
        <v>28</v>
      </c>
      <c r="W3607">
        <v>17.600000000000001</v>
      </c>
      <c r="X3607">
        <v>0.4</v>
      </c>
      <c r="Y3607">
        <v>0.1</v>
      </c>
      <c r="AA3607" s="6"/>
      <c r="AB3607" s="6"/>
    </row>
    <row r="3608" spans="1:28" x14ac:dyDescent="0.2">
      <c r="A3608" t="s">
        <v>505</v>
      </c>
      <c r="B3608">
        <v>2011</v>
      </c>
      <c r="C3608" t="s">
        <v>816</v>
      </c>
      <c r="D3608" t="s">
        <v>820</v>
      </c>
      <c r="E3608" t="s">
        <v>34</v>
      </c>
      <c r="F3608" t="s">
        <v>380</v>
      </c>
      <c r="G3608">
        <v>-29.966666669999999</v>
      </c>
      <c r="H3608">
        <v>-71.349999999999994</v>
      </c>
      <c r="I3608" t="s">
        <v>769</v>
      </c>
      <c r="J3608" s="2" t="s">
        <v>14</v>
      </c>
      <c r="K3608" t="s">
        <v>466</v>
      </c>
      <c r="L3608" t="s">
        <v>143</v>
      </c>
      <c r="M3608" t="s">
        <v>726</v>
      </c>
      <c r="N3608" t="s">
        <v>85</v>
      </c>
      <c r="O3608" s="6" t="s">
        <v>84</v>
      </c>
      <c r="Q3608">
        <v>14</v>
      </c>
      <c r="R3608" t="s">
        <v>213</v>
      </c>
      <c r="S3608" s="2" t="s">
        <v>9</v>
      </c>
      <c r="T3608">
        <v>4</v>
      </c>
      <c r="U3608" t="s">
        <v>28</v>
      </c>
      <c r="V3608" t="s">
        <v>28</v>
      </c>
      <c r="W3608">
        <v>20.6</v>
      </c>
      <c r="X3608">
        <v>0.4</v>
      </c>
      <c r="Y3608">
        <v>0</v>
      </c>
      <c r="AA3608" s="6"/>
      <c r="AB3608" s="6"/>
    </row>
    <row r="3609" spans="1:28" x14ac:dyDescent="0.2">
      <c r="A3609" t="s">
        <v>505</v>
      </c>
      <c r="B3609">
        <v>2011</v>
      </c>
      <c r="C3609" t="s">
        <v>816</v>
      </c>
      <c r="D3609" t="s">
        <v>820</v>
      </c>
      <c r="E3609" t="s">
        <v>34</v>
      </c>
      <c r="F3609" t="s">
        <v>465</v>
      </c>
      <c r="G3609">
        <v>-39.75</v>
      </c>
      <c r="H3609">
        <v>-73.383330000000001</v>
      </c>
      <c r="I3609" t="s">
        <v>770</v>
      </c>
      <c r="J3609" s="2" t="s">
        <v>7</v>
      </c>
      <c r="K3609" t="s">
        <v>466</v>
      </c>
      <c r="L3609" t="s">
        <v>143</v>
      </c>
      <c r="M3609" t="s">
        <v>726</v>
      </c>
      <c r="N3609" t="s">
        <v>85</v>
      </c>
      <c r="O3609" s="6" t="s">
        <v>84</v>
      </c>
      <c r="Q3609">
        <v>14</v>
      </c>
      <c r="R3609" t="s">
        <v>213</v>
      </c>
      <c r="S3609" s="2" t="s">
        <v>7</v>
      </c>
      <c r="T3609">
        <v>4</v>
      </c>
      <c r="U3609" t="s">
        <v>28</v>
      </c>
      <c r="V3609" t="s">
        <v>28</v>
      </c>
      <c r="W3609">
        <v>15.5</v>
      </c>
      <c r="X3609">
        <v>0.6</v>
      </c>
      <c r="Y3609">
        <v>0.1</v>
      </c>
      <c r="AA3609" s="6"/>
      <c r="AB3609" s="6"/>
    </row>
    <row r="3610" spans="1:28" x14ac:dyDescent="0.2">
      <c r="A3610" t="s">
        <v>505</v>
      </c>
      <c r="B3610">
        <v>2011</v>
      </c>
      <c r="C3610" t="s">
        <v>816</v>
      </c>
      <c r="D3610" t="s">
        <v>820</v>
      </c>
      <c r="E3610" t="s">
        <v>34</v>
      </c>
      <c r="F3610" t="s">
        <v>465</v>
      </c>
      <c r="G3610">
        <v>-39.75</v>
      </c>
      <c r="H3610">
        <v>-73.383330000000001</v>
      </c>
      <c r="I3610" t="s">
        <v>770</v>
      </c>
      <c r="J3610" s="2" t="s">
        <v>14</v>
      </c>
      <c r="K3610" t="s">
        <v>466</v>
      </c>
      <c r="L3610" t="s">
        <v>143</v>
      </c>
      <c r="M3610" t="s">
        <v>726</v>
      </c>
      <c r="N3610" t="s">
        <v>85</v>
      </c>
      <c r="O3610" s="6" t="s">
        <v>84</v>
      </c>
      <c r="Q3610">
        <v>14</v>
      </c>
      <c r="R3610" t="s">
        <v>213</v>
      </c>
      <c r="S3610" s="2" t="s">
        <v>9</v>
      </c>
      <c r="T3610">
        <v>4</v>
      </c>
      <c r="U3610" t="s">
        <v>28</v>
      </c>
      <c r="V3610" t="s">
        <v>28</v>
      </c>
      <c r="W3610">
        <v>18.899999999999999</v>
      </c>
      <c r="X3610">
        <v>0.6</v>
      </c>
      <c r="Y3610">
        <v>0</v>
      </c>
      <c r="AA3610" s="6"/>
      <c r="AB3610" s="6"/>
    </row>
    <row r="3611" spans="1:28" x14ac:dyDescent="0.2">
      <c r="A3611" t="s">
        <v>469</v>
      </c>
      <c r="B3611">
        <v>2020</v>
      </c>
      <c r="C3611" t="s">
        <v>826</v>
      </c>
      <c r="D3611" t="s">
        <v>821</v>
      </c>
      <c r="E3611" t="s">
        <v>134</v>
      </c>
      <c r="F3611" t="s">
        <v>470</v>
      </c>
      <c r="G3611">
        <v>49.302621000000002</v>
      </c>
      <c r="H3611">
        <v>-123.12594799999999</v>
      </c>
      <c r="I3611" t="s">
        <v>771</v>
      </c>
      <c r="J3611" s="2" t="s">
        <v>7</v>
      </c>
      <c r="K3611" t="s">
        <v>471</v>
      </c>
      <c r="L3611" t="s">
        <v>144</v>
      </c>
      <c r="M3611" t="s">
        <v>26</v>
      </c>
      <c r="N3611" t="s">
        <v>85</v>
      </c>
      <c r="O3611" s="6" t="s">
        <v>462</v>
      </c>
      <c r="P3611" t="s">
        <v>70</v>
      </c>
      <c r="Q3611">
        <v>8</v>
      </c>
      <c r="R3611" t="s">
        <v>213</v>
      </c>
      <c r="S3611" s="2" t="s">
        <v>7</v>
      </c>
      <c r="T3611">
        <v>6</v>
      </c>
      <c r="U3611" t="s">
        <v>28</v>
      </c>
      <c r="V3611" t="s">
        <v>28</v>
      </c>
      <c r="W3611">
        <v>13</v>
      </c>
      <c r="X3611">
        <v>76.6666666666667</v>
      </c>
      <c r="Y3611">
        <v>11.8233525984243</v>
      </c>
      <c r="AA3611" s="6"/>
      <c r="AB3611" s="6"/>
    </row>
    <row r="3612" spans="1:28" x14ac:dyDescent="0.2">
      <c r="A3612" t="s">
        <v>469</v>
      </c>
      <c r="B3612">
        <v>2020</v>
      </c>
      <c r="C3612" t="s">
        <v>826</v>
      </c>
      <c r="D3612" t="s">
        <v>821</v>
      </c>
      <c r="E3612" t="s">
        <v>134</v>
      </c>
      <c r="F3612" t="s">
        <v>470</v>
      </c>
      <c r="G3612">
        <v>49.302621000000002</v>
      </c>
      <c r="H3612">
        <v>-123.12594799999999</v>
      </c>
      <c r="I3612" t="s">
        <v>771</v>
      </c>
      <c r="J3612" s="2" t="s">
        <v>14</v>
      </c>
      <c r="K3612" t="s">
        <v>471</v>
      </c>
      <c r="L3612" t="s">
        <v>144</v>
      </c>
      <c r="M3612" t="s">
        <v>26</v>
      </c>
      <c r="N3612" t="s">
        <v>85</v>
      </c>
      <c r="O3612" s="6" t="s">
        <v>462</v>
      </c>
      <c r="P3612" t="s">
        <v>70</v>
      </c>
      <c r="Q3612">
        <v>8</v>
      </c>
      <c r="R3612" t="s">
        <v>213</v>
      </c>
      <c r="S3612" s="2" t="s">
        <v>9</v>
      </c>
      <c r="T3612">
        <v>6</v>
      </c>
      <c r="U3612" t="s">
        <v>28</v>
      </c>
      <c r="V3612" t="s">
        <v>28</v>
      </c>
      <c r="W3612">
        <v>15</v>
      </c>
      <c r="X3612">
        <v>67.25</v>
      </c>
      <c r="Y3612">
        <v>9.4950645074164708</v>
      </c>
      <c r="AA3612" s="6"/>
      <c r="AB3612" s="6"/>
    </row>
    <row r="3613" spans="1:28" x14ac:dyDescent="0.2">
      <c r="A3613" t="s">
        <v>469</v>
      </c>
      <c r="B3613">
        <v>2020</v>
      </c>
      <c r="C3613" t="s">
        <v>826</v>
      </c>
      <c r="D3613" t="s">
        <v>821</v>
      </c>
      <c r="E3613" t="s">
        <v>134</v>
      </c>
      <c r="F3613" t="s">
        <v>470</v>
      </c>
      <c r="G3613">
        <v>49.302621000000002</v>
      </c>
      <c r="H3613">
        <v>-123.12594799999999</v>
      </c>
      <c r="I3613" t="s">
        <v>771</v>
      </c>
      <c r="J3613" s="2" t="s">
        <v>14</v>
      </c>
      <c r="K3613" t="s">
        <v>471</v>
      </c>
      <c r="L3613" t="s">
        <v>144</v>
      </c>
      <c r="M3613" t="s">
        <v>26</v>
      </c>
      <c r="N3613" t="s">
        <v>85</v>
      </c>
      <c r="O3613" s="6" t="s">
        <v>462</v>
      </c>
      <c r="P3613" t="s">
        <v>70</v>
      </c>
      <c r="Q3613">
        <v>8</v>
      </c>
      <c r="R3613" t="s">
        <v>213</v>
      </c>
      <c r="S3613" s="2" t="s">
        <v>27</v>
      </c>
      <c r="T3613">
        <v>6</v>
      </c>
      <c r="U3613" t="s">
        <v>28</v>
      </c>
      <c r="V3613" t="s">
        <v>28</v>
      </c>
      <c r="W3613">
        <v>17</v>
      </c>
      <c r="X3613">
        <v>56.0416666666667</v>
      </c>
      <c r="Y3613">
        <v>8.4932571294331307</v>
      </c>
      <c r="AA3613" s="6"/>
      <c r="AB3613" s="6"/>
    </row>
    <row r="3614" spans="1:28" x14ac:dyDescent="0.2">
      <c r="A3614" t="s">
        <v>469</v>
      </c>
      <c r="B3614">
        <v>2020</v>
      </c>
      <c r="C3614" t="s">
        <v>826</v>
      </c>
      <c r="D3614" t="s">
        <v>821</v>
      </c>
      <c r="E3614" t="s">
        <v>134</v>
      </c>
      <c r="F3614" t="s">
        <v>470</v>
      </c>
      <c r="G3614">
        <v>49.302621000000002</v>
      </c>
      <c r="H3614">
        <v>-123.12594799999999</v>
      </c>
      <c r="I3614" t="s">
        <v>771</v>
      </c>
      <c r="J3614" s="2" t="s">
        <v>14</v>
      </c>
      <c r="K3614" t="s">
        <v>471</v>
      </c>
      <c r="L3614" t="s">
        <v>144</v>
      </c>
      <c r="M3614" t="s">
        <v>26</v>
      </c>
      <c r="N3614" t="s">
        <v>85</v>
      </c>
      <c r="O3614" s="6" t="s">
        <v>462</v>
      </c>
      <c r="P3614" t="s">
        <v>70</v>
      </c>
      <c r="Q3614">
        <v>8</v>
      </c>
      <c r="R3614" t="s">
        <v>213</v>
      </c>
      <c r="S3614" s="2" t="s">
        <v>13</v>
      </c>
      <c r="T3614">
        <v>6</v>
      </c>
      <c r="U3614" t="s">
        <v>28</v>
      </c>
      <c r="V3614" t="s">
        <v>28</v>
      </c>
      <c r="W3614">
        <v>20</v>
      </c>
      <c r="X3614">
        <v>53.3333333333333</v>
      </c>
      <c r="Y3614">
        <v>6.8313005106397302</v>
      </c>
      <c r="AA3614" s="6"/>
      <c r="AB3614" s="6"/>
    </row>
    <row r="3615" spans="1:28" x14ac:dyDescent="0.2">
      <c r="A3615" t="s">
        <v>469</v>
      </c>
      <c r="B3615">
        <v>2020</v>
      </c>
      <c r="C3615" t="s">
        <v>826</v>
      </c>
      <c r="D3615" t="s">
        <v>821</v>
      </c>
      <c r="E3615" t="s">
        <v>134</v>
      </c>
      <c r="F3615" t="s">
        <v>470</v>
      </c>
      <c r="G3615">
        <v>49.302621000000002</v>
      </c>
      <c r="H3615">
        <v>-123.12594799999999</v>
      </c>
      <c r="I3615" t="s">
        <v>771</v>
      </c>
      <c r="J3615" s="2" t="s">
        <v>14</v>
      </c>
      <c r="K3615" t="s">
        <v>471</v>
      </c>
      <c r="L3615" t="s">
        <v>144</v>
      </c>
      <c r="M3615" t="s">
        <v>26</v>
      </c>
      <c r="N3615" t="s">
        <v>85</v>
      </c>
      <c r="O3615" s="6" t="s">
        <v>462</v>
      </c>
      <c r="P3615" t="s">
        <v>70</v>
      </c>
      <c r="Q3615">
        <v>8</v>
      </c>
      <c r="R3615" t="s">
        <v>213</v>
      </c>
      <c r="S3615" s="2" t="s">
        <v>15</v>
      </c>
      <c r="T3615">
        <v>6</v>
      </c>
      <c r="U3615" t="s">
        <v>28</v>
      </c>
      <c r="V3615" t="s">
        <v>28</v>
      </c>
      <c r="W3615">
        <v>22</v>
      </c>
      <c r="X3615">
        <v>21.4583333333333</v>
      </c>
      <c r="Y3615">
        <v>5.4438420868598598</v>
      </c>
      <c r="AA3615" s="6"/>
      <c r="AB3615" s="6"/>
    </row>
    <row r="3616" spans="1:28" x14ac:dyDescent="0.2">
      <c r="A3616" t="s">
        <v>469</v>
      </c>
      <c r="B3616">
        <v>2020</v>
      </c>
      <c r="C3616" t="s">
        <v>826</v>
      </c>
      <c r="D3616" t="s">
        <v>821</v>
      </c>
      <c r="E3616" t="s">
        <v>134</v>
      </c>
      <c r="F3616" t="s">
        <v>470</v>
      </c>
      <c r="G3616">
        <v>49.302621000000002</v>
      </c>
      <c r="H3616">
        <v>-123.12594799999999</v>
      </c>
      <c r="I3616" t="s">
        <v>761</v>
      </c>
      <c r="J3616" s="2" t="s">
        <v>7</v>
      </c>
      <c r="K3616" t="s">
        <v>471</v>
      </c>
      <c r="L3616" t="s">
        <v>144</v>
      </c>
      <c r="M3616" t="s">
        <v>26</v>
      </c>
      <c r="N3616" t="s">
        <v>85</v>
      </c>
      <c r="O3616" s="6" t="s">
        <v>462</v>
      </c>
      <c r="P3616" t="s">
        <v>70</v>
      </c>
      <c r="Q3616">
        <v>7</v>
      </c>
      <c r="R3616" t="s">
        <v>213</v>
      </c>
      <c r="S3616" s="2" t="s">
        <v>7</v>
      </c>
      <c r="T3616">
        <v>24</v>
      </c>
      <c r="U3616" t="s">
        <v>28</v>
      </c>
      <c r="V3616" t="s">
        <v>28</v>
      </c>
      <c r="W3616">
        <v>13</v>
      </c>
      <c r="X3616">
        <v>69.305555555833308</v>
      </c>
      <c r="Y3616">
        <v>12.274729438011349</v>
      </c>
      <c r="AA3616" s="6"/>
      <c r="AB3616" s="6"/>
    </row>
    <row r="3617" spans="1:28" x14ac:dyDescent="0.2">
      <c r="A3617" t="s">
        <v>469</v>
      </c>
      <c r="B3617">
        <v>2020</v>
      </c>
      <c r="C3617" t="s">
        <v>826</v>
      </c>
      <c r="D3617" t="s">
        <v>821</v>
      </c>
      <c r="E3617" t="s">
        <v>134</v>
      </c>
      <c r="F3617" t="s">
        <v>470</v>
      </c>
      <c r="G3617">
        <v>49.302621000000002</v>
      </c>
      <c r="H3617">
        <v>-123.12594799999999</v>
      </c>
      <c r="I3617" t="s">
        <v>761</v>
      </c>
      <c r="J3617" s="2" t="s">
        <v>14</v>
      </c>
      <c r="K3617" t="s">
        <v>471</v>
      </c>
      <c r="L3617" t="s">
        <v>144</v>
      </c>
      <c r="M3617" t="s">
        <v>26</v>
      </c>
      <c r="N3617" t="s">
        <v>85</v>
      </c>
      <c r="O3617" s="6" t="s">
        <v>462</v>
      </c>
      <c r="P3617" t="s">
        <v>70</v>
      </c>
      <c r="Q3617">
        <v>7</v>
      </c>
      <c r="R3617" t="s">
        <v>213</v>
      </c>
      <c r="S3617" s="2" t="s">
        <v>13</v>
      </c>
      <c r="T3617">
        <v>24</v>
      </c>
      <c r="U3617" t="s">
        <v>28</v>
      </c>
      <c r="V3617" t="s">
        <v>28</v>
      </c>
      <c r="W3617">
        <v>13</v>
      </c>
      <c r="X3617">
        <v>37.909090908454544</v>
      </c>
      <c r="Y3617">
        <v>7.1053681659852552</v>
      </c>
      <c r="AA3617" s="6"/>
      <c r="AB3617" s="6"/>
    </row>
    <row r="3618" spans="1:28" x14ac:dyDescent="0.2">
      <c r="A3618" t="s">
        <v>469</v>
      </c>
      <c r="B3618">
        <v>2020</v>
      </c>
      <c r="C3618" t="s">
        <v>826</v>
      </c>
      <c r="D3618" t="s">
        <v>821</v>
      </c>
      <c r="E3618" t="s">
        <v>134</v>
      </c>
      <c r="F3618" t="s">
        <v>470</v>
      </c>
      <c r="G3618">
        <v>49.302621000000002</v>
      </c>
      <c r="H3618">
        <v>-123.12594799999999</v>
      </c>
      <c r="I3618" t="s">
        <v>761</v>
      </c>
      <c r="J3618" s="2" t="s">
        <v>7</v>
      </c>
      <c r="K3618" t="s">
        <v>471</v>
      </c>
      <c r="L3618" t="s">
        <v>144</v>
      </c>
      <c r="M3618" t="s">
        <v>26</v>
      </c>
      <c r="N3618" t="s">
        <v>85</v>
      </c>
      <c r="O3618" s="6" t="s">
        <v>841</v>
      </c>
      <c r="P3618" t="s">
        <v>70</v>
      </c>
      <c r="Q3618">
        <v>7</v>
      </c>
      <c r="R3618" t="s">
        <v>213</v>
      </c>
      <c r="S3618" s="2" t="s">
        <v>7</v>
      </c>
      <c r="T3618">
        <v>21</v>
      </c>
      <c r="U3618" t="s">
        <v>28</v>
      </c>
      <c r="V3618" t="s">
        <v>28</v>
      </c>
      <c r="W3618">
        <v>20</v>
      </c>
      <c r="X3618">
        <v>2.9621016270416849</v>
      </c>
      <c r="Y3618">
        <v>11.614297072620415</v>
      </c>
      <c r="AA3618" s="6"/>
      <c r="AB3618" s="6"/>
    </row>
    <row r="3619" spans="1:28" x14ac:dyDescent="0.2">
      <c r="A3619" t="s">
        <v>469</v>
      </c>
      <c r="B3619">
        <v>2020</v>
      </c>
      <c r="C3619" t="s">
        <v>826</v>
      </c>
      <c r="D3619" t="s">
        <v>821</v>
      </c>
      <c r="E3619" t="s">
        <v>134</v>
      </c>
      <c r="F3619" t="s">
        <v>470</v>
      </c>
      <c r="G3619">
        <v>49.302621000000002</v>
      </c>
      <c r="H3619">
        <v>-123.12594799999999</v>
      </c>
      <c r="I3619" t="s">
        <v>761</v>
      </c>
      <c r="J3619" s="2" t="s">
        <v>14</v>
      </c>
      <c r="K3619" t="s">
        <v>471</v>
      </c>
      <c r="L3619" t="s">
        <v>144</v>
      </c>
      <c r="M3619" t="s">
        <v>26</v>
      </c>
      <c r="N3619" t="s">
        <v>85</v>
      </c>
      <c r="O3619" s="6" t="s">
        <v>841</v>
      </c>
      <c r="P3619" t="s">
        <v>70</v>
      </c>
      <c r="Q3619">
        <v>7</v>
      </c>
      <c r="R3619" t="s">
        <v>213</v>
      </c>
      <c r="S3619" s="2" t="s">
        <v>13</v>
      </c>
      <c r="T3619">
        <v>21</v>
      </c>
      <c r="U3619" t="s">
        <v>28</v>
      </c>
      <c r="V3619" t="s">
        <v>28</v>
      </c>
      <c r="W3619">
        <v>20</v>
      </c>
      <c r="X3619">
        <v>-4.9524499094590908</v>
      </c>
      <c r="Y3619">
        <v>7.2989442215292897</v>
      </c>
      <c r="AA3619" s="6"/>
      <c r="AB3619" s="6"/>
    </row>
    <row r="3620" spans="1:28" x14ac:dyDescent="0.2">
      <c r="A3620" t="s">
        <v>472</v>
      </c>
      <c r="B3620">
        <v>2007</v>
      </c>
      <c r="C3620" t="s">
        <v>826</v>
      </c>
      <c r="D3620" t="s">
        <v>824</v>
      </c>
      <c r="E3620" t="s">
        <v>48</v>
      </c>
      <c r="F3620" t="s">
        <v>473</v>
      </c>
      <c r="G3620">
        <v>48.835278000000002</v>
      </c>
      <c r="H3620">
        <v>-125.13638899999999</v>
      </c>
      <c r="I3620" t="s">
        <v>771</v>
      </c>
      <c r="J3620" s="2" t="s">
        <v>7</v>
      </c>
      <c r="K3620" t="s">
        <v>474</v>
      </c>
      <c r="L3620" t="s">
        <v>143</v>
      </c>
      <c r="M3620" t="s">
        <v>26</v>
      </c>
      <c r="N3620" t="s">
        <v>85</v>
      </c>
      <c r="O3620" s="6" t="s">
        <v>80</v>
      </c>
      <c r="P3620" t="s">
        <v>454</v>
      </c>
      <c r="Q3620">
        <v>55</v>
      </c>
      <c r="R3620" t="s">
        <v>213</v>
      </c>
      <c r="S3620" s="2" t="s">
        <v>7</v>
      </c>
      <c r="T3620">
        <f t="shared" ref="T3620:T3627" si="69">AVERAGE(50,90)</f>
        <v>70</v>
      </c>
      <c r="U3620">
        <v>8.08</v>
      </c>
      <c r="V3620">
        <v>358</v>
      </c>
      <c r="W3620" t="s">
        <v>28</v>
      </c>
      <c r="X3620">
        <v>1700</v>
      </c>
      <c r="Y3620" s="6">
        <f t="shared" ref="Y3620:Y3651" si="70">Z3620*SQRT(T3620)</f>
        <v>2434.6806772141599</v>
      </c>
      <c r="Z3620">
        <f>1991-X3620</f>
        <v>291</v>
      </c>
      <c r="AA3620" s="6"/>
      <c r="AB3620" s="6"/>
    </row>
    <row r="3621" spans="1:28" x14ac:dyDescent="0.2">
      <c r="A3621" t="s">
        <v>472</v>
      </c>
      <c r="B3621">
        <v>2007</v>
      </c>
      <c r="C3621" t="s">
        <v>826</v>
      </c>
      <c r="D3621" t="s">
        <v>824</v>
      </c>
      <c r="E3621" t="s">
        <v>48</v>
      </c>
      <c r="F3621" t="s">
        <v>473</v>
      </c>
      <c r="G3621">
        <v>48.835278000000002</v>
      </c>
      <c r="H3621">
        <v>-125.13638899999999</v>
      </c>
      <c r="I3621" t="s">
        <v>771</v>
      </c>
      <c r="J3621" s="2" t="s">
        <v>5</v>
      </c>
      <c r="K3621" t="s">
        <v>474</v>
      </c>
      <c r="L3621" t="s">
        <v>143</v>
      </c>
      <c r="M3621" t="s">
        <v>26</v>
      </c>
      <c r="N3621" t="s">
        <v>85</v>
      </c>
      <c r="O3621" s="6" t="s">
        <v>80</v>
      </c>
      <c r="P3621" t="s">
        <v>454</v>
      </c>
      <c r="Q3621">
        <v>55</v>
      </c>
      <c r="R3621" t="s">
        <v>213</v>
      </c>
      <c r="S3621" s="2" t="s">
        <v>9</v>
      </c>
      <c r="T3621">
        <f t="shared" si="69"/>
        <v>70</v>
      </c>
      <c r="U3621">
        <v>7.56</v>
      </c>
      <c r="V3621">
        <v>1311</v>
      </c>
      <c r="W3621" t="s">
        <v>28</v>
      </c>
      <c r="X3621">
        <v>765</v>
      </c>
      <c r="Y3621" s="6">
        <f t="shared" si="70"/>
        <v>1773.7192562522403</v>
      </c>
      <c r="Z3621">
        <f>977-X3621</f>
        <v>212</v>
      </c>
      <c r="AA3621" s="6"/>
      <c r="AB3621" s="6"/>
    </row>
    <row r="3622" spans="1:28" x14ac:dyDescent="0.2">
      <c r="A3622" t="s">
        <v>472</v>
      </c>
      <c r="B3622">
        <v>2007</v>
      </c>
      <c r="C3622" t="s">
        <v>826</v>
      </c>
      <c r="D3622" t="s">
        <v>821</v>
      </c>
      <c r="E3622" t="s">
        <v>134</v>
      </c>
      <c r="F3622" t="s">
        <v>473</v>
      </c>
      <c r="G3622">
        <v>48.835278000000002</v>
      </c>
      <c r="H3622">
        <v>-125.13638899999999</v>
      </c>
      <c r="I3622" t="s">
        <v>771</v>
      </c>
      <c r="J3622" s="2" t="s">
        <v>7</v>
      </c>
      <c r="K3622" t="s">
        <v>474</v>
      </c>
      <c r="L3622" t="s">
        <v>143</v>
      </c>
      <c r="M3622" t="s">
        <v>26</v>
      </c>
      <c r="N3622" t="s">
        <v>85</v>
      </c>
      <c r="O3622" s="6" t="s">
        <v>80</v>
      </c>
      <c r="P3622" t="s">
        <v>454</v>
      </c>
      <c r="Q3622">
        <v>55</v>
      </c>
      <c r="R3622" t="s">
        <v>213</v>
      </c>
      <c r="S3622" s="2" t="s">
        <v>7</v>
      </c>
      <c r="T3622">
        <f t="shared" si="69"/>
        <v>70</v>
      </c>
      <c r="U3622">
        <v>8.08</v>
      </c>
      <c r="V3622">
        <v>358</v>
      </c>
      <c r="W3622" t="s">
        <v>28</v>
      </c>
      <c r="X3622">
        <v>258</v>
      </c>
      <c r="Y3622" s="6">
        <f t="shared" si="70"/>
        <v>234.26480742954115</v>
      </c>
      <c r="Z3622">
        <f>286-X3622</f>
        <v>28</v>
      </c>
      <c r="AA3622" s="6"/>
      <c r="AB3622" s="6"/>
    </row>
    <row r="3623" spans="1:28" x14ac:dyDescent="0.2">
      <c r="A3623" t="s">
        <v>472</v>
      </c>
      <c r="B3623">
        <v>2007</v>
      </c>
      <c r="C3623" t="s">
        <v>826</v>
      </c>
      <c r="D3623" t="s">
        <v>821</v>
      </c>
      <c r="E3623" t="s">
        <v>134</v>
      </c>
      <c r="F3623" t="s">
        <v>473</v>
      </c>
      <c r="G3623">
        <v>48.835278000000002</v>
      </c>
      <c r="H3623">
        <v>-125.13638899999999</v>
      </c>
      <c r="I3623" t="s">
        <v>771</v>
      </c>
      <c r="J3623" s="2" t="s">
        <v>5</v>
      </c>
      <c r="K3623" t="s">
        <v>474</v>
      </c>
      <c r="L3623" t="s">
        <v>143</v>
      </c>
      <c r="M3623" t="s">
        <v>26</v>
      </c>
      <c r="N3623" t="s">
        <v>85</v>
      </c>
      <c r="O3623" s="6" t="s">
        <v>80</v>
      </c>
      <c r="P3623" t="s">
        <v>454</v>
      </c>
      <c r="Q3623">
        <v>55</v>
      </c>
      <c r="R3623" t="s">
        <v>213</v>
      </c>
      <c r="S3623" s="2" t="s">
        <v>9</v>
      </c>
      <c r="T3623">
        <f t="shared" si="69"/>
        <v>70</v>
      </c>
      <c r="U3623">
        <v>7.56</v>
      </c>
      <c r="V3623">
        <v>1311</v>
      </c>
      <c r="W3623" t="s">
        <v>28</v>
      </c>
      <c r="X3623">
        <v>894</v>
      </c>
      <c r="Y3623" s="6">
        <f t="shared" si="70"/>
        <v>694.42782202328272</v>
      </c>
      <c r="Z3623">
        <f>977-X3623</f>
        <v>83</v>
      </c>
      <c r="AA3623" s="6"/>
      <c r="AB3623" s="6"/>
    </row>
    <row r="3624" spans="1:28" x14ac:dyDescent="0.2">
      <c r="A3624" t="s">
        <v>472</v>
      </c>
      <c r="B3624">
        <v>2007</v>
      </c>
      <c r="C3624" t="s">
        <v>826</v>
      </c>
      <c r="D3624" t="s">
        <v>824</v>
      </c>
      <c r="E3624" t="s">
        <v>48</v>
      </c>
      <c r="F3624" t="s">
        <v>473</v>
      </c>
      <c r="G3624">
        <v>48.835278000000002</v>
      </c>
      <c r="H3624">
        <v>-125.13638899999999</v>
      </c>
      <c r="I3624" t="s">
        <v>771</v>
      </c>
      <c r="J3624" s="2" t="s">
        <v>7</v>
      </c>
      <c r="K3624" t="s">
        <v>474</v>
      </c>
      <c r="L3624" t="s">
        <v>143</v>
      </c>
      <c r="M3624" t="s">
        <v>26</v>
      </c>
      <c r="N3624" t="s">
        <v>85</v>
      </c>
      <c r="O3624" s="6" t="s">
        <v>594</v>
      </c>
      <c r="P3624" t="s">
        <v>475</v>
      </c>
      <c r="Q3624">
        <v>55</v>
      </c>
      <c r="R3624" t="s">
        <v>213</v>
      </c>
      <c r="S3624" s="2" t="s">
        <v>7</v>
      </c>
      <c r="T3624">
        <f t="shared" si="69"/>
        <v>70</v>
      </c>
      <c r="U3624">
        <v>8.08</v>
      </c>
      <c r="V3624">
        <v>358</v>
      </c>
      <c r="W3624" t="s">
        <v>28</v>
      </c>
      <c r="X3624">
        <v>235.9</v>
      </c>
      <c r="Y3624" s="6">
        <f t="shared" si="70"/>
        <v>386.53693225874304</v>
      </c>
      <c r="Z3624">
        <f>282.1-X3624</f>
        <v>46.200000000000017</v>
      </c>
      <c r="AA3624" s="6"/>
      <c r="AB3624" s="6"/>
    </row>
    <row r="3625" spans="1:28" x14ac:dyDescent="0.2">
      <c r="A3625" t="s">
        <v>472</v>
      </c>
      <c r="B3625">
        <v>2007</v>
      </c>
      <c r="C3625" t="s">
        <v>826</v>
      </c>
      <c r="D3625" t="s">
        <v>824</v>
      </c>
      <c r="E3625" t="s">
        <v>48</v>
      </c>
      <c r="F3625" t="s">
        <v>473</v>
      </c>
      <c r="G3625">
        <v>48.835278000000002</v>
      </c>
      <c r="H3625">
        <v>-125.13638899999999</v>
      </c>
      <c r="I3625" t="s">
        <v>771</v>
      </c>
      <c r="J3625" s="2" t="s">
        <v>5</v>
      </c>
      <c r="K3625" t="s">
        <v>474</v>
      </c>
      <c r="L3625" t="s">
        <v>143</v>
      </c>
      <c r="M3625" t="s">
        <v>26</v>
      </c>
      <c r="N3625" t="s">
        <v>85</v>
      </c>
      <c r="O3625" s="6" t="s">
        <v>594</v>
      </c>
      <c r="P3625" t="s">
        <v>475</v>
      </c>
      <c r="Q3625">
        <v>55</v>
      </c>
      <c r="R3625" t="s">
        <v>213</v>
      </c>
      <c r="S3625" s="2" t="s">
        <v>9</v>
      </c>
      <c r="T3625">
        <f t="shared" si="69"/>
        <v>70</v>
      </c>
      <c r="U3625">
        <v>7.56</v>
      </c>
      <c r="V3625">
        <v>1311</v>
      </c>
      <c r="W3625" t="s">
        <v>28</v>
      </c>
      <c r="X3625">
        <v>104.8</v>
      </c>
      <c r="Y3625" s="6">
        <f t="shared" si="70"/>
        <v>276.93446878277911</v>
      </c>
      <c r="Z3625">
        <f>137.9-X3625</f>
        <v>33.100000000000009</v>
      </c>
      <c r="AA3625" s="6"/>
      <c r="AB3625" s="6"/>
    </row>
    <row r="3626" spans="1:28" x14ac:dyDescent="0.2">
      <c r="A3626" t="s">
        <v>472</v>
      </c>
      <c r="B3626">
        <v>2007</v>
      </c>
      <c r="C3626" t="s">
        <v>826</v>
      </c>
      <c r="D3626" t="s">
        <v>821</v>
      </c>
      <c r="E3626" t="s">
        <v>134</v>
      </c>
      <c r="F3626" t="s">
        <v>473</v>
      </c>
      <c r="G3626">
        <v>48.835278000000002</v>
      </c>
      <c r="H3626">
        <v>-125.13638899999999</v>
      </c>
      <c r="I3626" t="s">
        <v>771</v>
      </c>
      <c r="J3626" s="2" t="s">
        <v>7</v>
      </c>
      <c r="K3626" t="s">
        <v>474</v>
      </c>
      <c r="L3626" t="s">
        <v>143</v>
      </c>
      <c r="M3626" t="s">
        <v>26</v>
      </c>
      <c r="N3626" t="s">
        <v>85</v>
      </c>
      <c r="O3626" s="6" t="s">
        <v>594</v>
      </c>
      <c r="P3626" t="s">
        <v>475</v>
      </c>
      <c r="Q3626">
        <v>55</v>
      </c>
      <c r="R3626" t="s">
        <v>213</v>
      </c>
      <c r="S3626" s="2" t="s">
        <v>7</v>
      </c>
      <c r="T3626">
        <f t="shared" si="69"/>
        <v>70</v>
      </c>
      <c r="U3626">
        <v>8.08</v>
      </c>
      <c r="V3626">
        <v>358</v>
      </c>
      <c r="W3626" t="s">
        <v>28</v>
      </c>
      <c r="X3626">
        <v>42.8</v>
      </c>
      <c r="Y3626" s="6">
        <f t="shared" si="70"/>
        <v>40.159681273635663</v>
      </c>
      <c r="Z3626">
        <f>47.6-X3626</f>
        <v>4.8000000000000043</v>
      </c>
      <c r="AA3626" s="6"/>
      <c r="AB3626" s="6"/>
    </row>
    <row r="3627" spans="1:28" x14ac:dyDescent="0.2">
      <c r="A3627" t="s">
        <v>472</v>
      </c>
      <c r="B3627">
        <v>2007</v>
      </c>
      <c r="C3627" t="s">
        <v>826</v>
      </c>
      <c r="D3627" t="s">
        <v>821</v>
      </c>
      <c r="E3627" t="s">
        <v>134</v>
      </c>
      <c r="F3627" t="s">
        <v>473</v>
      </c>
      <c r="G3627">
        <v>48.835278000000002</v>
      </c>
      <c r="H3627">
        <v>-125.13638899999999</v>
      </c>
      <c r="I3627" t="s">
        <v>771</v>
      </c>
      <c r="J3627" s="2" t="s">
        <v>5</v>
      </c>
      <c r="K3627" t="s">
        <v>474</v>
      </c>
      <c r="L3627" t="s">
        <v>143</v>
      </c>
      <c r="M3627" t="s">
        <v>26</v>
      </c>
      <c r="N3627" t="s">
        <v>85</v>
      </c>
      <c r="O3627" s="6" t="s">
        <v>594</v>
      </c>
      <c r="P3627" t="s">
        <v>475</v>
      </c>
      <c r="Q3627">
        <v>55</v>
      </c>
      <c r="R3627" t="s">
        <v>213</v>
      </c>
      <c r="S3627" s="2" t="s">
        <v>9</v>
      </c>
      <c r="T3627">
        <f t="shared" si="69"/>
        <v>70</v>
      </c>
      <c r="U3627">
        <v>7.56</v>
      </c>
      <c r="V3627">
        <v>1311</v>
      </c>
      <c r="W3627" t="s">
        <v>28</v>
      </c>
      <c r="X3627">
        <v>179.3</v>
      </c>
      <c r="Y3627" s="6">
        <f t="shared" si="70"/>
        <v>149.76214474959934</v>
      </c>
      <c r="Z3627">
        <f>197.2-X3627</f>
        <v>17.899999999999977</v>
      </c>
      <c r="AA3627" s="6"/>
      <c r="AB3627" s="6"/>
    </row>
    <row r="3628" spans="1:28" x14ac:dyDescent="0.2">
      <c r="A3628" t="s">
        <v>472</v>
      </c>
      <c r="B3628">
        <v>2007</v>
      </c>
      <c r="C3628" t="s">
        <v>826</v>
      </c>
      <c r="D3628" t="s">
        <v>824</v>
      </c>
      <c r="E3628" t="s">
        <v>48</v>
      </c>
      <c r="F3628" t="s">
        <v>473</v>
      </c>
      <c r="G3628">
        <v>48.835278000000002</v>
      </c>
      <c r="H3628">
        <v>-125.13638899999999</v>
      </c>
      <c r="I3628" t="s">
        <v>771</v>
      </c>
      <c r="J3628" s="2" t="s">
        <v>7</v>
      </c>
      <c r="K3628" t="s">
        <v>474</v>
      </c>
      <c r="L3628" t="s">
        <v>143</v>
      </c>
      <c r="M3628" t="s">
        <v>637</v>
      </c>
      <c r="N3628" t="s">
        <v>85</v>
      </c>
      <c r="O3628" s="6" t="s">
        <v>148</v>
      </c>
      <c r="P3628" t="s">
        <v>126</v>
      </c>
      <c r="Q3628">
        <v>55</v>
      </c>
      <c r="R3628" t="s">
        <v>213</v>
      </c>
      <c r="S3628" s="2" t="s">
        <v>7</v>
      </c>
      <c r="T3628">
        <v>10</v>
      </c>
      <c r="U3628" s="2">
        <v>8.08</v>
      </c>
      <c r="V3628" s="2">
        <v>358</v>
      </c>
      <c r="W3628" s="2" t="s">
        <v>28</v>
      </c>
      <c r="X3628">
        <v>0.90300000000000002</v>
      </c>
      <c r="Y3628" s="6">
        <f t="shared" si="70"/>
        <v>0.15811388300841878</v>
      </c>
      <c r="Z3628">
        <f>0.953-X3628</f>
        <v>4.9999999999999933E-2</v>
      </c>
      <c r="AA3628" s="6"/>
      <c r="AB3628" s="6"/>
    </row>
    <row r="3629" spans="1:28" x14ac:dyDescent="0.2">
      <c r="A3629" t="s">
        <v>472</v>
      </c>
      <c r="B3629">
        <v>2007</v>
      </c>
      <c r="C3629" t="s">
        <v>826</v>
      </c>
      <c r="D3629" t="s">
        <v>824</v>
      </c>
      <c r="E3629" t="s">
        <v>48</v>
      </c>
      <c r="F3629" t="s">
        <v>473</v>
      </c>
      <c r="G3629">
        <v>48.835278000000002</v>
      </c>
      <c r="H3629">
        <v>-125.13638899999999</v>
      </c>
      <c r="I3629" t="s">
        <v>771</v>
      </c>
      <c r="J3629" s="2" t="s">
        <v>5</v>
      </c>
      <c r="K3629" t="s">
        <v>474</v>
      </c>
      <c r="L3629" t="s">
        <v>143</v>
      </c>
      <c r="M3629" t="s">
        <v>637</v>
      </c>
      <c r="N3629" t="s">
        <v>85</v>
      </c>
      <c r="O3629" s="6" t="s">
        <v>148</v>
      </c>
      <c r="P3629" t="s">
        <v>126</v>
      </c>
      <c r="Q3629">
        <v>55</v>
      </c>
      <c r="R3629" t="s">
        <v>213</v>
      </c>
      <c r="S3629" s="2" t="s">
        <v>9</v>
      </c>
      <c r="T3629">
        <v>10</v>
      </c>
      <c r="U3629" s="2">
        <v>7.56</v>
      </c>
      <c r="V3629" s="2">
        <v>1311</v>
      </c>
      <c r="W3629" s="2" t="s">
        <v>28</v>
      </c>
      <c r="X3629">
        <v>2.048</v>
      </c>
      <c r="Y3629" s="6">
        <f t="shared" si="70"/>
        <v>1.0467139055157335</v>
      </c>
      <c r="Z3629">
        <f>2.379-X3629</f>
        <v>0.33099999999999996</v>
      </c>
      <c r="AA3629" s="6"/>
      <c r="AB3629" s="6"/>
    </row>
    <row r="3630" spans="1:28" x14ac:dyDescent="0.2">
      <c r="A3630" t="s">
        <v>472</v>
      </c>
      <c r="B3630">
        <v>2007</v>
      </c>
      <c r="C3630" t="s">
        <v>826</v>
      </c>
      <c r="D3630" t="s">
        <v>821</v>
      </c>
      <c r="E3630" t="s">
        <v>134</v>
      </c>
      <c r="F3630" t="s">
        <v>473</v>
      </c>
      <c r="G3630">
        <v>48.835278000000002</v>
      </c>
      <c r="H3630">
        <v>-125.13638899999999</v>
      </c>
      <c r="I3630" t="s">
        <v>771</v>
      </c>
      <c r="J3630" s="2" t="s">
        <v>7</v>
      </c>
      <c r="K3630" t="s">
        <v>474</v>
      </c>
      <c r="L3630" t="s">
        <v>143</v>
      </c>
      <c r="M3630" t="s">
        <v>637</v>
      </c>
      <c r="N3630" t="s">
        <v>85</v>
      </c>
      <c r="O3630" s="6" t="s">
        <v>148</v>
      </c>
      <c r="P3630" t="s">
        <v>126</v>
      </c>
      <c r="Q3630">
        <v>55</v>
      </c>
      <c r="R3630" t="s">
        <v>213</v>
      </c>
      <c r="S3630" s="2" t="s">
        <v>7</v>
      </c>
      <c r="T3630">
        <v>10</v>
      </c>
      <c r="U3630" s="2">
        <v>8.08</v>
      </c>
      <c r="V3630" s="2">
        <v>358</v>
      </c>
      <c r="W3630" s="2" t="s">
        <v>28</v>
      </c>
      <c r="X3630">
        <v>1.0569999999999999</v>
      </c>
      <c r="Y3630" s="6">
        <f t="shared" si="70"/>
        <v>0.13914021704740881</v>
      </c>
      <c r="Z3630">
        <f>1.101-X3630</f>
        <v>4.4000000000000039E-2</v>
      </c>
      <c r="AA3630" s="6"/>
      <c r="AB3630" s="6"/>
    </row>
    <row r="3631" spans="1:28" x14ac:dyDescent="0.2">
      <c r="A3631" t="s">
        <v>472</v>
      </c>
      <c r="B3631">
        <v>2007</v>
      </c>
      <c r="C3631" t="s">
        <v>826</v>
      </c>
      <c r="D3631" t="s">
        <v>821</v>
      </c>
      <c r="E3631" t="s">
        <v>134</v>
      </c>
      <c r="F3631" t="s">
        <v>473</v>
      </c>
      <c r="G3631">
        <v>48.835278000000002</v>
      </c>
      <c r="H3631">
        <v>-125.13638899999999</v>
      </c>
      <c r="I3631" t="s">
        <v>771</v>
      </c>
      <c r="J3631" s="2" t="s">
        <v>5</v>
      </c>
      <c r="K3631" t="s">
        <v>474</v>
      </c>
      <c r="L3631" t="s">
        <v>143</v>
      </c>
      <c r="M3631" t="s">
        <v>637</v>
      </c>
      <c r="N3631" t="s">
        <v>85</v>
      </c>
      <c r="O3631" s="6" t="s">
        <v>148</v>
      </c>
      <c r="P3631" t="s">
        <v>126</v>
      </c>
      <c r="Q3631">
        <v>55</v>
      </c>
      <c r="R3631" t="s">
        <v>213</v>
      </c>
      <c r="S3631" s="2" t="s">
        <v>9</v>
      </c>
      <c r="T3631">
        <v>10</v>
      </c>
      <c r="U3631" s="2">
        <v>7.56</v>
      </c>
      <c r="V3631" s="2">
        <v>1311</v>
      </c>
      <c r="W3631" s="2" t="s">
        <v>28</v>
      </c>
      <c r="X3631">
        <v>1.8560000000000001</v>
      </c>
      <c r="Y3631" s="6">
        <f t="shared" si="70"/>
        <v>0.43323203944306804</v>
      </c>
      <c r="Z3631">
        <f>1.993-X3631</f>
        <v>0.13700000000000001</v>
      </c>
      <c r="AA3631" s="6"/>
      <c r="AB3631" s="6"/>
    </row>
    <row r="3632" spans="1:28" x14ac:dyDescent="0.2">
      <c r="A3632" t="s">
        <v>476</v>
      </c>
      <c r="B3632">
        <v>2009</v>
      </c>
      <c r="C3632" t="s">
        <v>826</v>
      </c>
      <c r="D3632" t="s">
        <v>812</v>
      </c>
      <c r="E3632" t="s">
        <v>175</v>
      </c>
      <c r="F3632" t="s">
        <v>322</v>
      </c>
      <c r="G3632">
        <v>-34.217500000000001</v>
      </c>
      <c r="H3632">
        <v>115.01861100000001</v>
      </c>
      <c r="I3632" t="s">
        <v>769</v>
      </c>
      <c r="J3632" s="2" t="s">
        <v>7</v>
      </c>
      <c r="K3632" t="s">
        <v>144</v>
      </c>
      <c r="L3632" t="s">
        <v>144</v>
      </c>
      <c r="M3632" t="s">
        <v>73</v>
      </c>
      <c r="N3632" t="s">
        <v>85</v>
      </c>
      <c r="O3632" s="6" t="s">
        <v>834</v>
      </c>
      <c r="P3632" t="s">
        <v>211</v>
      </c>
      <c r="Q3632">
        <f t="shared" ref="Q3632:Q3679" si="71">0.5/24</f>
        <v>2.0833333333333332E-2</v>
      </c>
      <c r="R3632" t="s">
        <v>213</v>
      </c>
      <c r="S3632" s="2" t="s">
        <v>7</v>
      </c>
      <c r="T3632">
        <v>4</v>
      </c>
      <c r="U3632" t="s">
        <v>28</v>
      </c>
      <c r="V3632" t="s">
        <v>28</v>
      </c>
      <c r="W3632">
        <v>20</v>
      </c>
      <c r="X3632">
        <v>1.2589999999999999</v>
      </c>
      <c r="Y3632" s="6">
        <f t="shared" si="70"/>
        <v>0.17000000000000037</v>
      </c>
      <c r="Z3632">
        <f>1.344-X3632</f>
        <v>8.5000000000000187E-2</v>
      </c>
      <c r="AA3632" s="6"/>
      <c r="AB3632" s="6"/>
    </row>
    <row r="3633" spans="1:28" x14ac:dyDescent="0.2">
      <c r="A3633" t="s">
        <v>476</v>
      </c>
      <c r="B3633">
        <v>2009</v>
      </c>
      <c r="C3633" t="s">
        <v>826</v>
      </c>
      <c r="D3633" t="s">
        <v>812</v>
      </c>
      <c r="E3633" t="s">
        <v>175</v>
      </c>
      <c r="F3633" t="s">
        <v>322</v>
      </c>
      <c r="G3633">
        <v>-34.217500000000001</v>
      </c>
      <c r="H3633">
        <v>115.01861100000001</v>
      </c>
      <c r="I3633" t="s">
        <v>769</v>
      </c>
      <c r="J3633" s="2" t="s">
        <v>14</v>
      </c>
      <c r="K3633" t="s">
        <v>144</v>
      </c>
      <c r="L3633" t="s">
        <v>144</v>
      </c>
      <c r="M3633" t="s">
        <v>73</v>
      </c>
      <c r="N3633" t="s">
        <v>85</v>
      </c>
      <c r="O3633" s="6" t="s">
        <v>834</v>
      </c>
      <c r="P3633" t="s">
        <v>211</v>
      </c>
      <c r="Q3633">
        <f t="shared" si="71"/>
        <v>2.0833333333333332E-2</v>
      </c>
      <c r="R3633" t="s">
        <v>213</v>
      </c>
      <c r="S3633" s="2" t="s">
        <v>9</v>
      </c>
      <c r="T3633">
        <v>4</v>
      </c>
      <c r="U3633" t="s">
        <v>28</v>
      </c>
      <c r="V3633" t="s">
        <v>28</v>
      </c>
      <c r="W3633">
        <v>25</v>
      </c>
      <c r="X3633">
        <v>3.056</v>
      </c>
      <c r="Y3633" s="6">
        <f t="shared" si="70"/>
        <v>0.98799999999999955</v>
      </c>
      <c r="Z3633">
        <f>3.55-X3633</f>
        <v>0.49399999999999977</v>
      </c>
      <c r="AA3633" s="6"/>
      <c r="AB3633" s="6"/>
    </row>
    <row r="3634" spans="1:28" x14ac:dyDescent="0.2">
      <c r="A3634" t="s">
        <v>476</v>
      </c>
      <c r="B3634">
        <v>2009</v>
      </c>
      <c r="C3634" t="s">
        <v>826</v>
      </c>
      <c r="D3634" t="s">
        <v>812</v>
      </c>
      <c r="E3634" t="s">
        <v>175</v>
      </c>
      <c r="F3634" t="s">
        <v>322</v>
      </c>
      <c r="G3634">
        <v>-34.217500000000001</v>
      </c>
      <c r="H3634">
        <v>115.01861100000001</v>
      </c>
      <c r="I3634" t="s">
        <v>769</v>
      </c>
      <c r="J3634" s="2" t="s">
        <v>14</v>
      </c>
      <c r="K3634" t="s">
        <v>144</v>
      </c>
      <c r="L3634" t="s">
        <v>144</v>
      </c>
      <c r="M3634" t="s">
        <v>73</v>
      </c>
      <c r="N3634" t="s">
        <v>85</v>
      </c>
      <c r="O3634" s="6" t="s">
        <v>834</v>
      </c>
      <c r="P3634" t="s">
        <v>211</v>
      </c>
      <c r="Q3634">
        <f t="shared" si="71"/>
        <v>2.0833333333333332E-2</v>
      </c>
      <c r="R3634" t="s">
        <v>213</v>
      </c>
      <c r="S3634" s="2" t="s">
        <v>27</v>
      </c>
      <c r="T3634">
        <v>4</v>
      </c>
      <c r="U3634" t="s">
        <v>28</v>
      </c>
      <c r="V3634" t="s">
        <v>28</v>
      </c>
      <c r="W3634">
        <v>30</v>
      </c>
      <c r="X3634">
        <v>0.34</v>
      </c>
      <c r="Y3634" s="6">
        <f t="shared" si="70"/>
        <v>0.25</v>
      </c>
      <c r="Z3634">
        <f>0.465-X3634</f>
        <v>0.125</v>
      </c>
      <c r="AA3634" s="6"/>
      <c r="AB3634" s="6"/>
    </row>
    <row r="3635" spans="1:28" x14ac:dyDescent="0.2">
      <c r="A3635" t="s">
        <v>476</v>
      </c>
      <c r="B3635">
        <v>2009</v>
      </c>
      <c r="C3635" t="s">
        <v>826</v>
      </c>
      <c r="D3635" t="s">
        <v>812</v>
      </c>
      <c r="E3635" t="s">
        <v>175</v>
      </c>
      <c r="F3635" t="s">
        <v>477</v>
      </c>
      <c r="G3635">
        <v>-31.817778000000001</v>
      </c>
      <c r="H3635">
        <v>115.733333</v>
      </c>
      <c r="I3635" t="s">
        <v>769</v>
      </c>
      <c r="J3635" s="2" t="s">
        <v>7</v>
      </c>
      <c r="K3635" t="s">
        <v>144</v>
      </c>
      <c r="L3635" t="s">
        <v>144</v>
      </c>
      <c r="M3635" t="s">
        <v>73</v>
      </c>
      <c r="N3635" t="s">
        <v>85</v>
      </c>
      <c r="O3635" s="6" t="s">
        <v>834</v>
      </c>
      <c r="P3635" t="s">
        <v>211</v>
      </c>
      <c r="Q3635">
        <f t="shared" si="71"/>
        <v>2.0833333333333332E-2</v>
      </c>
      <c r="R3635" t="s">
        <v>213</v>
      </c>
      <c r="S3635" s="2" t="s">
        <v>7</v>
      </c>
      <c r="T3635">
        <v>4</v>
      </c>
      <c r="U3635" t="s">
        <v>28</v>
      </c>
      <c r="V3635" t="s">
        <v>28</v>
      </c>
      <c r="W3635">
        <v>20</v>
      </c>
      <c r="X3635">
        <v>2.3119999999999998</v>
      </c>
      <c r="Y3635" s="6">
        <f t="shared" si="70"/>
        <v>1.1379999999999999</v>
      </c>
      <c r="Z3635">
        <f>2.881-X3635</f>
        <v>0.56899999999999995</v>
      </c>
      <c r="AA3635" s="6"/>
      <c r="AB3635" s="6"/>
    </row>
    <row r="3636" spans="1:28" x14ac:dyDescent="0.2">
      <c r="A3636" t="s">
        <v>476</v>
      </c>
      <c r="B3636">
        <v>2009</v>
      </c>
      <c r="C3636" t="s">
        <v>826</v>
      </c>
      <c r="D3636" t="s">
        <v>812</v>
      </c>
      <c r="E3636" t="s">
        <v>175</v>
      </c>
      <c r="F3636" t="s">
        <v>477</v>
      </c>
      <c r="G3636">
        <v>-31.817778000000001</v>
      </c>
      <c r="H3636">
        <v>115.733333</v>
      </c>
      <c r="I3636" t="s">
        <v>769</v>
      </c>
      <c r="J3636" s="2" t="s">
        <v>14</v>
      </c>
      <c r="K3636" t="s">
        <v>144</v>
      </c>
      <c r="L3636" t="s">
        <v>144</v>
      </c>
      <c r="M3636" t="s">
        <v>73</v>
      </c>
      <c r="N3636" t="s">
        <v>85</v>
      </c>
      <c r="O3636" s="6" t="s">
        <v>834</v>
      </c>
      <c r="P3636" t="s">
        <v>211</v>
      </c>
      <c r="Q3636">
        <f t="shared" si="71"/>
        <v>2.0833333333333332E-2</v>
      </c>
      <c r="R3636" t="s">
        <v>213</v>
      </c>
      <c r="S3636" s="2" t="s">
        <v>9</v>
      </c>
      <c r="T3636">
        <v>4</v>
      </c>
      <c r="U3636" t="s">
        <v>28</v>
      </c>
      <c r="V3636" t="s">
        <v>28</v>
      </c>
      <c r="W3636">
        <v>25</v>
      </c>
      <c r="X3636">
        <v>2.7160000000000002</v>
      </c>
      <c r="Y3636" s="6">
        <f t="shared" si="70"/>
        <v>0.55999999999999961</v>
      </c>
      <c r="Z3636">
        <f>2.996-X3636</f>
        <v>0.2799999999999998</v>
      </c>
      <c r="AA3636" s="6"/>
      <c r="AB3636" s="6"/>
    </row>
    <row r="3637" spans="1:28" x14ac:dyDescent="0.2">
      <c r="A3637" t="s">
        <v>476</v>
      </c>
      <c r="B3637">
        <v>2009</v>
      </c>
      <c r="C3637" t="s">
        <v>826</v>
      </c>
      <c r="D3637" t="s">
        <v>812</v>
      </c>
      <c r="E3637" t="s">
        <v>175</v>
      </c>
      <c r="F3637" t="s">
        <v>477</v>
      </c>
      <c r="G3637">
        <v>-31.817778000000001</v>
      </c>
      <c r="H3637">
        <v>115.733333</v>
      </c>
      <c r="I3637" t="s">
        <v>769</v>
      </c>
      <c r="J3637" s="2" t="s">
        <v>14</v>
      </c>
      <c r="K3637" t="s">
        <v>144</v>
      </c>
      <c r="L3637" t="s">
        <v>144</v>
      </c>
      <c r="M3637" t="s">
        <v>73</v>
      </c>
      <c r="N3637" t="s">
        <v>85</v>
      </c>
      <c r="O3637" s="6" t="s">
        <v>834</v>
      </c>
      <c r="P3637" t="s">
        <v>211</v>
      </c>
      <c r="Q3637">
        <f t="shared" si="71"/>
        <v>2.0833333333333332E-2</v>
      </c>
      <c r="R3637" t="s">
        <v>213</v>
      </c>
      <c r="S3637" s="2" t="s">
        <v>27</v>
      </c>
      <c r="T3637">
        <v>4</v>
      </c>
      <c r="U3637" t="s">
        <v>28</v>
      </c>
      <c r="V3637" t="s">
        <v>28</v>
      </c>
      <c r="W3637">
        <v>30</v>
      </c>
      <c r="X3637">
        <v>1.788</v>
      </c>
      <c r="Y3637" s="6">
        <f t="shared" si="70"/>
        <v>0.31999999999999984</v>
      </c>
      <c r="Z3637">
        <f>1.948-X3637</f>
        <v>0.15999999999999992</v>
      </c>
      <c r="AA3637" s="6"/>
      <c r="AB3637" s="6"/>
    </row>
    <row r="3638" spans="1:28" x14ac:dyDescent="0.2">
      <c r="A3638" t="s">
        <v>476</v>
      </c>
      <c r="B3638">
        <v>2009</v>
      </c>
      <c r="C3638" t="s">
        <v>826</v>
      </c>
      <c r="D3638" t="s">
        <v>812</v>
      </c>
      <c r="E3638" t="s">
        <v>175</v>
      </c>
      <c r="F3638" t="s">
        <v>478</v>
      </c>
      <c r="G3638">
        <v>-30.284167</v>
      </c>
      <c r="H3638">
        <v>115.034722</v>
      </c>
      <c r="I3638" t="s">
        <v>769</v>
      </c>
      <c r="J3638" s="2" t="s">
        <v>7</v>
      </c>
      <c r="K3638" t="s">
        <v>144</v>
      </c>
      <c r="L3638" t="s">
        <v>144</v>
      </c>
      <c r="M3638" t="s">
        <v>73</v>
      </c>
      <c r="N3638" t="s">
        <v>85</v>
      </c>
      <c r="O3638" s="6" t="s">
        <v>834</v>
      </c>
      <c r="P3638" t="s">
        <v>211</v>
      </c>
      <c r="Q3638">
        <f t="shared" si="71"/>
        <v>2.0833333333333332E-2</v>
      </c>
      <c r="R3638" t="s">
        <v>213</v>
      </c>
      <c r="S3638" s="2" t="s">
        <v>7</v>
      </c>
      <c r="T3638">
        <v>4</v>
      </c>
      <c r="U3638" t="s">
        <v>28</v>
      </c>
      <c r="V3638" t="s">
        <v>28</v>
      </c>
      <c r="W3638">
        <v>20</v>
      </c>
      <c r="X3638">
        <v>2.0019999999999998</v>
      </c>
      <c r="Y3638" s="6">
        <f t="shared" si="70"/>
        <v>0.44000000000000039</v>
      </c>
      <c r="Z3638">
        <f>2.222-X3638</f>
        <v>0.2200000000000002</v>
      </c>
      <c r="AA3638" s="6"/>
      <c r="AB3638" s="6"/>
    </row>
    <row r="3639" spans="1:28" x14ac:dyDescent="0.2">
      <c r="A3639" t="s">
        <v>476</v>
      </c>
      <c r="B3639">
        <v>2009</v>
      </c>
      <c r="C3639" t="s">
        <v>826</v>
      </c>
      <c r="D3639" t="s">
        <v>812</v>
      </c>
      <c r="E3639" t="s">
        <v>175</v>
      </c>
      <c r="F3639" t="s">
        <v>478</v>
      </c>
      <c r="G3639">
        <v>-30.284167</v>
      </c>
      <c r="H3639">
        <v>115.034722</v>
      </c>
      <c r="I3639" t="s">
        <v>769</v>
      </c>
      <c r="J3639" s="2" t="s">
        <v>14</v>
      </c>
      <c r="K3639" t="s">
        <v>144</v>
      </c>
      <c r="L3639" t="s">
        <v>144</v>
      </c>
      <c r="M3639" t="s">
        <v>73</v>
      </c>
      <c r="N3639" t="s">
        <v>85</v>
      </c>
      <c r="O3639" s="6" t="s">
        <v>834</v>
      </c>
      <c r="P3639" t="s">
        <v>211</v>
      </c>
      <c r="Q3639">
        <f t="shared" si="71"/>
        <v>2.0833333333333332E-2</v>
      </c>
      <c r="R3639" t="s">
        <v>213</v>
      </c>
      <c r="S3639" s="2" t="s">
        <v>9</v>
      </c>
      <c r="T3639">
        <v>4</v>
      </c>
      <c r="U3639" t="s">
        <v>28</v>
      </c>
      <c r="V3639" t="s">
        <v>28</v>
      </c>
      <c r="W3639">
        <v>25</v>
      </c>
      <c r="X3639">
        <v>2.3919999999999999</v>
      </c>
      <c r="Y3639" s="6">
        <f t="shared" si="70"/>
        <v>0.75800000000000001</v>
      </c>
      <c r="Z3639">
        <f>2.771-X3639</f>
        <v>0.379</v>
      </c>
      <c r="AA3639" s="6"/>
      <c r="AB3639" s="6"/>
    </row>
    <row r="3640" spans="1:28" x14ac:dyDescent="0.2">
      <c r="A3640" t="s">
        <v>476</v>
      </c>
      <c r="B3640">
        <v>2009</v>
      </c>
      <c r="C3640" t="s">
        <v>826</v>
      </c>
      <c r="D3640" t="s">
        <v>812</v>
      </c>
      <c r="E3640" t="s">
        <v>175</v>
      </c>
      <c r="F3640" t="s">
        <v>478</v>
      </c>
      <c r="G3640">
        <v>-30.284167</v>
      </c>
      <c r="H3640">
        <v>115.034722</v>
      </c>
      <c r="I3640" t="s">
        <v>769</v>
      </c>
      <c r="J3640" s="2" t="s">
        <v>14</v>
      </c>
      <c r="K3640" t="s">
        <v>144</v>
      </c>
      <c r="L3640" t="s">
        <v>144</v>
      </c>
      <c r="M3640" t="s">
        <v>73</v>
      </c>
      <c r="N3640" t="s">
        <v>85</v>
      </c>
      <c r="O3640" s="6" t="s">
        <v>834</v>
      </c>
      <c r="P3640" t="s">
        <v>211</v>
      </c>
      <c r="Q3640">
        <f t="shared" si="71"/>
        <v>2.0833333333333332E-2</v>
      </c>
      <c r="R3640" t="s">
        <v>213</v>
      </c>
      <c r="S3640" s="2" t="s">
        <v>27</v>
      </c>
      <c r="T3640">
        <v>4</v>
      </c>
      <c r="U3640" t="s">
        <v>28</v>
      </c>
      <c r="V3640" t="s">
        <v>28</v>
      </c>
      <c r="W3640">
        <v>30</v>
      </c>
      <c r="X3640">
        <v>1.399</v>
      </c>
      <c r="Y3640" s="6">
        <f t="shared" si="70"/>
        <v>0.44799999999999995</v>
      </c>
      <c r="Z3640">
        <f>1.623-X3640</f>
        <v>0.22399999999999998</v>
      </c>
      <c r="AA3640" s="6"/>
      <c r="AB3640" s="6"/>
    </row>
    <row r="3641" spans="1:28" x14ac:dyDescent="0.2">
      <c r="A3641" t="s">
        <v>476</v>
      </c>
      <c r="B3641">
        <v>2009</v>
      </c>
      <c r="C3641" t="s">
        <v>826</v>
      </c>
      <c r="D3641" t="s">
        <v>812</v>
      </c>
      <c r="E3641" t="s">
        <v>175</v>
      </c>
      <c r="F3641" t="s">
        <v>479</v>
      </c>
      <c r="G3641">
        <v>-27.701388999999999</v>
      </c>
      <c r="H3641">
        <v>115.15138899999999</v>
      </c>
      <c r="I3641" t="s">
        <v>769</v>
      </c>
      <c r="J3641" s="2" t="s">
        <v>7</v>
      </c>
      <c r="K3641" t="s">
        <v>144</v>
      </c>
      <c r="L3641" t="s">
        <v>144</v>
      </c>
      <c r="M3641" t="s">
        <v>73</v>
      </c>
      <c r="N3641" t="s">
        <v>85</v>
      </c>
      <c r="O3641" s="6" t="s">
        <v>834</v>
      </c>
      <c r="P3641" t="s">
        <v>211</v>
      </c>
      <c r="Q3641">
        <f t="shared" si="71"/>
        <v>2.0833333333333332E-2</v>
      </c>
      <c r="R3641" t="s">
        <v>213</v>
      </c>
      <c r="S3641" s="2" t="s">
        <v>7</v>
      </c>
      <c r="T3641">
        <v>4</v>
      </c>
      <c r="U3641" t="s">
        <v>28</v>
      </c>
      <c r="V3641" t="s">
        <v>28</v>
      </c>
      <c r="W3641">
        <v>20</v>
      </c>
      <c r="X3641">
        <v>1.5629999999999999</v>
      </c>
      <c r="Y3641" s="6">
        <f t="shared" si="70"/>
        <v>0.2200000000000002</v>
      </c>
      <c r="Z3641">
        <f>1.673-X3641</f>
        <v>0.1100000000000001</v>
      </c>
      <c r="AA3641" s="6"/>
      <c r="AB3641" s="6"/>
    </row>
    <row r="3642" spans="1:28" x14ac:dyDescent="0.2">
      <c r="A3642" t="s">
        <v>476</v>
      </c>
      <c r="B3642">
        <v>2009</v>
      </c>
      <c r="C3642" t="s">
        <v>826</v>
      </c>
      <c r="D3642" t="s">
        <v>812</v>
      </c>
      <c r="E3642" t="s">
        <v>175</v>
      </c>
      <c r="F3642" t="s">
        <v>479</v>
      </c>
      <c r="G3642">
        <v>-27.701388999999999</v>
      </c>
      <c r="H3642">
        <v>115.15138899999999</v>
      </c>
      <c r="I3642" t="s">
        <v>769</v>
      </c>
      <c r="J3642" s="2" t="s">
        <v>14</v>
      </c>
      <c r="K3642" t="s">
        <v>144</v>
      </c>
      <c r="L3642" t="s">
        <v>144</v>
      </c>
      <c r="M3642" t="s">
        <v>73</v>
      </c>
      <c r="N3642" t="s">
        <v>85</v>
      </c>
      <c r="O3642" s="6" t="s">
        <v>834</v>
      </c>
      <c r="P3642" t="s">
        <v>211</v>
      </c>
      <c r="Q3642">
        <f t="shared" si="71"/>
        <v>2.0833333333333332E-2</v>
      </c>
      <c r="R3642" t="s">
        <v>213</v>
      </c>
      <c r="S3642" s="2" t="s">
        <v>9</v>
      </c>
      <c r="T3642">
        <v>4</v>
      </c>
      <c r="U3642" t="s">
        <v>28</v>
      </c>
      <c r="V3642" t="s">
        <v>28</v>
      </c>
      <c r="W3642">
        <v>25</v>
      </c>
      <c r="X3642">
        <v>1.9530000000000001</v>
      </c>
      <c r="Y3642" s="6">
        <f t="shared" si="70"/>
        <v>0.25799999999999956</v>
      </c>
      <c r="Z3642">
        <f>2.082-X3642</f>
        <v>0.12899999999999978</v>
      </c>
      <c r="AA3642" s="6"/>
      <c r="AB3642" s="6"/>
    </row>
    <row r="3643" spans="1:28" x14ac:dyDescent="0.2">
      <c r="A3643" t="s">
        <v>476</v>
      </c>
      <c r="B3643">
        <v>2009</v>
      </c>
      <c r="C3643" t="s">
        <v>826</v>
      </c>
      <c r="D3643" t="s">
        <v>812</v>
      </c>
      <c r="E3643" t="s">
        <v>175</v>
      </c>
      <c r="F3643" t="s">
        <v>479</v>
      </c>
      <c r="G3643">
        <v>-27.701388999999999</v>
      </c>
      <c r="H3643">
        <v>115.15138899999999</v>
      </c>
      <c r="I3643" t="s">
        <v>769</v>
      </c>
      <c r="J3643" s="2" t="s">
        <v>14</v>
      </c>
      <c r="K3643" t="s">
        <v>144</v>
      </c>
      <c r="L3643" t="s">
        <v>144</v>
      </c>
      <c r="M3643" t="s">
        <v>73</v>
      </c>
      <c r="N3643" t="s">
        <v>85</v>
      </c>
      <c r="O3643" s="6" t="s">
        <v>834</v>
      </c>
      <c r="P3643" t="s">
        <v>211</v>
      </c>
      <c r="Q3643">
        <f t="shared" si="71"/>
        <v>2.0833333333333332E-2</v>
      </c>
      <c r="R3643" t="s">
        <v>213</v>
      </c>
      <c r="S3643" s="2" t="s">
        <v>27</v>
      </c>
      <c r="T3643">
        <v>4</v>
      </c>
      <c r="U3643" t="s">
        <v>28</v>
      </c>
      <c r="V3643" t="s">
        <v>28</v>
      </c>
      <c r="W3643">
        <v>30</v>
      </c>
      <c r="X3643">
        <v>1.6180000000000001</v>
      </c>
      <c r="Y3643" s="6">
        <f t="shared" si="70"/>
        <v>0.2799999999999998</v>
      </c>
      <c r="Z3643">
        <f>1.758-X3643</f>
        <v>0.1399999999999999</v>
      </c>
      <c r="AA3643" s="6"/>
      <c r="AB3643" s="6"/>
    </row>
    <row r="3644" spans="1:28" x14ac:dyDescent="0.2">
      <c r="A3644" t="s">
        <v>476</v>
      </c>
      <c r="B3644">
        <v>2009</v>
      </c>
      <c r="C3644" t="s">
        <v>826</v>
      </c>
      <c r="D3644" t="s">
        <v>812</v>
      </c>
      <c r="E3644" t="s">
        <v>175</v>
      </c>
      <c r="F3644" t="s">
        <v>322</v>
      </c>
      <c r="G3644">
        <v>-34.217500000000001</v>
      </c>
      <c r="H3644">
        <v>115.01861100000001</v>
      </c>
      <c r="I3644" t="s">
        <v>769</v>
      </c>
      <c r="J3644" s="2" t="s">
        <v>7</v>
      </c>
      <c r="K3644" t="s">
        <v>144</v>
      </c>
      <c r="L3644" t="s">
        <v>144</v>
      </c>
      <c r="M3644" t="s">
        <v>172</v>
      </c>
      <c r="N3644" t="s">
        <v>86</v>
      </c>
      <c r="O3644" s="6" t="s">
        <v>62</v>
      </c>
      <c r="P3644" t="s">
        <v>211</v>
      </c>
      <c r="Q3644">
        <f t="shared" si="71"/>
        <v>2.0833333333333332E-2</v>
      </c>
      <c r="R3644" t="s">
        <v>213</v>
      </c>
      <c r="S3644" s="2" t="s">
        <v>7</v>
      </c>
      <c r="T3644">
        <v>4</v>
      </c>
      <c r="U3644" t="s">
        <v>28</v>
      </c>
      <c r="V3644" t="s">
        <v>28</v>
      </c>
      <c r="W3644">
        <v>20</v>
      </c>
      <c r="X3644">
        <v>0.80700000000000005</v>
      </c>
      <c r="Y3644" s="6">
        <f t="shared" si="70"/>
        <v>0.16399999999999992</v>
      </c>
      <c r="Z3644">
        <f>0.889-X3644</f>
        <v>8.1999999999999962E-2</v>
      </c>
      <c r="AA3644" s="6"/>
      <c r="AB3644" s="6"/>
    </row>
    <row r="3645" spans="1:28" x14ac:dyDescent="0.2">
      <c r="A3645" t="s">
        <v>476</v>
      </c>
      <c r="B3645">
        <v>2009</v>
      </c>
      <c r="C3645" t="s">
        <v>826</v>
      </c>
      <c r="D3645" t="s">
        <v>812</v>
      </c>
      <c r="E3645" t="s">
        <v>175</v>
      </c>
      <c r="F3645" t="s">
        <v>322</v>
      </c>
      <c r="G3645">
        <v>-34.217500000000001</v>
      </c>
      <c r="H3645">
        <v>115.01861100000001</v>
      </c>
      <c r="I3645" t="s">
        <v>769</v>
      </c>
      <c r="J3645" s="2" t="s">
        <v>14</v>
      </c>
      <c r="K3645" t="s">
        <v>144</v>
      </c>
      <c r="L3645" t="s">
        <v>144</v>
      </c>
      <c r="M3645" t="s">
        <v>172</v>
      </c>
      <c r="N3645" t="s">
        <v>86</v>
      </c>
      <c r="O3645" s="6" t="s">
        <v>62</v>
      </c>
      <c r="P3645" t="s">
        <v>211</v>
      </c>
      <c r="Q3645">
        <f t="shared" si="71"/>
        <v>2.0833333333333332E-2</v>
      </c>
      <c r="R3645" t="s">
        <v>213</v>
      </c>
      <c r="S3645" s="2" t="s">
        <v>9</v>
      </c>
      <c r="T3645">
        <v>4</v>
      </c>
      <c r="U3645" t="s">
        <v>28</v>
      </c>
      <c r="V3645" t="s">
        <v>28</v>
      </c>
      <c r="W3645">
        <v>25</v>
      </c>
      <c r="X3645">
        <v>1.4830000000000001</v>
      </c>
      <c r="Y3645" s="6">
        <f t="shared" si="70"/>
        <v>0.50800000000000001</v>
      </c>
      <c r="Z3645">
        <f>1.737-X3645</f>
        <v>0.254</v>
      </c>
      <c r="AA3645" s="6"/>
      <c r="AB3645" s="6"/>
    </row>
    <row r="3646" spans="1:28" x14ac:dyDescent="0.2">
      <c r="A3646" t="s">
        <v>476</v>
      </c>
      <c r="B3646">
        <v>2009</v>
      </c>
      <c r="C3646" t="s">
        <v>826</v>
      </c>
      <c r="D3646" t="s">
        <v>812</v>
      </c>
      <c r="E3646" t="s">
        <v>175</v>
      </c>
      <c r="F3646" t="s">
        <v>322</v>
      </c>
      <c r="G3646">
        <v>-34.217500000000001</v>
      </c>
      <c r="H3646">
        <v>115.01861100000001</v>
      </c>
      <c r="I3646" t="s">
        <v>769</v>
      </c>
      <c r="J3646" s="2" t="s">
        <v>14</v>
      </c>
      <c r="K3646" t="s">
        <v>144</v>
      </c>
      <c r="L3646" t="s">
        <v>144</v>
      </c>
      <c r="M3646" t="s">
        <v>172</v>
      </c>
      <c r="N3646" t="s">
        <v>86</v>
      </c>
      <c r="O3646" s="6" t="s">
        <v>62</v>
      </c>
      <c r="P3646" t="s">
        <v>211</v>
      </c>
      <c r="Q3646">
        <f t="shared" si="71"/>
        <v>2.0833333333333332E-2</v>
      </c>
      <c r="R3646" t="s">
        <v>213</v>
      </c>
      <c r="S3646" s="2" t="s">
        <v>27</v>
      </c>
      <c r="T3646">
        <v>4</v>
      </c>
      <c r="U3646" t="s">
        <v>28</v>
      </c>
      <c r="V3646" t="s">
        <v>28</v>
      </c>
      <c r="W3646">
        <v>30</v>
      </c>
      <c r="X3646">
        <v>2.2639999999999998</v>
      </c>
      <c r="Y3646" s="6">
        <f t="shared" si="70"/>
        <v>0.32200000000000006</v>
      </c>
      <c r="Z3646">
        <f>2.425-X3646</f>
        <v>0.16100000000000003</v>
      </c>
      <c r="AA3646" s="6"/>
      <c r="AB3646" s="6"/>
    </row>
    <row r="3647" spans="1:28" x14ac:dyDescent="0.2">
      <c r="A3647" t="s">
        <v>476</v>
      </c>
      <c r="B3647">
        <v>2009</v>
      </c>
      <c r="C3647" t="s">
        <v>826</v>
      </c>
      <c r="D3647" t="s">
        <v>812</v>
      </c>
      <c r="E3647" t="s">
        <v>175</v>
      </c>
      <c r="F3647" t="s">
        <v>477</v>
      </c>
      <c r="G3647">
        <v>-31.817778000000001</v>
      </c>
      <c r="H3647">
        <v>115.733333</v>
      </c>
      <c r="I3647" t="s">
        <v>769</v>
      </c>
      <c r="J3647" s="2" t="s">
        <v>7</v>
      </c>
      <c r="K3647" t="s">
        <v>144</v>
      </c>
      <c r="L3647" t="s">
        <v>144</v>
      </c>
      <c r="M3647" t="s">
        <v>172</v>
      </c>
      <c r="N3647" t="s">
        <v>86</v>
      </c>
      <c r="O3647" s="6" t="s">
        <v>62</v>
      </c>
      <c r="P3647" t="s">
        <v>211</v>
      </c>
      <c r="Q3647">
        <f t="shared" si="71"/>
        <v>2.0833333333333332E-2</v>
      </c>
      <c r="R3647" t="s">
        <v>213</v>
      </c>
      <c r="S3647" s="2" t="s">
        <v>7</v>
      </c>
      <c r="T3647">
        <v>4</v>
      </c>
      <c r="U3647" t="s">
        <v>28</v>
      </c>
      <c r="V3647" t="s">
        <v>28</v>
      </c>
      <c r="W3647">
        <v>20</v>
      </c>
      <c r="X3647">
        <v>1.079</v>
      </c>
      <c r="Y3647" s="6">
        <f t="shared" si="70"/>
        <v>0.14999999999999991</v>
      </c>
      <c r="Z3647">
        <f>1.154-X3647</f>
        <v>7.4999999999999956E-2</v>
      </c>
      <c r="AA3647" s="6"/>
      <c r="AB3647" s="6"/>
    </row>
    <row r="3648" spans="1:28" x14ac:dyDescent="0.2">
      <c r="A3648" t="s">
        <v>476</v>
      </c>
      <c r="B3648">
        <v>2009</v>
      </c>
      <c r="C3648" t="s">
        <v>826</v>
      </c>
      <c r="D3648" t="s">
        <v>812</v>
      </c>
      <c r="E3648" t="s">
        <v>175</v>
      </c>
      <c r="F3648" t="s">
        <v>477</v>
      </c>
      <c r="G3648">
        <v>-31.817778000000001</v>
      </c>
      <c r="H3648">
        <v>115.733333</v>
      </c>
      <c r="I3648" t="s">
        <v>769</v>
      </c>
      <c r="J3648" s="2" t="s">
        <v>14</v>
      </c>
      <c r="K3648" t="s">
        <v>144</v>
      </c>
      <c r="L3648" t="s">
        <v>144</v>
      </c>
      <c r="M3648" t="s">
        <v>172</v>
      </c>
      <c r="N3648" t="s">
        <v>86</v>
      </c>
      <c r="O3648" s="6" t="s">
        <v>62</v>
      </c>
      <c r="P3648" t="s">
        <v>211</v>
      </c>
      <c r="Q3648">
        <f t="shared" si="71"/>
        <v>2.0833333333333332E-2</v>
      </c>
      <c r="R3648" t="s">
        <v>213</v>
      </c>
      <c r="S3648" s="2" t="s">
        <v>9</v>
      </c>
      <c r="T3648">
        <v>4</v>
      </c>
      <c r="U3648" t="s">
        <v>28</v>
      </c>
      <c r="V3648" t="s">
        <v>28</v>
      </c>
      <c r="W3648">
        <v>25</v>
      </c>
      <c r="X3648">
        <v>1.494</v>
      </c>
      <c r="Y3648" s="6">
        <f t="shared" si="70"/>
        <v>0.12800000000000011</v>
      </c>
      <c r="Z3648">
        <f>1.558-X3648</f>
        <v>6.4000000000000057E-2</v>
      </c>
      <c r="AA3648" s="6"/>
      <c r="AB3648" s="6"/>
    </row>
    <row r="3649" spans="1:28" x14ac:dyDescent="0.2">
      <c r="A3649" t="s">
        <v>476</v>
      </c>
      <c r="B3649">
        <v>2009</v>
      </c>
      <c r="C3649" t="s">
        <v>826</v>
      </c>
      <c r="D3649" t="s">
        <v>812</v>
      </c>
      <c r="E3649" t="s">
        <v>175</v>
      </c>
      <c r="F3649" t="s">
        <v>477</v>
      </c>
      <c r="G3649">
        <v>-31.817778000000001</v>
      </c>
      <c r="H3649">
        <v>115.733333</v>
      </c>
      <c r="I3649" t="s">
        <v>769</v>
      </c>
      <c r="J3649" s="2" t="s">
        <v>14</v>
      </c>
      <c r="K3649" t="s">
        <v>144</v>
      </c>
      <c r="L3649" t="s">
        <v>144</v>
      </c>
      <c r="M3649" t="s">
        <v>172</v>
      </c>
      <c r="N3649" t="s">
        <v>86</v>
      </c>
      <c r="O3649" s="6" t="s">
        <v>62</v>
      </c>
      <c r="P3649" t="s">
        <v>211</v>
      </c>
      <c r="Q3649">
        <f t="shared" si="71"/>
        <v>2.0833333333333332E-2</v>
      </c>
      <c r="R3649" t="s">
        <v>213</v>
      </c>
      <c r="S3649" s="2" t="s">
        <v>27</v>
      </c>
      <c r="T3649">
        <v>4</v>
      </c>
      <c r="U3649" t="s">
        <v>28</v>
      </c>
      <c r="V3649" t="s">
        <v>28</v>
      </c>
      <c r="W3649">
        <v>30</v>
      </c>
      <c r="X3649">
        <v>2.1110000000000002</v>
      </c>
      <c r="Y3649" s="6">
        <f t="shared" si="70"/>
        <v>0.55399999999999938</v>
      </c>
      <c r="Z3649">
        <f>2.388-X3649</f>
        <v>0.27699999999999969</v>
      </c>
      <c r="AA3649" s="6"/>
      <c r="AB3649" s="6"/>
    </row>
    <row r="3650" spans="1:28" x14ac:dyDescent="0.2">
      <c r="A3650" t="s">
        <v>476</v>
      </c>
      <c r="B3650">
        <v>2009</v>
      </c>
      <c r="C3650" t="s">
        <v>826</v>
      </c>
      <c r="D3650" t="s">
        <v>812</v>
      </c>
      <c r="E3650" t="s">
        <v>175</v>
      </c>
      <c r="F3650" t="s">
        <v>478</v>
      </c>
      <c r="G3650">
        <v>-30.284167</v>
      </c>
      <c r="H3650">
        <v>115.034722</v>
      </c>
      <c r="I3650" t="s">
        <v>769</v>
      </c>
      <c r="J3650" s="2" t="s">
        <v>7</v>
      </c>
      <c r="K3650" t="s">
        <v>144</v>
      </c>
      <c r="L3650" t="s">
        <v>144</v>
      </c>
      <c r="M3650" t="s">
        <v>172</v>
      </c>
      <c r="N3650" t="s">
        <v>86</v>
      </c>
      <c r="O3650" s="6" t="s">
        <v>62</v>
      </c>
      <c r="P3650" t="s">
        <v>211</v>
      </c>
      <c r="Q3650">
        <f t="shared" si="71"/>
        <v>2.0833333333333332E-2</v>
      </c>
      <c r="R3650" t="s">
        <v>213</v>
      </c>
      <c r="S3650" s="2" t="s">
        <v>7</v>
      </c>
      <c r="T3650">
        <v>4</v>
      </c>
      <c r="U3650" t="s">
        <v>28</v>
      </c>
      <c r="V3650" t="s">
        <v>28</v>
      </c>
      <c r="W3650">
        <v>20</v>
      </c>
      <c r="X3650">
        <v>0.96699999999999997</v>
      </c>
      <c r="Y3650" s="6">
        <f t="shared" si="70"/>
        <v>0.25400000000000023</v>
      </c>
      <c r="Z3650">
        <f>1.094-X3650</f>
        <v>0.12700000000000011</v>
      </c>
      <c r="AA3650" s="6"/>
      <c r="AB3650" s="6"/>
    </row>
    <row r="3651" spans="1:28" x14ac:dyDescent="0.2">
      <c r="A3651" t="s">
        <v>476</v>
      </c>
      <c r="B3651">
        <v>2009</v>
      </c>
      <c r="C3651" t="s">
        <v>826</v>
      </c>
      <c r="D3651" t="s">
        <v>812</v>
      </c>
      <c r="E3651" t="s">
        <v>175</v>
      </c>
      <c r="F3651" t="s">
        <v>478</v>
      </c>
      <c r="G3651">
        <v>-30.284167</v>
      </c>
      <c r="H3651">
        <v>115.034722</v>
      </c>
      <c r="I3651" t="s">
        <v>769</v>
      </c>
      <c r="J3651" s="2" t="s">
        <v>14</v>
      </c>
      <c r="K3651" t="s">
        <v>144</v>
      </c>
      <c r="L3651" t="s">
        <v>144</v>
      </c>
      <c r="M3651" t="s">
        <v>172</v>
      </c>
      <c r="N3651" t="s">
        <v>86</v>
      </c>
      <c r="O3651" s="6" t="s">
        <v>62</v>
      </c>
      <c r="P3651" t="s">
        <v>211</v>
      </c>
      <c r="Q3651">
        <f t="shared" si="71"/>
        <v>2.0833333333333332E-2</v>
      </c>
      <c r="R3651" t="s">
        <v>213</v>
      </c>
      <c r="S3651" s="2" t="s">
        <v>9</v>
      </c>
      <c r="T3651">
        <v>4</v>
      </c>
      <c r="U3651" t="s">
        <v>28</v>
      </c>
      <c r="V3651" t="s">
        <v>28</v>
      </c>
      <c r="W3651">
        <v>25</v>
      </c>
      <c r="X3651">
        <v>1.1279999999999999</v>
      </c>
      <c r="Y3651" s="6">
        <f t="shared" si="70"/>
        <v>0.18600000000000039</v>
      </c>
      <c r="Z3651">
        <f>1.221-X3651</f>
        <v>9.3000000000000194E-2</v>
      </c>
      <c r="AA3651" s="6"/>
      <c r="AB3651" s="6"/>
    </row>
    <row r="3652" spans="1:28" x14ac:dyDescent="0.2">
      <c r="A3652" t="s">
        <v>476</v>
      </c>
      <c r="B3652">
        <v>2009</v>
      </c>
      <c r="C3652" t="s">
        <v>826</v>
      </c>
      <c r="D3652" t="s">
        <v>812</v>
      </c>
      <c r="E3652" t="s">
        <v>175</v>
      </c>
      <c r="F3652" t="s">
        <v>478</v>
      </c>
      <c r="G3652">
        <v>-30.284167</v>
      </c>
      <c r="H3652">
        <v>115.034722</v>
      </c>
      <c r="I3652" t="s">
        <v>769</v>
      </c>
      <c r="J3652" s="2" t="s">
        <v>14</v>
      </c>
      <c r="K3652" t="s">
        <v>144</v>
      </c>
      <c r="L3652" t="s">
        <v>144</v>
      </c>
      <c r="M3652" t="s">
        <v>172</v>
      </c>
      <c r="N3652" t="s">
        <v>86</v>
      </c>
      <c r="O3652" s="6" t="s">
        <v>62</v>
      </c>
      <c r="P3652" t="s">
        <v>211</v>
      </c>
      <c r="Q3652">
        <f t="shared" si="71"/>
        <v>2.0833333333333332E-2</v>
      </c>
      <c r="R3652" t="s">
        <v>213</v>
      </c>
      <c r="S3652" s="2" t="s">
        <v>27</v>
      </c>
      <c r="T3652">
        <v>4</v>
      </c>
      <c r="U3652" t="s">
        <v>28</v>
      </c>
      <c r="V3652" t="s">
        <v>28</v>
      </c>
      <c r="W3652">
        <v>30</v>
      </c>
      <c r="X3652">
        <v>1.375</v>
      </c>
      <c r="Y3652" s="6">
        <f t="shared" ref="Y3652:Y3679" si="72">Z3652*SQRT(T3652)</f>
        <v>0.37400000000000011</v>
      </c>
      <c r="Z3652">
        <f>1.562-X3652</f>
        <v>0.18700000000000006</v>
      </c>
      <c r="AA3652" s="6"/>
      <c r="AB3652" s="6"/>
    </row>
    <row r="3653" spans="1:28" x14ac:dyDescent="0.2">
      <c r="A3653" t="s">
        <v>476</v>
      </c>
      <c r="B3653">
        <v>2009</v>
      </c>
      <c r="C3653" t="s">
        <v>826</v>
      </c>
      <c r="D3653" t="s">
        <v>812</v>
      </c>
      <c r="E3653" t="s">
        <v>175</v>
      </c>
      <c r="F3653" t="s">
        <v>479</v>
      </c>
      <c r="G3653">
        <v>-27.701388999999999</v>
      </c>
      <c r="H3653">
        <v>115.15138899999999</v>
      </c>
      <c r="I3653" t="s">
        <v>769</v>
      </c>
      <c r="J3653" s="2" t="s">
        <v>7</v>
      </c>
      <c r="K3653" t="s">
        <v>144</v>
      </c>
      <c r="L3653" t="s">
        <v>144</v>
      </c>
      <c r="M3653" t="s">
        <v>172</v>
      </c>
      <c r="N3653" t="s">
        <v>86</v>
      </c>
      <c r="O3653" s="6" t="s">
        <v>62</v>
      </c>
      <c r="P3653" t="s">
        <v>211</v>
      </c>
      <c r="Q3653">
        <f t="shared" si="71"/>
        <v>2.0833333333333332E-2</v>
      </c>
      <c r="R3653" t="s">
        <v>213</v>
      </c>
      <c r="S3653" s="2" t="s">
        <v>7</v>
      </c>
      <c r="T3653">
        <v>4</v>
      </c>
      <c r="U3653" t="s">
        <v>28</v>
      </c>
      <c r="V3653" t="s">
        <v>28</v>
      </c>
      <c r="W3653">
        <v>20</v>
      </c>
      <c r="X3653">
        <v>0.77700000000000002</v>
      </c>
      <c r="Y3653" s="6">
        <f t="shared" si="72"/>
        <v>0.10399999999999987</v>
      </c>
      <c r="Z3653">
        <f>0.829-X3653</f>
        <v>5.1999999999999935E-2</v>
      </c>
      <c r="AA3653" s="6"/>
      <c r="AB3653" s="6"/>
    </row>
    <row r="3654" spans="1:28" x14ac:dyDescent="0.2">
      <c r="A3654" t="s">
        <v>476</v>
      </c>
      <c r="B3654">
        <v>2009</v>
      </c>
      <c r="C3654" t="s">
        <v>826</v>
      </c>
      <c r="D3654" t="s">
        <v>812</v>
      </c>
      <c r="E3654" t="s">
        <v>175</v>
      </c>
      <c r="F3654" t="s">
        <v>479</v>
      </c>
      <c r="G3654">
        <v>-27.701388999999999</v>
      </c>
      <c r="H3654">
        <v>115.15138899999999</v>
      </c>
      <c r="I3654" t="s">
        <v>769</v>
      </c>
      <c r="J3654" s="2" t="s">
        <v>14</v>
      </c>
      <c r="K3654" t="s">
        <v>144</v>
      </c>
      <c r="L3654" t="s">
        <v>144</v>
      </c>
      <c r="M3654" t="s">
        <v>172</v>
      </c>
      <c r="N3654" t="s">
        <v>86</v>
      </c>
      <c r="O3654" s="6" t="s">
        <v>62</v>
      </c>
      <c r="P3654" t="s">
        <v>211</v>
      </c>
      <c r="Q3654">
        <f t="shared" si="71"/>
        <v>2.0833333333333332E-2</v>
      </c>
      <c r="R3654" t="s">
        <v>213</v>
      </c>
      <c r="S3654" s="2" t="s">
        <v>9</v>
      </c>
      <c r="T3654">
        <v>4</v>
      </c>
      <c r="U3654" t="s">
        <v>28</v>
      </c>
      <c r="V3654" t="s">
        <v>28</v>
      </c>
      <c r="W3654">
        <v>25</v>
      </c>
      <c r="X3654">
        <v>0.93700000000000006</v>
      </c>
      <c r="Y3654" s="6">
        <f t="shared" si="72"/>
        <v>6.7999999999999838E-2</v>
      </c>
      <c r="Z3654">
        <f>0.971-X3654</f>
        <v>3.3999999999999919E-2</v>
      </c>
      <c r="AA3654" s="6"/>
      <c r="AB3654" s="6"/>
    </row>
    <row r="3655" spans="1:28" x14ac:dyDescent="0.2">
      <c r="A3655" t="s">
        <v>476</v>
      </c>
      <c r="B3655">
        <v>2009</v>
      </c>
      <c r="C3655" t="s">
        <v>826</v>
      </c>
      <c r="D3655" t="s">
        <v>812</v>
      </c>
      <c r="E3655" t="s">
        <v>175</v>
      </c>
      <c r="F3655" t="s">
        <v>479</v>
      </c>
      <c r="G3655">
        <v>-27.701388999999999</v>
      </c>
      <c r="H3655">
        <v>115.15138899999999</v>
      </c>
      <c r="I3655" t="s">
        <v>769</v>
      </c>
      <c r="J3655" s="2" t="s">
        <v>14</v>
      </c>
      <c r="K3655" t="s">
        <v>144</v>
      </c>
      <c r="L3655" t="s">
        <v>144</v>
      </c>
      <c r="M3655" t="s">
        <v>172</v>
      </c>
      <c r="N3655" t="s">
        <v>86</v>
      </c>
      <c r="O3655" s="6" t="s">
        <v>62</v>
      </c>
      <c r="P3655" t="s">
        <v>211</v>
      </c>
      <c r="Q3655">
        <f t="shared" si="71"/>
        <v>2.0833333333333332E-2</v>
      </c>
      <c r="R3655" t="s">
        <v>213</v>
      </c>
      <c r="S3655" s="2" t="s">
        <v>27</v>
      </c>
      <c r="T3655">
        <v>4</v>
      </c>
      <c r="U3655" t="s">
        <v>28</v>
      </c>
      <c r="V3655" t="s">
        <v>28</v>
      </c>
      <c r="W3655">
        <v>30</v>
      </c>
      <c r="X3655">
        <v>1.18</v>
      </c>
      <c r="Y3655" s="6">
        <f t="shared" si="72"/>
        <v>0.24000000000000021</v>
      </c>
      <c r="Z3655">
        <f>1.3-X3655</f>
        <v>0.12000000000000011</v>
      </c>
      <c r="AA3655" s="6"/>
      <c r="AB3655" s="6"/>
    </row>
    <row r="3656" spans="1:28" x14ac:dyDescent="0.2">
      <c r="A3656" t="s">
        <v>476</v>
      </c>
      <c r="B3656">
        <v>2009</v>
      </c>
      <c r="C3656" t="s">
        <v>826</v>
      </c>
      <c r="D3656" t="s">
        <v>812</v>
      </c>
      <c r="E3656" t="s">
        <v>175</v>
      </c>
      <c r="F3656" t="s">
        <v>322</v>
      </c>
      <c r="G3656">
        <v>-34.217500000000001</v>
      </c>
      <c r="H3656">
        <v>115.01861100000001</v>
      </c>
      <c r="I3656" t="s">
        <v>769</v>
      </c>
      <c r="J3656" s="2" t="s">
        <v>7</v>
      </c>
      <c r="K3656" t="s">
        <v>144</v>
      </c>
      <c r="L3656" t="s">
        <v>144</v>
      </c>
      <c r="M3656" t="s">
        <v>726</v>
      </c>
      <c r="N3656" t="s">
        <v>86</v>
      </c>
      <c r="O3656" s="6" t="s">
        <v>480</v>
      </c>
      <c r="P3656" t="s">
        <v>83</v>
      </c>
      <c r="Q3656">
        <f t="shared" si="71"/>
        <v>2.0833333333333332E-2</v>
      </c>
      <c r="R3656" t="s">
        <v>213</v>
      </c>
      <c r="S3656" s="2" t="s">
        <v>7</v>
      </c>
      <c r="T3656">
        <v>4</v>
      </c>
      <c r="U3656" t="s">
        <v>28</v>
      </c>
      <c r="V3656" t="s">
        <v>28</v>
      </c>
      <c r="W3656">
        <v>20</v>
      </c>
      <c r="X3656">
        <v>25.33</v>
      </c>
      <c r="Y3656" s="6">
        <f t="shared" si="72"/>
        <v>7.0600000000000023</v>
      </c>
      <c r="Z3656">
        <f>28.86-X3656</f>
        <v>3.5300000000000011</v>
      </c>
      <c r="AA3656" s="6"/>
      <c r="AB3656" s="6"/>
    </row>
    <row r="3657" spans="1:28" x14ac:dyDescent="0.2">
      <c r="A3657" t="s">
        <v>476</v>
      </c>
      <c r="B3657">
        <v>2009</v>
      </c>
      <c r="C3657" t="s">
        <v>826</v>
      </c>
      <c r="D3657" t="s">
        <v>812</v>
      </c>
      <c r="E3657" t="s">
        <v>175</v>
      </c>
      <c r="F3657" t="s">
        <v>322</v>
      </c>
      <c r="G3657">
        <v>-34.217500000000001</v>
      </c>
      <c r="H3657">
        <v>115.01861100000001</v>
      </c>
      <c r="I3657" t="s">
        <v>769</v>
      </c>
      <c r="J3657" s="2" t="s">
        <v>14</v>
      </c>
      <c r="K3657" t="s">
        <v>144</v>
      </c>
      <c r="L3657" t="s">
        <v>144</v>
      </c>
      <c r="M3657" t="s">
        <v>726</v>
      </c>
      <c r="N3657" t="s">
        <v>86</v>
      </c>
      <c r="O3657" s="6" t="s">
        <v>480</v>
      </c>
      <c r="P3657" t="s">
        <v>83</v>
      </c>
      <c r="Q3657">
        <f t="shared" si="71"/>
        <v>2.0833333333333332E-2</v>
      </c>
      <c r="R3657" t="s">
        <v>213</v>
      </c>
      <c r="S3657" s="2" t="s">
        <v>9</v>
      </c>
      <c r="T3657">
        <v>4</v>
      </c>
      <c r="U3657" t="s">
        <v>28</v>
      </c>
      <c r="V3657" t="s">
        <v>28</v>
      </c>
      <c r="W3657">
        <v>25</v>
      </c>
      <c r="X3657">
        <v>33.71</v>
      </c>
      <c r="Y3657" s="6">
        <f t="shared" si="72"/>
        <v>4.7999999999999972</v>
      </c>
      <c r="Z3657">
        <f>36.11-X3657</f>
        <v>2.3999999999999986</v>
      </c>
      <c r="AA3657" s="6"/>
      <c r="AB3657" s="6"/>
    </row>
    <row r="3658" spans="1:28" x14ac:dyDescent="0.2">
      <c r="A3658" t="s">
        <v>476</v>
      </c>
      <c r="B3658">
        <v>2009</v>
      </c>
      <c r="C3658" t="s">
        <v>826</v>
      </c>
      <c r="D3658" t="s">
        <v>812</v>
      </c>
      <c r="E3658" t="s">
        <v>175</v>
      </c>
      <c r="F3658" t="s">
        <v>322</v>
      </c>
      <c r="G3658">
        <v>-34.217500000000001</v>
      </c>
      <c r="H3658">
        <v>115.01861100000001</v>
      </c>
      <c r="I3658" t="s">
        <v>769</v>
      </c>
      <c r="J3658" s="2" t="s">
        <v>14</v>
      </c>
      <c r="K3658" t="s">
        <v>144</v>
      </c>
      <c r="L3658" t="s">
        <v>144</v>
      </c>
      <c r="M3658" t="s">
        <v>726</v>
      </c>
      <c r="N3658" t="s">
        <v>86</v>
      </c>
      <c r="O3658" s="6" t="s">
        <v>480</v>
      </c>
      <c r="P3658" t="s">
        <v>83</v>
      </c>
      <c r="Q3658">
        <f t="shared" si="71"/>
        <v>2.0833333333333332E-2</v>
      </c>
      <c r="R3658" t="s">
        <v>213</v>
      </c>
      <c r="S3658" s="2" t="s">
        <v>27</v>
      </c>
      <c r="T3658">
        <v>4</v>
      </c>
      <c r="U3658" t="s">
        <v>28</v>
      </c>
      <c r="V3658" t="s">
        <v>28</v>
      </c>
      <c r="W3658">
        <v>30</v>
      </c>
      <c r="X3658">
        <v>51.32</v>
      </c>
      <c r="Y3658" s="6">
        <f t="shared" si="72"/>
        <v>6.5799999999999983</v>
      </c>
      <c r="Z3658">
        <f>54.61-X3658</f>
        <v>3.2899999999999991</v>
      </c>
      <c r="AA3658" s="6"/>
      <c r="AB3658" s="6"/>
    </row>
    <row r="3659" spans="1:28" x14ac:dyDescent="0.2">
      <c r="A3659" t="s">
        <v>476</v>
      </c>
      <c r="B3659">
        <v>2009</v>
      </c>
      <c r="C3659" t="s">
        <v>826</v>
      </c>
      <c r="D3659" t="s">
        <v>812</v>
      </c>
      <c r="E3659" t="s">
        <v>175</v>
      </c>
      <c r="F3659" t="s">
        <v>477</v>
      </c>
      <c r="G3659">
        <v>-31.817778000000001</v>
      </c>
      <c r="H3659">
        <v>115.733333</v>
      </c>
      <c r="I3659" t="s">
        <v>769</v>
      </c>
      <c r="J3659" s="2" t="s">
        <v>7</v>
      </c>
      <c r="K3659" t="s">
        <v>144</v>
      </c>
      <c r="L3659" t="s">
        <v>144</v>
      </c>
      <c r="M3659" t="s">
        <v>726</v>
      </c>
      <c r="N3659" t="s">
        <v>86</v>
      </c>
      <c r="O3659" s="6" t="s">
        <v>480</v>
      </c>
      <c r="P3659" t="s">
        <v>83</v>
      </c>
      <c r="Q3659">
        <f t="shared" si="71"/>
        <v>2.0833333333333332E-2</v>
      </c>
      <c r="R3659" t="s">
        <v>213</v>
      </c>
      <c r="S3659" s="2" t="s">
        <v>7</v>
      </c>
      <c r="T3659">
        <v>4</v>
      </c>
      <c r="U3659" t="s">
        <v>28</v>
      </c>
      <c r="V3659" t="s">
        <v>28</v>
      </c>
      <c r="W3659">
        <v>20</v>
      </c>
      <c r="X3659">
        <v>25.27</v>
      </c>
      <c r="Y3659" s="6">
        <f t="shared" si="72"/>
        <v>7.18</v>
      </c>
      <c r="Z3659">
        <f>28.86-X3659</f>
        <v>3.59</v>
      </c>
      <c r="AA3659" s="6"/>
      <c r="AB3659" s="6"/>
    </row>
    <row r="3660" spans="1:28" x14ac:dyDescent="0.2">
      <c r="A3660" t="s">
        <v>476</v>
      </c>
      <c r="B3660">
        <v>2009</v>
      </c>
      <c r="C3660" t="s">
        <v>826</v>
      </c>
      <c r="D3660" t="s">
        <v>812</v>
      </c>
      <c r="E3660" t="s">
        <v>175</v>
      </c>
      <c r="F3660" t="s">
        <v>477</v>
      </c>
      <c r="G3660">
        <v>-31.817778000000001</v>
      </c>
      <c r="H3660">
        <v>115.733333</v>
      </c>
      <c r="I3660" t="s">
        <v>769</v>
      </c>
      <c r="J3660" s="2" t="s">
        <v>14</v>
      </c>
      <c r="K3660" t="s">
        <v>144</v>
      </c>
      <c r="L3660" t="s">
        <v>144</v>
      </c>
      <c r="M3660" t="s">
        <v>726</v>
      </c>
      <c r="N3660" t="s">
        <v>86</v>
      </c>
      <c r="O3660" s="6" t="s">
        <v>480</v>
      </c>
      <c r="P3660" t="s">
        <v>83</v>
      </c>
      <c r="Q3660">
        <f t="shared" si="71"/>
        <v>2.0833333333333332E-2</v>
      </c>
      <c r="R3660" t="s">
        <v>213</v>
      </c>
      <c r="S3660" s="2" t="s">
        <v>9</v>
      </c>
      <c r="T3660">
        <v>4</v>
      </c>
      <c r="U3660" t="s">
        <v>28</v>
      </c>
      <c r="V3660" t="s">
        <v>28</v>
      </c>
      <c r="W3660">
        <v>25</v>
      </c>
      <c r="X3660">
        <v>35.99</v>
      </c>
      <c r="Y3660" s="6">
        <f t="shared" si="72"/>
        <v>13.759999999999991</v>
      </c>
      <c r="Z3660">
        <f>42.87-X3660</f>
        <v>6.8799999999999955</v>
      </c>
      <c r="AA3660" s="6"/>
      <c r="AB3660" s="6"/>
    </row>
    <row r="3661" spans="1:28" x14ac:dyDescent="0.2">
      <c r="A3661" t="s">
        <v>476</v>
      </c>
      <c r="B3661">
        <v>2009</v>
      </c>
      <c r="C3661" t="s">
        <v>826</v>
      </c>
      <c r="D3661" t="s">
        <v>812</v>
      </c>
      <c r="E3661" t="s">
        <v>175</v>
      </c>
      <c r="F3661" t="s">
        <v>477</v>
      </c>
      <c r="G3661">
        <v>-31.817778000000001</v>
      </c>
      <c r="H3661">
        <v>115.733333</v>
      </c>
      <c r="I3661" t="s">
        <v>769</v>
      </c>
      <c r="J3661" s="2" t="s">
        <v>14</v>
      </c>
      <c r="K3661" t="s">
        <v>144</v>
      </c>
      <c r="L3661" t="s">
        <v>144</v>
      </c>
      <c r="M3661" t="s">
        <v>726</v>
      </c>
      <c r="N3661" t="s">
        <v>86</v>
      </c>
      <c r="O3661" s="6" t="s">
        <v>480</v>
      </c>
      <c r="P3661" t="s">
        <v>83</v>
      </c>
      <c r="Q3661">
        <f t="shared" si="71"/>
        <v>2.0833333333333332E-2</v>
      </c>
      <c r="R3661" t="s">
        <v>213</v>
      </c>
      <c r="S3661" s="2" t="s">
        <v>27</v>
      </c>
      <c r="T3661">
        <v>4</v>
      </c>
      <c r="U3661" t="s">
        <v>28</v>
      </c>
      <c r="V3661" t="s">
        <v>28</v>
      </c>
      <c r="W3661">
        <v>30</v>
      </c>
      <c r="X3661">
        <v>43.89</v>
      </c>
      <c r="Y3661" s="6">
        <f t="shared" si="72"/>
        <v>5.519999999999996</v>
      </c>
      <c r="Z3661">
        <f>46.65-X3661</f>
        <v>2.759999999999998</v>
      </c>
      <c r="AA3661" s="6"/>
      <c r="AB3661" s="6"/>
    </row>
    <row r="3662" spans="1:28" x14ac:dyDescent="0.2">
      <c r="A3662" t="s">
        <v>476</v>
      </c>
      <c r="B3662">
        <v>2009</v>
      </c>
      <c r="C3662" t="s">
        <v>826</v>
      </c>
      <c r="D3662" t="s">
        <v>812</v>
      </c>
      <c r="E3662" t="s">
        <v>175</v>
      </c>
      <c r="F3662" t="s">
        <v>478</v>
      </c>
      <c r="G3662">
        <v>-30.284167</v>
      </c>
      <c r="H3662">
        <v>115.034722</v>
      </c>
      <c r="I3662" t="s">
        <v>769</v>
      </c>
      <c r="J3662" s="2" t="s">
        <v>7</v>
      </c>
      <c r="K3662" t="s">
        <v>144</v>
      </c>
      <c r="L3662" t="s">
        <v>144</v>
      </c>
      <c r="M3662" t="s">
        <v>726</v>
      </c>
      <c r="N3662" t="s">
        <v>86</v>
      </c>
      <c r="O3662" s="6" t="s">
        <v>480</v>
      </c>
      <c r="P3662" t="s">
        <v>83</v>
      </c>
      <c r="Q3662">
        <f t="shared" si="71"/>
        <v>2.0833333333333332E-2</v>
      </c>
      <c r="R3662" t="s">
        <v>213</v>
      </c>
      <c r="S3662" s="2" t="s">
        <v>7</v>
      </c>
      <c r="T3662">
        <v>4</v>
      </c>
      <c r="U3662" t="s">
        <v>28</v>
      </c>
      <c r="V3662" t="s">
        <v>28</v>
      </c>
      <c r="W3662">
        <v>20</v>
      </c>
      <c r="X3662">
        <v>22.16</v>
      </c>
      <c r="Y3662" s="6">
        <f t="shared" si="72"/>
        <v>2.740000000000002</v>
      </c>
      <c r="Z3662">
        <f>23.53-X3662</f>
        <v>1.370000000000001</v>
      </c>
      <c r="AA3662" s="6"/>
      <c r="AB3662" s="6"/>
    </row>
    <row r="3663" spans="1:28" x14ac:dyDescent="0.2">
      <c r="A3663" t="s">
        <v>476</v>
      </c>
      <c r="B3663">
        <v>2009</v>
      </c>
      <c r="C3663" t="s">
        <v>826</v>
      </c>
      <c r="D3663" t="s">
        <v>812</v>
      </c>
      <c r="E3663" t="s">
        <v>175</v>
      </c>
      <c r="F3663" t="s">
        <v>478</v>
      </c>
      <c r="G3663">
        <v>-30.284167</v>
      </c>
      <c r="H3663">
        <v>115.034722</v>
      </c>
      <c r="I3663" t="s">
        <v>769</v>
      </c>
      <c r="J3663" s="2" t="s">
        <v>14</v>
      </c>
      <c r="K3663" t="s">
        <v>144</v>
      </c>
      <c r="L3663" t="s">
        <v>144</v>
      </c>
      <c r="M3663" t="s">
        <v>726</v>
      </c>
      <c r="N3663" t="s">
        <v>86</v>
      </c>
      <c r="O3663" s="6" t="s">
        <v>480</v>
      </c>
      <c r="P3663" t="s">
        <v>83</v>
      </c>
      <c r="Q3663">
        <f t="shared" si="71"/>
        <v>2.0833333333333332E-2</v>
      </c>
      <c r="R3663" t="s">
        <v>213</v>
      </c>
      <c r="S3663" s="2" t="s">
        <v>9</v>
      </c>
      <c r="T3663">
        <v>4</v>
      </c>
      <c r="U3663" t="s">
        <v>28</v>
      </c>
      <c r="V3663" t="s">
        <v>28</v>
      </c>
      <c r="W3663">
        <v>25</v>
      </c>
      <c r="X3663">
        <v>26.29</v>
      </c>
      <c r="Y3663" s="6">
        <f t="shared" si="72"/>
        <v>5.6200000000000045</v>
      </c>
      <c r="Z3663">
        <f>29.1-X3663</f>
        <v>2.8100000000000023</v>
      </c>
      <c r="AA3663" s="6"/>
      <c r="AB3663" s="6"/>
    </row>
    <row r="3664" spans="1:28" x14ac:dyDescent="0.2">
      <c r="A3664" t="s">
        <v>476</v>
      </c>
      <c r="B3664">
        <v>2009</v>
      </c>
      <c r="C3664" t="s">
        <v>826</v>
      </c>
      <c r="D3664" t="s">
        <v>812</v>
      </c>
      <c r="E3664" t="s">
        <v>175</v>
      </c>
      <c r="F3664" t="s">
        <v>478</v>
      </c>
      <c r="G3664">
        <v>-30.284167</v>
      </c>
      <c r="H3664">
        <v>115.034722</v>
      </c>
      <c r="I3664" t="s">
        <v>769</v>
      </c>
      <c r="J3664" s="2" t="s">
        <v>14</v>
      </c>
      <c r="K3664" t="s">
        <v>144</v>
      </c>
      <c r="L3664" t="s">
        <v>144</v>
      </c>
      <c r="M3664" t="s">
        <v>726</v>
      </c>
      <c r="N3664" t="s">
        <v>86</v>
      </c>
      <c r="O3664" s="6" t="s">
        <v>480</v>
      </c>
      <c r="P3664" t="s">
        <v>83</v>
      </c>
      <c r="Q3664">
        <f t="shared" si="71"/>
        <v>2.0833333333333332E-2</v>
      </c>
      <c r="R3664" t="s">
        <v>213</v>
      </c>
      <c r="S3664" s="2" t="s">
        <v>27</v>
      </c>
      <c r="T3664">
        <v>4</v>
      </c>
      <c r="U3664" t="s">
        <v>28</v>
      </c>
      <c r="V3664" t="s">
        <v>28</v>
      </c>
      <c r="W3664">
        <v>30</v>
      </c>
      <c r="X3664">
        <v>46.95</v>
      </c>
      <c r="Y3664" s="6">
        <f t="shared" si="72"/>
        <v>14.47999999999999</v>
      </c>
      <c r="Z3664">
        <f>54.19-X3664</f>
        <v>7.2399999999999949</v>
      </c>
      <c r="AA3664" s="6"/>
      <c r="AB3664" s="6"/>
    </row>
    <row r="3665" spans="1:28" x14ac:dyDescent="0.2">
      <c r="A3665" t="s">
        <v>476</v>
      </c>
      <c r="B3665">
        <v>2009</v>
      </c>
      <c r="C3665" t="s">
        <v>826</v>
      </c>
      <c r="D3665" t="s">
        <v>812</v>
      </c>
      <c r="E3665" t="s">
        <v>175</v>
      </c>
      <c r="F3665" t="s">
        <v>479</v>
      </c>
      <c r="G3665">
        <v>-27.701388999999999</v>
      </c>
      <c r="H3665">
        <v>115.15138899999999</v>
      </c>
      <c r="I3665" t="s">
        <v>769</v>
      </c>
      <c r="J3665" s="2" t="s">
        <v>7</v>
      </c>
      <c r="K3665" t="s">
        <v>144</v>
      </c>
      <c r="L3665" t="s">
        <v>144</v>
      </c>
      <c r="M3665" t="s">
        <v>726</v>
      </c>
      <c r="N3665" t="s">
        <v>86</v>
      </c>
      <c r="O3665" s="6" t="s">
        <v>480</v>
      </c>
      <c r="P3665" t="s">
        <v>83</v>
      </c>
      <c r="Q3665">
        <f t="shared" si="71"/>
        <v>2.0833333333333332E-2</v>
      </c>
      <c r="R3665" t="s">
        <v>213</v>
      </c>
      <c r="S3665" s="2" t="s">
        <v>7</v>
      </c>
      <c r="T3665">
        <v>4</v>
      </c>
      <c r="U3665" t="s">
        <v>28</v>
      </c>
      <c r="V3665" t="s">
        <v>28</v>
      </c>
      <c r="W3665">
        <v>20</v>
      </c>
      <c r="X3665">
        <v>25.33</v>
      </c>
      <c r="Y3665" s="6">
        <f t="shared" si="72"/>
        <v>7.0600000000000023</v>
      </c>
      <c r="Z3665">
        <f>28.86-X3665</f>
        <v>3.5300000000000011</v>
      </c>
      <c r="AA3665" s="6"/>
      <c r="AB3665" s="6"/>
    </row>
    <row r="3666" spans="1:28" x14ac:dyDescent="0.2">
      <c r="A3666" t="s">
        <v>476</v>
      </c>
      <c r="B3666">
        <v>2009</v>
      </c>
      <c r="C3666" t="s">
        <v>826</v>
      </c>
      <c r="D3666" t="s">
        <v>812</v>
      </c>
      <c r="E3666" t="s">
        <v>175</v>
      </c>
      <c r="F3666" t="s">
        <v>479</v>
      </c>
      <c r="G3666">
        <v>-27.701388999999999</v>
      </c>
      <c r="H3666">
        <v>115.15138899999999</v>
      </c>
      <c r="I3666" t="s">
        <v>769</v>
      </c>
      <c r="J3666" s="2" t="s">
        <v>14</v>
      </c>
      <c r="K3666" t="s">
        <v>144</v>
      </c>
      <c r="L3666" t="s">
        <v>144</v>
      </c>
      <c r="M3666" t="s">
        <v>726</v>
      </c>
      <c r="N3666" t="s">
        <v>86</v>
      </c>
      <c r="O3666" s="6" t="s">
        <v>480</v>
      </c>
      <c r="P3666" t="s">
        <v>83</v>
      </c>
      <c r="Q3666">
        <f t="shared" si="71"/>
        <v>2.0833333333333332E-2</v>
      </c>
      <c r="R3666" t="s">
        <v>213</v>
      </c>
      <c r="S3666" s="2" t="s">
        <v>9</v>
      </c>
      <c r="T3666">
        <v>4</v>
      </c>
      <c r="U3666" t="s">
        <v>28</v>
      </c>
      <c r="V3666" t="s">
        <v>28</v>
      </c>
      <c r="W3666">
        <v>25</v>
      </c>
      <c r="X3666">
        <v>24.91</v>
      </c>
      <c r="Y3666" s="6">
        <f t="shared" si="72"/>
        <v>4.7999999999999972</v>
      </c>
      <c r="Z3666">
        <f>27.31-X3666</f>
        <v>2.3999999999999986</v>
      </c>
      <c r="AA3666" s="6"/>
      <c r="AB3666" s="6"/>
    </row>
    <row r="3667" spans="1:28" x14ac:dyDescent="0.2">
      <c r="A3667" t="s">
        <v>476</v>
      </c>
      <c r="B3667">
        <v>2009</v>
      </c>
      <c r="C3667" t="s">
        <v>826</v>
      </c>
      <c r="D3667" t="s">
        <v>812</v>
      </c>
      <c r="E3667" t="s">
        <v>175</v>
      </c>
      <c r="F3667" t="s">
        <v>479</v>
      </c>
      <c r="G3667">
        <v>-27.701388999999999</v>
      </c>
      <c r="H3667">
        <v>115.15138899999999</v>
      </c>
      <c r="I3667" t="s">
        <v>769</v>
      </c>
      <c r="J3667" s="2" t="s">
        <v>14</v>
      </c>
      <c r="K3667" t="s">
        <v>144</v>
      </c>
      <c r="L3667" t="s">
        <v>144</v>
      </c>
      <c r="M3667" t="s">
        <v>726</v>
      </c>
      <c r="N3667" t="s">
        <v>86</v>
      </c>
      <c r="O3667" s="6" t="s">
        <v>480</v>
      </c>
      <c r="P3667" t="s">
        <v>83</v>
      </c>
      <c r="Q3667">
        <f t="shared" si="71"/>
        <v>2.0833333333333332E-2</v>
      </c>
      <c r="R3667" t="s">
        <v>213</v>
      </c>
      <c r="S3667" s="2" t="s">
        <v>27</v>
      </c>
      <c r="T3667">
        <v>4</v>
      </c>
      <c r="U3667" t="s">
        <v>28</v>
      </c>
      <c r="V3667" t="s">
        <v>28</v>
      </c>
      <c r="W3667">
        <v>30</v>
      </c>
      <c r="X3667">
        <v>25.69</v>
      </c>
      <c r="Y3667" s="6">
        <f t="shared" si="72"/>
        <v>8.86</v>
      </c>
      <c r="Z3667">
        <f>30.12-X3667</f>
        <v>4.43</v>
      </c>
      <c r="AA3667" s="6"/>
      <c r="AB3667" s="6"/>
    </row>
    <row r="3668" spans="1:28" x14ac:dyDescent="0.2">
      <c r="A3668" t="s">
        <v>476</v>
      </c>
      <c r="B3668">
        <v>2009</v>
      </c>
      <c r="C3668" t="s">
        <v>826</v>
      </c>
      <c r="D3668" t="s">
        <v>812</v>
      </c>
      <c r="E3668" t="s">
        <v>175</v>
      </c>
      <c r="F3668" t="s">
        <v>322</v>
      </c>
      <c r="G3668">
        <v>-34.217500000000001</v>
      </c>
      <c r="H3668">
        <v>115.01861100000001</v>
      </c>
      <c r="I3668" t="s">
        <v>769</v>
      </c>
      <c r="J3668" s="2" t="s">
        <v>7</v>
      </c>
      <c r="K3668" t="s">
        <v>144</v>
      </c>
      <c r="L3668" t="s">
        <v>144</v>
      </c>
      <c r="M3668" t="s">
        <v>726</v>
      </c>
      <c r="N3668" t="s">
        <v>85</v>
      </c>
      <c r="O3668" s="6" t="s">
        <v>196</v>
      </c>
      <c r="P3668" t="s">
        <v>481</v>
      </c>
      <c r="Q3668">
        <f t="shared" si="71"/>
        <v>2.0833333333333332E-2</v>
      </c>
      <c r="R3668" t="s">
        <v>213</v>
      </c>
      <c r="S3668" s="2" t="s">
        <v>7</v>
      </c>
      <c r="T3668">
        <v>4</v>
      </c>
      <c r="U3668" t="s">
        <v>28</v>
      </c>
      <c r="V3668" t="s">
        <v>28</v>
      </c>
      <c r="W3668">
        <v>20</v>
      </c>
      <c r="X3668">
        <v>73.959999999999994</v>
      </c>
      <c r="Y3668" s="6">
        <f t="shared" si="72"/>
        <v>12.52000000000001</v>
      </c>
      <c r="Z3668">
        <f>80.22-X3668</f>
        <v>6.2600000000000051</v>
      </c>
      <c r="AA3668" s="6"/>
      <c r="AB3668" s="6"/>
    </row>
    <row r="3669" spans="1:28" x14ac:dyDescent="0.2">
      <c r="A3669" t="s">
        <v>476</v>
      </c>
      <c r="B3669">
        <v>2009</v>
      </c>
      <c r="C3669" t="s">
        <v>826</v>
      </c>
      <c r="D3669" t="s">
        <v>812</v>
      </c>
      <c r="E3669" t="s">
        <v>175</v>
      </c>
      <c r="F3669" t="s">
        <v>322</v>
      </c>
      <c r="G3669">
        <v>-34.217500000000001</v>
      </c>
      <c r="H3669">
        <v>115.01861100000001</v>
      </c>
      <c r="I3669" t="s">
        <v>769</v>
      </c>
      <c r="J3669" s="2" t="s">
        <v>14</v>
      </c>
      <c r="K3669" t="s">
        <v>144</v>
      </c>
      <c r="L3669" t="s">
        <v>144</v>
      </c>
      <c r="M3669" t="s">
        <v>726</v>
      </c>
      <c r="N3669" t="s">
        <v>85</v>
      </c>
      <c r="O3669" s="6" t="s">
        <v>196</v>
      </c>
      <c r="P3669" t="s">
        <v>481</v>
      </c>
      <c r="Q3669">
        <f t="shared" si="71"/>
        <v>2.0833333333333332E-2</v>
      </c>
      <c r="R3669" t="s">
        <v>213</v>
      </c>
      <c r="S3669" s="2" t="s">
        <v>9</v>
      </c>
      <c r="T3669">
        <v>4</v>
      </c>
      <c r="U3669" t="s">
        <v>28</v>
      </c>
      <c r="V3669" t="s">
        <v>28</v>
      </c>
      <c r="W3669">
        <v>25</v>
      </c>
      <c r="X3669">
        <v>111.49</v>
      </c>
      <c r="Y3669" s="6">
        <f t="shared" si="72"/>
        <v>36.940000000000026</v>
      </c>
      <c r="Z3669">
        <f>129.96-X3669</f>
        <v>18.470000000000013</v>
      </c>
      <c r="AA3669" s="6"/>
      <c r="AB3669" s="6"/>
    </row>
    <row r="3670" spans="1:28" x14ac:dyDescent="0.2">
      <c r="A3670" t="s">
        <v>476</v>
      </c>
      <c r="B3670">
        <v>2009</v>
      </c>
      <c r="C3670" t="s">
        <v>826</v>
      </c>
      <c r="D3670" t="s">
        <v>812</v>
      </c>
      <c r="E3670" t="s">
        <v>175</v>
      </c>
      <c r="F3670" t="s">
        <v>322</v>
      </c>
      <c r="G3670">
        <v>-34.217500000000001</v>
      </c>
      <c r="H3670">
        <v>115.01861100000001</v>
      </c>
      <c r="I3670" t="s">
        <v>769</v>
      </c>
      <c r="J3670" s="2" t="s">
        <v>14</v>
      </c>
      <c r="K3670" t="s">
        <v>144</v>
      </c>
      <c r="L3670" t="s">
        <v>144</v>
      </c>
      <c r="M3670" t="s">
        <v>726</v>
      </c>
      <c r="N3670" t="s">
        <v>85</v>
      </c>
      <c r="O3670" s="6" t="s">
        <v>196</v>
      </c>
      <c r="P3670" t="s">
        <v>481</v>
      </c>
      <c r="Q3670">
        <f t="shared" si="71"/>
        <v>2.0833333333333332E-2</v>
      </c>
      <c r="R3670" t="s">
        <v>213</v>
      </c>
      <c r="S3670" s="2" t="s">
        <v>27</v>
      </c>
      <c r="T3670">
        <v>4</v>
      </c>
      <c r="U3670" t="s">
        <v>28</v>
      </c>
      <c r="V3670" t="s">
        <v>28</v>
      </c>
      <c r="W3670">
        <v>30</v>
      </c>
      <c r="X3670">
        <v>68.58</v>
      </c>
      <c r="Y3670" s="6">
        <f t="shared" si="72"/>
        <v>6.4000000000000057</v>
      </c>
      <c r="Z3670">
        <f>71.78-X3670</f>
        <v>3.2000000000000028</v>
      </c>
      <c r="AA3670" s="6"/>
      <c r="AB3670" s="6"/>
    </row>
    <row r="3671" spans="1:28" x14ac:dyDescent="0.2">
      <c r="A3671" t="s">
        <v>476</v>
      </c>
      <c r="B3671">
        <v>2009</v>
      </c>
      <c r="C3671" t="s">
        <v>826</v>
      </c>
      <c r="D3671" t="s">
        <v>812</v>
      </c>
      <c r="E3671" t="s">
        <v>175</v>
      </c>
      <c r="F3671" t="s">
        <v>477</v>
      </c>
      <c r="G3671">
        <v>-31.817778000000001</v>
      </c>
      <c r="H3671">
        <v>115.733333</v>
      </c>
      <c r="I3671" t="s">
        <v>769</v>
      </c>
      <c r="J3671" s="2" t="s">
        <v>7</v>
      </c>
      <c r="K3671" t="s">
        <v>144</v>
      </c>
      <c r="L3671" t="s">
        <v>144</v>
      </c>
      <c r="M3671" t="s">
        <v>726</v>
      </c>
      <c r="N3671" t="s">
        <v>85</v>
      </c>
      <c r="O3671" s="6" t="s">
        <v>196</v>
      </c>
      <c r="P3671" t="s">
        <v>481</v>
      </c>
      <c r="Q3671">
        <f t="shared" si="71"/>
        <v>2.0833333333333332E-2</v>
      </c>
      <c r="R3671" t="s">
        <v>213</v>
      </c>
      <c r="S3671" s="2" t="s">
        <v>7</v>
      </c>
      <c r="T3671">
        <v>4</v>
      </c>
      <c r="U3671" t="s">
        <v>28</v>
      </c>
      <c r="V3671" t="s">
        <v>28</v>
      </c>
      <c r="W3671">
        <v>20</v>
      </c>
      <c r="X3671">
        <v>90.11</v>
      </c>
      <c r="Y3671" s="6">
        <f t="shared" si="72"/>
        <v>40.140000000000015</v>
      </c>
      <c r="Z3671">
        <f>110.18-X3671</f>
        <v>20.070000000000007</v>
      </c>
      <c r="AA3671" s="6"/>
      <c r="AB3671" s="6"/>
    </row>
    <row r="3672" spans="1:28" x14ac:dyDescent="0.2">
      <c r="A3672" t="s">
        <v>476</v>
      </c>
      <c r="B3672">
        <v>2009</v>
      </c>
      <c r="C3672" t="s">
        <v>826</v>
      </c>
      <c r="D3672" t="s">
        <v>812</v>
      </c>
      <c r="E3672" t="s">
        <v>175</v>
      </c>
      <c r="F3672" t="s">
        <v>477</v>
      </c>
      <c r="G3672">
        <v>-31.817778000000001</v>
      </c>
      <c r="H3672">
        <v>115.733333</v>
      </c>
      <c r="I3672" t="s">
        <v>769</v>
      </c>
      <c r="J3672" s="2" t="s">
        <v>14</v>
      </c>
      <c r="K3672" t="s">
        <v>144</v>
      </c>
      <c r="L3672" t="s">
        <v>144</v>
      </c>
      <c r="M3672" t="s">
        <v>726</v>
      </c>
      <c r="N3672" t="s">
        <v>85</v>
      </c>
      <c r="O3672" s="6" t="s">
        <v>196</v>
      </c>
      <c r="P3672" t="s">
        <v>481</v>
      </c>
      <c r="Q3672">
        <f t="shared" si="71"/>
        <v>2.0833333333333332E-2</v>
      </c>
      <c r="R3672" t="s">
        <v>213</v>
      </c>
      <c r="S3672" s="2" t="s">
        <v>9</v>
      </c>
      <c r="T3672">
        <v>4</v>
      </c>
      <c r="U3672" t="s">
        <v>28</v>
      </c>
      <c r="V3672" t="s">
        <v>28</v>
      </c>
      <c r="W3672">
        <v>25</v>
      </c>
      <c r="X3672">
        <v>115.56</v>
      </c>
      <c r="Y3672" s="6">
        <f t="shared" si="72"/>
        <v>52.95999999999998</v>
      </c>
      <c r="Z3672">
        <f>142.04-X3672</f>
        <v>26.47999999999999</v>
      </c>
      <c r="AA3672" s="6"/>
      <c r="AB3672" s="6"/>
    </row>
    <row r="3673" spans="1:28" x14ac:dyDescent="0.2">
      <c r="A3673" t="s">
        <v>476</v>
      </c>
      <c r="B3673">
        <v>2009</v>
      </c>
      <c r="C3673" t="s">
        <v>826</v>
      </c>
      <c r="D3673" t="s">
        <v>812</v>
      </c>
      <c r="E3673" t="s">
        <v>175</v>
      </c>
      <c r="F3673" t="s">
        <v>477</v>
      </c>
      <c r="G3673">
        <v>-31.817778000000001</v>
      </c>
      <c r="H3673">
        <v>115.733333</v>
      </c>
      <c r="I3673" t="s">
        <v>769</v>
      </c>
      <c r="J3673" s="2" t="s">
        <v>14</v>
      </c>
      <c r="K3673" t="s">
        <v>144</v>
      </c>
      <c r="L3673" t="s">
        <v>144</v>
      </c>
      <c r="M3673" t="s">
        <v>726</v>
      </c>
      <c r="N3673" t="s">
        <v>85</v>
      </c>
      <c r="O3673" s="6" t="s">
        <v>196</v>
      </c>
      <c r="P3673" t="s">
        <v>481</v>
      </c>
      <c r="Q3673">
        <f t="shared" si="71"/>
        <v>2.0833333333333332E-2</v>
      </c>
      <c r="R3673" t="s">
        <v>213</v>
      </c>
      <c r="S3673" s="2" t="s">
        <v>27</v>
      </c>
      <c r="T3673">
        <v>4</v>
      </c>
      <c r="U3673" t="s">
        <v>28</v>
      </c>
      <c r="V3673" t="s">
        <v>28</v>
      </c>
      <c r="W3673">
        <v>30</v>
      </c>
      <c r="X3673">
        <v>110.33</v>
      </c>
      <c r="Y3673" s="6">
        <f t="shared" si="72"/>
        <v>34.039999999999992</v>
      </c>
      <c r="Z3673">
        <f>127.35-X3673</f>
        <v>17.019999999999996</v>
      </c>
      <c r="AA3673" s="6"/>
      <c r="AB3673" s="6"/>
    </row>
    <row r="3674" spans="1:28" x14ac:dyDescent="0.2">
      <c r="A3674" t="s">
        <v>476</v>
      </c>
      <c r="B3674">
        <v>2009</v>
      </c>
      <c r="C3674" t="s">
        <v>826</v>
      </c>
      <c r="D3674" t="s">
        <v>812</v>
      </c>
      <c r="E3674" t="s">
        <v>175</v>
      </c>
      <c r="F3674" t="s">
        <v>478</v>
      </c>
      <c r="G3674">
        <v>-30.284167</v>
      </c>
      <c r="H3674">
        <v>115.034722</v>
      </c>
      <c r="I3674" t="s">
        <v>769</v>
      </c>
      <c r="J3674" s="2" t="s">
        <v>7</v>
      </c>
      <c r="K3674" t="s">
        <v>144</v>
      </c>
      <c r="L3674" t="s">
        <v>144</v>
      </c>
      <c r="M3674" t="s">
        <v>726</v>
      </c>
      <c r="N3674" t="s">
        <v>85</v>
      </c>
      <c r="O3674" s="6" t="s">
        <v>196</v>
      </c>
      <c r="P3674" t="s">
        <v>481</v>
      </c>
      <c r="Q3674">
        <f t="shared" si="71"/>
        <v>2.0833333333333332E-2</v>
      </c>
      <c r="R3674" t="s">
        <v>213</v>
      </c>
      <c r="S3674" s="2" t="s">
        <v>7</v>
      </c>
      <c r="T3674">
        <v>4</v>
      </c>
      <c r="U3674" t="s">
        <v>28</v>
      </c>
      <c r="V3674" t="s">
        <v>28</v>
      </c>
      <c r="W3674">
        <v>20</v>
      </c>
      <c r="X3674">
        <v>90.4</v>
      </c>
      <c r="Y3674" s="6">
        <f t="shared" si="72"/>
        <v>19.5</v>
      </c>
      <c r="Z3674">
        <f>100.15-X3674</f>
        <v>9.75</v>
      </c>
      <c r="AA3674" s="6"/>
      <c r="AB3674" s="6"/>
    </row>
    <row r="3675" spans="1:28" x14ac:dyDescent="0.2">
      <c r="A3675" t="s">
        <v>476</v>
      </c>
      <c r="B3675">
        <v>2009</v>
      </c>
      <c r="C3675" t="s">
        <v>826</v>
      </c>
      <c r="D3675" t="s">
        <v>812</v>
      </c>
      <c r="E3675" t="s">
        <v>175</v>
      </c>
      <c r="F3675" t="s">
        <v>478</v>
      </c>
      <c r="G3675">
        <v>-30.284167</v>
      </c>
      <c r="H3675">
        <v>115.034722</v>
      </c>
      <c r="I3675" t="s">
        <v>769</v>
      </c>
      <c r="J3675" s="2" t="s">
        <v>14</v>
      </c>
      <c r="K3675" t="s">
        <v>144</v>
      </c>
      <c r="L3675" t="s">
        <v>144</v>
      </c>
      <c r="M3675" t="s">
        <v>726</v>
      </c>
      <c r="N3675" t="s">
        <v>85</v>
      </c>
      <c r="O3675" s="6" t="s">
        <v>196</v>
      </c>
      <c r="P3675" t="s">
        <v>481</v>
      </c>
      <c r="Q3675">
        <f t="shared" si="71"/>
        <v>2.0833333333333332E-2</v>
      </c>
      <c r="R3675" t="s">
        <v>213</v>
      </c>
      <c r="S3675" s="2" t="s">
        <v>9</v>
      </c>
      <c r="T3675">
        <v>4</v>
      </c>
      <c r="U3675" t="s">
        <v>28</v>
      </c>
      <c r="V3675" t="s">
        <v>28</v>
      </c>
      <c r="W3675">
        <v>25</v>
      </c>
      <c r="X3675">
        <v>91.71</v>
      </c>
      <c r="Y3675" s="6">
        <f t="shared" si="72"/>
        <v>27.640000000000015</v>
      </c>
      <c r="Z3675">
        <f>105.53-X3675</f>
        <v>13.820000000000007</v>
      </c>
      <c r="AA3675" s="6"/>
      <c r="AB3675" s="6"/>
    </row>
    <row r="3676" spans="1:28" x14ac:dyDescent="0.2">
      <c r="A3676" t="s">
        <v>476</v>
      </c>
      <c r="B3676">
        <v>2009</v>
      </c>
      <c r="C3676" t="s">
        <v>826</v>
      </c>
      <c r="D3676" t="s">
        <v>812</v>
      </c>
      <c r="E3676" t="s">
        <v>175</v>
      </c>
      <c r="F3676" t="s">
        <v>478</v>
      </c>
      <c r="G3676">
        <v>-30.284167</v>
      </c>
      <c r="H3676">
        <v>115.034722</v>
      </c>
      <c r="I3676" t="s">
        <v>769</v>
      </c>
      <c r="J3676" s="2" t="s">
        <v>14</v>
      </c>
      <c r="K3676" t="s">
        <v>144</v>
      </c>
      <c r="L3676" t="s">
        <v>144</v>
      </c>
      <c r="M3676" t="s">
        <v>726</v>
      </c>
      <c r="N3676" t="s">
        <v>85</v>
      </c>
      <c r="O3676" s="6" t="s">
        <v>196</v>
      </c>
      <c r="P3676" t="s">
        <v>481</v>
      </c>
      <c r="Q3676">
        <f t="shared" si="71"/>
        <v>2.0833333333333332E-2</v>
      </c>
      <c r="R3676" t="s">
        <v>213</v>
      </c>
      <c r="S3676" s="2" t="s">
        <v>27</v>
      </c>
      <c r="T3676">
        <v>4</v>
      </c>
      <c r="U3676" t="s">
        <v>28</v>
      </c>
      <c r="V3676" t="s">
        <v>28</v>
      </c>
      <c r="W3676">
        <v>30</v>
      </c>
      <c r="X3676">
        <v>103.05</v>
      </c>
      <c r="Y3676" s="6">
        <f t="shared" si="72"/>
        <v>30.840000000000003</v>
      </c>
      <c r="Z3676">
        <f>118.47-X3676</f>
        <v>15.420000000000002</v>
      </c>
      <c r="AA3676" s="6"/>
      <c r="AB3676" s="6"/>
    </row>
    <row r="3677" spans="1:28" x14ac:dyDescent="0.2">
      <c r="A3677" t="s">
        <v>476</v>
      </c>
      <c r="B3677">
        <v>2009</v>
      </c>
      <c r="C3677" t="s">
        <v>826</v>
      </c>
      <c r="D3677" t="s">
        <v>812</v>
      </c>
      <c r="E3677" t="s">
        <v>175</v>
      </c>
      <c r="F3677" t="s">
        <v>479</v>
      </c>
      <c r="G3677">
        <v>-27.701388999999999</v>
      </c>
      <c r="H3677">
        <v>115.15138899999999</v>
      </c>
      <c r="I3677" t="s">
        <v>769</v>
      </c>
      <c r="J3677" s="2" t="s">
        <v>7</v>
      </c>
      <c r="K3677" t="s">
        <v>144</v>
      </c>
      <c r="L3677" t="s">
        <v>144</v>
      </c>
      <c r="M3677" t="s">
        <v>726</v>
      </c>
      <c r="N3677" t="s">
        <v>85</v>
      </c>
      <c r="O3677" s="6" t="s">
        <v>196</v>
      </c>
      <c r="P3677" t="s">
        <v>481</v>
      </c>
      <c r="Q3677">
        <f t="shared" si="71"/>
        <v>2.0833333333333332E-2</v>
      </c>
      <c r="R3677" t="s">
        <v>213</v>
      </c>
      <c r="S3677" s="2" t="s">
        <v>7</v>
      </c>
      <c r="T3677">
        <v>4</v>
      </c>
      <c r="U3677" t="s">
        <v>28</v>
      </c>
      <c r="V3677" t="s">
        <v>28</v>
      </c>
      <c r="W3677">
        <v>20</v>
      </c>
      <c r="X3677">
        <v>73.959999999999994</v>
      </c>
      <c r="Y3677" s="6">
        <f t="shared" si="72"/>
        <v>12.52000000000001</v>
      </c>
      <c r="Z3677">
        <f>80.22-X3677</f>
        <v>6.2600000000000051</v>
      </c>
      <c r="AA3677" s="6"/>
      <c r="AB3677" s="6"/>
    </row>
    <row r="3678" spans="1:28" x14ac:dyDescent="0.2">
      <c r="A3678" t="s">
        <v>476</v>
      </c>
      <c r="B3678">
        <v>2009</v>
      </c>
      <c r="C3678" t="s">
        <v>826</v>
      </c>
      <c r="D3678" t="s">
        <v>812</v>
      </c>
      <c r="E3678" t="s">
        <v>175</v>
      </c>
      <c r="F3678" t="s">
        <v>479</v>
      </c>
      <c r="G3678">
        <v>-27.701388999999999</v>
      </c>
      <c r="H3678">
        <v>115.15138899999999</v>
      </c>
      <c r="I3678" t="s">
        <v>769</v>
      </c>
      <c r="J3678" s="2" t="s">
        <v>14</v>
      </c>
      <c r="K3678" t="s">
        <v>144</v>
      </c>
      <c r="L3678" t="s">
        <v>144</v>
      </c>
      <c r="M3678" t="s">
        <v>726</v>
      </c>
      <c r="N3678" t="s">
        <v>85</v>
      </c>
      <c r="O3678" s="6" t="s">
        <v>196</v>
      </c>
      <c r="P3678" t="s">
        <v>481</v>
      </c>
      <c r="Q3678">
        <f t="shared" si="71"/>
        <v>2.0833333333333332E-2</v>
      </c>
      <c r="R3678" t="s">
        <v>213</v>
      </c>
      <c r="S3678" s="2" t="s">
        <v>9</v>
      </c>
      <c r="T3678">
        <v>4</v>
      </c>
      <c r="U3678" t="s">
        <v>28</v>
      </c>
      <c r="V3678" t="s">
        <v>28</v>
      </c>
      <c r="W3678">
        <v>25</v>
      </c>
      <c r="X3678">
        <v>82.25</v>
      </c>
      <c r="Y3678" s="6">
        <f t="shared" si="72"/>
        <v>24.439999999999998</v>
      </c>
      <c r="Z3678">
        <f>94.47-X3678</f>
        <v>12.219999999999999</v>
      </c>
      <c r="AA3678" s="6"/>
      <c r="AB3678" s="6"/>
    </row>
    <row r="3679" spans="1:28" x14ac:dyDescent="0.2">
      <c r="A3679" t="s">
        <v>476</v>
      </c>
      <c r="B3679">
        <v>2009</v>
      </c>
      <c r="C3679" t="s">
        <v>826</v>
      </c>
      <c r="D3679" t="s">
        <v>812</v>
      </c>
      <c r="E3679" t="s">
        <v>175</v>
      </c>
      <c r="F3679" t="s">
        <v>479</v>
      </c>
      <c r="G3679">
        <v>-27.701388999999999</v>
      </c>
      <c r="H3679">
        <v>115.15138899999999</v>
      </c>
      <c r="I3679" t="s">
        <v>769</v>
      </c>
      <c r="J3679" s="2" t="s">
        <v>14</v>
      </c>
      <c r="K3679" t="s">
        <v>144</v>
      </c>
      <c r="L3679" t="s">
        <v>144</v>
      </c>
      <c r="M3679" t="s">
        <v>726</v>
      </c>
      <c r="N3679" t="s">
        <v>85</v>
      </c>
      <c r="O3679" s="6" t="s">
        <v>196</v>
      </c>
      <c r="P3679" t="s">
        <v>481</v>
      </c>
      <c r="Q3679">
        <f t="shared" si="71"/>
        <v>2.0833333333333332E-2</v>
      </c>
      <c r="R3679" t="s">
        <v>213</v>
      </c>
      <c r="S3679" s="2" t="s">
        <v>27</v>
      </c>
      <c r="T3679">
        <v>4</v>
      </c>
      <c r="U3679" t="s">
        <v>28</v>
      </c>
      <c r="V3679" t="s">
        <v>28</v>
      </c>
      <c r="W3679">
        <v>30</v>
      </c>
      <c r="X3679">
        <v>66.69</v>
      </c>
      <c r="Y3679" s="6">
        <f t="shared" si="72"/>
        <v>18.620000000000005</v>
      </c>
      <c r="Z3679">
        <f>76-X3679</f>
        <v>9.3100000000000023</v>
      </c>
      <c r="AA3679" s="6"/>
      <c r="AB3679" s="6"/>
    </row>
    <row r="3680" spans="1:28" x14ac:dyDescent="0.2">
      <c r="A3680" t="s">
        <v>482</v>
      </c>
      <c r="B3680">
        <v>2010</v>
      </c>
      <c r="C3680" t="s">
        <v>826</v>
      </c>
      <c r="D3680" t="s">
        <v>824</v>
      </c>
      <c r="E3680" t="s">
        <v>114</v>
      </c>
      <c r="F3680" t="s">
        <v>483</v>
      </c>
      <c r="G3680">
        <v>36.869999999999997</v>
      </c>
      <c r="H3680">
        <v>122.42</v>
      </c>
      <c r="I3680" t="s">
        <v>766</v>
      </c>
      <c r="J3680" s="2" t="s">
        <v>7</v>
      </c>
      <c r="K3680" t="s">
        <v>490</v>
      </c>
      <c r="L3680" t="s">
        <v>143</v>
      </c>
      <c r="M3680" t="s">
        <v>26</v>
      </c>
      <c r="N3680" t="s">
        <v>85</v>
      </c>
      <c r="O3680" s="6" t="s">
        <v>462</v>
      </c>
      <c r="P3680" t="s">
        <v>491</v>
      </c>
      <c r="Q3680">
        <v>7</v>
      </c>
      <c r="R3680" t="s">
        <v>213</v>
      </c>
      <c r="S3680" s="2" t="s">
        <v>7</v>
      </c>
      <c r="T3680">
        <v>25</v>
      </c>
      <c r="U3680" t="s">
        <v>28</v>
      </c>
      <c r="V3680" t="s">
        <v>28</v>
      </c>
      <c r="W3680">
        <v>10</v>
      </c>
      <c r="X3680">
        <v>2.4079999999999999</v>
      </c>
      <c r="Y3680">
        <f>2.711-X3680</f>
        <v>0.30299999999999994</v>
      </c>
      <c r="AA3680" s="6"/>
      <c r="AB3680" s="6"/>
    </row>
    <row r="3681" spans="1:28" x14ac:dyDescent="0.2">
      <c r="A3681" t="s">
        <v>482</v>
      </c>
      <c r="B3681">
        <v>2010</v>
      </c>
      <c r="C3681" t="s">
        <v>826</v>
      </c>
      <c r="D3681" t="s">
        <v>824</v>
      </c>
      <c r="E3681" t="s">
        <v>114</v>
      </c>
      <c r="F3681" t="s">
        <v>483</v>
      </c>
      <c r="G3681">
        <v>36.869999999999997</v>
      </c>
      <c r="H3681">
        <v>122.42</v>
      </c>
      <c r="I3681" t="s">
        <v>766</v>
      </c>
      <c r="J3681" s="2" t="s">
        <v>14</v>
      </c>
      <c r="K3681" t="s">
        <v>490</v>
      </c>
      <c r="L3681" t="s">
        <v>143</v>
      </c>
      <c r="M3681" t="s">
        <v>26</v>
      </c>
      <c r="N3681" t="s">
        <v>85</v>
      </c>
      <c r="O3681" s="6" t="s">
        <v>462</v>
      </c>
      <c r="P3681" t="s">
        <v>491</v>
      </c>
      <c r="Q3681">
        <v>7</v>
      </c>
      <c r="R3681" t="s">
        <v>213</v>
      </c>
      <c r="S3681" s="2" t="s">
        <v>9</v>
      </c>
      <c r="T3681">
        <v>25</v>
      </c>
      <c r="U3681" t="s">
        <v>28</v>
      </c>
      <c r="V3681" t="s">
        <v>28</v>
      </c>
      <c r="W3681">
        <v>21</v>
      </c>
      <c r="X3681">
        <v>-0.38</v>
      </c>
      <c r="Y3681">
        <f>ABS(-0.585-X3681)</f>
        <v>0.20499999999999996</v>
      </c>
      <c r="AA3681" s="6"/>
      <c r="AB3681" s="6"/>
    </row>
    <row r="3682" spans="1:28" x14ac:dyDescent="0.2">
      <c r="A3682" t="s">
        <v>482</v>
      </c>
      <c r="B3682">
        <v>2010</v>
      </c>
      <c r="C3682" t="s">
        <v>826</v>
      </c>
      <c r="D3682" t="s">
        <v>824</v>
      </c>
      <c r="E3682" t="s">
        <v>114</v>
      </c>
      <c r="F3682" t="s">
        <v>483</v>
      </c>
      <c r="G3682">
        <v>36.869999999999997</v>
      </c>
      <c r="H3682">
        <v>122.42</v>
      </c>
      <c r="I3682" t="s">
        <v>766</v>
      </c>
      <c r="J3682" s="2" t="s">
        <v>14</v>
      </c>
      <c r="K3682" t="s">
        <v>490</v>
      </c>
      <c r="L3682" t="s">
        <v>143</v>
      </c>
      <c r="M3682" t="s">
        <v>26</v>
      </c>
      <c r="N3682" t="s">
        <v>85</v>
      </c>
      <c r="O3682" s="6" t="s">
        <v>462</v>
      </c>
      <c r="P3682" t="s">
        <v>491</v>
      </c>
      <c r="Q3682">
        <v>7</v>
      </c>
      <c r="R3682" t="s">
        <v>213</v>
      </c>
      <c r="S3682" s="2" t="s">
        <v>27</v>
      </c>
      <c r="T3682">
        <v>25</v>
      </c>
      <c r="U3682" t="s">
        <v>28</v>
      </c>
      <c r="V3682" t="s">
        <v>28</v>
      </c>
      <c r="W3682">
        <v>23</v>
      </c>
      <c r="X3682">
        <v>-1.056</v>
      </c>
      <c r="Y3682">
        <f>ABS(-1.254-X3682)</f>
        <v>0.19799999999999995</v>
      </c>
      <c r="AA3682" s="6"/>
      <c r="AB3682" s="6"/>
    </row>
    <row r="3683" spans="1:28" x14ac:dyDescent="0.2">
      <c r="A3683" t="s">
        <v>482</v>
      </c>
      <c r="B3683">
        <v>2010</v>
      </c>
      <c r="C3683" t="s">
        <v>826</v>
      </c>
      <c r="D3683" t="s">
        <v>824</v>
      </c>
      <c r="E3683" t="s">
        <v>114</v>
      </c>
      <c r="F3683" t="s">
        <v>484</v>
      </c>
      <c r="G3683">
        <v>37.24</v>
      </c>
      <c r="H3683">
        <v>122.58</v>
      </c>
      <c r="I3683" t="s">
        <v>766</v>
      </c>
      <c r="J3683" s="2" t="s">
        <v>7</v>
      </c>
      <c r="K3683" t="s">
        <v>490</v>
      </c>
      <c r="L3683" t="s">
        <v>143</v>
      </c>
      <c r="M3683" t="s">
        <v>26</v>
      </c>
      <c r="N3683" t="s">
        <v>85</v>
      </c>
      <c r="O3683" s="6" t="s">
        <v>462</v>
      </c>
      <c r="P3683" t="s">
        <v>491</v>
      </c>
      <c r="Q3683">
        <v>7</v>
      </c>
      <c r="R3683" t="s">
        <v>213</v>
      </c>
      <c r="S3683" s="2" t="s">
        <v>7</v>
      </c>
      <c r="T3683">
        <v>25</v>
      </c>
      <c r="U3683" t="s">
        <v>28</v>
      </c>
      <c r="V3683" t="s">
        <v>28</v>
      </c>
      <c r="W3683">
        <v>10</v>
      </c>
      <c r="X3683">
        <v>2.2610000000000001</v>
      </c>
      <c r="Y3683">
        <f>2.535-X3683</f>
        <v>0.27400000000000002</v>
      </c>
      <c r="AA3683" s="6"/>
      <c r="AB3683" s="6"/>
    </row>
    <row r="3684" spans="1:28" x14ac:dyDescent="0.2">
      <c r="A3684" t="s">
        <v>482</v>
      </c>
      <c r="B3684">
        <v>2010</v>
      </c>
      <c r="C3684" t="s">
        <v>826</v>
      </c>
      <c r="D3684" t="s">
        <v>824</v>
      </c>
      <c r="E3684" t="s">
        <v>114</v>
      </c>
      <c r="F3684" t="s">
        <v>484</v>
      </c>
      <c r="G3684">
        <v>37.24</v>
      </c>
      <c r="H3684">
        <v>122.58</v>
      </c>
      <c r="I3684" t="s">
        <v>766</v>
      </c>
      <c r="J3684" s="2" t="s">
        <v>14</v>
      </c>
      <c r="K3684" t="s">
        <v>490</v>
      </c>
      <c r="L3684" t="s">
        <v>143</v>
      </c>
      <c r="M3684" t="s">
        <v>26</v>
      </c>
      <c r="N3684" t="s">
        <v>85</v>
      </c>
      <c r="O3684" s="6" t="s">
        <v>462</v>
      </c>
      <c r="P3684" t="s">
        <v>491</v>
      </c>
      <c r="Q3684">
        <v>7</v>
      </c>
      <c r="R3684" t="s">
        <v>213</v>
      </c>
      <c r="S3684" s="2" t="s">
        <v>9</v>
      </c>
      <c r="T3684">
        <v>25</v>
      </c>
      <c r="U3684" t="s">
        <v>28</v>
      </c>
      <c r="V3684" t="s">
        <v>28</v>
      </c>
      <c r="W3684">
        <v>21</v>
      </c>
      <c r="X3684">
        <v>0.14099999999999999</v>
      </c>
      <c r="Y3684">
        <f>0.423-X3684</f>
        <v>0.28200000000000003</v>
      </c>
      <c r="AA3684" s="6"/>
      <c r="AB3684" s="6"/>
    </row>
    <row r="3685" spans="1:28" x14ac:dyDescent="0.2">
      <c r="A3685" t="s">
        <v>482</v>
      </c>
      <c r="B3685">
        <v>2010</v>
      </c>
      <c r="C3685" t="s">
        <v>826</v>
      </c>
      <c r="D3685" t="s">
        <v>824</v>
      </c>
      <c r="E3685" t="s">
        <v>114</v>
      </c>
      <c r="F3685" t="s">
        <v>484</v>
      </c>
      <c r="G3685">
        <v>37.24</v>
      </c>
      <c r="H3685">
        <v>122.58</v>
      </c>
      <c r="I3685" t="s">
        <v>766</v>
      </c>
      <c r="J3685" s="2" t="s">
        <v>14</v>
      </c>
      <c r="K3685" t="s">
        <v>490</v>
      </c>
      <c r="L3685" t="s">
        <v>143</v>
      </c>
      <c r="M3685" t="s">
        <v>26</v>
      </c>
      <c r="N3685" t="s">
        <v>85</v>
      </c>
      <c r="O3685" s="6" t="s">
        <v>462</v>
      </c>
      <c r="P3685" t="s">
        <v>491</v>
      </c>
      <c r="Q3685">
        <v>7</v>
      </c>
      <c r="R3685" t="s">
        <v>213</v>
      </c>
      <c r="S3685" s="2" t="s">
        <v>27</v>
      </c>
      <c r="T3685">
        <v>25</v>
      </c>
      <c r="U3685" t="s">
        <v>28</v>
      </c>
      <c r="V3685" t="s">
        <v>28</v>
      </c>
      <c r="W3685">
        <v>23</v>
      </c>
      <c r="X3685">
        <v>-0.95099999999999996</v>
      </c>
      <c r="Y3685">
        <f>ABS(-1.162-X3685)</f>
        <v>0.21099999999999997</v>
      </c>
      <c r="AA3685" s="6"/>
      <c r="AB3685" s="6"/>
    </row>
    <row r="3686" spans="1:28" x14ac:dyDescent="0.2">
      <c r="A3686" t="s">
        <v>482</v>
      </c>
      <c r="B3686">
        <v>2010</v>
      </c>
      <c r="C3686" t="s">
        <v>826</v>
      </c>
      <c r="D3686" t="s">
        <v>824</v>
      </c>
      <c r="E3686" t="s">
        <v>114</v>
      </c>
      <c r="F3686" t="s">
        <v>485</v>
      </c>
      <c r="G3686">
        <v>37.478665999999997</v>
      </c>
      <c r="H3686">
        <v>121.949291</v>
      </c>
      <c r="I3686" t="s">
        <v>766</v>
      </c>
      <c r="J3686" s="2" t="s">
        <v>7</v>
      </c>
      <c r="K3686" t="s">
        <v>490</v>
      </c>
      <c r="L3686" t="s">
        <v>143</v>
      </c>
      <c r="M3686" t="s">
        <v>26</v>
      </c>
      <c r="N3686" t="s">
        <v>85</v>
      </c>
      <c r="O3686" s="6" t="s">
        <v>462</v>
      </c>
      <c r="P3686" t="s">
        <v>491</v>
      </c>
      <c r="Q3686">
        <v>7</v>
      </c>
      <c r="R3686" t="s">
        <v>213</v>
      </c>
      <c r="S3686" s="2" t="s">
        <v>7</v>
      </c>
      <c r="T3686">
        <v>25</v>
      </c>
      <c r="U3686" t="s">
        <v>28</v>
      </c>
      <c r="V3686" t="s">
        <v>28</v>
      </c>
      <c r="W3686">
        <v>10</v>
      </c>
      <c r="X3686">
        <v>2.2320000000000002</v>
      </c>
      <c r="Y3686">
        <f>2.507-X3686</f>
        <v>0.27499999999999991</v>
      </c>
      <c r="AA3686" s="6"/>
      <c r="AB3686" s="6"/>
    </row>
    <row r="3687" spans="1:28" x14ac:dyDescent="0.2">
      <c r="A3687" t="s">
        <v>482</v>
      </c>
      <c r="B3687">
        <v>2010</v>
      </c>
      <c r="C3687" t="s">
        <v>826</v>
      </c>
      <c r="D3687" t="s">
        <v>824</v>
      </c>
      <c r="E3687" t="s">
        <v>114</v>
      </c>
      <c r="F3687" t="s">
        <v>485</v>
      </c>
      <c r="G3687">
        <v>37.478665999999997</v>
      </c>
      <c r="H3687">
        <v>121.949291</v>
      </c>
      <c r="I3687" t="s">
        <v>766</v>
      </c>
      <c r="J3687" s="2" t="s">
        <v>14</v>
      </c>
      <c r="K3687" t="s">
        <v>490</v>
      </c>
      <c r="L3687" t="s">
        <v>143</v>
      </c>
      <c r="M3687" t="s">
        <v>26</v>
      </c>
      <c r="N3687" t="s">
        <v>85</v>
      </c>
      <c r="O3687" s="6" t="s">
        <v>462</v>
      </c>
      <c r="P3687" t="s">
        <v>491</v>
      </c>
      <c r="Q3687">
        <v>7</v>
      </c>
      <c r="R3687" t="s">
        <v>213</v>
      </c>
      <c r="S3687" s="2" t="s">
        <v>9</v>
      </c>
      <c r="T3687">
        <v>25</v>
      </c>
      <c r="U3687" t="s">
        <v>28</v>
      </c>
      <c r="V3687" t="s">
        <v>28</v>
      </c>
      <c r="W3687">
        <v>21</v>
      </c>
      <c r="X3687">
        <v>-0.59899999999999998</v>
      </c>
      <c r="Y3687">
        <f>ABS(-0.775-X3687)</f>
        <v>0.17600000000000005</v>
      </c>
      <c r="AA3687" s="6"/>
      <c r="AB3687" s="6"/>
    </row>
    <row r="3688" spans="1:28" x14ac:dyDescent="0.2">
      <c r="A3688" t="s">
        <v>482</v>
      </c>
      <c r="B3688">
        <v>2010</v>
      </c>
      <c r="C3688" t="s">
        <v>826</v>
      </c>
      <c r="D3688" t="s">
        <v>824</v>
      </c>
      <c r="E3688" t="s">
        <v>114</v>
      </c>
      <c r="F3688" t="s">
        <v>485</v>
      </c>
      <c r="G3688">
        <v>37.478665999999997</v>
      </c>
      <c r="H3688">
        <v>121.949291</v>
      </c>
      <c r="I3688" t="s">
        <v>766</v>
      </c>
      <c r="J3688" s="2" t="s">
        <v>14</v>
      </c>
      <c r="K3688" t="s">
        <v>490</v>
      </c>
      <c r="L3688" t="s">
        <v>143</v>
      </c>
      <c r="M3688" t="s">
        <v>26</v>
      </c>
      <c r="N3688" t="s">
        <v>85</v>
      </c>
      <c r="O3688" s="6" t="s">
        <v>462</v>
      </c>
      <c r="P3688" t="s">
        <v>491</v>
      </c>
      <c r="Q3688">
        <v>7</v>
      </c>
      <c r="R3688" t="s">
        <v>213</v>
      </c>
      <c r="S3688" s="2" t="s">
        <v>27</v>
      </c>
      <c r="T3688">
        <v>25</v>
      </c>
      <c r="U3688" t="s">
        <v>28</v>
      </c>
      <c r="V3688" t="s">
        <v>28</v>
      </c>
      <c r="W3688">
        <v>23</v>
      </c>
      <c r="X3688">
        <v>-1.5069999999999999</v>
      </c>
      <c r="Y3688">
        <f>ABS(-1.81-X3688)</f>
        <v>0.30300000000000016</v>
      </c>
      <c r="AA3688" s="6"/>
      <c r="AB3688" s="6"/>
    </row>
    <row r="3689" spans="1:28" x14ac:dyDescent="0.2">
      <c r="A3689" t="s">
        <v>482</v>
      </c>
      <c r="B3689">
        <v>2010</v>
      </c>
      <c r="C3689" t="s">
        <v>826</v>
      </c>
      <c r="D3689" t="s">
        <v>824</v>
      </c>
      <c r="E3689" t="s">
        <v>114</v>
      </c>
      <c r="F3689" t="s">
        <v>486</v>
      </c>
      <c r="G3689">
        <v>37.212491</v>
      </c>
      <c r="H3689">
        <v>122.63297900000001</v>
      </c>
      <c r="I3689" t="s">
        <v>766</v>
      </c>
      <c r="J3689" s="2" t="s">
        <v>7</v>
      </c>
      <c r="K3689" t="s">
        <v>490</v>
      </c>
      <c r="L3689" t="s">
        <v>143</v>
      </c>
      <c r="M3689" t="s">
        <v>26</v>
      </c>
      <c r="N3689" t="s">
        <v>85</v>
      </c>
      <c r="O3689" s="6" t="s">
        <v>462</v>
      </c>
      <c r="P3689" t="s">
        <v>491</v>
      </c>
      <c r="Q3689">
        <v>7</v>
      </c>
      <c r="R3689" t="s">
        <v>213</v>
      </c>
      <c r="S3689" s="2" t="s">
        <v>7</v>
      </c>
      <c r="T3689">
        <v>25</v>
      </c>
      <c r="U3689" t="s">
        <v>28</v>
      </c>
      <c r="V3689" t="s">
        <v>28</v>
      </c>
      <c r="W3689">
        <v>10</v>
      </c>
      <c r="X3689">
        <v>2.2610000000000001</v>
      </c>
      <c r="Y3689">
        <f>2.577-X3689</f>
        <v>0.31599999999999984</v>
      </c>
      <c r="AA3689" s="6"/>
      <c r="AB3689" s="6"/>
    </row>
    <row r="3690" spans="1:28" x14ac:dyDescent="0.2">
      <c r="A3690" t="s">
        <v>482</v>
      </c>
      <c r="B3690">
        <v>2010</v>
      </c>
      <c r="C3690" t="s">
        <v>826</v>
      </c>
      <c r="D3690" t="s">
        <v>824</v>
      </c>
      <c r="E3690" t="s">
        <v>114</v>
      </c>
      <c r="F3690" t="s">
        <v>486</v>
      </c>
      <c r="G3690">
        <v>37.212491</v>
      </c>
      <c r="H3690">
        <v>122.63297900000001</v>
      </c>
      <c r="I3690" t="s">
        <v>766</v>
      </c>
      <c r="J3690" s="2" t="s">
        <v>14</v>
      </c>
      <c r="K3690" t="s">
        <v>490</v>
      </c>
      <c r="L3690" t="s">
        <v>143</v>
      </c>
      <c r="M3690" t="s">
        <v>26</v>
      </c>
      <c r="N3690" t="s">
        <v>85</v>
      </c>
      <c r="O3690" s="6" t="s">
        <v>462</v>
      </c>
      <c r="P3690" t="s">
        <v>491</v>
      </c>
      <c r="Q3690">
        <v>7</v>
      </c>
      <c r="R3690" t="s">
        <v>213</v>
      </c>
      <c r="S3690" s="2" t="s">
        <v>9</v>
      </c>
      <c r="T3690">
        <v>25</v>
      </c>
      <c r="U3690" t="s">
        <v>28</v>
      </c>
      <c r="V3690" t="s">
        <v>28</v>
      </c>
      <c r="W3690">
        <v>21</v>
      </c>
      <c r="X3690">
        <v>-0.28899999999999998</v>
      </c>
      <c r="Y3690">
        <f>ABS(-0.542-X3690)</f>
        <v>0.25300000000000006</v>
      </c>
      <c r="AA3690" s="6"/>
      <c r="AB3690" s="6"/>
    </row>
    <row r="3691" spans="1:28" x14ac:dyDescent="0.2">
      <c r="A3691" t="s">
        <v>482</v>
      </c>
      <c r="B3691">
        <v>2010</v>
      </c>
      <c r="C3691" t="s">
        <v>826</v>
      </c>
      <c r="D3691" t="s">
        <v>824</v>
      </c>
      <c r="E3691" t="s">
        <v>114</v>
      </c>
      <c r="F3691" t="s">
        <v>486</v>
      </c>
      <c r="G3691">
        <v>37.212491</v>
      </c>
      <c r="H3691">
        <v>122.63297900000001</v>
      </c>
      <c r="I3691" t="s">
        <v>766</v>
      </c>
      <c r="J3691" s="2" t="s">
        <v>14</v>
      </c>
      <c r="K3691" t="s">
        <v>490</v>
      </c>
      <c r="L3691" t="s">
        <v>143</v>
      </c>
      <c r="M3691" t="s">
        <v>26</v>
      </c>
      <c r="N3691" t="s">
        <v>85</v>
      </c>
      <c r="O3691" s="6" t="s">
        <v>462</v>
      </c>
      <c r="P3691" t="s">
        <v>491</v>
      </c>
      <c r="Q3691">
        <v>7</v>
      </c>
      <c r="R3691" t="s">
        <v>213</v>
      </c>
      <c r="S3691" s="2" t="s">
        <v>27</v>
      </c>
      <c r="T3691">
        <v>25</v>
      </c>
      <c r="U3691" t="s">
        <v>28</v>
      </c>
      <c r="V3691" t="s">
        <v>28</v>
      </c>
      <c r="W3691">
        <v>23</v>
      </c>
      <c r="X3691">
        <v>-1.1479999999999999</v>
      </c>
      <c r="Y3691">
        <f>ABS(-1.31-X3691)</f>
        <v>0.16200000000000014</v>
      </c>
      <c r="AA3691" s="6"/>
      <c r="AB3691" s="6"/>
    </row>
    <row r="3692" spans="1:28" x14ac:dyDescent="0.2">
      <c r="A3692" t="s">
        <v>482</v>
      </c>
      <c r="B3692">
        <v>2010</v>
      </c>
      <c r="C3692" t="s">
        <v>826</v>
      </c>
      <c r="D3692" t="s">
        <v>824</v>
      </c>
      <c r="E3692" t="s">
        <v>114</v>
      </c>
      <c r="F3692" t="s">
        <v>487</v>
      </c>
      <c r="G3692">
        <v>37.094527999999997</v>
      </c>
      <c r="H3692">
        <v>122.58033500000001</v>
      </c>
      <c r="I3692" t="s">
        <v>766</v>
      </c>
      <c r="J3692" s="2" t="s">
        <v>7</v>
      </c>
      <c r="K3692" t="s">
        <v>490</v>
      </c>
      <c r="L3692" t="s">
        <v>143</v>
      </c>
      <c r="M3692" t="s">
        <v>26</v>
      </c>
      <c r="N3692" t="s">
        <v>85</v>
      </c>
      <c r="O3692" s="6" t="s">
        <v>462</v>
      </c>
      <c r="P3692" t="s">
        <v>491</v>
      </c>
      <c r="Q3692">
        <v>7</v>
      </c>
      <c r="R3692" t="s">
        <v>213</v>
      </c>
      <c r="S3692" s="2" t="s">
        <v>7</v>
      </c>
      <c r="T3692">
        <v>25</v>
      </c>
      <c r="U3692" t="s">
        <v>28</v>
      </c>
      <c r="V3692" t="s">
        <v>28</v>
      </c>
      <c r="W3692">
        <v>10</v>
      </c>
      <c r="X3692">
        <v>2.528</v>
      </c>
      <c r="Y3692">
        <f>2.746-X3692</f>
        <v>0.21799999999999997</v>
      </c>
      <c r="AA3692" s="6"/>
      <c r="AB3692" s="6"/>
    </row>
    <row r="3693" spans="1:28" x14ac:dyDescent="0.2">
      <c r="A3693" t="s">
        <v>482</v>
      </c>
      <c r="B3693">
        <v>2010</v>
      </c>
      <c r="C3693" t="s">
        <v>826</v>
      </c>
      <c r="D3693" t="s">
        <v>824</v>
      </c>
      <c r="E3693" t="s">
        <v>114</v>
      </c>
      <c r="F3693" t="s">
        <v>487</v>
      </c>
      <c r="G3693">
        <v>37.094527999999997</v>
      </c>
      <c r="H3693">
        <v>122.58033500000001</v>
      </c>
      <c r="I3693" t="s">
        <v>766</v>
      </c>
      <c r="J3693" s="2" t="s">
        <v>14</v>
      </c>
      <c r="K3693" t="s">
        <v>490</v>
      </c>
      <c r="L3693" t="s">
        <v>143</v>
      </c>
      <c r="M3693" t="s">
        <v>26</v>
      </c>
      <c r="N3693" t="s">
        <v>85</v>
      </c>
      <c r="O3693" s="6" t="s">
        <v>462</v>
      </c>
      <c r="P3693" t="s">
        <v>491</v>
      </c>
      <c r="Q3693">
        <v>7</v>
      </c>
      <c r="R3693" t="s">
        <v>213</v>
      </c>
      <c r="S3693" s="2" t="s">
        <v>9</v>
      </c>
      <c r="T3693">
        <v>25</v>
      </c>
      <c r="U3693" t="s">
        <v>28</v>
      </c>
      <c r="V3693" t="s">
        <v>28</v>
      </c>
      <c r="W3693">
        <v>21</v>
      </c>
      <c r="X3693">
        <v>0.32400000000000001</v>
      </c>
      <c r="Y3693">
        <f>0.627-X3693</f>
        <v>0.30299999999999999</v>
      </c>
      <c r="AA3693" s="6"/>
      <c r="AB3693" s="6"/>
    </row>
    <row r="3694" spans="1:28" x14ac:dyDescent="0.2">
      <c r="A3694" t="s">
        <v>482</v>
      </c>
      <c r="B3694">
        <v>2010</v>
      </c>
      <c r="C3694" t="s">
        <v>826</v>
      </c>
      <c r="D3694" t="s">
        <v>824</v>
      </c>
      <c r="E3694" t="s">
        <v>114</v>
      </c>
      <c r="F3694" t="s">
        <v>487</v>
      </c>
      <c r="G3694">
        <v>37.094527999999997</v>
      </c>
      <c r="H3694">
        <v>122.58033500000001</v>
      </c>
      <c r="I3694" t="s">
        <v>766</v>
      </c>
      <c r="J3694" s="2" t="s">
        <v>14</v>
      </c>
      <c r="K3694" t="s">
        <v>490</v>
      </c>
      <c r="L3694" t="s">
        <v>143</v>
      </c>
      <c r="M3694" t="s">
        <v>26</v>
      </c>
      <c r="N3694" t="s">
        <v>85</v>
      </c>
      <c r="O3694" s="6" t="s">
        <v>462</v>
      </c>
      <c r="P3694" t="s">
        <v>491</v>
      </c>
      <c r="Q3694">
        <v>7</v>
      </c>
      <c r="R3694" t="s">
        <v>213</v>
      </c>
      <c r="S3694" s="2" t="s">
        <v>27</v>
      </c>
      <c r="T3694">
        <v>25</v>
      </c>
      <c r="U3694" t="s">
        <v>28</v>
      </c>
      <c r="V3694" t="s">
        <v>28</v>
      </c>
      <c r="W3694">
        <v>23</v>
      </c>
      <c r="X3694">
        <v>-0.90800000000000003</v>
      </c>
      <c r="Y3694">
        <f>ABS(-1.134-X3694)</f>
        <v>0.22599999999999987</v>
      </c>
      <c r="AA3694" s="6"/>
      <c r="AB3694" s="6"/>
    </row>
    <row r="3695" spans="1:28" x14ac:dyDescent="0.2">
      <c r="A3695" t="s">
        <v>482</v>
      </c>
      <c r="B3695">
        <v>2010</v>
      </c>
      <c r="C3695" t="s">
        <v>826</v>
      </c>
      <c r="D3695" t="s">
        <v>824</v>
      </c>
      <c r="E3695" t="s">
        <v>114</v>
      </c>
      <c r="F3695" t="s">
        <v>488</v>
      </c>
      <c r="G3695">
        <v>37.482649000000002</v>
      </c>
      <c r="H3695">
        <v>121.931369</v>
      </c>
      <c r="I3695" t="s">
        <v>764</v>
      </c>
      <c r="J3695" s="2" t="s">
        <v>7</v>
      </c>
      <c r="K3695" t="s">
        <v>490</v>
      </c>
      <c r="L3695" t="s">
        <v>143</v>
      </c>
      <c r="M3695" t="s">
        <v>26</v>
      </c>
      <c r="N3695" t="s">
        <v>85</v>
      </c>
      <c r="O3695" s="6" t="s">
        <v>462</v>
      </c>
      <c r="P3695" t="s">
        <v>491</v>
      </c>
      <c r="Q3695">
        <v>7</v>
      </c>
      <c r="R3695" t="s">
        <v>213</v>
      </c>
      <c r="S3695" s="2" t="s">
        <v>7</v>
      </c>
      <c r="T3695">
        <v>25</v>
      </c>
      <c r="U3695" t="s">
        <v>28</v>
      </c>
      <c r="V3695" t="s">
        <v>28</v>
      </c>
      <c r="W3695">
        <v>10</v>
      </c>
      <c r="X3695">
        <v>2.31</v>
      </c>
      <c r="Y3695">
        <f>2.5-X3695</f>
        <v>0.18999999999999995</v>
      </c>
      <c r="AA3695" s="6"/>
      <c r="AB3695" s="6"/>
    </row>
    <row r="3696" spans="1:28" x14ac:dyDescent="0.2">
      <c r="A3696" t="s">
        <v>482</v>
      </c>
      <c r="B3696">
        <v>2010</v>
      </c>
      <c r="C3696" t="s">
        <v>826</v>
      </c>
      <c r="D3696" t="s">
        <v>824</v>
      </c>
      <c r="E3696" t="s">
        <v>114</v>
      </c>
      <c r="F3696" t="s">
        <v>488</v>
      </c>
      <c r="G3696">
        <v>37.482649000000002</v>
      </c>
      <c r="H3696">
        <v>121.931369</v>
      </c>
      <c r="I3696" t="s">
        <v>764</v>
      </c>
      <c r="J3696" s="2" t="s">
        <v>14</v>
      </c>
      <c r="K3696" t="s">
        <v>490</v>
      </c>
      <c r="L3696" t="s">
        <v>143</v>
      </c>
      <c r="M3696" t="s">
        <v>26</v>
      </c>
      <c r="N3696" t="s">
        <v>85</v>
      </c>
      <c r="O3696" s="6" t="s">
        <v>462</v>
      </c>
      <c r="P3696" t="s">
        <v>491</v>
      </c>
      <c r="Q3696">
        <v>7</v>
      </c>
      <c r="R3696" t="s">
        <v>213</v>
      </c>
      <c r="S3696" s="2" t="s">
        <v>9</v>
      </c>
      <c r="T3696">
        <v>25</v>
      </c>
      <c r="U3696" t="s">
        <v>28</v>
      </c>
      <c r="V3696" t="s">
        <v>28</v>
      </c>
      <c r="W3696">
        <v>21</v>
      </c>
      <c r="X3696">
        <v>0.52100000000000002</v>
      </c>
      <c r="Y3696">
        <f>0.81-X3696</f>
        <v>0.28900000000000003</v>
      </c>
      <c r="AA3696" s="6"/>
      <c r="AB3696" s="6"/>
    </row>
    <row r="3697" spans="1:28" x14ac:dyDescent="0.2">
      <c r="A3697" t="s">
        <v>482</v>
      </c>
      <c r="B3697">
        <v>2010</v>
      </c>
      <c r="C3697" t="s">
        <v>826</v>
      </c>
      <c r="D3697" t="s">
        <v>824</v>
      </c>
      <c r="E3697" t="s">
        <v>114</v>
      </c>
      <c r="F3697" t="s">
        <v>488</v>
      </c>
      <c r="G3697">
        <v>37.482649000000002</v>
      </c>
      <c r="H3697">
        <v>121.931369</v>
      </c>
      <c r="I3697" t="s">
        <v>764</v>
      </c>
      <c r="J3697" s="2" t="s">
        <v>14</v>
      </c>
      <c r="K3697" t="s">
        <v>490</v>
      </c>
      <c r="L3697" t="s">
        <v>143</v>
      </c>
      <c r="M3697" t="s">
        <v>26</v>
      </c>
      <c r="N3697" t="s">
        <v>85</v>
      </c>
      <c r="O3697" s="6" t="s">
        <v>462</v>
      </c>
      <c r="P3697" t="s">
        <v>491</v>
      </c>
      <c r="Q3697">
        <v>7</v>
      </c>
      <c r="R3697" t="s">
        <v>213</v>
      </c>
      <c r="S3697" s="2" t="s">
        <v>27</v>
      </c>
      <c r="T3697">
        <v>25</v>
      </c>
      <c r="U3697" t="s">
        <v>28</v>
      </c>
      <c r="V3697" t="s">
        <v>28</v>
      </c>
      <c r="W3697">
        <v>23</v>
      </c>
      <c r="X3697">
        <v>-0.59199999999999997</v>
      </c>
      <c r="Y3697">
        <f>ABS(-0.775-X3697)</f>
        <v>0.18300000000000005</v>
      </c>
      <c r="AA3697" s="6"/>
      <c r="AB3697" s="6"/>
    </row>
    <row r="3698" spans="1:28" x14ac:dyDescent="0.2">
      <c r="A3698" t="s">
        <v>482</v>
      </c>
      <c r="B3698">
        <v>2010</v>
      </c>
      <c r="C3698" t="s">
        <v>826</v>
      </c>
      <c r="D3698" t="s">
        <v>824</v>
      </c>
      <c r="E3698" t="s">
        <v>114</v>
      </c>
      <c r="F3698" t="s">
        <v>489</v>
      </c>
      <c r="G3698">
        <v>36.033332000000001</v>
      </c>
      <c r="H3698">
        <v>120.380697</v>
      </c>
      <c r="I3698" t="s">
        <v>764</v>
      </c>
      <c r="J3698" s="2" t="s">
        <v>7</v>
      </c>
      <c r="K3698" t="s">
        <v>490</v>
      </c>
      <c r="L3698" t="s">
        <v>143</v>
      </c>
      <c r="M3698" t="s">
        <v>26</v>
      </c>
      <c r="N3698" t="s">
        <v>85</v>
      </c>
      <c r="O3698" s="6" t="s">
        <v>462</v>
      </c>
      <c r="P3698" t="s">
        <v>491</v>
      </c>
      <c r="Q3698">
        <v>7</v>
      </c>
      <c r="R3698" t="s">
        <v>213</v>
      </c>
      <c r="S3698" s="2" t="s">
        <v>7</v>
      </c>
      <c r="T3698">
        <v>25</v>
      </c>
      <c r="U3698" t="s">
        <v>28</v>
      </c>
      <c r="V3698" t="s">
        <v>28</v>
      </c>
      <c r="W3698">
        <v>10</v>
      </c>
      <c r="X3698">
        <v>2.2250000000000001</v>
      </c>
      <c r="Y3698">
        <f>2.479-X3698</f>
        <v>0.254</v>
      </c>
      <c r="AA3698" s="6"/>
      <c r="AB3698" s="6"/>
    </row>
    <row r="3699" spans="1:28" x14ac:dyDescent="0.2">
      <c r="A3699" t="s">
        <v>482</v>
      </c>
      <c r="B3699">
        <v>2010</v>
      </c>
      <c r="C3699" t="s">
        <v>826</v>
      </c>
      <c r="D3699" t="s">
        <v>824</v>
      </c>
      <c r="E3699" t="s">
        <v>114</v>
      </c>
      <c r="F3699" t="s">
        <v>489</v>
      </c>
      <c r="G3699">
        <v>36.033332000000001</v>
      </c>
      <c r="H3699">
        <v>120.380697</v>
      </c>
      <c r="I3699" t="s">
        <v>764</v>
      </c>
      <c r="J3699" s="2" t="s">
        <v>14</v>
      </c>
      <c r="K3699" t="s">
        <v>490</v>
      </c>
      <c r="L3699" t="s">
        <v>143</v>
      </c>
      <c r="M3699" t="s">
        <v>26</v>
      </c>
      <c r="N3699" t="s">
        <v>85</v>
      </c>
      <c r="O3699" s="6" t="s">
        <v>462</v>
      </c>
      <c r="P3699" t="s">
        <v>491</v>
      </c>
      <c r="Q3699">
        <v>7</v>
      </c>
      <c r="R3699" t="s">
        <v>213</v>
      </c>
      <c r="S3699" s="2" t="s">
        <v>9</v>
      </c>
      <c r="T3699">
        <v>25</v>
      </c>
      <c r="U3699" t="s">
        <v>28</v>
      </c>
      <c r="V3699" t="s">
        <v>28</v>
      </c>
      <c r="W3699">
        <v>21</v>
      </c>
      <c r="X3699">
        <v>0.51400000000000001</v>
      </c>
      <c r="Y3699">
        <f>0.887-X3699</f>
        <v>0.373</v>
      </c>
      <c r="AA3699" s="6"/>
      <c r="AB3699" s="6"/>
    </row>
    <row r="3700" spans="1:28" x14ac:dyDescent="0.2">
      <c r="A3700" t="s">
        <v>482</v>
      </c>
      <c r="B3700">
        <v>2010</v>
      </c>
      <c r="C3700" t="s">
        <v>826</v>
      </c>
      <c r="D3700" t="s">
        <v>824</v>
      </c>
      <c r="E3700" t="s">
        <v>114</v>
      </c>
      <c r="F3700" t="s">
        <v>489</v>
      </c>
      <c r="G3700">
        <v>36.033332000000001</v>
      </c>
      <c r="H3700">
        <v>120.380697</v>
      </c>
      <c r="I3700" t="s">
        <v>764</v>
      </c>
      <c r="J3700" s="2" t="s">
        <v>14</v>
      </c>
      <c r="K3700" t="s">
        <v>490</v>
      </c>
      <c r="L3700" t="s">
        <v>143</v>
      </c>
      <c r="M3700" t="s">
        <v>26</v>
      </c>
      <c r="N3700" t="s">
        <v>85</v>
      </c>
      <c r="O3700" s="6" t="s">
        <v>462</v>
      </c>
      <c r="P3700" t="s">
        <v>491</v>
      </c>
      <c r="Q3700">
        <v>7</v>
      </c>
      <c r="R3700" t="s">
        <v>213</v>
      </c>
      <c r="S3700" s="2" t="s">
        <v>27</v>
      </c>
      <c r="T3700">
        <v>25</v>
      </c>
      <c r="U3700" t="s">
        <v>28</v>
      </c>
      <c r="V3700" t="s">
        <v>28</v>
      </c>
      <c r="W3700">
        <v>23</v>
      </c>
      <c r="X3700">
        <v>-0.373</v>
      </c>
      <c r="Y3700">
        <f>ABS(-0.634-X3700)</f>
        <v>0.26100000000000001</v>
      </c>
      <c r="AA3700" s="6"/>
      <c r="AB3700" s="6"/>
    </row>
    <row r="3701" spans="1:28" x14ac:dyDescent="0.2">
      <c r="A3701" t="s">
        <v>482</v>
      </c>
      <c r="B3701">
        <v>2010</v>
      </c>
      <c r="C3701" t="s">
        <v>826</v>
      </c>
      <c r="D3701" t="s">
        <v>824</v>
      </c>
      <c r="E3701" t="s">
        <v>114</v>
      </c>
      <c r="F3701" t="s">
        <v>483</v>
      </c>
      <c r="G3701">
        <v>36.869999999999997</v>
      </c>
      <c r="H3701">
        <v>122.42</v>
      </c>
      <c r="I3701" t="s">
        <v>766</v>
      </c>
      <c r="J3701" s="2" t="s">
        <v>7</v>
      </c>
      <c r="K3701" t="s">
        <v>490</v>
      </c>
      <c r="L3701" t="s">
        <v>143</v>
      </c>
      <c r="M3701" t="s">
        <v>663</v>
      </c>
      <c r="N3701" t="s">
        <v>86</v>
      </c>
      <c r="O3701" s="6" t="s">
        <v>492</v>
      </c>
      <c r="P3701" t="s">
        <v>70</v>
      </c>
      <c r="Q3701">
        <v>7</v>
      </c>
      <c r="R3701" t="s">
        <v>213</v>
      </c>
      <c r="S3701" s="2" t="s">
        <v>7</v>
      </c>
      <c r="T3701">
        <v>1</v>
      </c>
      <c r="U3701" t="s">
        <v>28</v>
      </c>
      <c r="V3701" t="s">
        <v>28</v>
      </c>
      <c r="W3701">
        <v>10</v>
      </c>
      <c r="X3701">
        <v>0</v>
      </c>
      <c r="Y3701" t="s">
        <v>28</v>
      </c>
    </row>
    <row r="3702" spans="1:28" x14ac:dyDescent="0.2">
      <c r="A3702" t="s">
        <v>482</v>
      </c>
      <c r="B3702">
        <v>2010</v>
      </c>
      <c r="C3702" t="s">
        <v>826</v>
      </c>
      <c r="D3702" t="s">
        <v>824</v>
      </c>
      <c r="E3702" t="s">
        <v>114</v>
      </c>
      <c r="F3702" t="s">
        <v>483</v>
      </c>
      <c r="G3702">
        <v>36.869999999999997</v>
      </c>
      <c r="H3702">
        <v>122.42</v>
      </c>
      <c r="I3702" t="s">
        <v>766</v>
      </c>
      <c r="J3702" s="2" t="s">
        <v>14</v>
      </c>
      <c r="K3702" t="s">
        <v>490</v>
      </c>
      <c r="L3702" t="s">
        <v>143</v>
      </c>
      <c r="M3702" t="s">
        <v>663</v>
      </c>
      <c r="N3702" t="s">
        <v>86</v>
      </c>
      <c r="O3702" s="6" t="s">
        <v>492</v>
      </c>
      <c r="P3702" t="s">
        <v>70</v>
      </c>
      <c r="Q3702">
        <v>7</v>
      </c>
      <c r="R3702" t="s">
        <v>213</v>
      </c>
      <c r="S3702" s="2" t="s">
        <v>9</v>
      </c>
      <c r="T3702">
        <v>1</v>
      </c>
      <c r="U3702" t="s">
        <v>28</v>
      </c>
      <c r="V3702" t="s">
        <v>28</v>
      </c>
      <c r="W3702">
        <v>21</v>
      </c>
      <c r="X3702">
        <v>86.9</v>
      </c>
      <c r="Y3702" t="s">
        <v>28</v>
      </c>
    </row>
    <row r="3703" spans="1:28" x14ac:dyDescent="0.2">
      <c r="A3703" t="s">
        <v>482</v>
      </c>
      <c r="B3703">
        <v>2010</v>
      </c>
      <c r="C3703" t="s">
        <v>826</v>
      </c>
      <c r="D3703" t="s">
        <v>824</v>
      </c>
      <c r="E3703" t="s">
        <v>114</v>
      </c>
      <c r="F3703" t="s">
        <v>483</v>
      </c>
      <c r="G3703">
        <v>36.869999999999997</v>
      </c>
      <c r="H3703">
        <v>122.42</v>
      </c>
      <c r="I3703" t="s">
        <v>766</v>
      </c>
      <c r="J3703" s="2" t="s">
        <v>14</v>
      </c>
      <c r="K3703" t="s">
        <v>490</v>
      </c>
      <c r="L3703" t="s">
        <v>143</v>
      </c>
      <c r="M3703" t="s">
        <v>663</v>
      </c>
      <c r="N3703" t="s">
        <v>86</v>
      </c>
      <c r="O3703" s="6" t="s">
        <v>492</v>
      </c>
      <c r="P3703" t="s">
        <v>70</v>
      </c>
      <c r="Q3703">
        <v>7</v>
      </c>
      <c r="R3703" t="s">
        <v>213</v>
      </c>
      <c r="S3703" s="2" t="s">
        <v>27</v>
      </c>
      <c r="T3703">
        <v>1</v>
      </c>
      <c r="U3703" t="s">
        <v>28</v>
      </c>
      <c r="V3703" t="s">
        <v>28</v>
      </c>
      <c r="W3703">
        <v>23</v>
      </c>
      <c r="X3703">
        <v>100</v>
      </c>
      <c r="Y3703" t="s">
        <v>28</v>
      </c>
    </row>
    <row r="3704" spans="1:28" x14ac:dyDescent="0.2">
      <c r="A3704" t="s">
        <v>482</v>
      </c>
      <c r="B3704">
        <v>2010</v>
      </c>
      <c r="C3704" t="s">
        <v>826</v>
      </c>
      <c r="D3704" t="s">
        <v>824</v>
      </c>
      <c r="E3704" t="s">
        <v>114</v>
      </c>
      <c r="F3704" t="s">
        <v>484</v>
      </c>
      <c r="G3704">
        <v>37.24</v>
      </c>
      <c r="H3704">
        <v>122.58</v>
      </c>
      <c r="I3704" t="s">
        <v>766</v>
      </c>
      <c r="J3704" s="2" t="s">
        <v>7</v>
      </c>
      <c r="K3704" t="s">
        <v>490</v>
      </c>
      <c r="L3704" t="s">
        <v>143</v>
      </c>
      <c r="M3704" t="s">
        <v>663</v>
      </c>
      <c r="N3704" t="s">
        <v>86</v>
      </c>
      <c r="O3704" s="6" t="s">
        <v>492</v>
      </c>
      <c r="P3704" t="s">
        <v>70</v>
      </c>
      <c r="Q3704">
        <v>7</v>
      </c>
      <c r="R3704" t="s">
        <v>213</v>
      </c>
      <c r="S3704" s="2" t="s">
        <v>7</v>
      </c>
      <c r="T3704">
        <v>1</v>
      </c>
      <c r="U3704" t="s">
        <v>28</v>
      </c>
      <c r="V3704" t="s">
        <v>28</v>
      </c>
      <c r="W3704">
        <v>10</v>
      </c>
      <c r="X3704">
        <v>0</v>
      </c>
      <c r="Y3704" t="s">
        <v>28</v>
      </c>
    </row>
    <row r="3705" spans="1:28" x14ac:dyDescent="0.2">
      <c r="A3705" t="s">
        <v>482</v>
      </c>
      <c r="B3705">
        <v>2010</v>
      </c>
      <c r="C3705" t="s">
        <v>826</v>
      </c>
      <c r="D3705" t="s">
        <v>824</v>
      </c>
      <c r="E3705" t="s">
        <v>114</v>
      </c>
      <c r="F3705" t="s">
        <v>484</v>
      </c>
      <c r="G3705">
        <v>37.24</v>
      </c>
      <c r="H3705">
        <v>122.58</v>
      </c>
      <c r="I3705" t="s">
        <v>766</v>
      </c>
      <c r="J3705" s="2" t="s">
        <v>14</v>
      </c>
      <c r="K3705" t="s">
        <v>490</v>
      </c>
      <c r="L3705" t="s">
        <v>143</v>
      </c>
      <c r="M3705" t="s">
        <v>663</v>
      </c>
      <c r="N3705" t="s">
        <v>86</v>
      </c>
      <c r="O3705" s="6" t="s">
        <v>492</v>
      </c>
      <c r="P3705" t="s">
        <v>70</v>
      </c>
      <c r="Q3705">
        <v>7</v>
      </c>
      <c r="R3705" t="s">
        <v>213</v>
      </c>
      <c r="S3705" s="2" t="s">
        <v>9</v>
      </c>
      <c r="T3705">
        <v>1</v>
      </c>
      <c r="U3705" t="s">
        <v>28</v>
      </c>
      <c r="V3705" t="s">
        <v>28</v>
      </c>
      <c r="W3705">
        <v>21</v>
      </c>
      <c r="X3705">
        <v>24.7</v>
      </c>
      <c r="Y3705" t="s">
        <v>28</v>
      </c>
    </row>
    <row r="3706" spans="1:28" x14ac:dyDescent="0.2">
      <c r="A3706" t="s">
        <v>482</v>
      </c>
      <c r="B3706">
        <v>2010</v>
      </c>
      <c r="C3706" t="s">
        <v>826</v>
      </c>
      <c r="D3706" t="s">
        <v>824</v>
      </c>
      <c r="E3706" t="s">
        <v>114</v>
      </c>
      <c r="F3706" t="s">
        <v>484</v>
      </c>
      <c r="G3706">
        <v>37.24</v>
      </c>
      <c r="H3706">
        <v>122.58</v>
      </c>
      <c r="I3706" t="s">
        <v>766</v>
      </c>
      <c r="J3706" s="2" t="s">
        <v>14</v>
      </c>
      <c r="K3706" t="s">
        <v>490</v>
      </c>
      <c r="L3706" t="s">
        <v>143</v>
      </c>
      <c r="M3706" t="s">
        <v>663</v>
      </c>
      <c r="N3706" t="s">
        <v>86</v>
      </c>
      <c r="O3706" s="6" t="s">
        <v>492</v>
      </c>
      <c r="P3706" t="s">
        <v>70</v>
      </c>
      <c r="Q3706">
        <v>7</v>
      </c>
      <c r="R3706" t="s">
        <v>213</v>
      </c>
      <c r="S3706" s="2" t="s">
        <v>27</v>
      </c>
      <c r="T3706">
        <v>1</v>
      </c>
      <c r="U3706" t="s">
        <v>28</v>
      </c>
      <c r="V3706" t="s">
        <v>28</v>
      </c>
      <c r="W3706">
        <v>23</v>
      </c>
      <c r="X3706">
        <v>99.5</v>
      </c>
      <c r="Y3706" t="s">
        <v>28</v>
      </c>
    </row>
    <row r="3707" spans="1:28" x14ac:dyDescent="0.2">
      <c r="A3707" t="s">
        <v>482</v>
      </c>
      <c r="B3707">
        <v>2010</v>
      </c>
      <c r="C3707" t="s">
        <v>826</v>
      </c>
      <c r="D3707" t="s">
        <v>824</v>
      </c>
      <c r="E3707" t="s">
        <v>114</v>
      </c>
      <c r="F3707" t="s">
        <v>485</v>
      </c>
      <c r="G3707">
        <v>37.478665999999997</v>
      </c>
      <c r="H3707">
        <v>121.949291</v>
      </c>
      <c r="I3707" t="s">
        <v>766</v>
      </c>
      <c r="J3707" s="2" t="s">
        <v>7</v>
      </c>
      <c r="K3707" t="s">
        <v>490</v>
      </c>
      <c r="L3707" t="s">
        <v>143</v>
      </c>
      <c r="M3707" t="s">
        <v>663</v>
      </c>
      <c r="N3707" t="s">
        <v>86</v>
      </c>
      <c r="O3707" s="6" t="s">
        <v>492</v>
      </c>
      <c r="P3707" t="s">
        <v>70</v>
      </c>
      <c r="Q3707">
        <v>7</v>
      </c>
      <c r="R3707" t="s">
        <v>213</v>
      </c>
      <c r="S3707" s="2" t="s">
        <v>7</v>
      </c>
      <c r="T3707">
        <v>1</v>
      </c>
      <c r="U3707" t="s">
        <v>28</v>
      </c>
      <c r="V3707" t="s">
        <v>28</v>
      </c>
      <c r="W3707">
        <v>10</v>
      </c>
      <c r="X3707">
        <v>0</v>
      </c>
      <c r="Y3707" t="s">
        <v>28</v>
      </c>
    </row>
    <row r="3708" spans="1:28" x14ac:dyDescent="0.2">
      <c r="A3708" t="s">
        <v>482</v>
      </c>
      <c r="B3708">
        <v>2010</v>
      </c>
      <c r="C3708" t="s">
        <v>826</v>
      </c>
      <c r="D3708" t="s">
        <v>824</v>
      </c>
      <c r="E3708" t="s">
        <v>114</v>
      </c>
      <c r="F3708" t="s">
        <v>485</v>
      </c>
      <c r="G3708">
        <v>37.478665999999997</v>
      </c>
      <c r="H3708">
        <v>121.949291</v>
      </c>
      <c r="I3708" t="s">
        <v>766</v>
      </c>
      <c r="J3708" s="2" t="s">
        <v>14</v>
      </c>
      <c r="K3708" t="s">
        <v>490</v>
      </c>
      <c r="L3708" t="s">
        <v>143</v>
      </c>
      <c r="M3708" t="s">
        <v>663</v>
      </c>
      <c r="N3708" t="s">
        <v>86</v>
      </c>
      <c r="O3708" s="6" t="s">
        <v>492</v>
      </c>
      <c r="P3708" t="s">
        <v>70</v>
      </c>
      <c r="Q3708">
        <v>7</v>
      </c>
      <c r="R3708" t="s">
        <v>213</v>
      </c>
      <c r="S3708" s="2" t="s">
        <v>9</v>
      </c>
      <c r="T3708">
        <v>1</v>
      </c>
      <c r="U3708" t="s">
        <v>28</v>
      </c>
      <c r="V3708" t="s">
        <v>28</v>
      </c>
      <c r="W3708">
        <v>21</v>
      </c>
      <c r="X3708">
        <v>100</v>
      </c>
      <c r="Y3708" t="s">
        <v>28</v>
      </c>
    </row>
    <row r="3709" spans="1:28" x14ac:dyDescent="0.2">
      <c r="A3709" t="s">
        <v>482</v>
      </c>
      <c r="B3709">
        <v>2010</v>
      </c>
      <c r="C3709" t="s">
        <v>826</v>
      </c>
      <c r="D3709" t="s">
        <v>824</v>
      </c>
      <c r="E3709" t="s">
        <v>114</v>
      </c>
      <c r="F3709" t="s">
        <v>485</v>
      </c>
      <c r="G3709">
        <v>37.478665999999997</v>
      </c>
      <c r="H3709">
        <v>121.949291</v>
      </c>
      <c r="I3709" t="s">
        <v>766</v>
      </c>
      <c r="J3709" s="2" t="s">
        <v>14</v>
      </c>
      <c r="K3709" t="s">
        <v>490</v>
      </c>
      <c r="L3709" t="s">
        <v>143</v>
      </c>
      <c r="M3709" t="s">
        <v>663</v>
      </c>
      <c r="N3709" t="s">
        <v>86</v>
      </c>
      <c r="O3709" s="6" t="s">
        <v>492</v>
      </c>
      <c r="P3709" t="s">
        <v>70</v>
      </c>
      <c r="Q3709">
        <v>7</v>
      </c>
      <c r="R3709" t="s">
        <v>213</v>
      </c>
      <c r="S3709" s="2" t="s">
        <v>27</v>
      </c>
      <c r="T3709">
        <v>1</v>
      </c>
      <c r="U3709" t="s">
        <v>28</v>
      </c>
      <c r="V3709" t="s">
        <v>28</v>
      </c>
      <c r="W3709">
        <v>23</v>
      </c>
      <c r="X3709">
        <v>100</v>
      </c>
      <c r="Y3709" t="s">
        <v>28</v>
      </c>
    </row>
    <row r="3710" spans="1:28" x14ac:dyDescent="0.2">
      <c r="A3710" t="s">
        <v>482</v>
      </c>
      <c r="B3710">
        <v>2010</v>
      </c>
      <c r="C3710" t="s">
        <v>826</v>
      </c>
      <c r="D3710" t="s">
        <v>824</v>
      </c>
      <c r="E3710" t="s">
        <v>114</v>
      </c>
      <c r="F3710" t="s">
        <v>486</v>
      </c>
      <c r="G3710">
        <v>37.212491</v>
      </c>
      <c r="H3710">
        <v>122.63297900000001</v>
      </c>
      <c r="I3710" t="s">
        <v>766</v>
      </c>
      <c r="J3710" s="2" t="s">
        <v>7</v>
      </c>
      <c r="K3710" t="s">
        <v>490</v>
      </c>
      <c r="L3710" t="s">
        <v>143</v>
      </c>
      <c r="M3710" t="s">
        <v>663</v>
      </c>
      <c r="N3710" t="s">
        <v>86</v>
      </c>
      <c r="O3710" s="6" t="s">
        <v>492</v>
      </c>
      <c r="P3710" t="s">
        <v>70</v>
      </c>
      <c r="Q3710">
        <v>7</v>
      </c>
      <c r="R3710" t="s">
        <v>213</v>
      </c>
      <c r="S3710" s="2" t="s">
        <v>7</v>
      </c>
      <c r="T3710">
        <v>1</v>
      </c>
      <c r="U3710" t="s">
        <v>28</v>
      </c>
      <c r="V3710" t="s">
        <v>28</v>
      </c>
      <c r="W3710">
        <v>10</v>
      </c>
      <c r="X3710">
        <v>0</v>
      </c>
      <c r="Y3710" t="s">
        <v>28</v>
      </c>
    </row>
    <row r="3711" spans="1:28" x14ac:dyDescent="0.2">
      <c r="A3711" t="s">
        <v>482</v>
      </c>
      <c r="B3711">
        <v>2010</v>
      </c>
      <c r="C3711" t="s">
        <v>826</v>
      </c>
      <c r="D3711" t="s">
        <v>824</v>
      </c>
      <c r="E3711" t="s">
        <v>114</v>
      </c>
      <c r="F3711" t="s">
        <v>486</v>
      </c>
      <c r="G3711">
        <v>37.212491</v>
      </c>
      <c r="H3711">
        <v>122.63297900000001</v>
      </c>
      <c r="I3711" t="s">
        <v>766</v>
      </c>
      <c r="J3711" s="2" t="s">
        <v>14</v>
      </c>
      <c r="K3711" t="s">
        <v>490</v>
      </c>
      <c r="L3711" t="s">
        <v>143</v>
      </c>
      <c r="M3711" t="s">
        <v>663</v>
      </c>
      <c r="N3711" t="s">
        <v>86</v>
      </c>
      <c r="O3711" s="6" t="s">
        <v>492</v>
      </c>
      <c r="P3711" t="s">
        <v>70</v>
      </c>
      <c r="Q3711">
        <v>7</v>
      </c>
      <c r="R3711" t="s">
        <v>213</v>
      </c>
      <c r="S3711" s="2" t="s">
        <v>9</v>
      </c>
      <c r="T3711">
        <v>1</v>
      </c>
      <c r="U3711" t="s">
        <v>28</v>
      </c>
      <c r="V3711" t="s">
        <v>28</v>
      </c>
      <c r="W3711">
        <v>21</v>
      </c>
      <c r="X3711">
        <v>100</v>
      </c>
      <c r="Y3711" t="s">
        <v>28</v>
      </c>
    </row>
    <row r="3712" spans="1:28" x14ac:dyDescent="0.2">
      <c r="A3712" t="s">
        <v>482</v>
      </c>
      <c r="B3712">
        <v>2010</v>
      </c>
      <c r="C3712" t="s">
        <v>826</v>
      </c>
      <c r="D3712" t="s">
        <v>824</v>
      </c>
      <c r="E3712" t="s">
        <v>114</v>
      </c>
      <c r="F3712" t="s">
        <v>486</v>
      </c>
      <c r="G3712">
        <v>37.212491</v>
      </c>
      <c r="H3712">
        <v>122.63297900000001</v>
      </c>
      <c r="I3712" t="s">
        <v>766</v>
      </c>
      <c r="J3712" s="2" t="s">
        <v>14</v>
      </c>
      <c r="K3712" t="s">
        <v>490</v>
      </c>
      <c r="L3712" t="s">
        <v>143</v>
      </c>
      <c r="M3712" t="s">
        <v>663</v>
      </c>
      <c r="N3712" t="s">
        <v>86</v>
      </c>
      <c r="O3712" s="6" t="s">
        <v>492</v>
      </c>
      <c r="P3712" t="s">
        <v>70</v>
      </c>
      <c r="Q3712">
        <v>7</v>
      </c>
      <c r="R3712" t="s">
        <v>213</v>
      </c>
      <c r="S3712" s="2" t="s">
        <v>27</v>
      </c>
      <c r="T3712">
        <v>1</v>
      </c>
      <c r="U3712" t="s">
        <v>28</v>
      </c>
      <c r="V3712" t="s">
        <v>28</v>
      </c>
      <c r="W3712">
        <v>23</v>
      </c>
      <c r="X3712">
        <v>100</v>
      </c>
      <c r="Y3712" t="s">
        <v>28</v>
      </c>
    </row>
    <row r="3713" spans="1:25" x14ac:dyDescent="0.2">
      <c r="A3713" t="s">
        <v>482</v>
      </c>
      <c r="B3713">
        <v>2010</v>
      </c>
      <c r="C3713" t="s">
        <v>826</v>
      </c>
      <c r="D3713" t="s">
        <v>824</v>
      </c>
      <c r="E3713" t="s">
        <v>114</v>
      </c>
      <c r="F3713" t="s">
        <v>487</v>
      </c>
      <c r="G3713">
        <v>37.094527999999997</v>
      </c>
      <c r="H3713">
        <v>122.58033500000001</v>
      </c>
      <c r="I3713" t="s">
        <v>766</v>
      </c>
      <c r="J3713" s="2" t="s">
        <v>7</v>
      </c>
      <c r="K3713" t="s">
        <v>490</v>
      </c>
      <c r="L3713" t="s">
        <v>143</v>
      </c>
      <c r="M3713" t="s">
        <v>663</v>
      </c>
      <c r="N3713" t="s">
        <v>86</v>
      </c>
      <c r="O3713" s="6" t="s">
        <v>492</v>
      </c>
      <c r="P3713" t="s">
        <v>70</v>
      </c>
      <c r="Q3713">
        <v>7</v>
      </c>
      <c r="R3713" t="s">
        <v>213</v>
      </c>
      <c r="S3713" s="2" t="s">
        <v>7</v>
      </c>
      <c r="T3713">
        <v>1</v>
      </c>
      <c r="U3713" t="s">
        <v>28</v>
      </c>
      <c r="V3713" t="s">
        <v>28</v>
      </c>
      <c r="W3713">
        <v>10</v>
      </c>
      <c r="X3713">
        <v>0</v>
      </c>
      <c r="Y3713" t="s">
        <v>28</v>
      </c>
    </row>
    <row r="3714" spans="1:25" x14ac:dyDescent="0.2">
      <c r="A3714" t="s">
        <v>482</v>
      </c>
      <c r="B3714">
        <v>2010</v>
      </c>
      <c r="C3714" t="s">
        <v>826</v>
      </c>
      <c r="D3714" t="s">
        <v>824</v>
      </c>
      <c r="E3714" t="s">
        <v>114</v>
      </c>
      <c r="F3714" t="s">
        <v>487</v>
      </c>
      <c r="G3714">
        <v>37.094527999999997</v>
      </c>
      <c r="H3714">
        <v>122.58033500000001</v>
      </c>
      <c r="I3714" t="s">
        <v>766</v>
      </c>
      <c r="J3714" s="2" t="s">
        <v>14</v>
      </c>
      <c r="K3714" t="s">
        <v>490</v>
      </c>
      <c r="L3714" t="s">
        <v>143</v>
      </c>
      <c r="M3714" t="s">
        <v>663</v>
      </c>
      <c r="N3714" t="s">
        <v>86</v>
      </c>
      <c r="O3714" s="6" t="s">
        <v>492</v>
      </c>
      <c r="P3714" t="s">
        <v>70</v>
      </c>
      <c r="Q3714">
        <v>7</v>
      </c>
      <c r="R3714" t="s">
        <v>213</v>
      </c>
      <c r="S3714" s="2" t="s">
        <v>9</v>
      </c>
      <c r="T3714">
        <v>1</v>
      </c>
      <c r="U3714" t="s">
        <v>28</v>
      </c>
      <c r="V3714" t="s">
        <v>28</v>
      </c>
      <c r="W3714">
        <v>21</v>
      </c>
      <c r="X3714">
        <v>33.700000000000003</v>
      </c>
      <c r="Y3714" t="s">
        <v>28</v>
      </c>
    </row>
    <row r="3715" spans="1:25" x14ac:dyDescent="0.2">
      <c r="A3715" t="s">
        <v>482</v>
      </c>
      <c r="B3715">
        <v>2010</v>
      </c>
      <c r="C3715" t="s">
        <v>826</v>
      </c>
      <c r="D3715" t="s">
        <v>824</v>
      </c>
      <c r="E3715" t="s">
        <v>114</v>
      </c>
      <c r="F3715" t="s">
        <v>487</v>
      </c>
      <c r="G3715">
        <v>37.094527999999997</v>
      </c>
      <c r="H3715">
        <v>122.58033500000001</v>
      </c>
      <c r="I3715" t="s">
        <v>766</v>
      </c>
      <c r="J3715" s="2" t="s">
        <v>14</v>
      </c>
      <c r="K3715" t="s">
        <v>490</v>
      </c>
      <c r="L3715" t="s">
        <v>143</v>
      </c>
      <c r="M3715" t="s">
        <v>663</v>
      </c>
      <c r="N3715" t="s">
        <v>86</v>
      </c>
      <c r="O3715" s="6" t="s">
        <v>492</v>
      </c>
      <c r="P3715" t="s">
        <v>70</v>
      </c>
      <c r="Q3715">
        <v>7</v>
      </c>
      <c r="R3715" t="s">
        <v>213</v>
      </c>
      <c r="S3715" s="2" t="s">
        <v>27</v>
      </c>
      <c r="T3715">
        <v>1</v>
      </c>
      <c r="U3715" t="s">
        <v>28</v>
      </c>
      <c r="V3715" t="s">
        <v>28</v>
      </c>
      <c r="W3715">
        <v>23</v>
      </c>
      <c r="X3715">
        <v>100</v>
      </c>
      <c r="Y3715" t="s">
        <v>28</v>
      </c>
    </row>
    <row r="3716" spans="1:25" x14ac:dyDescent="0.2">
      <c r="A3716" t="s">
        <v>482</v>
      </c>
      <c r="B3716">
        <v>2010</v>
      </c>
      <c r="C3716" t="s">
        <v>826</v>
      </c>
      <c r="D3716" t="s">
        <v>824</v>
      </c>
      <c r="E3716" t="s">
        <v>114</v>
      </c>
      <c r="F3716" t="s">
        <v>488</v>
      </c>
      <c r="G3716">
        <v>37.482649000000002</v>
      </c>
      <c r="H3716">
        <v>121.931369</v>
      </c>
      <c r="I3716" t="s">
        <v>764</v>
      </c>
      <c r="J3716" s="2" t="s">
        <v>7</v>
      </c>
      <c r="K3716" t="s">
        <v>490</v>
      </c>
      <c r="L3716" t="s">
        <v>143</v>
      </c>
      <c r="M3716" t="s">
        <v>663</v>
      </c>
      <c r="N3716" t="s">
        <v>86</v>
      </c>
      <c r="O3716" s="6" t="s">
        <v>492</v>
      </c>
      <c r="P3716" t="s">
        <v>70</v>
      </c>
      <c r="Q3716">
        <v>7</v>
      </c>
      <c r="R3716" t="s">
        <v>213</v>
      </c>
      <c r="S3716" s="2" t="s">
        <v>7</v>
      </c>
      <c r="T3716">
        <v>1</v>
      </c>
      <c r="U3716" t="s">
        <v>28</v>
      </c>
      <c r="V3716" t="s">
        <v>28</v>
      </c>
      <c r="W3716">
        <v>10</v>
      </c>
      <c r="X3716">
        <v>0</v>
      </c>
      <c r="Y3716" t="s">
        <v>28</v>
      </c>
    </row>
    <row r="3717" spans="1:25" x14ac:dyDescent="0.2">
      <c r="A3717" t="s">
        <v>482</v>
      </c>
      <c r="B3717">
        <v>2010</v>
      </c>
      <c r="C3717" t="s">
        <v>826</v>
      </c>
      <c r="D3717" t="s">
        <v>824</v>
      </c>
      <c r="E3717" t="s">
        <v>114</v>
      </c>
      <c r="F3717" t="s">
        <v>488</v>
      </c>
      <c r="G3717">
        <v>37.482649000000002</v>
      </c>
      <c r="H3717">
        <v>121.931369</v>
      </c>
      <c r="I3717" t="s">
        <v>764</v>
      </c>
      <c r="J3717" s="2" t="s">
        <v>14</v>
      </c>
      <c r="K3717" t="s">
        <v>490</v>
      </c>
      <c r="L3717" t="s">
        <v>143</v>
      </c>
      <c r="M3717" t="s">
        <v>663</v>
      </c>
      <c r="N3717" t="s">
        <v>86</v>
      </c>
      <c r="O3717" s="6" t="s">
        <v>492</v>
      </c>
      <c r="P3717" t="s">
        <v>70</v>
      </c>
      <c r="Q3717">
        <v>7</v>
      </c>
      <c r="R3717" t="s">
        <v>213</v>
      </c>
      <c r="S3717" s="2" t="s">
        <v>9</v>
      </c>
      <c r="T3717">
        <v>1</v>
      </c>
      <c r="U3717" t="s">
        <v>28</v>
      </c>
      <c r="V3717" t="s">
        <v>28</v>
      </c>
      <c r="W3717">
        <v>21</v>
      </c>
      <c r="X3717">
        <v>44.1</v>
      </c>
      <c r="Y3717" t="s">
        <v>28</v>
      </c>
    </row>
    <row r="3718" spans="1:25" x14ac:dyDescent="0.2">
      <c r="A3718" t="s">
        <v>482</v>
      </c>
      <c r="B3718">
        <v>2010</v>
      </c>
      <c r="C3718" t="s">
        <v>826</v>
      </c>
      <c r="D3718" t="s">
        <v>824</v>
      </c>
      <c r="E3718" t="s">
        <v>114</v>
      </c>
      <c r="F3718" t="s">
        <v>488</v>
      </c>
      <c r="G3718">
        <v>37.482649000000002</v>
      </c>
      <c r="H3718">
        <v>121.931369</v>
      </c>
      <c r="I3718" t="s">
        <v>764</v>
      </c>
      <c r="J3718" s="2" t="s">
        <v>14</v>
      </c>
      <c r="K3718" t="s">
        <v>490</v>
      </c>
      <c r="L3718" t="s">
        <v>143</v>
      </c>
      <c r="M3718" t="s">
        <v>663</v>
      </c>
      <c r="N3718" t="s">
        <v>86</v>
      </c>
      <c r="O3718" s="6" t="s">
        <v>492</v>
      </c>
      <c r="P3718" t="s">
        <v>70</v>
      </c>
      <c r="Q3718">
        <v>7</v>
      </c>
      <c r="R3718" t="s">
        <v>213</v>
      </c>
      <c r="S3718" s="2" t="s">
        <v>27</v>
      </c>
      <c r="T3718">
        <v>1</v>
      </c>
      <c r="U3718" t="s">
        <v>28</v>
      </c>
      <c r="V3718" t="s">
        <v>28</v>
      </c>
      <c r="W3718">
        <v>23</v>
      </c>
      <c r="X3718">
        <v>97.4</v>
      </c>
      <c r="Y3718" t="s">
        <v>28</v>
      </c>
    </row>
    <row r="3719" spans="1:25" x14ac:dyDescent="0.2">
      <c r="A3719" t="s">
        <v>482</v>
      </c>
      <c r="B3719">
        <v>2010</v>
      </c>
      <c r="C3719" t="s">
        <v>826</v>
      </c>
      <c r="D3719" t="s">
        <v>824</v>
      </c>
      <c r="E3719" t="s">
        <v>114</v>
      </c>
      <c r="F3719" t="s">
        <v>489</v>
      </c>
      <c r="G3719">
        <v>36.033332000000001</v>
      </c>
      <c r="H3719">
        <v>120.380697</v>
      </c>
      <c r="I3719" t="s">
        <v>764</v>
      </c>
      <c r="J3719" s="2" t="s">
        <v>7</v>
      </c>
      <c r="K3719" t="s">
        <v>490</v>
      </c>
      <c r="L3719" t="s">
        <v>143</v>
      </c>
      <c r="M3719" t="s">
        <v>663</v>
      </c>
      <c r="N3719" t="s">
        <v>86</v>
      </c>
      <c r="O3719" s="6" t="s">
        <v>492</v>
      </c>
      <c r="P3719" t="s">
        <v>70</v>
      </c>
      <c r="Q3719">
        <v>7</v>
      </c>
      <c r="R3719" t="s">
        <v>213</v>
      </c>
      <c r="S3719" s="2" t="s">
        <v>7</v>
      </c>
      <c r="T3719">
        <v>1</v>
      </c>
      <c r="U3719" t="s">
        <v>28</v>
      </c>
      <c r="V3719" t="s">
        <v>28</v>
      </c>
      <c r="W3719">
        <v>10</v>
      </c>
      <c r="X3719">
        <v>0</v>
      </c>
      <c r="Y3719" t="s">
        <v>28</v>
      </c>
    </row>
    <row r="3720" spans="1:25" x14ac:dyDescent="0.2">
      <c r="A3720" t="s">
        <v>482</v>
      </c>
      <c r="B3720">
        <v>2010</v>
      </c>
      <c r="C3720" t="s">
        <v>826</v>
      </c>
      <c r="D3720" t="s">
        <v>824</v>
      </c>
      <c r="E3720" t="s">
        <v>114</v>
      </c>
      <c r="F3720" t="s">
        <v>489</v>
      </c>
      <c r="G3720">
        <v>36.033332000000001</v>
      </c>
      <c r="H3720">
        <v>120.380697</v>
      </c>
      <c r="I3720" t="s">
        <v>764</v>
      </c>
      <c r="J3720" s="2" t="s">
        <v>14</v>
      </c>
      <c r="K3720" t="s">
        <v>490</v>
      </c>
      <c r="L3720" t="s">
        <v>143</v>
      </c>
      <c r="M3720" t="s">
        <v>663</v>
      </c>
      <c r="N3720" t="s">
        <v>86</v>
      </c>
      <c r="O3720" s="6" t="s">
        <v>492</v>
      </c>
      <c r="P3720" t="s">
        <v>70</v>
      </c>
      <c r="Q3720">
        <v>7</v>
      </c>
      <c r="R3720" t="s">
        <v>213</v>
      </c>
      <c r="S3720" s="2" t="s">
        <v>9</v>
      </c>
      <c r="T3720">
        <v>1</v>
      </c>
      <c r="U3720" t="s">
        <v>28</v>
      </c>
      <c r="V3720" t="s">
        <v>28</v>
      </c>
      <c r="W3720">
        <v>21</v>
      </c>
      <c r="X3720">
        <v>20.7</v>
      </c>
      <c r="Y3720" t="s">
        <v>28</v>
      </c>
    </row>
    <row r="3721" spans="1:25" x14ac:dyDescent="0.2">
      <c r="A3721" t="s">
        <v>482</v>
      </c>
      <c r="B3721">
        <v>2010</v>
      </c>
      <c r="C3721" t="s">
        <v>826</v>
      </c>
      <c r="D3721" t="s">
        <v>824</v>
      </c>
      <c r="E3721" t="s">
        <v>114</v>
      </c>
      <c r="F3721" t="s">
        <v>489</v>
      </c>
      <c r="G3721">
        <v>36.033332000000001</v>
      </c>
      <c r="H3721">
        <v>120.380697</v>
      </c>
      <c r="I3721" t="s">
        <v>764</v>
      </c>
      <c r="J3721" s="2" t="s">
        <v>14</v>
      </c>
      <c r="K3721" t="s">
        <v>490</v>
      </c>
      <c r="L3721" t="s">
        <v>143</v>
      </c>
      <c r="M3721" t="s">
        <v>663</v>
      </c>
      <c r="N3721" t="s">
        <v>86</v>
      </c>
      <c r="O3721" s="6" t="s">
        <v>492</v>
      </c>
      <c r="P3721" t="s">
        <v>70</v>
      </c>
      <c r="Q3721">
        <v>7</v>
      </c>
      <c r="R3721" t="s">
        <v>213</v>
      </c>
      <c r="S3721" s="2" t="s">
        <v>27</v>
      </c>
      <c r="T3721">
        <v>1</v>
      </c>
      <c r="U3721" t="s">
        <v>28</v>
      </c>
      <c r="V3721" t="s">
        <v>28</v>
      </c>
      <c r="W3721">
        <v>23</v>
      </c>
      <c r="X3721">
        <v>77.900000000000006</v>
      </c>
      <c r="Y3721" t="s">
        <v>28</v>
      </c>
    </row>
    <row r="3722" spans="1:25" x14ac:dyDescent="0.2">
      <c r="A3722" t="s">
        <v>482</v>
      </c>
      <c r="B3722">
        <v>2010</v>
      </c>
      <c r="C3722" t="s">
        <v>826</v>
      </c>
      <c r="D3722" t="s">
        <v>824</v>
      </c>
      <c r="E3722" t="s">
        <v>114</v>
      </c>
      <c r="F3722" t="s">
        <v>483</v>
      </c>
      <c r="G3722">
        <v>36.869999999999997</v>
      </c>
      <c r="H3722">
        <v>122.42</v>
      </c>
      <c r="I3722" t="s">
        <v>766</v>
      </c>
      <c r="J3722" s="2" t="s">
        <v>7</v>
      </c>
      <c r="K3722" t="s">
        <v>490</v>
      </c>
      <c r="L3722" t="s">
        <v>143</v>
      </c>
      <c r="M3722" t="s">
        <v>12</v>
      </c>
      <c r="N3722" t="s">
        <v>85</v>
      </c>
      <c r="O3722" s="6" t="s">
        <v>12</v>
      </c>
      <c r="P3722" t="s">
        <v>70</v>
      </c>
      <c r="Q3722">
        <v>7</v>
      </c>
      <c r="R3722" t="s">
        <v>213</v>
      </c>
      <c r="S3722" s="2" t="s">
        <v>7</v>
      </c>
      <c r="T3722">
        <v>1</v>
      </c>
      <c r="U3722" t="s">
        <v>28</v>
      </c>
      <c r="V3722" t="s">
        <v>28</v>
      </c>
      <c r="W3722">
        <v>10</v>
      </c>
      <c r="X3722">
        <v>100</v>
      </c>
      <c r="Y3722" t="s">
        <v>28</v>
      </c>
    </row>
    <row r="3723" spans="1:25" x14ac:dyDescent="0.2">
      <c r="A3723" t="s">
        <v>482</v>
      </c>
      <c r="B3723">
        <v>2010</v>
      </c>
      <c r="C3723" t="s">
        <v>826</v>
      </c>
      <c r="D3723" t="s">
        <v>824</v>
      </c>
      <c r="E3723" t="s">
        <v>114</v>
      </c>
      <c r="F3723" t="s">
        <v>483</v>
      </c>
      <c r="G3723">
        <v>36.869999999999997</v>
      </c>
      <c r="H3723">
        <v>122.42</v>
      </c>
      <c r="I3723" t="s">
        <v>766</v>
      </c>
      <c r="J3723" s="2" t="s">
        <v>14</v>
      </c>
      <c r="K3723" t="s">
        <v>490</v>
      </c>
      <c r="L3723" t="s">
        <v>143</v>
      </c>
      <c r="M3723" t="s">
        <v>12</v>
      </c>
      <c r="N3723" t="s">
        <v>85</v>
      </c>
      <c r="O3723" s="6" t="s">
        <v>12</v>
      </c>
      <c r="P3723" t="s">
        <v>70</v>
      </c>
      <c r="Q3723">
        <v>7</v>
      </c>
      <c r="R3723" t="s">
        <v>213</v>
      </c>
      <c r="S3723" s="2" t="s">
        <v>9</v>
      </c>
      <c r="T3723">
        <v>1</v>
      </c>
      <c r="U3723" t="s">
        <v>28</v>
      </c>
      <c r="V3723" t="s">
        <v>28</v>
      </c>
      <c r="W3723">
        <v>21</v>
      </c>
      <c r="X3723">
        <v>100</v>
      </c>
      <c r="Y3723" t="s">
        <v>28</v>
      </c>
    </row>
    <row r="3724" spans="1:25" x14ac:dyDescent="0.2">
      <c r="A3724" t="s">
        <v>482</v>
      </c>
      <c r="B3724">
        <v>2010</v>
      </c>
      <c r="C3724" t="s">
        <v>826</v>
      </c>
      <c r="D3724" t="s">
        <v>824</v>
      </c>
      <c r="E3724" t="s">
        <v>114</v>
      </c>
      <c r="F3724" t="s">
        <v>483</v>
      </c>
      <c r="G3724">
        <v>36.869999999999997</v>
      </c>
      <c r="H3724">
        <v>122.42</v>
      </c>
      <c r="I3724" t="s">
        <v>766</v>
      </c>
      <c r="J3724" s="2" t="s">
        <v>14</v>
      </c>
      <c r="K3724" t="s">
        <v>490</v>
      </c>
      <c r="L3724" t="s">
        <v>143</v>
      </c>
      <c r="M3724" t="s">
        <v>12</v>
      </c>
      <c r="N3724" t="s">
        <v>85</v>
      </c>
      <c r="O3724" s="6" t="s">
        <v>12</v>
      </c>
      <c r="P3724" t="s">
        <v>70</v>
      </c>
      <c r="Q3724">
        <v>7</v>
      </c>
      <c r="R3724" t="s">
        <v>213</v>
      </c>
      <c r="S3724" s="2" t="s">
        <v>27</v>
      </c>
      <c r="T3724">
        <v>1</v>
      </c>
      <c r="U3724" t="s">
        <v>28</v>
      </c>
      <c r="V3724" t="s">
        <v>28</v>
      </c>
      <c r="W3724">
        <v>23</v>
      </c>
      <c r="X3724">
        <f>100-5.1</f>
        <v>94.9</v>
      </c>
      <c r="Y3724" t="s">
        <v>28</v>
      </c>
    </row>
    <row r="3725" spans="1:25" x14ac:dyDescent="0.2">
      <c r="A3725" t="s">
        <v>482</v>
      </c>
      <c r="B3725">
        <v>2010</v>
      </c>
      <c r="C3725" t="s">
        <v>826</v>
      </c>
      <c r="D3725" t="s">
        <v>824</v>
      </c>
      <c r="E3725" t="s">
        <v>114</v>
      </c>
      <c r="F3725" t="s">
        <v>484</v>
      </c>
      <c r="G3725">
        <v>37.24</v>
      </c>
      <c r="H3725">
        <v>122.58</v>
      </c>
      <c r="I3725" t="s">
        <v>766</v>
      </c>
      <c r="J3725" s="2" t="s">
        <v>7</v>
      </c>
      <c r="K3725" t="s">
        <v>490</v>
      </c>
      <c r="L3725" t="s">
        <v>143</v>
      </c>
      <c r="M3725" t="s">
        <v>12</v>
      </c>
      <c r="N3725" t="s">
        <v>85</v>
      </c>
      <c r="O3725" s="6" t="s">
        <v>12</v>
      </c>
      <c r="P3725" t="s">
        <v>70</v>
      </c>
      <c r="Q3725">
        <v>7</v>
      </c>
      <c r="R3725" t="s">
        <v>213</v>
      </c>
      <c r="S3725" s="2" t="s">
        <v>7</v>
      </c>
      <c r="T3725">
        <v>1</v>
      </c>
      <c r="U3725" t="s">
        <v>28</v>
      </c>
      <c r="V3725" t="s">
        <v>28</v>
      </c>
      <c r="W3725">
        <v>10</v>
      </c>
      <c r="X3725">
        <v>100</v>
      </c>
      <c r="Y3725" t="s">
        <v>28</v>
      </c>
    </row>
    <row r="3726" spans="1:25" x14ac:dyDescent="0.2">
      <c r="A3726" t="s">
        <v>482</v>
      </c>
      <c r="B3726">
        <v>2010</v>
      </c>
      <c r="C3726" t="s">
        <v>826</v>
      </c>
      <c r="D3726" t="s">
        <v>824</v>
      </c>
      <c r="E3726" t="s">
        <v>114</v>
      </c>
      <c r="F3726" t="s">
        <v>484</v>
      </c>
      <c r="G3726">
        <v>37.24</v>
      </c>
      <c r="H3726">
        <v>122.58</v>
      </c>
      <c r="I3726" t="s">
        <v>766</v>
      </c>
      <c r="J3726" s="2" t="s">
        <v>14</v>
      </c>
      <c r="K3726" t="s">
        <v>490</v>
      </c>
      <c r="L3726" t="s">
        <v>143</v>
      </c>
      <c r="M3726" t="s">
        <v>12</v>
      </c>
      <c r="N3726" t="s">
        <v>85</v>
      </c>
      <c r="O3726" s="6" t="s">
        <v>12</v>
      </c>
      <c r="P3726" t="s">
        <v>70</v>
      </c>
      <c r="Q3726">
        <v>7</v>
      </c>
      <c r="R3726" t="s">
        <v>213</v>
      </c>
      <c r="S3726" s="2" t="s">
        <v>9</v>
      </c>
      <c r="T3726">
        <v>1</v>
      </c>
      <c r="U3726" t="s">
        <v>28</v>
      </c>
      <c r="V3726" t="s">
        <v>28</v>
      </c>
      <c r="W3726">
        <v>21</v>
      </c>
      <c r="X3726">
        <v>100</v>
      </c>
      <c r="Y3726" t="s">
        <v>28</v>
      </c>
    </row>
    <row r="3727" spans="1:25" x14ac:dyDescent="0.2">
      <c r="A3727" t="s">
        <v>482</v>
      </c>
      <c r="B3727">
        <v>2010</v>
      </c>
      <c r="C3727" t="s">
        <v>826</v>
      </c>
      <c r="D3727" t="s">
        <v>824</v>
      </c>
      <c r="E3727" t="s">
        <v>114</v>
      </c>
      <c r="F3727" t="s">
        <v>484</v>
      </c>
      <c r="G3727">
        <v>37.24</v>
      </c>
      <c r="H3727">
        <v>122.58</v>
      </c>
      <c r="I3727" t="s">
        <v>766</v>
      </c>
      <c r="J3727" s="2" t="s">
        <v>14</v>
      </c>
      <c r="K3727" t="s">
        <v>490</v>
      </c>
      <c r="L3727" t="s">
        <v>143</v>
      </c>
      <c r="M3727" t="s">
        <v>12</v>
      </c>
      <c r="N3727" t="s">
        <v>85</v>
      </c>
      <c r="O3727" s="6" t="s">
        <v>12</v>
      </c>
      <c r="P3727" t="s">
        <v>70</v>
      </c>
      <c r="Q3727">
        <v>7</v>
      </c>
      <c r="R3727" t="s">
        <v>213</v>
      </c>
      <c r="S3727" s="2" t="s">
        <v>27</v>
      </c>
      <c r="T3727">
        <v>1</v>
      </c>
      <c r="U3727" t="s">
        <v>28</v>
      </c>
      <c r="V3727" t="s">
        <v>28</v>
      </c>
      <c r="W3727">
        <v>23</v>
      </c>
      <c r="X3727">
        <v>100</v>
      </c>
      <c r="Y3727" t="s">
        <v>28</v>
      </c>
    </row>
    <row r="3728" spans="1:25" x14ac:dyDescent="0.2">
      <c r="A3728" t="s">
        <v>482</v>
      </c>
      <c r="B3728">
        <v>2010</v>
      </c>
      <c r="C3728" t="s">
        <v>826</v>
      </c>
      <c r="D3728" t="s">
        <v>824</v>
      </c>
      <c r="E3728" t="s">
        <v>114</v>
      </c>
      <c r="F3728" t="s">
        <v>485</v>
      </c>
      <c r="G3728">
        <v>37.478665999999997</v>
      </c>
      <c r="H3728">
        <v>121.949291</v>
      </c>
      <c r="I3728" t="s">
        <v>766</v>
      </c>
      <c r="J3728" s="2" t="s">
        <v>7</v>
      </c>
      <c r="K3728" t="s">
        <v>490</v>
      </c>
      <c r="L3728" t="s">
        <v>143</v>
      </c>
      <c r="M3728" t="s">
        <v>12</v>
      </c>
      <c r="N3728" t="s">
        <v>85</v>
      </c>
      <c r="O3728" s="6" t="s">
        <v>12</v>
      </c>
      <c r="P3728" t="s">
        <v>70</v>
      </c>
      <c r="Q3728">
        <v>7</v>
      </c>
      <c r="R3728" t="s">
        <v>213</v>
      </c>
      <c r="S3728" s="2" t="s">
        <v>7</v>
      </c>
      <c r="T3728">
        <v>1</v>
      </c>
      <c r="U3728" t="s">
        <v>28</v>
      </c>
      <c r="V3728" t="s">
        <v>28</v>
      </c>
      <c r="W3728">
        <v>10</v>
      </c>
      <c r="X3728">
        <v>100</v>
      </c>
      <c r="Y3728" t="s">
        <v>28</v>
      </c>
    </row>
    <row r="3729" spans="1:28" x14ac:dyDescent="0.2">
      <c r="A3729" t="s">
        <v>482</v>
      </c>
      <c r="B3729">
        <v>2010</v>
      </c>
      <c r="C3729" t="s">
        <v>826</v>
      </c>
      <c r="D3729" t="s">
        <v>824</v>
      </c>
      <c r="E3729" t="s">
        <v>114</v>
      </c>
      <c r="F3729" t="s">
        <v>485</v>
      </c>
      <c r="G3729">
        <v>37.478665999999997</v>
      </c>
      <c r="H3729">
        <v>121.949291</v>
      </c>
      <c r="I3729" t="s">
        <v>766</v>
      </c>
      <c r="J3729" s="2" t="s">
        <v>14</v>
      </c>
      <c r="K3729" t="s">
        <v>490</v>
      </c>
      <c r="L3729" t="s">
        <v>143</v>
      </c>
      <c r="M3729" t="s">
        <v>12</v>
      </c>
      <c r="N3729" t="s">
        <v>85</v>
      </c>
      <c r="O3729" s="6" t="s">
        <v>12</v>
      </c>
      <c r="P3729" t="s">
        <v>70</v>
      </c>
      <c r="Q3729">
        <v>7</v>
      </c>
      <c r="R3729" t="s">
        <v>213</v>
      </c>
      <c r="S3729" s="2" t="s">
        <v>9</v>
      </c>
      <c r="T3729">
        <v>1</v>
      </c>
      <c r="U3729" t="s">
        <v>28</v>
      </c>
      <c r="V3729" t="s">
        <v>28</v>
      </c>
      <c r="W3729">
        <v>21</v>
      </c>
      <c r="X3729">
        <f>100-2.9</f>
        <v>97.1</v>
      </c>
      <c r="Y3729" t="s">
        <v>28</v>
      </c>
    </row>
    <row r="3730" spans="1:28" x14ac:dyDescent="0.2">
      <c r="A3730" t="s">
        <v>482</v>
      </c>
      <c r="B3730">
        <v>2010</v>
      </c>
      <c r="C3730" t="s">
        <v>826</v>
      </c>
      <c r="D3730" t="s">
        <v>824</v>
      </c>
      <c r="E3730" t="s">
        <v>114</v>
      </c>
      <c r="F3730" t="s">
        <v>485</v>
      </c>
      <c r="G3730">
        <v>37.478665999999997</v>
      </c>
      <c r="H3730">
        <v>121.949291</v>
      </c>
      <c r="I3730" t="s">
        <v>766</v>
      </c>
      <c r="J3730" s="2" t="s">
        <v>14</v>
      </c>
      <c r="K3730" t="s">
        <v>490</v>
      </c>
      <c r="L3730" t="s">
        <v>143</v>
      </c>
      <c r="M3730" t="s">
        <v>12</v>
      </c>
      <c r="N3730" t="s">
        <v>85</v>
      </c>
      <c r="O3730" s="6" t="s">
        <v>12</v>
      </c>
      <c r="P3730" t="s">
        <v>70</v>
      </c>
      <c r="Q3730">
        <v>7</v>
      </c>
      <c r="R3730" t="s">
        <v>213</v>
      </c>
      <c r="S3730" s="2" t="s">
        <v>27</v>
      </c>
      <c r="T3730">
        <v>1</v>
      </c>
      <c r="U3730" t="s">
        <v>28</v>
      </c>
      <c r="V3730" t="s">
        <v>28</v>
      </c>
      <c r="W3730">
        <v>23</v>
      </c>
      <c r="X3730">
        <f>100-10.4</f>
        <v>89.6</v>
      </c>
      <c r="Y3730" t="s">
        <v>28</v>
      </c>
    </row>
    <row r="3731" spans="1:28" x14ac:dyDescent="0.2">
      <c r="A3731" t="s">
        <v>482</v>
      </c>
      <c r="B3731">
        <v>2010</v>
      </c>
      <c r="C3731" t="s">
        <v>826</v>
      </c>
      <c r="D3731" t="s">
        <v>824</v>
      </c>
      <c r="E3731" t="s">
        <v>114</v>
      </c>
      <c r="F3731" t="s">
        <v>486</v>
      </c>
      <c r="G3731">
        <v>37.212491</v>
      </c>
      <c r="H3731">
        <v>122.63297900000001</v>
      </c>
      <c r="I3731" t="s">
        <v>766</v>
      </c>
      <c r="J3731" s="2" t="s">
        <v>7</v>
      </c>
      <c r="K3731" t="s">
        <v>490</v>
      </c>
      <c r="L3731" t="s">
        <v>143</v>
      </c>
      <c r="M3731" t="s">
        <v>12</v>
      </c>
      <c r="N3731" t="s">
        <v>85</v>
      </c>
      <c r="O3731" s="6" t="s">
        <v>12</v>
      </c>
      <c r="P3731" t="s">
        <v>70</v>
      </c>
      <c r="Q3731">
        <v>7</v>
      </c>
      <c r="R3731" t="s">
        <v>213</v>
      </c>
      <c r="S3731" s="2" t="s">
        <v>7</v>
      </c>
      <c r="T3731">
        <v>1</v>
      </c>
      <c r="U3731" t="s">
        <v>28</v>
      </c>
      <c r="V3731" t="s">
        <v>28</v>
      </c>
      <c r="W3731">
        <v>10</v>
      </c>
      <c r="X3731">
        <v>100</v>
      </c>
      <c r="Y3731" t="s">
        <v>28</v>
      </c>
    </row>
    <row r="3732" spans="1:28" x14ac:dyDescent="0.2">
      <c r="A3732" t="s">
        <v>482</v>
      </c>
      <c r="B3732">
        <v>2010</v>
      </c>
      <c r="C3732" t="s">
        <v>826</v>
      </c>
      <c r="D3732" t="s">
        <v>824</v>
      </c>
      <c r="E3732" t="s">
        <v>114</v>
      </c>
      <c r="F3732" t="s">
        <v>486</v>
      </c>
      <c r="G3732">
        <v>37.212491</v>
      </c>
      <c r="H3732">
        <v>122.63297900000001</v>
      </c>
      <c r="I3732" t="s">
        <v>766</v>
      </c>
      <c r="J3732" s="2" t="s">
        <v>14</v>
      </c>
      <c r="K3732" t="s">
        <v>490</v>
      </c>
      <c r="L3732" t="s">
        <v>143</v>
      </c>
      <c r="M3732" t="s">
        <v>12</v>
      </c>
      <c r="N3732" t="s">
        <v>85</v>
      </c>
      <c r="O3732" s="6" t="s">
        <v>12</v>
      </c>
      <c r="P3732" t="s">
        <v>70</v>
      </c>
      <c r="Q3732">
        <v>7</v>
      </c>
      <c r="R3732" t="s">
        <v>213</v>
      </c>
      <c r="S3732" s="2" t="s">
        <v>9</v>
      </c>
      <c r="T3732">
        <v>1</v>
      </c>
      <c r="U3732" t="s">
        <v>28</v>
      </c>
      <c r="V3732" t="s">
        <v>28</v>
      </c>
      <c r="W3732">
        <v>21</v>
      </c>
      <c r="X3732">
        <v>100</v>
      </c>
      <c r="Y3732" t="s">
        <v>28</v>
      </c>
    </row>
    <row r="3733" spans="1:28" x14ac:dyDescent="0.2">
      <c r="A3733" t="s">
        <v>482</v>
      </c>
      <c r="B3733">
        <v>2010</v>
      </c>
      <c r="C3733" t="s">
        <v>826</v>
      </c>
      <c r="D3733" t="s">
        <v>824</v>
      </c>
      <c r="E3733" t="s">
        <v>114</v>
      </c>
      <c r="F3733" t="s">
        <v>486</v>
      </c>
      <c r="G3733">
        <v>37.212491</v>
      </c>
      <c r="H3733">
        <v>122.63297900000001</v>
      </c>
      <c r="I3733" t="s">
        <v>766</v>
      </c>
      <c r="J3733" s="2" t="s">
        <v>14</v>
      </c>
      <c r="K3733" t="s">
        <v>490</v>
      </c>
      <c r="L3733" t="s">
        <v>143</v>
      </c>
      <c r="M3733" t="s">
        <v>12</v>
      </c>
      <c r="N3733" t="s">
        <v>85</v>
      </c>
      <c r="O3733" s="6" t="s">
        <v>12</v>
      </c>
      <c r="P3733" t="s">
        <v>70</v>
      </c>
      <c r="Q3733">
        <v>7</v>
      </c>
      <c r="R3733" t="s">
        <v>213</v>
      </c>
      <c r="S3733" s="2" t="s">
        <v>27</v>
      </c>
      <c r="T3733">
        <v>1</v>
      </c>
      <c r="U3733" t="s">
        <v>28</v>
      </c>
      <c r="V3733" t="s">
        <v>28</v>
      </c>
      <c r="W3733">
        <v>23</v>
      </c>
      <c r="X3733">
        <f>100-1.2</f>
        <v>98.8</v>
      </c>
      <c r="Y3733" t="s">
        <v>28</v>
      </c>
    </row>
    <row r="3734" spans="1:28" x14ac:dyDescent="0.2">
      <c r="A3734" t="s">
        <v>482</v>
      </c>
      <c r="B3734">
        <v>2010</v>
      </c>
      <c r="C3734" t="s">
        <v>826</v>
      </c>
      <c r="D3734" t="s">
        <v>824</v>
      </c>
      <c r="E3734" t="s">
        <v>114</v>
      </c>
      <c r="F3734" t="s">
        <v>487</v>
      </c>
      <c r="G3734">
        <v>37.094527999999997</v>
      </c>
      <c r="H3734">
        <v>122.58033500000001</v>
      </c>
      <c r="I3734" t="s">
        <v>766</v>
      </c>
      <c r="J3734" s="2" t="s">
        <v>7</v>
      </c>
      <c r="K3734" t="s">
        <v>490</v>
      </c>
      <c r="L3734" t="s">
        <v>143</v>
      </c>
      <c r="M3734" t="s">
        <v>12</v>
      </c>
      <c r="N3734" t="s">
        <v>85</v>
      </c>
      <c r="O3734" s="6" t="s">
        <v>12</v>
      </c>
      <c r="P3734" t="s">
        <v>70</v>
      </c>
      <c r="Q3734">
        <v>7</v>
      </c>
      <c r="R3734" t="s">
        <v>213</v>
      </c>
      <c r="S3734" s="2" t="s">
        <v>7</v>
      </c>
      <c r="T3734">
        <v>1</v>
      </c>
      <c r="U3734" t="s">
        <v>28</v>
      </c>
      <c r="V3734" t="s">
        <v>28</v>
      </c>
      <c r="W3734">
        <v>10</v>
      </c>
      <c r="X3734">
        <v>100</v>
      </c>
      <c r="Y3734" t="s">
        <v>28</v>
      </c>
    </row>
    <row r="3735" spans="1:28" x14ac:dyDescent="0.2">
      <c r="A3735" t="s">
        <v>482</v>
      </c>
      <c r="B3735">
        <v>2010</v>
      </c>
      <c r="C3735" t="s">
        <v>826</v>
      </c>
      <c r="D3735" t="s">
        <v>824</v>
      </c>
      <c r="E3735" t="s">
        <v>114</v>
      </c>
      <c r="F3735" t="s">
        <v>487</v>
      </c>
      <c r="G3735">
        <v>37.094527999999997</v>
      </c>
      <c r="H3735">
        <v>122.58033500000001</v>
      </c>
      <c r="I3735" t="s">
        <v>766</v>
      </c>
      <c r="J3735" s="2" t="s">
        <v>14</v>
      </c>
      <c r="K3735" t="s">
        <v>490</v>
      </c>
      <c r="L3735" t="s">
        <v>143</v>
      </c>
      <c r="M3735" t="s">
        <v>12</v>
      </c>
      <c r="N3735" t="s">
        <v>85</v>
      </c>
      <c r="O3735" s="6" t="s">
        <v>12</v>
      </c>
      <c r="P3735" t="s">
        <v>70</v>
      </c>
      <c r="Q3735">
        <v>7</v>
      </c>
      <c r="R3735" t="s">
        <v>213</v>
      </c>
      <c r="S3735" s="2" t="s">
        <v>9</v>
      </c>
      <c r="T3735">
        <v>1</v>
      </c>
      <c r="U3735" t="s">
        <v>28</v>
      </c>
      <c r="V3735" t="s">
        <v>28</v>
      </c>
      <c r="W3735">
        <v>21</v>
      </c>
      <c r="X3735">
        <v>100</v>
      </c>
      <c r="Y3735" t="s">
        <v>28</v>
      </c>
    </row>
    <row r="3736" spans="1:28" x14ac:dyDescent="0.2">
      <c r="A3736" t="s">
        <v>482</v>
      </c>
      <c r="B3736">
        <v>2010</v>
      </c>
      <c r="C3736" t="s">
        <v>826</v>
      </c>
      <c r="D3736" t="s">
        <v>824</v>
      </c>
      <c r="E3736" t="s">
        <v>114</v>
      </c>
      <c r="F3736" t="s">
        <v>487</v>
      </c>
      <c r="G3736">
        <v>37.094527999999997</v>
      </c>
      <c r="H3736">
        <v>122.58033500000001</v>
      </c>
      <c r="I3736" t="s">
        <v>766</v>
      </c>
      <c r="J3736" s="2" t="s">
        <v>14</v>
      </c>
      <c r="K3736" t="s">
        <v>490</v>
      </c>
      <c r="L3736" t="s">
        <v>143</v>
      </c>
      <c r="M3736" t="s">
        <v>12</v>
      </c>
      <c r="N3736" t="s">
        <v>85</v>
      </c>
      <c r="O3736" s="6" t="s">
        <v>12</v>
      </c>
      <c r="P3736" t="s">
        <v>70</v>
      </c>
      <c r="Q3736">
        <v>7</v>
      </c>
      <c r="R3736" t="s">
        <v>213</v>
      </c>
      <c r="S3736" s="2" t="s">
        <v>27</v>
      </c>
      <c r="T3736">
        <v>1</v>
      </c>
      <c r="U3736" t="s">
        <v>28</v>
      </c>
      <c r="V3736" t="s">
        <v>28</v>
      </c>
      <c r="W3736">
        <v>23</v>
      </c>
      <c r="X3736">
        <v>100</v>
      </c>
      <c r="Y3736" t="s">
        <v>28</v>
      </c>
    </row>
    <row r="3737" spans="1:28" x14ac:dyDescent="0.2">
      <c r="A3737" t="s">
        <v>482</v>
      </c>
      <c r="B3737">
        <v>2010</v>
      </c>
      <c r="C3737" t="s">
        <v>826</v>
      </c>
      <c r="D3737" t="s">
        <v>824</v>
      </c>
      <c r="E3737" t="s">
        <v>114</v>
      </c>
      <c r="F3737" t="s">
        <v>488</v>
      </c>
      <c r="G3737">
        <v>37.482649000000002</v>
      </c>
      <c r="H3737">
        <v>121.931369</v>
      </c>
      <c r="I3737" t="s">
        <v>764</v>
      </c>
      <c r="J3737" s="2" t="s">
        <v>7</v>
      </c>
      <c r="K3737" t="s">
        <v>490</v>
      </c>
      <c r="L3737" t="s">
        <v>143</v>
      </c>
      <c r="M3737" t="s">
        <v>12</v>
      </c>
      <c r="N3737" t="s">
        <v>85</v>
      </c>
      <c r="O3737" s="6" t="s">
        <v>12</v>
      </c>
      <c r="P3737" t="s">
        <v>70</v>
      </c>
      <c r="Q3737">
        <v>7</v>
      </c>
      <c r="R3737" t="s">
        <v>213</v>
      </c>
      <c r="S3737" s="2" t="s">
        <v>7</v>
      </c>
      <c r="T3737">
        <v>1</v>
      </c>
      <c r="U3737" t="s">
        <v>28</v>
      </c>
      <c r="V3737" t="s">
        <v>28</v>
      </c>
      <c r="W3737">
        <v>10</v>
      </c>
      <c r="X3737">
        <v>100</v>
      </c>
      <c r="Y3737" t="s">
        <v>28</v>
      </c>
    </row>
    <row r="3738" spans="1:28" x14ac:dyDescent="0.2">
      <c r="A3738" t="s">
        <v>482</v>
      </c>
      <c r="B3738">
        <v>2010</v>
      </c>
      <c r="C3738" t="s">
        <v>826</v>
      </c>
      <c r="D3738" t="s">
        <v>824</v>
      </c>
      <c r="E3738" t="s">
        <v>114</v>
      </c>
      <c r="F3738" t="s">
        <v>488</v>
      </c>
      <c r="G3738">
        <v>37.482649000000002</v>
      </c>
      <c r="H3738">
        <v>121.931369</v>
      </c>
      <c r="I3738" t="s">
        <v>764</v>
      </c>
      <c r="J3738" s="2" t="s">
        <v>14</v>
      </c>
      <c r="K3738" t="s">
        <v>490</v>
      </c>
      <c r="L3738" t="s">
        <v>143</v>
      </c>
      <c r="M3738" t="s">
        <v>12</v>
      </c>
      <c r="N3738" t="s">
        <v>85</v>
      </c>
      <c r="O3738" s="6" t="s">
        <v>12</v>
      </c>
      <c r="P3738" t="s">
        <v>70</v>
      </c>
      <c r="Q3738">
        <v>7</v>
      </c>
      <c r="R3738" t="s">
        <v>213</v>
      </c>
      <c r="S3738" s="2" t="s">
        <v>9</v>
      </c>
      <c r="T3738">
        <v>1</v>
      </c>
      <c r="U3738" t="s">
        <v>28</v>
      </c>
      <c r="V3738" t="s">
        <v>28</v>
      </c>
      <c r="W3738">
        <v>21</v>
      </c>
      <c r="X3738">
        <v>100</v>
      </c>
      <c r="Y3738" t="s">
        <v>28</v>
      </c>
    </row>
    <row r="3739" spans="1:28" x14ac:dyDescent="0.2">
      <c r="A3739" t="s">
        <v>482</v>
      </c>
      <c r="B3739">
        <v>2010</v>
      </c>
      <c r="C3739" t="s">
        <v>826</v>
      </c>
      <c r="D3739" t="s">
        <v>824</v>
      </c>
      <c r="E3739" t="s">
        <v>114</v>
      </c>
      <c r="F3739" t="s">
        <v>488</v>
      </c>
      <c r="G3739">
        <v>37.482649000000002</v>
      </c>
      <c r="H3739">
        <v>121.931369</v>
      </c>
      <c r="I3739" t="s">
        <v>764</v>
      </c>
      <c r="J3739" s="2" t="s">
        <v>14</v>
      </c>
      <c r="K3739" t="s">
        <v>490</v>
      </c>
      <c r="L3739" t="s">
        <v>143</v>
      </c>
      <c r="M3739" t="s">
        <v>12</v>
      </c>
      <c r="N3739" t="s">
        <v>85</v>
      </c>
      <c r="O3739" s="6" t="s">
        <v>12</v>
      </c>
      <c r="P3739" t="s">
        <v>70</v>
      </c>
      <c r="Q3739">
        <v>7</v>
      </c>
      <c r="R3739" t="s">
        <v>213</v>
      </c>
      <c r="S3739" s="2" t="s">
        <v>27</v>
      </c>
      <c r="T3739">
        <v>1</v>
      </c>
      <c r="U3739" t="s">
        <v>28</v>
      </c>
      <c r="V3739" t="s">
        <v>28</v>
      </c>
      <c r="W3739">
        <v>23</v>
      </c>
      <c r="X3739">
        <v>100</v>
      </c>
      <c r="Y3739" t="s">
        <v>28</v>
      </c>
    </row>
    <row r="3740" spans="1:28" x14ac:dyDescent="0.2">
      <c r="A3740" t="s">
        <v>482</v>
      </c>
      <c r="B3740">
        <v>2010</v>
      </c>
      <c r="C3740" t="s">
        <v>826</v>
      </c>
      <c r="D3740" t="s">
        <v>824</v>
      </c>
      <c r="E3740" t="s">
        <v>114</v>
      </c>
      <c r="F3740" t="s">
        <v>489</v>
      </c>
      <c r="G3740">
        <v>36.033332000000001</v>
      </c>
      <c r="H3740">
        <v>120.380697</v>
      </c>
      <c r="I3740" t="s">
        <v>764</v>
      </c>
      <c r="J3740" s="2" t="s">
        <v>7</v>
      </c>
      <c r="K3740" t="s">
        <v>490</v>
      </c>
      <c r="L3740" t="s">
        <v>143</v>
      </c>
      <c r="M3740" t="s">
        <v>12</v>
      </c>
      <c r="N3740" t="s">
        <v>85</v>
      </c>
      <c r="O3740" s="6" t="s">
        <v>12</v>
      </c>
      <c r="P3740" t="s">
        <v>70</v>
      </c>
      <c r="Q3740">
        <v>7</v>
      </c>
      <c r="R3740" t="s">
        <v>213</v>
      </c>
      <c r="S3740" s="2" t="s">
        <v>7</v>
      </c>
      <c r="T3740">
        <v>1</v>
      </c>
      <c r="U3740" t="s">
        <v>28</v>
      </c>
      <c r="V3740" t="s">
        <v>28</v>
      </c>
      <c r="W3740">
        <v>10</v>
      </c>
      <c r="X3740">
        <v>100</v>
      </c>
      <c r="Y3740" t="s">
        <v>28</v>
      </c>
    </row>
    <row r="3741" spans="1:28" x14ac:dyDescent="0.2">
      <c r="A3741" t="s">
        <v>482</v>
      </c>
      <c r="B3741">
        <v>2010</v>
      </c>
      <c r="C3741" t="s">
        <v>826</v>
      </c>
      <c r="D3741" t="s">
        <v>824</v>
      </c>
      <c r="E3741" t="s">
        <v>114</v>
      </c>
      <c r="F3741" t="s">
        <v>489</v>
      </c>
      <c r="G3741">
        <v>36.033332000000001</v>
      </c>
      <c r="H3741">
        <v>120.380697</v>
      </c>
      <c r="I3741" t="s">
        <v>764</v>
      </c>
      <c r="J3741" s="2" t="s">
        <v>14</v>
      </c>
      <c r="K3741" t="s">
        <v>490</v>
      </c>
      <c r="L3741" t="s">
        <v>143</v>
      </c>
      <c r="M3741" t="s">
        <v>12</v>
      </c>
      <c r="N3741" t="s">
        <v>85</v>
      </c>
      <c r="O3741" s="6" t="s">
        <v>12</v>
      </c>
      <c r="P3741" t="s">
        <v>70</v>
      </c>
      <c r="Q3741">
        <v>7</v>
      </c>
      <c r="R3741" t="s">
        <v>213</v>
      </c>
      <c r="S3741" s="2" t="s">
        <v>9</v>
      </c>
      <c r="T3741">
        <v>1</v>
      </c>
      <c r="U3741" t="s">
        <v>28</v>
      </c>
      <c r="V3741" t="s">
        <v>28</v>
      </c>
      <c r="W3741">
        <v>21</v>
      </c>
      <c r="X3741">
        <v>100</v>
      </c>
      <c r="Y3741" t="s">
        <v>28</v>
      </c>
    </row>
    <row r="3742" spans="1:28" x14ac:dyDescent="0.2">
      <c r="A3742" t="s">
        <v>482</v>
      </c>
      <c r="B3742">
        <v>2010</v>
      </c>
      <c r="C3742" t="s">
        <v>826</v>
      </c>
      <c r="D3742" t="s">
        <v>824</v>
      </c>
      <c r="E3742" t="s">
        <v>114</v>
      </c>
      <c r="F3742" t="s">
        <v>489</v>
      </c>
      <c r="G3742">
        <v>36.033332000000001</v>
      </c>
      <c r="H3742">
        <v>120.380697</v>
      </c>
      <c r="I3742" t="s">
        <v>764</v>
      </c>
      <c r="J3742" s="2" t="s">
        <v>14</v>
      </c>
      <c r="K3742" t="s">
        <v>490</v>
      </c>
      <c r="L3742" t="s">
        <v>143</v>
      </c>
      <c r="M3742" t="s">
        <v>12</v>
      </c>
      <c r="N3742" t="s">
        <v>85</v>
      </c>
      <c r="O3742" s="6" t="s">
        <v>12</v>
      </c>
      <c r="P3742" t="s">
        <v>70</v>
      </c>
      <c r="Q3742">
        <v>7</v>
      </c>
      <c r="R3742" t="s">
        <v>213</v>
      </c>
      <c r="S3742" s="2" t="s">
        <v>27</v>
      </c>
      <c r="T3742">
        <v>1</v>
      </c>
      <c r="U3742" t="s">
        <v>28</v>
      </c>
      <c r="V3742" t="s">
        <v>28</v>
      </c>
      <c r="W3742">
        <v>23</v>
      </c>
      <c r="X3742">
        <v>100</v>
      </c>
      <c r="Y3742" t="s">
        <v>28</v>
      </c>
    </row>
    <row r="3743" spans="1:28" x14ac:dyDescent="0.2">
      <c r="A3743" t="s">
        <v>482</v>
      </c>
      <c r="B3743">
        <v>2010</v>
      </c>
      <c r="C3743" t="s">
        <v>826</v>
      </c>
      <c r="D3743" t="s">
        <v>824</v>
      </c>
      <c r="E3743" t="s">
        <v>114</v>
      </c>
      <c r="F3743" t="s">
        <v>483</v>
      </c>
      <c r="G3743">
        <v>36.869999999999997</v>
      </c>
      <c r="H3743">
        <v>122.42</v>
      </c>
      <c r="I3743" t="s">
        <v>766</v>
      </c>
      <c r="J3743" s="2" t="s">
        <v>7</v>
      </c>
      <c r="K3743" t="s">
        <v>490</v>
      </c>
      <c r="L3743" t="s">
        <v>143</v>
      </c>
      <c r="M3743" t="s">
        <v>726</v>
      </c>
      <c r="N3743" t="s">
        <v>85</v>
      </c>
      <c r="O3743" s="6" t="s">
        <v>84</v>
      </c>
      <c r="Q3743">
        <v>3</v>
      </c>
      <c r="R3743" t="s">
        <v>213</v>
      </c>
      <c r="S3743" s="2" t="s">
        <v>7</v>
      </c>
      <c r="T3743">
        <v>6</v>
      </c>
      <c r="U3743" t="s">
        <v>28</v>
      </c>
      <c r="V3743" t="s">
        <v>28</v>
      </c>
      <c r="W3743">
        <v>10</v>
      </c>
      <c r="X3743">
        <v>0.63900000000000001</v>
      </c>
      <c r="Y3743">
        <f>0.646-X3743</f>
        <v>7.0000000000000062E-3</v>
      </c>
      <c r="AA3743" s="6"/>
      <c r="AB3743" s="6"/>
    </row>
    <row r="3744" spans="1:28" x14ac:dyDescent="0.2">
      <c r="A3744" t="s">
        <v>482</v>
      </c>
      <c r="B3744">
        <v>2010</v>
      </c>
      <c r="C3744" t="s">
        <v>826</v>
      </c>
      <c r="D3744" t="s">
        <v>824</v>
      </c>
      <c r="E3744" t="s">
        <v>114</v>
      </c>
      <c r="F3744" t="s">
        <v>483</v>
      </c>
      <c r="G3744">
        <v>36.869999999999997</v>
      </c>
      <c r="H3744">
        <v>122.42</v>
      </c>
      <c r="I3744" t="s">
        <v>766</v>
      </c>
      <c r="J3744" s="2" t="s">
        <v>14</v>
      </c>
      <c r="K3744" t="s">
        <v>490</v>
      </c>
      <c r="L3744" t="s">
        <v>143</v>
      </c>
      <c r="M3744" t="s">
        <v>726</v>
      </c>
      <c r="N3744" t="s">
        <v>85</v>
      </c>
      <c r="O3744" s="6" t="s">
        <v>84</v>
      </c>
      <c r="Q3744">
        <v>3</v>
      </c>
      <c r="R3744" t="s">
        <v>213</v>
      </c>
      <c r="S3744" s="2" t="s">
        <v>9</v>
      </c>
      <c r="T3744">
        <v>6</v>
      </c>
      <c r="U3744" t="s">
        <v>28</v>
      </c>
      <c r="V3744" t="s">
        <v>28</v>
      </c>
      <c r="W3744">
        <v>21</v>
      </c>
      <c r="X3744">
        <v>0.629</v>
      </c>
      <c r="Y3744">
        <f>0.652-X3744</f>
        <v>2.300000000000002E-2</v>
      </c>
      <c r="AA3744" s="6"/>
      <c r="AB3744" s="6"/>
    </row>
    <row r="3745" spans="1:28" x14ac:dyDescent="0.2">
      <c r="A3745" t="s">
        <v>482</v>
      </c>
      <c r="B3745">
        <v>2010</v>
      </c>
      <c r="C3745" t="s">
        <v>826</v>
      </c>
      <c r="D3745" t="s">
        <v>824</v>
      </c>
      <c r="E3745" t="s">
        <v>114</v>
      </c>
      <c r="F3745" t="s">
        <v>483</v>
      </c>
      <c r="G3745">
        <v>36.869999999999997</v>
      </c>
      <c r="H3745">
        <v>122.42</v>
      </c>
      <c r="I3745" t="s">
        <v>766</v>
      </c>
      <c r="J3745" s="2" t="s">
        <v>14</v>
      </c>
      <c r="K3745" t="s">
        <v>490</v>
      </c>
      <c r="L3745" t="s">
        <v>143</v>
      </c>
      <c r="M3745" t="s">
        <v>726</v>
      </c>
      <c r="N3745" t="s">
        <v>85</v>
      </c>
      <c r="O3745" s="6" t="s">
        <v>84</v>
      </c>
      <c r="Q3745">
        <v>3</v>
      </c>
      <c r="R3745" t="s">
        <v>213</v>
      </c>
      <c r="S3745" s="2" t="s">
        <v>27</v>
      </c>
      <c r="T3745">
        <v>6</v>
      </c>
      <c r="U3745" t="s">
        <v>28</v>
      </c>
      <c r="V3745" t="s">
        <v>28</v>
      </c>
      <c r="W3745">
        <v>23</v>
      </c>
      <c r="X3745">
        <v>0.57599999999999996</v>
      </c>
      <c r="Y3745">
        <f>0.612-X3745</f>
        <v>3.6000000000000032E-2</v>
      </c>
      <c r="AA3745" s="6"/>
      <c r="AB3745" s="6"/>
    </row>
    <row r="3746" spans="1:28" x14ac:dyDescent="0.2">
      <c r="A3746" t="s">
        <v>482</v>
      </c>
      <c r="B3746">
        <v>2010</v>
      </c>
      <c r="C3746" t="s">
        <v>826</v>
      </c>
      <c r="D3746" t="s">
        <v>824</v>
      </c>
      <c r="E3746" t="s">
        <v>114</v>
      </c>
      <c r="F3746" t="s">
        <v>484</v>
      </c>
      <c r="G3746">
        <v>37.24</v>
      </c>
      <c r="H3746">
        <v>122.58</v>
      </c>
      <c r="I3746" t="s">
        <v>766</v>
      </c>
      <c r="J3746" s="2" t="s">
        <v>7</v>
      </c>
      <c r="K3746" t="s">
        <v>490</v>
      </c>
      <c r="L3746" t="s">
        <v>143</v>
      </c>
      <c r="M3746" t="s">
        <v>726</v>
      </c>
      <c r="N3746" t="s">
        <v>85</v>
      </c>
      <c r="O3746" s="6" t="s">
        <v>84</v>
      </c>
      <c r="Q3746">
        <v>3</v>
      </c>
      <c r="R3746" t="s">
        <v>213</v>
      </c>
      <c r="S3746" s="2" t="s">
        <v>7</v>
      </c>
      <c r="T3746">
        <v>6</v>
      </c>
      <c r="U3746" t="s">
        <v>28</v>
      </c>
      <c r="V3746" t="s">
        <v>28</v>
      </c>
      <c r="W3746">
        <v>10</v>
      </c>
      <c r="X3746">
        <v>0.60399999999999998</v>
      </c>
      <c r="Y3746">
        <f>0.619-X3746</f>
        <v>1.5000000000000013E-2</v>
      </c>
      <c r="AA3746" s="6"/>
      <c r="AB3746" s="6"/>
    </row>
    <row r="3747" spans="1:28" x14ac:dyDescent="0.2">
      <c r="A3747" t="s">
        <v>482</v>
      </c>
      <c r="B3747">
        <v>2010</v>
      </c>
      <c r="C3747" t="s">
        <v>826</v>
      </c>
      <c r="D3747" t="s">
        <v>824</v>
      </c>
      <c r="E3747" t="s">
        <v>114</v>
      </c>
      <c r="F3747" t="s">
        <v>484</v>
      </c>
      <c r="G3747">
        <v>37.24</v>
      </c>
      <c r="H3747">
        <v>122.58</v>
      </c>
      <c r="I3747" t="s">
        <v>766</v>
      </c>
      <c r="J3747" s="2" t="s">
        <v>14</v>
      </c>
      <c r="K3747" t="s">
        <v>490</v>
      </c>
      <c r="L3747" t="s">
        <v>143</v>
      </c>
      <c r="M3747" t="s">
        <v>726</v>
      </c>
      <c r="N3747" t="s">
        <v>85</v>
      </c>
      <c r="O3747" s="6" t="s">
        <v>84</v>
      </c>
      <c r="Q3747">
        <v>3</v>
      </c>
      <c r="R3747" t="s">
        <v>213</v>
      </c>
      <c r="S3747" s="2" t="s">
        <v>9</v>
      </c>
      <c r="T3747">
        <v>6</v>
      </c>
      <c r="U3747" t="s">
        <v>28</v>
      </c>
      <c r="V3747" t="s">
        <v>28</v>
      </c>
      <c r="W3747">
        <v>21</v>
      </c>
      <c r="X3747">
        <v>0.57399999999999995</v>
      </c>
      <c r="Y3747">
        <f>0.597-X3747</f>
        <v>2.300000000000002E-2</v>
      </c>
      <c r="AA3747" s="6"/>
      <c r="AB3747" s="6"/>
    </row>
    <row r="3748" spans="1:28" x14ac:dyDescent="0.2">
      <c r="A3748" t="s">
        <v>482</v>
      </c>
      <c r="B3748">
        <v>2010</v>
      </c>
      <c r="C3748" t="s">
        <v>826</v>
      </c>
      <c r="D3748" t="s">
        <v>824</v>
      </c>
      <c r="E3748" t="s">
        <v>114</v>
      </c>
      <c r="F3748" t="s">
        <v>484</v>
      </c>
      <c r="G3748">
        <v>37.24</v>
      </c>
      <c r="H3748">
        <v>122.58</v>
      </c>
      <c r="I3748" t="s">
        <v>766</v>
      </c>
      <c r="J3748" s="2" t="s">
        <v>14</v>
      </c>
      <c r="K3748" t="s">
        <v>490</v>
      </c>
      <c r="L3748" t="s">
        <v>143</v>
      </c>
      <c r="M3748" t="s">
        <v>726</v>
      </c>
      <c r="N3748" t="s">
        <v>85</v>
      </c>
      <c r="O3748" s="6" t="s">
        <v>84</v>
      </c>
      <c r="Q3748">
        <v>3</v>
      </c>
      <c r="R3748" t="s">
        <v>213</v>
      </c>
      <c r="S3748" s="2" t="s">
        <v>27</v>
      </c>
      <c r="T3748">
        <v>6</v>
      </c>
      <c r="U3748" t="s">
        <v>28</v>
      </c>
      <c r="V3748" t="s">
        <v>28</v>
      </c>
      <c r="W3748">
        <v>23</v>
      </c>
      <c r="X3748">
        <v>0.55200000000000005</v>
      </c>
      <c r="Y3748">
        <f>0.587-X3748</f>
        <v>3.499999999999992E-2</v>
      </c>
      <c r="AA3748" s="6"/>
      <c r="AB3748" s="6"/>
    </row>
    <row r="3749" spans="1:28" x14ac:dyDescent="0.2">
      <c r="A3749" t="s">
        <v>482</v>
      </c>
      <c r="B3749">
        <v>2010</v>
      </c>
      <c r="C3749" t="s">
        <v>826</v>
      </c>
      <c r="D3749" t="s">
        <v>824</v>
      </c>
      <c r="E3749" t="s">
        <v>114</v>
      </c>
      <c r="F3749" t="s">
        <v>485</v>
      </c>
      <c r="G3749">
        <v>37.478665999999997</v>
      </c>
      <c r="H3749">
        <v>121.949291</v>
      </c>
      <c r="I3749" t="s">
        <v>766</v>
      </c>
      <c r="J3749" s="2" t="s">
        <v>7</v>
      </c>
      <c r="K3749" t="s">
        <v>490</v>
      </c>
      <c r="L3749" t="s">
        <v>143</v>
      </c>
      <c r="M3749" t="s">
        <v>726</v>
      </c>
      <c r="N3749" t="s">
        <v>85</v>
      </c>
      <c r="O3749" s="6" t="s">
        <v>84</v>
      </c>
      <c r="Q3749">
        <v>3</v>
      </c>
      <c r="R3749" t="s">
        <v>213</v>
      </c>
      <c r="S3749" s="2" t="s">
        <v>7</v>
      </c>
      <c r="T3749">
        <v>6</v>
      </c>
      <c r="U3749" t="s">
        <v>28</v>
      </c>
      <c r="V3749" t="s">
        <v>28</v>
      </c>
      <c r="W3749">
        <v>10</v>
      </c>
      <c r="X3749">
        <v>0.621</v>
      </c>
      <c r="Y3749">
        <f>0.64-X3749</f>
        <v>1.9000000000000017E-2</v>
      </c>
      <c r="AA3749" s="6"/>
      <c r="AB3749" s="6"/>
    </row>
    <row r="3750" spans="1:28" x14ac:dyDescent="0.2">
      <c r="A3750" t="s">
        <v>482</v>
      </c>
      <c r="B3750">
        <v>2010</v>
      </c>
      <c r="C3750" t="s">
        <v>826</v>
      </c>
      <c r="D3750" t="s">
        <v>824</v>
      </c>
      <c r="E3750" t="s">
        <v>114</v>
      </c>
      <c r="F3750" t="s">
        <v>485</v>
      </c>
      <c r="G3750">
        <v>37.478665999999997</v>
      </c>
      <c r="H3750">
        <v>121.949291</v>
      </c>
      <c r="I3750" t="s">
        <v>766</v>
      </c>
      <c r="J3750" s="2" t="s">
        <v>14</v>
      </c>
      <c r="K3750" t="s">
        <v>490</v>
      </c>
      <c r="L3750" t="s">
        <v>143</v>
      </c>
      <c r="M3750" t="s">
        <v>726</v>
      </c>
      <c r="N3750" t="s">
        <v>85</v>
      </c>
      <c r="O3750" s="6" t="s">
        <v>84</v>
      </c>
      <c r="Q3750">
        <v>3</v>
      </c>
      <c r="R3750" t="s">
        <v>213</v>
      </c>
      <c r="S3750" s="2" t="s">
        <v>9</v>
      </c>
      <c r="T3750">
        <v>6</v>
      </c>
      <c r="U3750" t="s">
        <v>28</v>
      </c>
      <c r="V3750" t="s">
        <v>28</v>
      </c>
      <c r="W3750">
        <v>21</v>
      </c>
      <c r="X3750">
        <v>0.55400000000000005</v>
      </c>
      <c r="Y3750">
        <f>0.59-X3750</f>
        <v>3.5999999999999921E-2</v>
      </c>
      <c r="AA3750" s="6"/>
      <c r="AB3750" s="6"/>
    </row>
    <row r="3751" spans="1:28" x14ac:dyDescent="0.2">
      <c r="A3751" t="s">
        <v>482</v>
      </c>
      <c r="B3751">
        <v>2010</v>
      </c>
      <c r="C3751" t="s">
        <v>826</v>
      </c>
      <c r="D3751" t="s">
        <v>824</v>
      </c>
      <c r="E3751" t="s">
        <v>114</v>
      </c>
      <c r="F3751" t="s">
        <v>485</v>
      </c>
      <c r="G3751">
        <v>37.478665999999997</v>
      </c>
      <c r="H3751">
        <v>121.949291</v>
      </c>
      <c r="I3751" t="s">
        <v>766</v>
      </c>
      <c r="J3751" s="2" t="s">
        <v>14</v>
      </c>
      <c r="K3751" t="s">
        <v>490</v>
      </c>
      <c r="L3751" t="s">
        <v>143</v>
      </c>
      <c r="M3751" t="s">
        <v>726</v>
      </c>
      <c r="N3751" t="s">
        <v>85</v>
      </c>
      <c r="O3751" s="6" t="s">
        <v>84</v>
      </c>
      <c r="Q3751">
        <v>3</v>
      </c>
      <c r="R3751" t="s">
        <v>213</v>
      </c>
      <c r="S3751" s="2" t="s">
        <v>27</v>
      </c>
      <c r="T3751">
        <v>6</v>
      </c>
      <c r="U3751" t="s">
        <v>28</v>
      </c>
      <c r="V3751" t="s">
        <v>28</v>
      </c>
      <c r="W3751">
        <v>23</v>
      </c>
      <c r="X3751">
        <v>0.51600000000000001</v>
      </c>
      <c r="Y3751">
        <f>0.545-X3751</f>
        <v>2.9000000000000026E-2</v>
      </c>
      <c r="AA3751" s="6"/>
      <c r="AB3751" s="6"/>
    </row>
    <row r="3752" spans="1:28" x14ac:dyDescent="0.2">
      <c r="A3752" t="s">
        <v>482</v>
      </c>
      <c r="B3752">
        <v>2010</v>
      </c>
      <c r="C3752" t="s">
        <v>826</v>
      </c>
      <c r="D3752" t="s">
        <v>824</v>
      </c>
      <c r="E3752" t="s">
        <v>114</v>
      </c>
      <c r="F3752" t="s">
        <v>486</v>
      </c>
      <c r="G3752">
        <v>37.212491</v>
      </c>
      <c r="H3752">
        <v>122.63297900000001</v>
      </c>
      <c r="I3752" t="s">
        <v>766</v>
      </c>
      <c r="J3752" s="2" t="s">
        <v>7</v>
      </c>
      <c r="K3752" t="s">
        <v>490</v>
      </c>
      <c r="L3752" t="s">
        <v>143</v>
      </c>
      <c r="M3752" t="s">
        <v>726</v>
      </c>
      <c r="N3752" t="s">
        <v>85</v>
      </c>
      <c r="O3752" s="6" t="s">
        <v>84</v>
      </c>
      <c r="Q3752">
        <v>3</v>
      </c>
      <c r="R3752" t="s">
        <v>213</v>
      </c>
      <c r="S3752" s="2" t="s">
        <v>7</v>
      </c>
      <c r="T3752">
        <v>6</v>
      </c>
      <c r="U3752" t="s">
        <v>28</v>
      </c>
      <c r="V3752" t="s">
        <v>28</v>
      </c>
      <c r="W3752">
        <v>10</v>
      </c>
      <c r="X3752">
        <v>0.61599999999999999</v>
      </c>
      <c r="Y3752">
        <f>0.633-X3752</f>
        <v>1.7000000000000015E-2</v>
      </c>
      <c r="AA3752" s="6"/>
      <c r="AB3752" s="6"/>
    </row>
    <row r="3753" spans="1:28" x14ac:dyDescent="0.2">
      <c r="A3753" t="s">
        <v>482</v>
      </c>
      <c r="B3753">
        <v>2010</v>
      </c>
      <c r="C3753" t="s">
        <v>826</v>
      </c>
      <c r="D3753" t="s">
        <v>824</v>
      </c>
      <c r="E3753" t="s">
        <v>114</v>
      </c>
      <c r="F3753" t="s">
        <v>486</v>
      </c>
      <c r="G3753">
        <v>37.212491</v>
      </c>
      <c r="H3753">
        <v>122.63297900000001</v>
      </c>
      <c r="I3753" t="s">
        <v>766</v>
      </c>
      <c r="J3753" s="2" t="s">
        <v>14</v>
      </c>
      <c r="K3753" t="s">
        <v>490</v>
      </c>
      <c r="L3753" t="s">
        <v>143</v>
      </c>
      <c r="M3753" t="s">
        <v>726</v>
      </c>
      <c r="N3753" t="s">
        <v>85</v>
      </c>
      <c r="O3753" s="6" t="s">
        <v>84</v>
      </c>
      <c r="Q3753">
        <v>3</v>
      </c>
      <c r="R3753" t="s">
        <v>213</v>
      </c>
      <c r="S3753" s="2" t="s">
        <v>9</v>
      </c>
      <c r="T3753">
        <v>6</v>
      </c>
      <c r="U3753" t="s">
        <v>28</v>
      </c>
      <c r="V3753" t="s">
        <v>28</v>
      </c>
      <c r="W3753">
        <v>21</v>
      </c>
      <c r="X3753">
        <v>0.56899999999999995</v>
      </c>
      <c r="Y3753">
        <f>0.606-X3753</f>
        <v>3.7000000000000033E-2</v>
      </c>
      <c r="AA3753" s="6"/>
      <c r="AB3753" s="6"/>
    </row>
    <row r="3754" spans="1:28" x14ac:dyDescent="0.2">
      <c r="A3754" t="s">
        <v>482</v>
      </c>
      <c r="B3754">
        <v>2010</v>
      </c>
      <c r="C3754" t="s">
        <v>826</v>
      </c>
      <c r="D3754" t="s">
        <v>824</v>
      </c>
      <c r="E3754" t="s">
        <v>114</v>
      </c>
      <c r="F3754" t="s">
        <v>486</v>
      </c>
      <c r="G3754">
        <v>37.212491</v>
      </c>
      <c r="H3754">
        <v>122.63297900000001</v>
      </c>
      <c r="I3754" t="s">
        <v>766</v>
      </c>
      <c r="J3754" s="2" t="s">
        <v>14</v>
      </c>
      <c r="K3754" t="s">
        <v>490</v>
      </c>
      <c r="L3754" t="s">
        <v>143</v>
      </c>
      <c r="M3754" t="s">
        <v>726</v>
      </c>
      <c r="N3754" t="s">
        <v>85</v>
      </c>
      <c r="O3754" s="6" t="s">
        <v>84</v>
      </c>
      <c r="Q3754">
        <v>3</v>
      </c>
      <c r="R3754" t="s">
        <v>213</v>
      </c>
      <c r="S3754" s="2" t="s">
        <v>27</v>
      </c>
      <c r="T3754">
        <v>6</v>
      </c>
      <c r="U3754" t="s">
        <v>28</v>
      </c>
      <c r="V3754" t="s">
        <v>28</v>
      </c>
      <c r="W3754">
        <v>23</v>
      </c>
      <c r="X3754">
        <v>0.54500000000000004</v>
      </c>
      <c r="Y3754">
        <f>0.585-X3754</f>
        <v>3.9999999999999925E-2</v>
      </c>
      <c r="AA3754" s="6"/>
      <c r="AB3754" s="6"/>
    </row>
    <row r="3755" spans="1:28" x14ac:dyDescent="0.2">
      <c r="A3755" t="s">
        <v>482</v>
      </c>
      <c r="B3755">
        <v>2010</v>
      </c>
      <c r="C3755" t="s">
        <v>826</v>
      </c>
      <c r="D3755" t="s">
        <v>824</v>
      </c>
      <c r="E3755" t="s">
        <v>114</v>
      </c>
      <c r="F3755" t="s">
        <v>487</v>
      </c>
      <c r="G3755">
        <v>37.094527999999997</v>
      </c>
      <c r="H3755">
        <v>122.58033500000001</v>
      </c>
      <c r="I3755" t="s">
        <v>766</v>
      </c>
      <c r="J3755" s="2" t="s">
        <v>7</v>
      </c>
      <c r="K3755" t="s">
        <v>490</v>
      </c>
      <c r="L3755" t="s">
        <v>143</v>
      </c>
      <c r="M3755" t="s">
        <v>726</v>
      </c>
      <c r="N3755" t="s">
        <v>85</v>
      </c>
      <c r="O3755" s="6" t="s">
        <v>84</v>
      </c>
      <c r="Q3755">
        <v>3</v>
      </c>
      <c r="R3755" t="s">
        <v>213</v>
      </c>
      <c r="S3755" s="2" t="s">
        <v>7</v>
      </c>
      <c r="T3755">
        <v>6</v>
      </c>
      <c r="U3755" t="s">
        <v>28</v>
      </c>
      <c r="V3755" t="s">
        <v>28</v>
      </c>
      <c r="W3755">
        <v>10</v>
      </c>
      <c r="X3755">
        <v>0.61499999999999999</v>
      </c>
      <c r="Y3755">
        <f>0.634-X3755</f>
        <v>1.9000000000000017E-2</v>
      </c>
      <c r="AA3755" s="6"/>
      <c r="AB3755" s="6"/>
    </row>
    <row r="3756" spans="1:28" x14ac:dyDescent="0.2">
      <c r="A3756" t="s">
        <v>482</v>
      </c>
      <c r="B3756">
        <v>2010</v>
      </c>
      <c r="C3756" t="s">
        <v>826</v>
      </c>
      <c r="D3756" t="s">
        <v>824</v>
      </c>
      <c r="E3756" t="s">
        <v>114</v>
      </c>
      <c r="F3756" t="s">
        <v>487</v>
      </c>
      <c r="G3756">
        <v>37.094527999999997</v>
      </c>
      <c r="H3756">
        <v>122.58033500000001</v>
      </c>
      <c r="I3756" t="s">
        <v>766</v>
      </c>
      <c r="J3756" s="2" t="s">
        <v>14</v>
      </c>
      <c r="K3756" t="s">
        <v>490</v>
      </c>
      <c r="L3756" t="s">
        <v>143</v>
      </c>
      <c r="M3756" t="s">
        <v>726</v>
      </c>
      <c r="N3756" t="s">
        <v>85</v>
      </c>
      <c r="O3756" s="6" t="s">
        <v>84</v>
      </c>
      <c r="Q3756">
        <v>3</v>
      </c>
      <c r="R3756" t="s">
        <v>213</v>
      </c>
      <c r="S3756" s="2" t="s">
        <v>9</v>
      </c>
      <c r="T3756">
        <v>6</v>
      </c>
      <c r="U3756" t="s">
        <v>28</v>
      </c>
      <c r="V3756" t="s">
        <v>28</v>
      </c>
      <c r="W3756">
        <v>21</v>
      </c>
      <c r="X3756">
        <v>0.60299999999999998</v>
      </c>
      <c r="Y3756">
        <f>0.621-X3756</f>
        <v>1.8000000000000016E-2</v>
      </c>
      <c r="AA3756" s="6"/>
      <c r="AB3756" s="6"/>
    </row>
    <row r="3757" spans="1:28" x14ac:dyDescent="0.2">
      <c r="A3757" t="s">
        <v>482</v>
      </c>
      <c r="B3757">
        <v>2010</v>
      </c>
      <c r="C3757" t="s">
        <v>826</v>
      </c>
      <c r="D3757" t="s">
        <v>824</v>
      </c>
      <c r="E3757" t="s">
        <v>114</v>
      </c>
      <c r="F3757" t="s">
        <v>487</v>
      </c>
      <c r="G3757">
        <v>37.094527999999997</v>
      </c>
      <c r="H3757">
        <v>122.58033500000001</v>
      </c>
      <c r="I3757" t="s">
        <v>766</v>
      </c>
      <c r="J3757" s="2" t="s">
        <v>14</v>
      </c>
      <c r="K3757" t="s">
        <v>490</v>
      </c>
      <c r="L3757" t="s">
        <v>143</v>
      </c>
      <c r="M3757" t="s">
        <v>726</v>
      </c>
      <c r="N3757" t="s">
        <v>85</v>
      </c>
      <c r="O3757" s="6" t="s">
        <v>84</v>
      </c>
      <c r="Q3757">
        <v>3</v>
      </c>
      <c r="R3757" t="s">
        <v>213</v>
      </c>
      <c r="S3757" s="2" t="s">
        <v>27</v>
      </c>
      <c r="T3757">
        <v>6</v>
      </c>
      <c r="U3757" t="s">
        <v>28</v>
      </c>
      <c r="V3757" t="s">
        <v>28</v>
      </c>
      <c r="W3757">
        <v>23</v>
      </c>
      <c r="X3757">
        <v>0.57899999999999996</v>
      </c>
      <c r="Y3757">
        <f>0.604-X3757</f>
        <v>2.5000000000000022E-2</v>
      </c>
      <c r="AA3757" s="6"/>
      <c r="AB3757" s="6"/>
    </row>
    <row r="3758" spans="1:28" x14ac:dyDescent="0.2">
      <c r="A3758" t="s">
        <v>482</v>
      </c>
      <c r="B3758">
        <v>2010</v>
      </c>
      <c r="C3758" t="s">
        <v>826</v>
      </c>
      <c r="D3758" t="s">
        <v>824</v>
      </c>
      <c r="E3758" t="s">
        <v>114</v>
      </c>
      <c r="F3758" t="s">
        <v>488</v>
      </c>
      <c r="G3758">
        <v>37.482649000000002</v>
      </c>
      <c r="H3758">
        <v>121.931369</v>
      </c>
      <c r="I3758" t="s">
        <v>764</v>
      </c>
      <c r="J3758" s="2" t="s">
        <v>7</v>
      </c>
      <c r="K3758" t="s">
        <v>490</v>
      </c>
      <c r="L3758" t="s">
        <v>143</v>
      </c>
      <c r="M3758" t="s">
        <v>726</v>
      </c>
      <c r="N3758" t="s">
        <v>85</v>
      </c>
      <c r="O3758" s="6" t="s">
        <v>84</v>
      </c>
      <c r="Q3758">
        <v>3</v>
      </c>
      <c r="R3758" t="s">
        <v>213</v>
      </c>
      <c r="S3758" s="2" t="s">
        <v>7</v>
      </c>
      <c r="T3758">
        <v>6</v>
      </c>
      <c r="U3758" t="s">
        <v>28</v>
      </c>
      <c r="V3758" t="s">
        <v>28</v>
      </c>
      <c r="W3758">
        <v>10</v>
      </c>
      <c r="X3758">
        <v>0.61399999999999999</v>
      </c>
      <c r="Y3758">
        <f>0.637-X3758</f>
        <v>2.300000000000002E-2</v>
      </c>
      <c r="AA3758" s="6"/>
      <c r="AB3758" s="6"/>
    </row>
    <row r="3759" spans="1:28" x14ac:dyDescent="0.2">
      <c r="A3759" t="s">
        <v>482</v>
      </c>
      <c r="B3759">
        <v>2010</v>
      </c>
      <c r="C3759" t="s">
        <v>826</v>
      </c>
      <c r="D3759" t="s">
        <v>824</v>
      </c>
      <c r="E3759" t="s">
        <v>114</v>
      </c>
      <c r="F3759" t="s">
        <v>488</v>
      </c>
      <c r="G3759">
        <v>37.482649000000002</v>
      </c>
      <c r="H3759">
        <v>121.931369</v>
      </c>
      <c r="I3759" t="s">
        <v>764</v>
      </c>
      <c r="J3759" s="2" t="s">
        <v>14</v>
      </c>
      <c r="K3759" t="s">
        <v>490</v>
      </c>
      <c r="L3759" t="s">
        <v>143</v>
      </c>
      <c r="M3759" t="s">
        <v>726</v>
      </c>
      <c r="N3759" t="s">
        <v>85</v>
      </c>
      <c r="O3759" s="6" t="s">
        <v>84</v>
      </c>
      <c r="Q3759">
        <v>3</v>
      </c>
      <c r="R3759" t="s">
        <v>213</v>
      </c>
      <c r="S3759" s="2" t="s">
        <v>9</v>
      </c>
      <c r="T3759">
        <v>6</v>
      </c>
      <c r="U3759" t="s">
        <v>28</v>
      </c>
      <c r="V3759" t="s">
        <v>28</v>
      </c>
      <c r="W3759">
        <v>21</v>
      </c>
      <c r="X3759">
        <v>0.60499999999999998</v>
      </c>
      <c r="Y3759">
        <f>0.634-X3759</f>
        <v>2.9000000000000026E-2</v>
      </c>
      <c r="AA3759" s="6"/>
      <c r="AB3759" s="6"/>
    </row>
    <row r="3760" spans="1:28" x14ac:dyDescent="0.2">
      <c r="A3760" t="s">
        <v>482</v>
      </c>
      <c r="B3760">
        <v>2010</v>
      </c>
      <c r="C3760" t="s">
        <v>826</v>
      </c>
      <c r="D3760" t="s">
        <v>824</v>
      </c>
      <c r="E3760" t="s">
        <v>114</v>
      </c>
      <c r="F3760" t="s">
        <v>488</v>
      </c>
      <c r="G3760">
        <v>37.482649000000002</v>
      </c>
      <c r="H3760">
        <v>121.931369</v>
      </c>
      <c r="I3760" t="s">
        <v>764</v>
      </c>
      <c r="J3760" s="2" t="s">
        <v>14</v>
      </c>
      <c r="K3760" t="s">
        <v>490</v>
      </c>
      <c r="L3760" t="s">
        <v>143</v>
      </c>
      <c r="M3760" t="s">
        <v>726</v>
      </c>
      <c r="N3760" t="s">
        <v>85</v>
      </c>
      <c r="O3760" s="6" t="s">
        <v>84</v>
      </c>
      <c r="Q3760">
        <v>3</v>
      </c>
      <c r="R3760" t="s">
        <v>213</v>
      </c>
      <c r="S3760" s="2" t="s">
        <v>27</v>
      </c>
      <c r="T3760">
        <v>6</v>
      </c>
      <c r="U3760" t="s">
        <v>28</v>
      </c>
      <c r="V3760" t="s">
        <v>28</v>
      </c>
      <c r="W3760">
        <v>23</v>
      </c>
      <c r="X3760">
        <v>0.57399999999999995</v>
      </c>
      <c r="Y3760">
        <f>0.606-X3760</f>
        <v>3.2000000000000028E-2</v>
      </c>
      <c r="AA3760" s="6"/>
      <c r="AB3760" s="6"/>
    </row>
    <row r="3761" spans="1:28" x14ac:dyDescent="0.2">
      <c r="A3761" t="s">
        <v>482</v>
      </c>
      <c r="B3761">
        <v>2010</v>
      </c>
      <c r="C3761" t="s">
        <v>826</v>
      </c>
      <c r="D3761" t="s">
        <v>824</v>
      </c>
      <c r="E3761" t="s">
        <v>114</v>
      </c>
      <c r="F3761" t="s">
        <v>489</v>
      </c>
      <c r="G3761">
        <v>36.033332000000001</v>
      </c>
      <c r="H3761">
        <v>120.380697</v>
      </c>
      <c r="I3761" t="s">
        <v>764</v>
      </c>
      <c r="J3761" s="2" t="s">
        <v>7</v>
      </c>
      <c r="K3761" t="s">
        <v>490</v>
      </c>
      <c r="L3761" t="s">
        <v>143</v>
      </c>
      <c r="M3761" t="s">
        <v>726</v>
      </c>
      <c r="N3761" t="s">
        <v>85</v>
      </c>
      <c r="O3761" s="6" t="s">
        <v>84</v>
      </c>
      <c r="Q3761">
        <v>3</v>
      </c>
      <c r="R3761" t="s">
        <v>213</v>
      </c>
      <c r="S3761" s="2" t="s">
        <v>7</v>
      </c>
      <c r="T3761">
        <v>6</v>
      </c>
      <c r="U3761" t="s">
        <v>28</v>
      </c>
      <c r="V3761" t="s">
        <v>28</v>
      </c>
      <c r="W3761">
        <v>10</v>
      </c>
      <c r="X3761">
        <v>0.621</v>
      </c>
      <c r="Y3761">
        <f>0.637-X3761</f>
        <v>1.6000000000000014E-2</v>
      </c>
      <c r="AA3761" s="6"/>
      <c r="AB3761" s="6"/>
    </row>
    <row r="3762" spans="1:28" x14ac:dyDescent="0.2">
      <c r="A3762" t="s">
        <v>482</v>
      </c>
      <c r="B3762">
        <v>2010</v>
      </c>
      <c r="C3762" t="s">
        <v>826</v>
      </c>
      <c r="D3762" t="s">
        <v>824</v>
      </c>
      <c r="E3762" t="s">
        <v>114</v>
      </c>
      <c r="F3762" t="s">
        <v>489</v>
      </c>
      <c r="G3762">
        <v>36.033332000000001</v>
      </c>
      <c r="H3762">
        <v>120.380697</v>
      </c>
      <c r="I3762" t="s">
        <v>764</v>
      </c>
      <c r="J3762" s="2" t="s">
        <v>14</v>
      </c>
      <c r="K3762" t="s">
        <v>490</v>
      </c>
      <c r="L3762" t="s">
        <v>143</v>
      </c>
      <c r="M3762" t="s">
        <v>726</v>
      </c>
      <c r="N3762" t="s">
        <v>85</v>
      </c>
      <c r="O3762" s="6" t="s">
        <v>84</v>
      </c>
      <c r="Q3762">
        <v>3</v>
      </c>
      <c r="R3762" t="s">
        <v>213</v>
      </c>
      <c r="S3762" s="2" t="s">
        <v>9</v>
      </c>
      <c r="T3762">
        <v>6</v>
      </c>
      <c r="U3762" t="s">
        <v>28</v>
      </c>
      <c r="V3762" t="s">
        <v>28</v>
      </c>
      <c r="W3762">
        <v>21</v>
      </c>
      <c r="X3762">
        <v>0.62</v>
      </c>
      <c r="Y3762">
        <f>0.639-X3762</f>
        <v>1.9000000000000017E-2</v>
      </c>
      <c r="AA3762" s="6"/>
      <c r="AB3762" s="6"/>
    </row>
    <row r="3763" spans="1:28" x14ac:dyDescent="0.2">
      <c r="A3763" t="s">
        <v>482</v>
      </c>
      <c r="B3763">
        <v>2010</v>
      </c>
      <c r="C3763" t="s">
        <v>826</v>
      </c>
      <c r="D3763" t="s">
        <v>824</v>
      </c>
      <c r="E3763" t="s">
        <v>114</v>
      </c>
      <c r="F3763" t="s">
        <v>489</v>
      </c>
      <c r="G3763">
        <v>36.033332000000001</v>
      </c>
      <c r="H3763">
        <v>120.380697</v>
      </c>
      <c r="I3763" t="s">
        <v>764</v>
      </c>
      <c r="J3763" s="2" t="s">
        <v>14</v>
      </c>
      <c r="K3763" t="s">
        <v>490</v>
      </c>
      <c r="L3763" t="s">
        <v>143</v>
      </c>
      <c r="M3763" t="s">
        <v>726</v>
      </c>
      <c r="N3763" t="s">
        <v>85</v>
      </c>
      <c r="O3763" s="6" t="s">
        <v>84</v>
      </c>
      <c r="Q3763">
        <v>3</v>
      </c>
      <c r="R3763" t="s">
        <v>213</v>
      </c>
      <c r="S3763" s="2" t="s">
        <v>27</v>
      </c>
      <c r="T3763">
        <v>6</v>
      </c>
      <c r="U3763" t="s">
        <v>28</v>
      </c>
      <c r="V3763" t="s">
        <v>28</v>
      </c>
      <c r="W3763">
        <v>23</v>
      </c>
      <c r="X3763">
        <v>0.60099999999999998</v>
      </c>
      <c r="Y3763">
        <f>0.626-X3763</f>
        <v>2.5000000000000022E-2</v>
      </c>
      <c r="AA3763" s="6"/>
      <c r="AB3763" s="6"/>
    </row>
    <row r="3764" spans="1:28" x14ac:dyDescent="0.2">
      <c r="A3764" t="s">
        <v>482</v>
      </c>
      <c r="B3764">
        <v>2010</v>
      </c>
      <c r="C3764" t="s">
        <v>826</v>
      </c>
      <c r="D3764" t="s">
        <v>824</v>
      </c>
      <c r="E3764" t="s">
        <v>114</v>
      </c>
      <c r="F3764" t="s">
        <v>483</v>
      </c>
      <c r="G3764">
        <v>36.869999999999997</v>
      </c>
      <c r="H3764">
        <v>122.42</v>
      </c>
      <c r="I3764" t="s">
        <v>766</v>
      </c>
      <c r="J3764" s="2" t="s">
        <v>7</v>
      </c>
      <c r="K3764" t="s">
        <v>490</v>
      </c>
      <c r="L3764" t="s">
        <v>143</v>
      </c>
      <c r="M3764" t="s">
        <v>726</v>
      </c>
      <c r="N3764" t="s">
        <v>85</v>
      </c>
      <c r="O3764" s="6" t="s">
        <v>493</v>
      </c>
      <c r="Q3764">
        <v>3</v>
      </c>
      <c r="R3764" t="s">
        <v>213</v>
      </c>
      <c r="S3764" s="2" t="s">
        <v>7</v>
      </c>
      <c r="T3764">
        <v>6</v>
      </c>
      <c r="U3764" t="s">
        <v>28</v>
      </c>
      <c r="V3764" t="s">
        <v>28</v>
      </c>
      <c r="W3764">
        <v>10</v>
      </c>
      <c r="X3764">
        <v>1.7649999999999999</v>
      </c>
      <c r="Y3764">
        <f>1.827-X3764</f>
        <v>6.2000000000000055E-2</v>
      </c>
      <c r="AA3764" s="6"/>
      <c r="AB3764" s="6"/>
    </row>
    <row r="3765" spans="1:28" x14ac:dyDescent="0.2">
      <c r="A3765" t="s">
        <v>482</v>
      </c>
      <c r="B3765">
        <v>2010</v>
      </c>
      <c r="C3765" t="s">
        <v>826</v>
      </c>
      <c r="D3765" t="s">
        <v>824</v>
      </c>
      <c r="E3765" t="s">
        <v>114</v>
      </c>
      <c r="F3765" t="s">
        <v>483</v>
      </c>
      <c r="G3765">
        <v>36.869999999999997</v>
      </c>
      <c r="H3765">
        <v>122.42</v>
      </c>
      <c r="I3765" t="s">
        <v>766</v>
      </c>
      <c r="J3765" s="2" t="s">
        <v>14</v>
      </c>
      <c r="K3765" t="s">
        <v>490</v>
      </c>
      <c r="L3765" t="s">
        <v>143</v>
      </c>
      <c r="M3765" t="s">
        <v>726</v>
      </c>
      <c r="N3765" t="s">
        <v>85</v>
      </c>
      <c r="O3765" s="6" t="s">
        <v>493</v>
      </c>
      <c r="Q3765">
        <v>3</v>
      </c>
      <c r="R3765" t="s">
        <v>213</v>
      </c>
      <c r="S3765" s="2" t="s">
        <v>9</v>
      </c>
      <c r="T3765">
        <v>6</v>
      </c>
      <c r="U3765" t="s">
        <v>28</v>
      </c>
      <c r="V3765" t="s">
        <v>28</v>
      </c>
      <c r="W3765">
        <v>21</v>
      </c>
      <c r="X3765">
        <v>1.7789999999999999</v>
      </c>
      <c r="Y3765">
        <f>1.951-X3765</f>
        <v>0.17200000000000015</v>
      </c>
      <c r="AA3765" s="6"/>
      <c r="AB3765" s="6"/>
    </row>
    <row r="3766" spans="1:28" x14ac:dyDescent="0.2">
      <c r="A3766" t="s">
        <v>482</v>
      </c>
      <c r="B3766">
        <v>2010</v>
      </c>
      <c r="C3766" t="s">
        <v>826</v>
      </c>
      <c r="D3766" t="s">
        <v>824</v>
      </c>
      <c r="E3766" t="s">
        <v>114</v>
      </c>
      <c r="F3766" t="s">
        <v>483</v>
      </c>
      <c r="G3766">
        <v>36.869999999999997</v>
      </c>
      <c r="H3766">
        <v>122.42</v>
      </c>
      <c r="I3766" t="s">
        <v>766</v>
      </c>
      <c r="J3766" s="2" t="s">
        <v>14</v>
      </c>
      <c r="K3766" t="s">
        <v>490</v>
      </c>
      <c r="L3766" t="s">
        <v>143</v>
      </c>
      <c r="M3766" t="s">
        <v>726</v>
      </c>
      <c r="N3766" t="s">
        <v>85</v>
      </c>
      <c r="O3766" s="6" t="s">
        <v>493</v>
      </c>
      <c r="Q3766">
        <v>3</v>
      </c>
      <c r="R3766" t="s">
        <v>213</v>
      </c>
      <c r="S3766" s="2" t="s">
        <v>27</v>
      </c>
      <c r="T3766">
        <v>6</v>
      </c>
      <c r="U3766" t="s">
        <v>28</v>
      </c>
      <c r="V3766" t="s">
        <v>28</v>
      </c>
      <c r="W3766">
        <v>23</v>
      </c>
      <c r="X3766">
        <v>1.377</v>
      </c>
      <c r="Y3766">
        <f>1.608-X3766</f>
        <v>0.23100000000000009</v>
      </c>
      <c r="AA3766" s="6"/>
      <c r="AB3766" s="6"/>
    </row>
    <row r="3767" spans="1:28" x14ac:dyDescent="0.2">
      <c r="A3767" t="s">
        <v>482</v>
      </c>
      <c r="B3767">
        <v>2010</v>
      </c>
      <c r="C3767" t="s">
        <v>826</v>
      </c>
      <c r="D3767" t="s">
        <v>824</v>
      </c>
      <c r="E3767" t="s">
        <v>114</v>
      </c>
      <c r="F3767" t="s">
        <v>484</v>
      </c>
      <c r="G3767">
        <v>37.24</v>
      </c>
      <c r="H3767">
        <v>122.58</v>
      </c>
      <c r="I3767" t="s">
        <v>766</v>
      </c>
      <c r="J3767" s="2" t="s">
        <v>7</v>
      </c>
      <c r="K3767" t="s">
        <v>490</v>
      </c>
      <c r="L3767" t="s">
        <v>143</v>
      </c>
      <c r="M3767" t="s">
        <v>726</v>
      </c>
      <c r="N3767" t="s">
        <v>85</v>
      </c>
      <c r="O3767" s="6" t="s">
        <v>493</v>
      </c>
      <c r="Q3767">
        <v>3</v>
      </c>
      <c r="R3767" t="s">
        <v>213</v>
      </c>
      <c r="S3767" s="2" t="s">
        <v>7</v>
      </c>
      <c r="T3767">
        <v>6</v>
      </c>
      <c r="U3767" t="s">
        <v>28</v>
      </c>
      <c r="V3767" t="s">
        <v>28</v>
      </c>
      <c r="W3767">
        <v>10</v>
      </c>
      <c r="X3767">
        <v>1.53</v>
      </c>
      <c r="Y3767">
        <f>1.614-X3767</f>
        <v>8.4000000000000075E-2</v>
      </c>
      <c r="AA3767" s="6"/>
      <c r="AB3767" s="6"/>
    </row>
    <row r="3768" spans="1:28" x14ac:dyDescent="0.2">
      <c r="A3768" t="s">
        <v>482</v>
      </c>
      <c r="B3768">
        <v>2010</v>
      </c>
      <c r="C3768" t="s">
        <v>826</v>
      </c>
      <c r="D3768" t="s">
        <v>824</v>
      </c>
      <c r="E3768" t="s">
        <v>114</v>
      </c>
      <c r="F3768" t="s">
        <v>484</v>
      </c>
      <c r="G3768">
        <v>37.24</v>
      </c>
      <c r="H3768">
        <v>122.58</v>
      </c>
      <c r="I3768" t="s">
        <v>766</v>
      </c>
      <c r="J3768" s="2" t="s">
        <v>14</v>
      </c>
      <c r="K3768" t="s">
        <v>490</v>
      </c>
      <c r="L3768" t="s">
        <v>143</v>
      </c>
      <c r="M3768" t="s">
        <v>726</v>
      </c>
      <c r="N3768" t="s">
        <v>85</v>
      </c>
      <c r="O3768" s="6" t="s">
        <v>493</v>
      </c>
      <c r="Q3768">
        <v>3</v>
      </c>
      <c r="R3768" t="s">
        <v>213</v>
      </c>
      <c r="S3768" s="2" t="s">
        <v>9</v>
      </c>
      <c r="T3768">
        <v>6</v>
      </c>
      <c r="U3768" t="s">
        <v>28</v>
      </c>
      <c r="V3768" t="s">
        <v>28</v>
      </c>
      <c r="W3768">
        <v>21</v>
      </c>
      <c r="X3768">
        <v>1.2310000000000001</v>
      </c>
      <c r="Y3768">
        <f>1.348-X3768</f>
        <v>0.11699999999999999</v>
      </c>
      <c r="AA3768" s="6"/>
      <c r="AB3768" s="6"/>
    </row>
    <row r="3769" spans="1:28" x14ac:dyDescent="0.2">
      <c r="A3769" t="s">
        <v>482</v>
      </c>
      <c r="B3769">
        <v>2010</v>
      </c>
      <c r="C3769" t="s">
        <v>826</v>
      </c>
      <c r="D3769" t="s">
        <v>824</v>
      </c>
      <c r="E3769" t="s">
        <v>114</v>
      </c>
      <c r="F3769" t="s">
        <v>484</v>
      </c>
      <c r="G3769">
        <v>37.24</v>
      </c>
      <c r="H3769">
        <v>122.58</v>
      </c>
      <c r="I3769" t="s">
        <v>766</v>
      </c>
      <c r="J3769" s="2" t="s">
        <v>14</v>
      </c>
      <c r="K3769" t="s">
        <v>490</v>
      </c>
      <c r="L3769" t="s">
        <v>143</v>
      </c>
      <c r="M3769" t="s">
        <v>726</v>
      </c>
      <c r="N3769" t="s">
        <v>85</v>
      </c>
      <c r="O3769" s="6" t="s">
        <v>493</v>
      </c>
      <c r="Q3769">
        <v>3</v>
      </c>
      <c r="R3769" t="s">
        <v>213</v>
      </c>
      <c r="S3769" s="2" t="s">
        <v>27</v>
      </c>
      <c r="T3769">
        <v>6</v>
      </c>
      <c r="U3769" t="s">
        <v>28</v>
      </c>
      <c r="V3769" t="s">
        <v>28</v>
      </c>
      <c r="W3769">
        <v>23</v>
      </c>
      <c r="X3769">
        <v>1.2490000000000001</v>
      </c>
      <c r="Y3769">
        <f>1.501-X3769</f>
        <v>0.25199999999999978</v>
      </c>
      <c r="AA3769" s="6"/>
      <c r="AB3769" s="6"/>
    </row>
    <row r="3770" spans="1:28" x14ac:dyDescent="0.2">
      <c r="A3770" t="s">
        <v>482</v>
      </c>
      <c r="B3770">
        <v>2010</v>
      </c>
      <c r="C3770" t="s">
        <v>826</v>
      </c>
      <c r="D3770" t="s">
        <v>824</v>
      </c>
      <c r="E3770" t="s">
        <v>114</v>
      </c>
      <c r="F3770" t="s">
        <v>485</v>
      </c>
      <c r="G3770">
        <v>37.478665999999997</v>
      </c>
      <c r="H3770">
        <v>121.949291</v>
      </c>
      <c r="I3770" t="s">
        <v>766</v>
      </c>
      <c r="J3770" s="2" t="s">
        <v>7</v>
      </c>
      <c r="K3770" t="s">
        <v>490</v>
      </c>
      <c r="L3770" t="s">
        <v>143</v>
      </c>
      <c r="M3770" t="s">
        <v>726</v>
      </c>
      <c r="N3770" t="s">
        <v>85</v>
      </c>
      <c r="O3770" s="6" t="s">
        <v>493</v>
      </c>
      <c r="Q3770">
        <v>3</v>
      </c>
      <c r="R3770" t="s">
        <v>213</v>
      </c>
      <c r="S3770" s="2" t="s">
        <v>7</v>
      </c>
      <c r="T3770">
        <v>6</v>
      </c>
      <c r="U3770" t="s">
        <v>28</v>
      </c>
      <c r="V3770" t="s">
        <v>28</v>
      </c>
      <c r="W3770">
        <v>10</v>
      </c>
      <c r="X3770">
        <v>1.6639999999999999</v>
      </c>
      <c r="Y3770">
        <f>1.88-X3770</f>
        <v>0.21599999999999997</v>
      </c>
      <c r="AA3770" s="6"/>
      <c r="AB3770" s="6"/>
    </row>
    <row r="3771" spans="1:28" x14ac:dyDescent="0.2">
      <c r="A3771" t="s">
        <v>482</v>
      </c>
      <c r="B3771">
        <v>2010</v>
      </c>
      <c r="C3771" t="s">
        <v>826</v>
      </c>
      <c r="D3771" t="s">
        <v>824</v>
      </c>
      <c r="E3771" t="s">
        <v>114</v>
      </c>
      <c r="F3771" t="s">
        <v>485</v>
      </c>
      <c r="G3771">
        <v>37.478665999999997</v>
      </c>
      <c r="H3771">
        <v>121.949291</v>
      </c>
      <c r="I3771" t="s">
        <v>766</v>
      </c>
      <c r="J3771" s="2" t="s">
        <v>14</v>
      </c>
      <c r="K3771" t="s">
        <v>490</v>
      </c>
      <c r="L3771" t="s">
        <v>143</v>
      </c>
      <c r="M3771" t="s">
        <v>726</v>
      </c>
      <c r="N3771" t="s">
        <v>85</v>
      </c>
      <c r="O3771" s="6" t="s">
        <v>493</v>
      </c>
      <c r="Q3771">
        <v>3</v>
      </c>
      <c r="R3771" t="s">
        <v>213</v>
      </c>
      <c r="S3771" s="2" t="s">
        <v>9</v>
      </c>
      <c r="T3771">
        <v>6</v>
      </c>
      <c r="U3771" t="s">
        <v>28</v>
      </c>
      <c r="V3771" t="s">
        <v>28</v>
      </c>
      <c r="W3771">
        <v>21</v>
      </c>
      <c r="X3771">
        <v>1.4490000000000001</v>
      </c>
      <c r="Y3771">
        <f>1.682-X3771</f>
        <v>0.23299999999999987</v>
      </c>
      <c r="AA3771" s="6"/>
      <c r="AB3771" s="6"/>
    </row>
    <row r="3772" spans="1:28" x14ac:dyDescent="0.2">
      <c r="A3772" t="s">
        <v>482</v>
      </c>
      <c r="B3772">
        <v>2010</v>
      </c>
      <c r="C3772" t="s">
        <v>826</v>
      </c>
      <c r="D3772" t="s">
        <v>824</v>
      </c>
      <c r="E3772" t="s">
        <v>114</v>
      </c>
      <c r="F3772" t="s">
        <v>485</v>
      </c>
      <c r="G3772">
        <v>37.478665999999997</v>
      </c>
      <c r="H3772">
        <v>121.949291</v>
      </c>
      <c r="I3772" t="s">
        <v>766</v>
      </c>
      <c r="J3772" s="2" t="s">
        <v>14</v>
      </c>
      <c r="K3772" t="s">
        <v>490</v>
      </c>
      <c r="L3772" t="s">
        <v>143</v>
      </c>
      <c r="M3772" t="s">
        <v>726</v>
      </c>
      <c r="N3772" t="s">
        <v>85</v>
      </c>
      <c r="O3772" s="6" t="s">
        <v>493</v>
      </c>
      <c r="Q3772">
        <v>3</v>
      </c>
      <c r="R3772" t="s">
        <v>213</v>
      </c>
      <c r="S3772" s="2" t="s">
        <v>27</v>
      </c>
      <c r="T3772">
        <v>6</v>
      </c>
      <c r="U3772" t="s">
        <v>28</v>
      </c>
      <c r="V3772" t="s">
        <v>28</v>
      </c>
      <c r="W3772">
        <v>23</v>
      </c>
      <c r="X3772">
        <v>1.093</v>
      </c>
      <c r="Y3772">
        <f>1.311-X3772</f>
        <v>0.21799999999999997</v>
      </c>
      <c r="AA3772" s="6"/>
      <c r="AB3772" s="6"/>
    </row>
    <row r="3773" spans="1:28" x14ac:dyDescent="0.2">
      <c r="A3773" t="s">
        <v>482</v>
      </c>
      <c r="B3773">
        <v>2010</v>
      </c>
      <c r="C3773" t="s">
        <v>826</v>
      </c>
      <c r="D3773" t="s">
        <v>824</v>
      </c>
      <c r="E3773" t="s">
        <v>114</v>
      </c>
      <c r="F3773" t="s">
        <v>486</v>
      </c>
      <c r="G3773">
        <v>37.212491</v>
      </c>
      <c r="H3773">
        <v>122.63297900000001</v>
      </c>
      <c r="I3773" t="s">
        <v>766</v>
      </c>
      <c r="J3773" s="2" t="s">
        <v>7</v>
      </c>
      <c r="K3773" t="s">
        <v>490</v>
      </c>
      <c r="L3773" t="s">
        <v>143</v>
      </c>
      <c r="M3773" t="s">
        <v>726</v>
      </c>
      <c r="N3773" t="s">
        <v>85</v>
      </c>
      <c r="O3773" s="6" t="s">
        <v>493</v>
      </c>
      <c r="Q3773">
        <v>3</v>
      </c>
      <c r="R3773" t="s">
        <v>213</v>
      </c>
      <c r="S3773" s="2" t="s">
        <v>7</v>
      </c>
      <c r="T3773">
        <v>6</v>
      </c>
      <c r="U3773" t="s">
        <v>28</v>
      </c>
      <c r="V3773" t="s">
        <v>28</v>
      </c>
      <c r="W3773">
        <v>10</v>
      </c>
      <c r="X3773">
        <v>1.61</v>
      </c>
      <c r="Y3773">
        <f>1.738-X3773</f>
        <v>0.12799999999999989</v>
      </c>
      <c r="AA3773" s="6"/>
      <c r="AB3773" s="6"/>
    </row>
    <row r="3774" spans="1:28" x14ac:dyDescent="0.2">
      <c r="A3774" t="s">
        <v>482</v>
      </c>
      <c r="B3774">
        <v>2010</v>
      </c>
      <c r="C3774" t="s">
        <v>826</v>
      </c>
      <c r="D3774" t="s">
        <v>824</v>
      </c>
      <c r="E3774" t="s">
        <v>114</v>
      </c>
      <c r="F3774" t="s">
        <v>486</v>
      </c>
      <c r="G3774">
        <v>37.212491</v>
      </c>
      <c r="H3774">
        <v>122.63297900000001</v>
      </c>
      <c r="I3774" t="s">
        <v>766</v>
      </c>
      <c r="J3774" s="2" t="s">
        <v>14</v>
      </c>
      <c r="K3774" t="s">
        <v>490</v>
      </c>
      <c r="L3774" t="s">
        <v>143</v>
      </c>
      <c r="M3774" t="s">
        <v>726</v>
      </c>
      <c r="N3774" t="s">
        <v>85</v>
      </c>
      <c r="O3774" s="6" t="s">
        <v>493</v>
      </c>
      <c r="Q3774">
        <v>3</v>
      </c>
      <c r="R3774" t="s">
        <v>213</v>
      </c>
      <c r="S3774" s="2" t="s">
        <v>9</v>
      </c>
      <c r="T3774">
        <v>6</v>
      </c>
      <c r="U3774" t="s">
        <v>28</v>
      </c>
      <c r="V3774" t="s">
        <v>28</v>
      </c>
      <c r="W3774">
        <v>21</v>
      </c>
      <c r="X3774">
        <v>1.3280000000000001</v>
      </c>
      <c r="Y3774">
        <f>1.54-X3774</f>
        <v>0.21199999999999997</v>
      </c>
      <c r="AA3774" s="6"/>
      <c r="AB3774" s="6"/>
    </row>
    <row r="3775" spans="1:28" x14ac:dyDescent="0.2">
      <c r="A3775" t="s">
        <v>482</v>
      </c>
      <c r="B3775">
        <v>2010</v>
      </c>
      <c r="C3775" t="s">
        <v>826</v>
      </c>
      <c r="D3775" t="s">
        <v>824</v>
      </c>
      <c r="E3775" t="s">
        <v>114</v>
      </c>
      <c r="F3775" t="s">
        <v>486</v>
      </c>
      <c r="G3775">
        <v>37.212491</v>
      </c>
      <c r="H3775">
        <v>122.63297900000001</v>
      </c>
      <c r="I3775" t="s">
        <v>766</v>
      </c>
      <c r="J3775" s="2" t="s">
        <v>14</v>
      </c>
      <c r="K3775" t="s">
        <v>490</v>
      </c>
      <c r="L3775" t="s">
        <v>143</v>
      </c>
      <c r="M3775" t="s">
        <v>726</v>
      </c>
      <c r="N3775" t="s">
        <v>85</v>
      </c>
      <c r="O3775" s="6" t="s">
        <v>493</v>
      </c>
      <c r="Q3775">
        <v>3</v>
      </c>
      <c r="R3775" t="s">
        <v>213</v>
      </c>
      <c r="S3775" s="2" t="s">
        <v>27</v>
      </c>
      <c r="T3775">
        <v>6</v>
      </c>
      <c r="U3775" t="s">
        <v>28</v>
      </c>
      <c r="V3775" t="s">
        <v>28</v>
      </c>
      <c r="W3775">
        <v>23</v>
      </c>
      <c r="X3775">
        <v>1.0620000000000001</v>
      </c>
      <c r="Y3775">
        <f>1.305-X3775</f>
        <v>0.24299999999999988</v>
      </c>
      <c r="AA3775" s="6"/>
      <c r="AB3775" s="6"/>
    </row>
    <row r="3776" spans="1:28" x14ac:dyDescent="0.2">
      <c r="A3776" t="s">
        <v>482</v>
      </c>
      <c r="B3776">
        <v>2010</v>
      </c>
      <c r="C3776" t="s">
        <v>826</v>
      </c>
      <c r="D3776" t="s">
        <v>824</v>
      </c>
      <c r="E3776" t="s">
        <v>114</v>
      </c>
      <c r="F3776" t="s">
        <v>487</v>
      </c>
      <c r="G3776">
        <v>37.094527999999997</v>
      </c>
      <c r="H3776">
        <v>122.58033500000001</v>
      </c>
      <c r="I3776" t="s">
        <v>766</v>
      </c>
      <c r="J3776" s="2" t="s">
        <v>7</v>
      </c>
      <c r="K3776" t="s">
        <v>490</v>
      </c>
      <c r="L3776" t="s">
        <v>143</v>
      </c>
      <c r="M3776" t="s">
        <v>726</v>
      </c>
      <c r="N3776" t="s">
        <v>85</v>
      </c>
      <c r="O3776" s="6" t="s">
        <v>493</v>
      </c>
      <c r="Q3776">
        <v>3</v>
      </c>
      <c r="R3776" t="s">
        <v>213</v>
      </c>
      <c r="S3776" s="2" t="s">
        <v>7</v>
      </c>
      <c r="T3776">
        <v>6</v>
      </c>
      <c r="U3776" t="s">
        <v>28</v>
      </c>
      <c r="V3776" t="s">
        <v>28</v>
      </c>
      <c r="W3776">
        <v>10</v>
      </c>
      <c r="X3776">
        <v>1.5960000000000001</v>
      </c>
      <c r="Y3776">
        <f>1.738-X3776</f>
        <v>0.1419999999999999</v>
      </c>
      <c r="AA3776" s="6"/>
      <c r="AB3776" s="6"/>
    </row>
    <row r="3777" spans="1:28" x14ac:dyDescent="0.2">
      <c r="A3777" t="s">
        <v>482</v>
      </c>
      <c r="B3777">
        <v>2010</v>
      </c>
      <c r="C3777" t="s">
        <v>826</v>
      </c>
      <c r="D3777" t="s">
        <v>824</v>
      </c>
      <c r="E3777" t="s">
        <v>114</v>
      </c>
      <c r="F3777" t="s">
        <v>487</v>
      </c>
      <c r="G3777">
        <v>37.094527999999997</v>
      </c>
      <c r="H3777">
        <v>122.58033500000001</v>
      </c>
      <c r="I3777" t="s">
        <v>766</v>
      </c>
      <c r="J3777" s="2" t="s">
        <v>14</v>
      </c>
      <c r="K3777" t="s">
        <v>490</v>
      </c>
      <c r="L3777" t="s">
        <v>143</v>
      </c>
      <c r="M3777" t="s">
        <v>726</v>
      </c>
      <c r="N3777" t="s">
        <v>85</v>
      </c>
      <c r="O3777" s="6" t="s">
        <v>493</v>
      </c>
      <c r="Q3777">
        <v>3</v>
      </c>
      <c r="R3777" t="s">
        <v>213</v>
      </c>
      <c r="S3777" s="2" t="s">
        <v>9</v>
      </c>
      <c r="T3777">
        <v>6</v>
      </c>
      <c r="U3777" t="s">
        <v>28</v>
      </c>
      <c r="V3777" t="s">
        <v>28</v>
      </c>
      <c r="W3777">
        <v>21</v>
      </c>
      <c r="X3777">
        <v>1.52</v>
      </c>
      <c r="Y3777">
        <f>1.631-X3777</f>
        <v>0.11099999999999999</v>
      </c>
      <c r="AA3777" s="6"/>
      <c r="AB3777" s="6"/>
    </row>
    <row r="3778" spans="1:28" x14ac:dyDescent="0.2">
      <c r="A3778" t="s">
        <v>482</v>
      </c>
      <c r="B3778">
        <v>2010</v>
      </c>
      <c r="C3778" t="s">
        <v>826</v>
      </c>
      <c r="D3778" t="s">
        <v>824</v>
      </c>
      <c r="E3778" t="s">
        <v>114</v>
      </c>
      <c r="F3778" t="s">
        <v>487</v>
      </c>
      <c r="G3778">
        <v>37.094527999999997</v>
      </c>
      <c r="H3778">
        <v>122.58033500000001</v>
      </c>
      <c r="I3778" t="s">
        <v>766</v>
      </c>
      <c r="J3778" s="2" t="s">
        <v>14</v>
      </c>
      <c r="K3778" t="s">
        <v>490</v>
      </c>
      <c r="L3778" t="s">
        <v>143</v>
      </c>
      <c r="M3778" t="s">
        <v>726</v>
      </c>
      <c r="N3778" t="s">
        <v>85</v>
      </c>
      <c r="O3778" s="6" t="s">
        <v>493</v>
      </c>
      <c r="Q3778">
        <v>3</v>
      </c>
      <c r="R3778" t="s">
        <v>213</v>
      </c>
      <c r="S3778" s="2" t="s">
        <v>27</v>
      </c>
      <c r="T3778">
        <v>6</v>
      </c>
      <c r="U3778" t="s">
        <v>28</v>
      </c>
      <c r="V3778" t="s">
        <v>28</v>
      </c>
      <c r="W3778">
        <v>23</v>
      </c>
      <c r="X3778">
        <v>1.419</v>
      </c>
      <c r="Y3778">
        <f>1.691-X3778</f>
        <v>0.27200000000000002</v>
      </c>
      <c r="AA3778" s="6"/>
      <c r="AB3778" s="6"/>
    </row>
    <row r="3779" spans="1:28" x14ac:dyDescent="0.2">
      <c r="A3779" t="s">
        <v>482</v>
      </c>
      <c r="B3779">
        <v>2010</v>
      </c>
      <c r="C3779" t="s">
        <v>826</v>
      </c>
      <c r="D3779" t="s">
        <v>824</v>
      </c>
      <c r="E3779" t="s">
        <v>114</v>
      </c>
      <c r="F3779" t="s">
        <v>488</v>
      </c>
      <c r="G3779">
        <v>37.482649000000002</v>
      </c>
      <c r="H3779">
        <v>121.931369</v>
      </c>
      <c r="I3779" t="s">
        <v>764</v>
      </c>
      <c r="J3779" s="2" t="s">
        <v>7</v>
      </c>
      <c r="K3779" t="s">
        <v>490</v>
      </c>
      <c r="L3779" t="s">
        <v>143</v>
      </c>
      <c r="M3779" t="s">
        <v>726</v>
      </c>
      <c r="N3779" t="s">
        <v>85</v>
      </c>
      <c r="O3779" s="6" t="s">
        <v>493</v>
      </c>
      <c r="Q3779">
        <v>3</v>
      </c>
      <c r="R3779" t="s">
        <v>213</v>
      </c>
      <c r="S3779" s="2" t="s">
        <v>7</v>
      </c>
      <c r="T3779">
        <v>6</v>
      </c>
      <c r="U3779" t="s">
        <v>28</v>
      </c>
      <c r="V3779" t="s">
        <v>28</v>
      </c>
      <c r="W3779">
        <v>10</v>
      </c>
      <c r="X3779">
        <v>1.5960000000000001</v>
      </c>
      <c r="Y3779">
        <f>1.806-X3779</f>
        <v>0.20999999999999996</v>
      </c>
      <c r="AA3779" s="6"/>
      <c r="AB3779" s="6"/>
    </row>
    <row r="3780" spans="1:28" x14ac:dyDescent="0.2">
      <c r="A3780" t="s">
        <v>482</v>
      </c>
      <c r="B3780">
        <v>2010</v>
      </c>
      <c r="C3780" t="s">
        <v>826</v>
      </c>
      <c r="D3780" t="s">
        <v>824</v>
      </c>
      <c r="E3780" t="s">
        <v>114</v>
      </c>
      <c r="F3780" t="s">
        <v>488</v>
      </c>
      <c r="G3780">
        <v>37.482649000000002</v>
      </c>
      <c r="H3780">
        <v>121.931369</v>
      </c>
      <c r="I3780" t="s">
        <v>764</v>
      </c>
      <c r="J3780" s="2" t="s">
        <v>14</v>
      </c>
      <c r="K3780" t="s">
        <v>490</v>
      </c>
      <c r="L3780" t="s">
        <v>143</v>
      </c>
      <c r="M3780" t="s">
        <v>726</v>
      </c>
      <c r="N3780" t="s">
        <v>85</v>
      </c>
      <c r="O3780" s="6" t="s">
        <v>493</v>
      </c>
      <c r="Q3780">
        <v>3</v>
      </c>
      <c r="R3780" t="s">
        <v>213</v>
      </c>
      <c r="S3780" s="2" t="s">
        <v>9</v>
      </c>
      <c r="T3780">
        <v>6</v>
      </c>
      <c r="U3780" t="s">
        <v>28</v>
      </c>
      <c r="V3780" t="s">
        <v>28</v>
      </c>
      <c r="W3780">
        <v>21</v>
      </c>
      <c r="X3780">
        <v>1.6060000000000001</v>
      </c>
      <c r="Y3780">
        <f>1.724-X3780</f>
        <v>0.11799999999999988</v>
      </c>
      <c r="AA3780" s="6"/>
      <c r="AB3780" s="6"/>
    </row>
    <row r="3781" spans="1:28" x14ac:dyDescent="0.2">
      <c r="A3781" t="s">
        <v>482</v>
      </c>
      <c r="B3781">
        <v>2010</v>
      </c>
      <c r="C3781" t="s">
        <v>826</v>
      </c>
      <c r="D3781" t="s">
        <v>824</v>
      </c>
      <c r="E3781" t="s">
        <v>114</v>
      </c>
      <c r="F3781" t="s">
        <v>488</v>
      </c>
      <c r="G3781">
        <v>37.482649000000002</v>
      </c>
      <c r="H3781">
        <v>121.931369</v>
      </c>
      <c r="I3781" t="s">
        <v>764</v>
      </c>
      <c r="J3781" s="2" t="s">
        <v>14</v>
      </c>
      <c r="K3781" t="s">
        <v>490</v>
      </c>
      <c r="L3781" t="s">
        <v>143</v>
      </c>
      <c r="M3781" t="s">
        <v>726</v>
      </c>
      <c r="N3781" t="s">
        <v>85</v>
      </c>
      <c r="O3781" s="6" t="s">
        <v>493</v>
      </c>
      <c r="Q3781">
        <v>3</v>
      </c>
      <c r="R3781" t="s">
        <v>213</v>
      </c>
      <c r="S3781" s="2" t="s">
        <v>27</v>
      </c>
      <c r="T3781">
        <v>6</v>
      </c>
      <c r="U3781" t="s">
        <v>28</v>
      </c>
      <c r="V3781" t="s">
        <v>28</v>
      </c>
      <c r="W3781">
        <v>23</v>
      </c>
      <c r="X3781">
        <v>1.359</v>
      </c>
      <c r="Y3781">
        <f>1.602-X3781</f>
        <v>0.2430000000000001</v>
      </c>
      <c r="AA3781" s="6"/>
      <c r="AB3781" s="6"/>
    </row>
    <row r="3782" spans="1:28" x14ac:dyDescent="0.2">
      <c r="A3782" t="s">
        <v>482</v>
      </c>
      <c r="B3782">
        <v>2010</v>
      </c>
      <c r="C3782" t="s">
        <v>826</v>
      </c>
      <c r="D3782" t="s">
        <v>824</v>
      </c>
      <c r="E3782" t="s">
        <v>114</v>
      </c>
      <c r="F3782" t="s">
        <v>489</v>
      </c>
      <c r="G3782">
        <v>36.033332000000001</v>
      </c>
      <c r="H3782">
        <v>120.380697</v>
      </c>
      <c r="I3782" t="s">
        <v>764</v>
      </c>
      <c r="J3782" s="2" t="s">
        <v>7</v>
      </c>
      <c r="K3782" t="s">
        <v>490</v>
      </c>
      <c r="L3782" t="s">
        <v>143</v>
      </c>
      <c r="M3782" t="s">
        <v>726</v>
      </c>
      <c r="N3782" t="s">
        <v>85</v>
      </c>
      <c r="O3782" s="6" t="s">
        <v>493</v>
      </c>
      <c r="Q3782">
        <v>3</v>
      </c>
      <c r="R3782" t="s">
        <v>213</v>
      </c>
      <c r="S3782" s="2" t="s">
        <v>7</v>
      </c>
      <c r="T3782">
        <v>6</v>
      </c>
      <c r="U3782" t="s">
        <v>28</v>
      </c>
      <c r="V3782" t="s">
        <v>28</v>
      </c>
      <c r="W3782">
        <v>10</v>
      </c>
      <c r="X3782">
        <v>1.641</v>
      </c>
      <c r="Y3782">
        <f>1.744-X3782</f>
        <v>0.10299999999999998</v>
      </c>
      <c r="AA3782" s="6"/>
      <c r="AB3782" s="6"/>
    </row>
    <row r="3783" spans="1:28" x14ac:dyDescent="0.2">
      <c r="A3783" t="s">
        <v>482</v>
      </c>
      <c r="B3783">
        <v>2010</v>
      </c>
      <c r="C3783" t="s">
        <v>826</v>
      </c>
      <c r="D3783" t="s">
        <v>824</v>
      </c>
      <c r="E3783" t="s">
        <v>114</v>
      </c>
      <c r="F3783" t="s">
        <v>489</v>
      </c>
      <c r="G3783">
        <v>36.033332000000001</v>
      </c>
      <c r="H3783">
        <v>120.380697</v>
      </c>
      <c r="I3783" t="s">
        <v>764</v>
      </c>
      <c r="J3783" s="2" t="s">
        <v>14</v>
      </c>
      <c r="K3783" t="s">
        <v>490</v>
      </c>
      <c r="L3783" t="s">
        <v>143</v>
      </c>
      <c r="M3783" t="s">
        <v>726</v>
      </c>
      <c r="N3783" t="s">
        <v>85</v>
      </c>
      <c r="O3783" s="6" t="s">
        <v>493</v>
      </c>
      <c r="Q3783">
        <v>3</v>
      </c>
      <c r="R3783" t="s">
        <v>213</v>
      </c>
      <c r="S3783" s="2" t="s">
        <v>9</v>
      </c>
      <c r="T3783">
        <v>6</v>
      </c>
      <c r="U3783" t="s">
        <v>28</v>
      </c>
      <c r="V3783" t="s">
        <v>28</v>
      </c>
      <c r="W3783">
        <v>21</v>
      </c>
      <c r="X3783">
        <v>1.59</v>
      </c>
      <c r="Y3783">
        <f>1.876-X3783</f>
        <v>0.28599999999999981</v>
      </c>
      <c r="AA3783" s="6"/>
      <c r="AB3783" s="6"/>
    </row>
    <row r="3784" spans="1:28" x14ac:dyDescent="0.2">
      <c r="A3784" t="s">
        <v>482</v>
      </c>
      <c r="B3784">
        <v>2010</v>
      </c>
      <c r="C3784" t="s">
        <v>826</v>
      </c>
      <c r="D3784" t="s">
        <v>824</v>
      </c>
      <c r="E3784" t="s">
        <v>114</v>
      </c>
      <c r="F3784" t="s">
        <v>489</v>
      </c>
      <c r="G3784">
        <v>36.033332000000001</v>
      </c>
      <c r="H3784">
        <v>120.380697</v>
      </c>
      <c r="I3784" t="s">
        <v>764</v>
      </c>
      <c r="J3784" s="2" t="s">
        <v>14</v>
      </c>
      <c r="K3784" t="s">
        <v>490</v>
      </c>
      <c r="L3784" t="s">
        <v>143</v>
      </c>
      <c r="M3784" t="s">
        <v>726</v>
      </c>
      <c r="N3784" t="s">
        <v>85</v>
      </c>
      <c r="O3784" s="6" t="s">
        <v>493</v>
      </c>
      <c r="Q3784">
        <v>3</v>
      </c>
      <c r="R3784" t="s">
        <v>213</v>
      </c>
      <c r="S3784" s="2" t="s">
        <v>27</v>
      </c>
      <c r="T3784">
        <v>6</v>
      </c>
      <c r="U3784" t="s">
        <v>28</v>
      </c>
      <c r="V3784" t="s">
        <v>28</v>
      </c>
      <c r="W3784">
        <v>23</v>
      </c>
      <c r="X3784">
        <v>1.4490000000000001</v>
      </c>
      <c r="Y3784">
        <f>1.592-X3784</f>
        <v>0.14300000000000002</v>
      </c>
      <c r="AA3784" s="6"/>
      <c r="AB3784" s="6"/>
    </row>
    <row r="3785" spans="1:28" x14ac:dyDescent="0.2">
      <c r="A3785" t="s">
        <v>482</v>
      </c>
      <c r="B3785">
        <v>2010</v>
      </c>
      <c r="C3785" t="s">
        <v>826</v>
      </c>
      <c r="D3785" t="s">
        <v>824</v>
      </c>
      <c r="E3785" t="s">
        <v>114</v>
      </c>
      <c r="F3785" t="s">
        <v>483</v>
      </c>
      <c r="G3785">
        <v>36.869999999999997</v>
      </c>
      <c r="H3785">
        <v>122.42</v>
      </c>
      <c r="I3785" t="s">
        <v>766</v>
      </c>
      <c r="J3785" s="2" t="s">
        <v>7</v>
      </c>
      <c r="K3785" t="s">
        <v>490</v>
      </c>
      <c r="L3785" t="s">
        <v>143</v>
      </c>
      <c r="M3785" t="s">
        <v>638</v>
      </c>
      <c r="N3785" t="s">
        <v>85</v>
      </c>
      <c r="O3785" s="6" t="s">
        <v>348</v>
      </c>
      <c r="P3785" t="s">
        <v>147</v>
      </c>
      <c r="Q3785">
        <v>1</v>
      </c>
      <c r="R3785" t="s">
        <v>213</v>
      </c>
      <c r="S3785" s="2" t="s">
        <v>7</v>
      </c>
      <c r="T3785">
        <v>4</v>
      </c>
      <c r="U3785" t="s">
        <v>28</v>
      </c>
      <c r="V3785" t="s">
        <v>28</v>
      </c>
      <c r="W3785">
        <v>10</v>
      </c>
      <c r="X3785">
        <v>4.5990000000000002</v>
      </c>
      <c r="Y3785">
        <f>4.743-X3785</f>
        <v>0.14400000000000013</v>
      </c>
      <c r="AA3785" s="6"/>
      <c r="AB3785" s="6"/>
    </row>
    <row r="3786" spans="1:28" x14ac:dyDescent="0.2">
      <c r="A3786" t="s">
        <v>482</v>
      </c>
      <c r="B3786">
        <v>2010</v>
      </c>
      <c r="C3786" t="s">
        <v>826</v>
      </c>
      <c r="D3786" t="s">
        <v>824</v>
      </c>
      <c r="E3786" t="s">
        <v>114</v>
      </c>
      <c r="F3786" t="s">
        <v>483</v>
      </c>
      <c r="G3786">
        <v>36.869999999999997</v>
      </c>
      <c r="H3786">
        <v>122.42</v>
      </c>
      <c r="I3786" t="s">
        <v>766</v>
      </c>
      <c r="J3786" s="2" t="s">
        <v>14</v>
      </c>
      <c r="K3786" t="s">
        <v>490</v>
      </c>
      <c r="L3786" t="s">
        <v>143</v>
      </c>
      <c r="M3786" t="s">
        <v>638</v>
      </c>
      <c r="N3786" t="s">
        <v>85</v>
      </c>
      <c r="O3786" s="6" t="s">
        <v>348</v>
      </c>
      <c r="P3786" t="s">
        <v>147</v>
      </c>
      <c r="Q3786">
        <v>1</v>
      </c>
      <c r="R3786" t="s">
        <v>213</v>
      </c>
      <c r="S3786" s="2" t="s">
        <v>9</v>
      </c>
      <c r="T3786">
        <v>4</v>
      </c>
      <c r="U3786" t="s">
        <v>28</v>
      </c>
      <c r="V3786" t="s">
        <v>28</v>
      </c>
      <c r="W3786">
        <v>21</v>
      </c>
      <c r="X3786">
        <v>4.5</v>
      </c>
      <c r="Y3786">
        <f>4.615-X3786</f>
        <v>0.11500000000000021</v>
      </c>
      <c r="AA3786" s="6"/>
      <c r="AB3786" s="6"/>
    </row>
    <row r="3787" spans="1:28" x14ac:dyDescent="0.2">
      <c r="A3787" t="s">
        <v>482</v>
      </c>
      <c r="B3787">
        <v>2010</v>
      </c>
      <c r="C3787" t="s">
        <v>826</v>
      </c>
      <c r="D3787" t="s">
        <v>824</v>
      </c>
      <c r="E3787" t="s">
        <v>114</v>
      </c>
      <c r="F3787" t="s">
        <v>483</v>
      </c>
      <c r="G3787">
        <v>36.869999999999997</v>
      </c>
      <c r="H3787">
        <v>122.42</v>
      </c>
      <c r="I3787" t="s">
        <v>766</v>
      </c>
      <c r="J3787" s="2" t="s">
        <v>14</v>
      </c>
      <c r="K3787" t="s">
        <v>490</v>
      </c>
      <c r="L3787" t="s">
        <v>143</v>
      </c>
      <c r="M3787" t="s">
        <v>638</v>
      </c>
      <c r="N3787" t="s">
        <v>85</v>
      </c>
      <c r="O3787" s="6" t="s">
        <v>348</v>
      </c>
      <c r="P3787" t="s">
        <v>147</v>
      </c>
      <c r="Q3787">
        <v>1</v>
      </c>
      <c r="R3787" t="s">
        <v>213</v>
      </c>
      <c r="S3787" s="2" t="s">
        <v>27</v>
      </c>
      <c r="T3787">
        <v>4</v>
      </c>
      <c r="U3787" t="s">
        <v>28</v>
      </c>
      <c r="V3787" t="s">
        <v>28</v>
      </c>
      <c r="W3787">
        <v>23</v>
      </c>
      <c r="X3787">
        <v>4.0949999999999998</v>
      </c>
      <c r="Y3787">
        <f>4.276-X3787</f>
        <v>0.18100000000000005</v>
      </c>
      <c r="AA3787" s="6"/>
      <c r="AB3787" s="6"/>
    </row>
    <row r="3788" spans="1:28" x14ac:dyDescent="0.2">
      <c r="A3788" t="s">
        <v>482</v>
      </c>
      <c r="B3788">
        <v>2010</v>
      </c>
      <c r="C3788" t="s">
        <v>826</v>
      </c>
      <c r="D3788" t="s">
        <v>824</v>
      </c>
      <c r="E3788" t="s">
        <v>114</v>
      </c>
      <c r="F3788" t="s">
        <v>484</v>
      </c>
      <c r="G3788">
        <v>37.24</v>
      </c>
      <c r="H3788">
        <v>122.58</v>
      </c>
      <c r="I3788" t="s">
        <v>766</v>
      </c>
      <c r="J3788" s="2" t="s">
        <v>7</v>
      </c>
      <c r="K3788" t="s">
        <v>490</v>
      </c>
      <c r="L3788" t="s">
        <v>143</v>
      </c>
      <c r="M3788" t="s">
        <v>638</v>
      </c>
      <c r="N3788" t="s">
        <v>85</v>
      </c>
      <c r="O3788" s="6" t="s">
        <v>348</v>
      </c>
      <c r="P3788" t="s">
        <v>147</v>
      </c>
      <c r="Q3788">
        <v>1</v>
      </c>
      <c r="R3788" t="s">
        <v>213</v>
      </c>
      <c r="S3788" s="2" t="s">
        <v>7</v>
      </c>
      <c r="T3788">
        <v>4</v>
      </c>
      <c r="U3788" t="s">
        <v>28</v>
      </c>
      <c r="V3788" t="s">
        <v>28</v>
      </c>
      <c r="W3788">
        <v>10</v>
      </c>
      <c r="X3788">
        <v>4.5590000000000002</v>
      </c>
      <c r="Y3788">
        <f>4.727-X3788</f>
        <v>0.16800000000000015</v>
      </c>
      <c r="AA3788" s="6"/>
      <c r="AB3788" s="6"/>
    </row>
    <row r="3789" spans="1:28" x14ac:dyDescent="0.2">
      <c r="A3789" t="s">
        <v>482</v>
      </c>
      <c r="B3789">
        <v>2010</v>
      </c>
      <c r="C3789" t="s">
        <v>826</v>
      </c>
      <c r="D3789" t="s">
        <v>824</v>
      </c>
      <c r="E3789" t="s">
        <v>114</v>
      </c>
      <c r="F3789" t="s">
        <v>484</v>
      </c>
      <c r="G3789">
        <v>37.24</v>
      </c>
      <c r="H3789">
        <v>122.58</v>
      </c>
      <c r="I3789" t="s">
        <v>766</v>
      </c>
      <c r="J3789" s="2" t="s">
        <v>14</v>
      </c>
      <c r="K3789" t="s">
        <v>490</v>
      </c>
      <c r="L3789" t="s">
        <v>143</v>
      </c>
      <c r="M3789" t="s">
        <v>638</v>
      </c>
      <c r="N3789" t="s">
        <v>85</v>
      </c>
      <c r="O3789" s="6" t="s">
        <v>348</v>
      </c>
      <c r="P3789" t="s">
        <v>147</v>
      </c>
      <c r="Q3789">
        <v>1</v>
      </c>
      <c r="R3789" t="s">
        <v>213</v>
      </c>
      <c r="S3789" s="2" t="s">
        <v>9</v>
      </c>
      <c r="T3789">
        <v>4</v>
      </c>
      <c r="U3789" t="s">
        <v>28</v>
      </c>
      <c r="V3789" t="s">
        <v>28</v>
      </c>
      <c r="W3789">
        <v>21</v>
      </c>
      <c r="X3789">
        <v>4.5590000000000002</v>
      </c>
      <c r="Y3789">
        <f>4.628-X3789</f>
        <v>6.899999999999995E-2</v>
      </c>
      <c r="AA3789" s="6"/>
      <c r="AB3789" s="6"/>
    </row>
    <row r="3790" spans="1:28" x14ac:dyDescent="0.2">
      <c r="A3790" t="s">
        <v>482</v>
      </c>
      <c r="B3790">
        <v>2010</v>
      </c>
      <c r="C3790" t="s">
        <v>826</v>
      </c>
      <c r="D3790" t="s">
        <v>824</v>
      </c>
      <c r="E3790" t="s">
        <v>114</v>
      </c>
      <c r="F3790" t="s">
        <v>484</v>
      </c>
      <c r="G3790">
        <v>37.24</v>
      </c>
      <c r="H3790">
        <v>122.58</v>
      </c>
      <c r="I3790" t="s">
        <v>766</v>
      </c>
      <c r="J3790" s="2" t="s">
        <v>14</v>
      </c>
      <c r="K3790" t="s">
        <v>490</v>
      </c>
      <c r="L3790" t="s">
        <v>143</v>
      </c>
      <c r="M3790" t="s">
        <v>638</v>
      </c>
      <c r="N3790" t="s">
        <v>85</v>
      </c>
      <c r="O3790" s="6" t="s">
        <v>348</v>
      </c>
      <c r="P3790" t="s">
        <v>147</v>
      </c>
      <c r="Q3790">
        <v>1</v>
      </c>
      <c r="R3790" t="s">
        <v>213</v>
      </c>
      <c r="S3790" s="2" t="s">
        <v>27</v>
      </c>
      <c r="T3790">
        <v>4</v>
      </c>
      <c r="U3790" t="s">
        <v>28</v>
      </c>
      <c r="V3790" t="s">
        <v>28</v>
      </c>
      <c r="W3790">
        <v>23</v>
      </c>
      <c r="X3790">
        <v>3.891</v>
      </c>
      <c r="Y3790">
        <f>4.016-X3790</f>
        <v>0.125</v>
      </c>
      <c r="AA3790" s="6"/>
      <c r="AB3790" s="6"/>
    </row>
    <row r="3791" spans="1:28" x14ac:dyDescent="0.2">
      <c r="A3791" t="s">
        <v>482</v>
      </c>
      <c r="B3791">
        <v>2010</v>
      </c>
      <c r="C3791" t="s">
        <v>826</v>
      </c>
      <c r="D3791" t="s">
        <v>824</v>
      </c>
      <c r="E3791" t="s">
        <v>114</v>
      </c>
      <c r="F3791" t="s">
        <v>485</v>
      </c>
      <c r="G3791">
        <v>37.478665999999997</v>
      </c>
      <c r="H3791">
        <v>121.949291</v>
      </c>
      <c r="I3791" t="s">
        <v>766</v>
      </c>
      <c r="J3791" s="2" t="s">
        <v>7</v>
      </c>
      <c r="K3791" t="s">
        <v>490</v>
      </c>
      <c r="L3791" t="s">
        <v>143</v>
      </c>
      <c r="M3791" t="s">
        <v>638</v>
      </c>
      <c r="N3791" t="s">
        <v>85</v>
      </c>
      <c r="O3791" s="6" t="s">
        <v>348</v>
      </c>
      <c r="P3791" t="s">
        <v>147</v>
      </c>
      <c r="Q3791">
        <v>1</v>
      </c>
      <c r="R3791" t="s">
        <v>213</v>
      </c>
      <c r="S3791" s="2" t="s">
        <v>7</v>
      </c>
      <c r="T3791">
        <v>4</v>
      </c>
      <c r="U3791" t="s">
        <v>28</v>
      </c>
      <c r="V3791" t="s">
        <v>28</v>
      </c>
      <c r="W3791">
        <v>10</v>
      </c>
      <c r="X3791">
        <v>4.3129999999999997</v>
      </c>
      <c r="Y3791">
        <f>4.411-X3791</f>
        <v>9.7999999999999865E-2</v>
      </c>
      <c r="AA3791" s="6"/>
      <c r="AB3791" s="6"/>
    </row>
    <row r="3792" spans="1:28" x14ac:dyDescent="0.2">
      <c r="A3792" t="s">
        <v>482</v>
      </c>
      <c r="B3792">
        <v>2010</v>
      </c>
      <c r="C3792" t="s">
        <v>826</v>
      </c>
      <c r="D3792" t="s">
        <v>824</v>
      </c>
      <c r="E3792" t="s">
        <v>114</v>
      </c>
      <c r="F3792" t="s">
        <v>485</v>
      </c>
      <c r="G3792">
        <v>37.478665999999997</v>
      </c>
      <c r="H3792">
        <v>121.949291</v>
      </c>
      <c r="I3792" t="s">
        <v>766</v>
      </c>
      <c r="J3792" s="2" t="s">
        <v>14</v>
      </c>
      <c r="K3792" t="s">
        <v>490</v>
      </c>
      <c r="L3792" t="s">
        <v>143</v>
      </c>
      <c r="M3792" t="s">
        <v>638</v>
      </c>
      <c r="N3792" t="s">
        <v>85</v>
      </c>
      <c r="O3792" s="6" t="s">
        <v>348</v>
      </c>
      <c r="P3792" t="s">
        <v>147</v>
      </c>
      <c r="Q3792">
        <v>1</v>
      </c>
      <c r="R3792" t="s">
        <v>213</v>
      </c>
      <c r="S3792" s="2" t="s">
        <v>9</v>
      </c>
      <c r="T3792">
        <v>4</v>
      </c>
      <c r="U3792" t="s">
        <v>28</v>
      </c>
      <c r="V3792" t="s">
        <v>28</v>
      </c>
      <c r="W3792">
        <v>21</v>
      </c>
      <c r="X3792">
        <v>3.8490000000000002</v>
      </c>
      <c r="Y3792">
        <f>3.984-X3792</f>
        <v>0.13499999999999979</v>
      </c>
      <c r="AA3792" s="6"/>
      <c r="AB3792" s="6"/>
    </row>
    <row r="3793" spans="1:28" x14ac:dyDescent="0.2">
      <c r="A3793" t="s">
        <v>482</v>
      </c>
      <c r="B3793">
        <v>2010</v>
      </c>
      <c r="C3793" t="s">
        <v>826</v>
      </c>
      <c r="D3793" t="s">
        <v>824</v>
      </c>
      <c r="E3793" t="s">
        <v>114</v>
      </c>
      <c r="F3793" t="s">
        <v>485</v>
      </c>
      <c r="G3793">
        <v>37.478665999999997</v>
      </c>
      <c r="H3793">
        <v>121.949291</v>
      </c>
      <c r="I3793" t="s">
        <v>766</v>
      </c>
      <c r="J3793" s="2" t="s">
        <v>14</v>
      </c>
      <c r="K3793" t="s">
        <v>490</v>
      </c>
      <c r="L3793" t="s">
        <v>143</v>
      </c>
      <c r="M3793" t="s">
        <v>638</v>
      </c>
      <c r="N3793" t="s">
        <v>85</v>
      </c>
      <c r="O3793" s="6" t="s">
        <v>348</v>
      </c>
      <c r="P3793" t="s">
        <v>147</v>
      </c>
      <c r="Q3793">
        <v>1</v>
      </c>
      <c r="R3793" t="s">
        <v>213</v>
      </c>
      <c r="S3793" s="2" t="s">
        <v>27</v>
      </c>
      <c r="T3793">
        <v>4</v>
      </c>
      <c r="U3793" t="s">
        <v>28</v>
      </c>
      <c r="V3793" t="s">
        <v>28</v>
      </c>
      <c r="W3793">
        <v>23</v>
      </c>
      <c r="X3793">
        <v>3.266</v>
      </c>
      <c r="Y3793">
        <f>3.355-X3793</f>
        <v>8.8999999999999968E-2</v>
      </c>
      <c r="AA3793" s="6"/>
      <c r="AB3793" s="6"/>
    </row>
    <row r="3794" spans="1:28" x14ac:dyDescent="0.2">
      <c r="A3794" t="s">
        <v>482</v>
      </c>
      <c r="B3794">
        <v>2010</v>
      </c>
      <c r="C3794" t="s">
        <v>826</v>
      </c>
      <c r="D3794" t="s">
        <v>824</v>
      </c>
      <c r="E3794" t="s">
        <v>114</v>
      </c>
      <c r="F3794" t="s">
        <v>486</v>
      </c>
      <c r="G3794">
        <v>37.212491</v>
      </c>
      <c r="H3794">
        <v>122.63297900000001</v>
      </c>
      <c r="I3794" t="s">
        <v>766</v>
      </c>
      <c r="J3794" s="2" t="s">
        <v>7</v>
      </c>
      <c r="K3794" t="s">
        <v>490</v>
      </c>
      <c r="L3794" t="s">
        <v>143</v>
      </c>
      <c r="M3794" t="s">
        <v>638</v>
      </c>
      <c r="N3794" t="s">
        <v>85</v>
      </c>
      <c r="O3794" s="6" t="s">
        <v>348</v>
      </c>
      <c r="P3794" t="s">
        <v>147</v>
      </c>
      <c r="Q3794">
        <v>1</v>
      </c>
      <c r="R3794" t="s">
        <v>213</v>
      </c>
      <c r="S3794" s="2" t="s">
        <v>7</v>
      </c>
      <c r="T3794">
        <v>4</v>
      </c>
      <c r="U3794" t="s">
        <v>28</v>
      </c>
      <c r="V3794" t="s">
        <v>28</v>
      </c>
      <c r="W3794">
        <v>10</v>
      </c>
      <c r="X3794">
        <v>4.2110000000000003</v>
      </c>
      <c r="Y3794">
        <f>4.296-X3794</f>
        <v>8.4999999999999964E-2</v>
      </c>
      <c r="AA3794" s="6"/>
      <c r="AB3794" s="6"/>
    </row>
    <row r="3795" spans="1:28" x14ac:dyDescent="0.2">
      <c r="A3795" t="s">
        <v>482</v>
      </c>
      <c r="B3795">
        <v>2010</v>
      </c>
      <c r="C3795" t="s">
        <v>826</v>
      </c>
      <c r="D3795" t="s">
        <v>824</v>
      </c>
      <c r="E3795" t="s">
        <v>114</v>
      </c>
      <c r="F3795" t="s">
        <v>486</v>
      </c>
      <c r="G3795">
        <v>37.212491</v>
      </c>
      <c r="H3795">
        <v>122.63297900000001</v>
      </c>
      <c r="I3795" t="s">
        <v>766</v>
      </c>
      <c r="J3795" s="2" t="s">
        <v>14</v>
      </c>
      <c r="K3795" t="s">
        <v>490</v>
      </c>
      <c r="L3795" t="s">
        <v>143</v>
      </c>
      <c r="M3795" t="s">
        <v>638</v>
      </c>
      <c r="N3795" t="s">
        <v>85</v>
      </c>
      <c r="O3795" s="6" t="s">
        <v>348</v>
      </c>
      <c r="P3795" t="s">
        <v>147</v>
      </c>
      <c r="Q3795">
        <v>1</v>
      </c>
      <c r="R3795" t="s">
        <v>213</v>
      </c>
      <c r="S3795" s="2" t="s">
        <v>9</v>
      </c>
      <c r="T3795">
        <v>4</v>
      </c>
      <c r="U3795" t="s">
        <v>28</v>
      </c>
      <c r="V3795" t="s">
        <v>28</v>
      </c>
      <c r="W3795">
        <v>21</v>
      </c>
      <c r="X3795">
        <v>4.3879999999999999</v>
      </c>
      <c r="Y3795">
        <f>4.493-X3795</f>
        <v>0.10500000000000043</v>
      </c>
      <c r="AA3795" s="6"/>
      <c r="AB3795" s="6"/>
    </row>
    <row r="3796" spans="1:28" x14ac:dyDescent="0.2">
      <c r="A3796" t="s">
        <v>482</v>
      </c>
      <c r="B3796">
        <v>2010</v>
      </c>
      <c r="C3796" t="s">
        <v>826</v>
      </c>
      <c r="D3796" t="s">
        <v>824</v>
      </c>
      <c r="E3796" t="s">
        <v>114</v>
      </c>
      <c r="F3796" t="s">
        <v>486</v>
      </c>
      <c r="G3796">
        <v>37.212491</v>
      </c>
      <c r="H3796">
        <v>122.63297900000001</v>
      </c>
      <c r="I3796" t="s">
        <v>766</v>
      </c>
      <c r="J3796" s="2" t="s">
        <v>14</v>
      </c>
      <c r="K3796" t="s">
        <v>490</v>
      </c>
      <c r="L3796" t="s">
        <v>143</v>
      </c>
      <c r="M3796" t="s">
        <v>638</v>
      </c>
      <c r="N3796" t="s">
        <v>85</v>
      </c>
      <c r="O3796" s="6" t="s">
        <v>348</v>
      </c>
      <c r="P3796" t="s">
        <v>147</v>
      </c>
      <c r="Q3796">
        <v>1</v>
      </c>
      <c r="R3796" t="s">
        <v>213</v>
      </c>
      <c r="S3796" s="2" t="s">
        <v>27</v>
      </c>
      <c r="T3796">
        <v>4</v>
      </c>
      <c r="U3796" t="s">
        <v>28</v>
      </c>
      <c r="V3796" t="s">
        <v>28</v>
      </c>
      <c r="W3796">
        <v>23</v>
      </c>
      <c r="X3796">
        <v>3.8849999999999998</v>
      </c>
      <c r="Y3796">
        <f>3.974-X3796</f>
        <v>8.9000000000000412E-2</v>
      </c>
      <c r="AA3796" s="6"/>
      <c r="AB3796" s="6"/>
    </row>
    <row r="3797" spans="1:28" x14ac:dyDescent="0.2">
      <c r="A3797" t="s">
        <v>482</v>
      </c>
      <c r="B3797">
        <v>2010</v>
      </c>
      <c r="C3797" t="s">
        <v>826</v>
      </c>
      <c r="D3797" t="s">
        <v>824</v>
      </c>
      <c r="E3797" t="s">
        <v>114</v>
      </c>
      <c r="F3797" t="s">
        <v>487</v>
      </c>
      <c r="G3797">
        <v>37.094527999999997</v>
      </c>
      <c r="H3797">
        <v>122.58033500000001</v>
      </c>
      <c r="I3797" t="s">
        <v>766</v>
      </c>
      <c r="J3797" s="2" t="s">
        <v>7</v>
      </c>
      <c r="K3797" t="s">
        <v>490</v>
      </c>
      <c r="L3797" t="s">
        <v>143</v>
      </c>
      <c r="M3797" t="s">
        <v>638</v>
      </c>
      <c r="N3797" t="s">
        <v>85</v>
      </c>
      <c r="O3797" s="6" t="s">
        <v>348</v>
      </c>
      <c r="P3797" t="s">
        <v>147</v>
      </c>
      <c r="Q3797">
        <v>1</v>
      </c>
      <c r="R3797" t="s">
        <v>213</v>
      </c>
      <c r="S3797" s="2" t="s">
        <v>7</v>
      </c>
      <c r="T3797">
        <v>4</v>
      </c>
      <c r="U3797" t="s">
        <v>28</v>
      </c>
      <c r="V3797" t="s">
        <v>28</v>
      </c>
      <c r="W3797">
        <v>10</v>
      </c>
      <c r="X3797">
        <v>4.6479999999999997</v>
      </c>
      <c r="Y3797">
        <f>4.773-X3797</f>
        <v>0.125</v>
      </c>
      <c r="AA3797" s="6"/>
      <c r="AB3797" s="6"/>
    </row>
    <row r="3798" spans="1:28" x14ac:dyDescent="0.2">
      <c r="A3798" t="s">
        <v>482</v>
      </c>
      <c r="B3798">
        <v>2010</v>
      </c>
      <c r="C3798" t="s">
        <v>826</v>
      </c>
      <c r="D3798" t="s">
        <v>824</v>
      </c>
      <c r="E3798" t="s">
        <v>114</v>
      </c>
      <c r="F3798" t="s">
        <v>487</v>
      </c>
      <c r="G3798">
        <v>37.094527999999997</v>
      </c>
      <c r="H3798">
        <v>122.58033500000001</v>
      </c>
      <c r="I3798" t="s">
        <v>766</v>
      </c>
      <c r="J3798" s="2" t="s">
        <v>14</v>
      </c>
      <c r="K3798" t="s">
        <v>490</v>
      </c>
      <c r="L3798" t="s">
        <v>143</v>
      </c>
      <c r="M3798" t="s">
        <v>638</v>
      </c>
      <c r="N3798" t="s">
        <v>85</v>
      </c>
      <c r="O3798" s="6" t="s">
        <v>348</v>
      </c>
      <c r="P3798" t="s">
        <v>147</v>
      </c>
      <c r="Q3798">
        <v>1</v>
      </c>
      <c r="R3798" t="s">
        <v>213</v>
      </c>
      <c r="S3798" s="2" t="s">
        <v>9</v>
      </c>
      <c r="T3798">
        <v>4</v>
      </c>
      <c r="U3798" t="s">
        <v>28</v>
      </c>
      <c r="V3798" t="s">
        <v>28</v>
      </c>
      <c r="W3798">
        <v>21</v>
      </c>
      <c r="X3798">
        <v>4.7889999999999997</v>
      </c>
      <c r="Y3798">
        <f>5.056-X3798</f>
        <v>0.26700000000000035</v>
      </c>
      <c r="AA3798" s="6"/>
      <c r="AB3798" s="6"/>
    </row>
    <row r="3799" spans="1:28" x14ac:dyDescent="0.2">
      <c r="A3799" t="s">
        <v>482</v>
      </c>
      <c r="B3799">
        <v>2010</v>
      </c>
      <c r="C3799" t="s">
        <v>826</v>
      </c>
      <c r="D3799" t="s">
        <v>824</v>
      </c>
      <c r="E3799" t="s">
        <v>114</v>
      </c>
      <c r="F3799" t="s">
        <v>487</v>
      </c>
      <c r="G3799">
        <v>37.094527999999997</v>
      </c>
      <c r="H3799">
        <v>122.58033500000001</v>
      </c>
      <c r="I3799" t="s">
        <v>766</v>
      </c>
      <c r="J3799" s="2" t="s">
        <v>14</v>
      </c>
      <c r="K3799" t="s">
        <v>490</v>
      </c>
      <c r="L3799" t="s">
        <v>143</v>
      </c>
      <c r="M3799" t="s">
        <v>638</v>
      </c>
      <c r="N3799" t="s">
        <v>85</v>
      </c>
      <c r="O3799" s="6" t="s">
        <v>348</v>
      </c>
      <c r="P3799" t="s">
        <v>147</v>
      </c>
      <c r="Q3799">
        <v>1</v>
      </c>
      <c r="R3799" t="s">
        <v>213</v>
      </c>
      <c r="S3799" s="2" t="s">
        <v>27</v>
      </c>
      <c r="T3799">
        <v>4</v>
      </c>
      <c r="U3799" t="s">
        <v>28</v>
      </c>
      <c r="V3799" t="s">
        <v>28</v>
      </c>
      <c r="W3799">
        <v>23</v>
      </c>
      <c r="X3799">
        <v>4.4409999999999998</v>
      </c>
      <c r="Y3799">
        <f>4.612-X3799</f>
        <v>0.17100000000000026</v>
      </c>
      <c r="AA3799" s="6"/>
      <c r="AB3799" s="6"/>
    </row>
    <row r="3800" spans="1:28" x14ac:dyDescent="0.2">
      <c r="A3800" t="s">
        <v>482</v>
      </c>
      <c r="B3800">
        <v>2010</v>
      </c>
      <c r="C3800" t="s">
        <v>826</v>
      </c>
      <c r="D3800" t="s">
        <v>824</v>
      </c>
      <c r="E3800" t="s">
        <v>114</v>
      </c>
      <c r="F3800" t="s">
        <v>488</v>
      </c>
      <c r="G3800">
        <v>37.482649000000002</v>
      </c>
      <c r="H3800">
        <v>121.931369</v>
      </c>
      <c r="I3800" t="s">
        <v>764</v>
      </c>
      <c r="J3800" s="2" t="s">
        <v>7</v>
      </c>
      <c r="K3800" t="s">
        <v>490</v>
      </c>
      <c r="L3800" t="s">
        <v>143</v>
      </c>
      <c r="M3800" t="s">
        <v>638</v>
      </c>
      <c r="N3800" t="s">
        <v>85</v>
      </c>
      <c r="O3800" s="6" t="s">
        <v>348</v>
      </c>
      <c r="P3800" t="s">
        <v>147</v>
      </c>
      <c r="Q3800">
        <v>1</v>
      </c>
      <c r="R3800" t="s">
        <v>213</v>
      </c>
      <c r="S3800" s="2" t="s">
        <v>7</v>
      </c>
      <c r="T3800">
        <v>4</v>
      </c>
      <c r="U3800" t="s">
        <v>28</v>
      </c>
      <c r="V3800" t="s">
        <v>28</v>
      </c>
      <c r="W3800">
        <v>10</v>
      </c>
      <c r="X3800">
        <v>4.3680000000000003</v>
      </c>
      <c r="Y3800">
        <f>4.566-X3800</f>
        <v>0.19799999999999951</v>
      </c>
      <c r="AA3800" s="6"/>
      <c r="AB3800" s="6"/>
    </row>
    <row r="3801" spans="1:28" x14ac:dyDescent="0.2">
      <c r="A3801" t="s">
        <v>482</v>
      </c>
      <c r="B3801">
        <v>2010</v>
      </c>
      <c r="C3801" t="s">
        <v>826</v>
      </c>
      <c r="D3801" t="s">
        <v>824</v>
      </c>
      <c r="E3801" t="s">
        <v>114</v>
      </c>
      <c r="F3801" t="s">
        <v>488</v>
      </c>
      <c r="G3801">
        <v>37.482649000000002</v>
      </c>
      <c r="H3801">
        <v>121.931369</v>
      </c>
      <c r="I3801" t="s">
        <v>764</v>
      </c>
      <c r="J3801" s="2" t="s">
        <v>14</v>
      </c>
      <c r="K3801" t="s">
        <v>490</v>
      </c>
      <c r="L3801" t="s">
        <v>143</v>
      </c>
      <c r="M3801" t="s">
        <v>638</v>
      </c>
      <c r="N3801" t="s">
        <v>85</v>
      </c>
      <c r="O3801" s="6" t="s">
        <v>348</v>
      </c>
      <c r="P3801" t="s">
        <v>147</v>
      </c>
      <c r="Q3801">
        <v>1</v>
      </c>
      <c r="R3801" t="s">
        <v>213</v>
      </c>
      <c r="S3801" s="2" t="s">
        <v>9</v>
      </c>
      <c r="T3801">
        <v>4</v>
      </c>
      <c r="U3801" t="s">
        <v>28</v>
      </c>
      <c r="V3801" t="s">
        <v>28</v>
      </c>
      <c r="W3801">
        <v>21</v>
      </c>
      <c r="X3801">
        <v>4.3129999999999997</v>
      </c>
      <c r="Y3801">
        <f>4.395-X3801</f>
        <v>8.1999999999999851E-2</v>
      </c>
      <c r="AA3801" s="6"/>
      <c r="AB3801" s="6"/>
    </row>
    <row r="3802" spans="1:28" x14ac:dyDescent="0.2">
      <c r="A3802" t="s">
        <v>482</v>
      </c>
      <c r="B3802">
        <v>2010</v>
      </c>
      <c r="C3802" t="s">
        <v>826</v>
      </c>
      <c r="D3802" t="s">
        <v>824</v>
      </c>
      <c r="E3802" t="s">
        <v>114</v>
      </c>
      <c r="F3802" t="s">
        <v>488</v>
      </c>
      <c r="G3802">
        <v>37.482649000000002</v>
      </c>
      <c r="H3802">
        <v>121.931369</v>
      </c>
      <c r="I3802" t="s">
        <v>764</v>
      </c>
      <c r="J3802" s="2" t="s">
        <v>14</v>
      </c>
      <c r="K3802" t="s">
        <v>490</v>
      </c>
      <c r="L3802" t="s">
        <v>143</v>
      </c>
      <c r="M3802" t="s">
        <v>638</v>
      </c>
      <c r="N3802" t="s">
        <v>85</v>
      </c>
      <c r="O3802" s="6" t="s">
        <v>348</v>
      </c>
      <c r="P3802" t="s">
        <v>147</v>
      </c>
      <c r="Q3802">
        <v>1</v>
      </c>
      <c r="R3802" t="s">
        <v>213</v>
      </c>
      <c r="S3802" s="2" t="s">
        <v>27</v>
      </c>
      <c r="T3802">
        <v>4</v>
      </c>
      <c r="U3802" t="s">
        <v>28</v>
      </c>
      <c r="V3802" t="s">
        <v>28</v>
      </c>
      <c r="W3802">
        <v>23</v>
      </c>
      <c r="X3802">
        <v>4.306</v>
      </c>
      <c r="Y3802">
        <f>4.398-X3802</f>
        <v>9.1999999999999638E-2</v>
      </c>
      <c r="AA3802" s="6"/>
      <c r="AB3802" s="6"/>
    </row>
    <row r="3803" spans="1:28" x14ac:dyDescent="0.2">
      <c r="A3803" t="s">
        <v>482</v>
      </c>
      <c r="B3803">
        <v>2010</v>
      </c>
      <c r="C3803" t="s">
        <v>826</v>
      </c>
      <c r="D3803" t="s">
        <v>824</v>
      </c>
      <c r="E3803" t="s">
        <v>114</v>
      </c>
      <c r="F3803" t="s">
        <v>489</v>
      </c>
      <c r="G3803">
        <v>36.033332000000001</v>
      </c>
      <c r="H3803">
        <v>120.380697</v>
      </c>
      <c r="I3803" t="s">
        <v>764</v>
      </c>
      <c r="J3803" s="2" t="s">
        <v>7</v>
      </c>
      <c r="K3803" t="s">
        <v>490</v>
      </c>
      <c r="L3803" t="s">
        <v>143</v>
      </c>
      <c r="M3803" t="s">
        <v>638</v>
      </c>
      <c r="N3803" t="s">
        <v>85</v>
      </c>
      <c r="O3803" s="6" t="s">
        <v>348</v>
      </c>
      <c r="P3803" t="s">
        <v>147</v>
      </c>
      <c r="Q3803">
        <v>1</v>
      </c>
      <c r="R3803" t="s">
        <v>213</v>
      </c>
      <c r="S3803" s="2" t="s">
        <v>7</v>
      </c>
      <c r="T3803">
        <v>4</v>
      </c>
      <c r="U3803" t="s">
        <v>28</v>
      </c>
      <c r="V3803" t="s">
        <v>28</v>
      </c>
      <c r="W3803">
        <v>10</v>
      </c>
      <c r="X3803">
        <v>4.6879999999999997</v>
      </c>
      <c r="Y3803">
        <f>4.842-X3803</f>
        <v>0.15399999999999991</v>
      </c>
      <c r="AA3803" s="6"/>
      <c r="AB3803" s="6"/>
    </row>
    <row r="3804" spans="1:28" x14ac:dyDescent="0.2">
      <c r="A3804" t="s">
        <v>482</v>
      </c>
      <c r="B3804">
        <v>2010</v>
      </c>
      <c r="C3804" t="s">
        <v>826</v>
      </c>
      <c r="D3804" t="s">
        <v>824</v>
      </c>
      <c r="E3804" t="s">
        <v>114</v>
      </c>
      <c r="F3804" t="s">
        <v>489</v>
      </c>
      <c r="G3804">
        <v>36.033332000000001</v>
      </c>
      <c r="H3804">
        <v>120.380697</v>
      </c>
      <c r="I3804" t="s">
        <v>764</v>
      </c>
      <c r="J3804" s="2" t="s">
        <v>14</v>
      </c>
      <c r="K3804" t="s">
        <v>490</v>
      </c>
      <c r="L3804" t="s">
        <v>143</v>
      </c>
      <c r="M3804" t="s">
        <v>638</v>
      </c>
      <c r="N3804" t="s">
        <v>85</v>
      </c>
      <c r="O3804" s="6" t="s">
        <v>348</v>
      </c>
      <c r="P3804" t="s">
        <v>147</v>
      </c>
      <c r="Q3804">
        <v>1</v>
      </c>
      <c r="R3804" t="s">
        <v>213</v>
      </c>
      <c r="S3804" s="2" t="s">
        <v>9</v>
      </c>
      <c r="T3804">
        <v>4</v>
      </c>
      <c r="U3804" t="s">
        <v>28</v>
      </c>
      <c r="V3804" t="s">
        <v>28</v>
      </c>
      <c r="W3804">
        <v>21</v>
      </c>
      <c r="X3804">
        <v>4.8289999999999997</v>
      </c>
      <c r="Y3804">
        <f>5.039-X3804</f>
        <v>0.20999999999999996</v>
      </c>
      <c r="AA3804" s="6"/>
      <c r="AB3804" s="6"/>
    </row>
    <row r="3805" spans="1:28" x14ac:dyDescent="0.2">
      <c r="A3805" t="s">
        <v>482</v>
      </c>
      <c r="B3805">
        <v>2010</v>
      </c>
      <c r="C3805" t="s">
        <v>826</v>
      </c>
      <c r="D3805" t="s">
        <v>824</v>
      </c>
      <c r="E3805" t="s">
        <v>114</v>
      </c>
      <c r="F3805" t="s">
        <v>489</v>
      </c>
      <c r="G3805">
        <v>36.033332000000001</v>
      </c>
      <c r="H3805">
        <v>120.380697</v>
      </c>
      <c r="I3805" t="s">
        <v>764</v>
      </c>
      <c r="J3805" s="2" t="s">
        <v>14</v>
      </c>
      <c r="K3805" t="s">
        <v>490</v>
      </c>
      <c r="L3805" t="s">
        <v>143</v>
      </c>
      <c r="M3805" t="s">
        <v>638</v>
      </c>
      <c r="N3805" t="s">
        <v>85</v>
      </c>
      <c r="O3805" s="6" t="s">
        <v>348</v>
      </c>
      <c r="P3805" t="s">
        <v>147</v>
      </c>
      <c r="Q3805">
        <v>1</v>
      </c>
      <c r="R3805" t="s">
        <v>213</v>
      </c>
      <c r="S3805" s="2" t="s">
        <v>27</v>
      </c>
      <c r="T3805">
        <v>4</v>
      </c>
      <c r="U3805" t="s">
        <v>28</v>
      </c>
      <c r="V3805" t="s">
        <v>28</v>
      </c>
      <c r="W3805">
        <v>23</v>
      </c>
      <c r="X3805">
        <v>4.9379999999999997</v>
      </c>
      <c r="Y3805">
        <f>5.329-X3805</f>
        <v>0.39100000000000001</v>
      </c>
      <c r="AA3805" s="6"/>
      <c r="AB3805" s="6"/>
    </row>
    <row r="3806" spans="1:28" x14ac:dyDescent="0.2">
      <c r="A3806" t="s">
        <v>482</v>
      </c>
      <c r="B3806">
        <v>2010</v>
      </c>
      <c r="C3806" t="s">
        <v>826</v>
      </c>
      <c r="D3806" t="s">
        <v>824</v>
      </c>
      <c r="E3806" t="s">
        <v>114</v>
      </c>
      <c r="F3806" t="s">
        <v>483</v>
      </c>
      <c r="G3806">
        <v>36.869999999999997</v>
      </c>
      <c r="H3806">
        <v>122.42</v>
      </c>
      <c r="I3806" t="s">
        <v>766</v>
      </c>
      <c r="J3806" s="2" t="s">
        <v>7</v>
      </c>
      <c r="K3806" t="s">
        <v>490</v>
      </c>
      <c r="L3806" t="s">
        <v>143</v>
      </c>
      <c r="M3806" t="s">
        <v>637</v>
      </c>
      <c r="N3806" t="s">
        <v>86</v>
      </c>
      <c r="O3806" s="6" t="s">
        <v>401</v>
      </c>
      <c r="P3806" t="s">
        <v>494</v>
      </c>
      <c r="Q3806">
        <v>1</v>
      </c>
      <c r="R3806" t="s">
        <v>213</v>
      </c>
      <c r="S3806" s="2" t="s">
        <v>7</v>
      </c>
      <c r="T3806">
        <v>4</v>
      </c>
      <c r="U3806" t="s">
        <v>28</v>
      </c>
      <c r="V3806" t="s">
        <v>28</v>
      </c>
      <c r="W3806">
        <v>10</v>
      </c>
      <c r="X3806">
        <v>8.23</v>
      </c>
      <c r="Y3806">
        <f>8.85-X3806</f>
        <v>0.61999999999999922</v>
      </c>
      <c r="AA3806" s="6"/>
      <c r="AB3806" s="6"/>
    </row>
    <row r="3807" spans="1:28" x14ac:dyDescent="0.2">
      <c r="A3807" t="s">
        <v>482</v>
      </c>
      <c r="B3807">
        <v>2010</v>
      </c>
      <c r="C3807" t="s">
        <v>826</v>
      </c>
      <c r="D3807" t="s">
        <v>824</v>
      </c>
      <c r="E3807" t="s">
        <v>114</v>
      </c>
      <c r="F3807" t="s">
        <v>483</v>
      </c>
      <c r="G3807">
        <v>36.869999999999997</v>
      </c>
      <c r="H3807">
        <v>122.42</v>
      </c>
      <c r="I3807" t="s">
        <v>766</v>
      </c>
      <c r="J3807" s="2" t="s">
        <v>14</v>
      </c>
      <c r="K3807" t="s">
        <v>490</v>
      </c>
      <c r="L3807" t="s">
        <v>143</v>
      </c>
      <c r="M3807" t="s">
        <v>637</v>
      </c>
      <c r="N3807" t="s">
        <v>86</v>
      </c>
      <c r="O3807" s="6" t="s">
        <v>401</v>
      </c>
      <c r="P3807" t="s">
        <v>494</v>
      </c>
      <c r="Q3807">
        <v>1</v>
      </c>
      <c r="R3807" t="s">
        <v>213</v>
      </c>
      <c r="S3807" s="2" t="s">
        <v>9</v>
      </c>
      <c r="T3807">
        <v>4</v>
      </c>
      <c r="U3807" t="s">
        <v>28</v>
      </c>
      <c r="V3807" t="s">
        <v>28</v>
      </c>
      <c r="W3807">
        <v>21</v>
      </c>
      <c r="X3807">
        <v>11.17</v>
      </c>
      <c r="Y3807">
        <f>11.74-X3807</f>
        <v>0.57000000000000028</v>
      </c>
      <c r="AA3807" s="6"/>
      <c r="AB3807" s="6"/>
    </row>
    <row r="3808" spans="1:28" x14ac:dyDescent="0.2">
      <c r="A3808" t="s">
        <v>482</v>
      </c>
      <c r="B3808">
        <v>2010</v>
      </c>
      <c r="C3808" t="s">
        <v>826</v>
      </c>
      <c r="D3808" t="s">
        <v>824</v>
      </c>
      <c r="E3808" t="s">
        <v>114</v>
      </c>
      <c r="F3808" t="s">
        <v>483</v>
      </c>
      <c r="G3808">
        <v>36.869999999999997</v>
      </c>
      <c r="H3808">
        <v>122.42</v>
      </c>
      <c r="I3808" t="s">
        <v>766</v>
      </c>
      <c r="J3808" s="2" t="s">
        <v>14</v>
      </c>
      <c r="K3808" t="s">
        <v>490</v>
      </c>
      <c r="L3808" t="s">
        <v>143</v>
      </c>
      <c r="M3808" t="s">
        <v>637</v>
      </c>
      <c r="N3808" t="s">
        <v>86</v>
      </c>
      <c r="O3808" s="6" t="s">
        <v>401</v>
      </c>
      <c r="P3808" t="s">
        <v>494</v>
      </c>
      <c r="Q3808">
        <v>1</v>
      </c>
      <c r="R3808" t="s">
        <v>213</v>
      </c>
      <c r="S3808" s="2" t="s">
        <v>27</v>
      </c>
      <c r="T3808">
        <v>4</v>
      </c>
      <c r="U3808" t="s">
        <v>28</v>
      </c>
      <c r="V3808" t="s">
        <v>28</v>
      </c>
      <c r="W3808">
        <v>23</v>
      </c>
      <c r="X3808">
        <v>10.49</v>
      </c>
      <c r="Y3808">
        <f>12.39-X3808</f>
        <v>1.9000000000000004</v>
      </c>
      <c r="AA3808" s="6"/>
      <c r="AB3808" s="6"/>
    </row>
    <row r="3809" spans="1:28" x14ac:dyDescent="0.2">
      <c r="A3809" t="s">
        <v>482</v>
      </c>
      <c r="B3809">
        <v>2010</v>
      </c>
      <c r="C3809" t="s">
        <v>826</v>
      </c>
      <c r="D3809" t="s">
        <v>824</v>
      </c>
      <c r="E3809" t="s">
        <v>114</v>
      </c>
      <c r="F3809" t="s">
        <v>484</v>
      </c>
      <c r="G3809">
        <v>37.24</v>
      </c>
      <c r="H3809">
        <v>122.58</v>
      </c>
      <c r="I3809" t="s">
        <v>766</v>
      </c>
      <c r="J3809" s="2" t="s">
        <v>7</v>
      </c>
      <c r="K3809" t="s">
        <v>490</v>
      </c>
      <c r="L3809" t="s">
        <v>143</v>
      </c>
      <c r="M3809" t="s">
        <v>637</v>
      </c>
      <c r="N3809" t="s">
        <v>86</v>
      </c>
      <c r="O3809" s="6" t="s">
        <v>401</v>
      </c>
      <c r="P3809" t="s">
        <v>494</v>
      </c>
      <c r="Q3809">
        <v>1</v>
      </c>
      <c r="R3809" t="s">
        <v>213</v>
      </c>
      <c r="S3809" s="2" t="s">
        <v>7</v>
      </c>
      <c r="T3809">
        <v>4</v>
      </c>
      <c r="U3809" t="s">
        <v>28</v>
      </c>
      <c r="V3809" t="s">
        <v>28</v>
      </c>
      <c r="W3809">
        <v>10</v>
      </c>
      <c r="X3809">
        <v>8.23</v>
      </c>
      <c r="Y3809">
        <f>8.53-X3809</f>
        <v>0.29999999999999893</v>
      </c>
      <c r="AA3809" s="6"/>
      <c r="AB3809" s="6"/>
    </row>
    <row r="3810" spans="1:28" x14ac:dyDescent="0.2">
      <c r="A3810" t="s">
        <v>482</v>
      </c>
      <c r="B3810">
        <v>2010</v>
      </c>
      <c r="C3810" t="s">
        <v>826</v>
      </c>
      <c r="D3810" t="s">
        <v>824</v>
      </c>
      <c r="E3810" t="s">
        <v>114</v>
      </c>
      <c r="F3810" t="s">
        <v>484</v>
      </c>
      <c r="G3810">
        <v>37.24</v>
      </c>
      <c r="H3810">
        <v>122.58</v>
      </c>
      <c r="I3810" t="s">
        <v>766</v>
      </c>
      <c r="J3810" s="2" t="s">
        <v>14</v>
      </c>
      <c r="K3810" t="s">
        <v>490</v>
      </c>
      <c r="L3810" t="s">
        <v>143</v>
      </c>
      <c r="M3810" t="s">
        <v>637</v>
      </c>
      <c r="N3810" t="s">
        <v>86</v>
      </c>
      <c r="O3810" s="6" t="s">
        <v>401</v>
      </c>
      <c r="P3810" t="s">
        <v>494</v>
      </c>
      <c r="Q3810">
        <v>1</v>
      </c>
      <c r="R3810" t="s">
        <v>213</v>
      </c>
      <c r="S3810" s="2" t="s">
        <v>9</v>
      </c>
      <c r="T3810">
        <v>4</v>
      </c>
      <c r="U3810" t="s">
        <v>28</v>
      </c>
      <c r="V3810" t="s">
        <v>28</v>
      </c>
      <c r="W3810">
        <v>21</v>
      </c>
      <c r="X3810">
        <v>10.75</v>
      </c>
      <c r="Y3810">
        <f>11.4-X3810</f>
        <v>0.65000000000000036</v>
      </c>
      <c r="AA3810" s="6"/>
      <c r="AB3810" s="6"/>
    </row>
    <row r="3811" spans="1:28" x14ac:dyDescent="0.2">
      <c r="A3811" t="s">
        <v>482</v>
      </c>
      <c r="B3811">
        <v>2010</v>
      </c>
      <c r="C3811" t="s">
        <v>826</v>
      </c>
      <c r="D3811" t="s">
        <v>824</v>
      </c>
      <c r="E3811" t="s">
        <v>114</v>
      </c>
      <c r="F3811" t="s">
        <v>484</v>
      </c>
      <c r="G3811">
        <v>37.24</v>
      </c>
      <c r="H3811">
        <v>122.58</v>
      </c>
      <c r="I3811" t="s">
        <v>766</v>
      </c>
      <c r="J3811" s="2" t="s">
        <v>14</v>
      </c>
      <c r="K3811" t="s">
        <v>490</v>
      </c>
      <c r="L3811" t="s">
        <v>143</v>
      </c>
      <c r="M3811" t="s">
        <v>637</v>
      </c>
      <c r="N3811" t="s">
        <v>86</v>
      </c>
      <c r="O3811" s="6" t="s">
        <v>401</v>
      </c>
      <c r="P3811" t="s">
        <v>494</v>
      </c>
      <c r="Q3811">
        <v>1</v>
      </c>
      <c r="R3811" t="s">
        <v>213</v>
      </c>
      <c r="S3811" s="2" t="s">
        <v>27</v>
      </c>
      <c r="T3811">
        <v>4</v>
      </c>
      <c r="U3811" t="s">
        <v>28</v>
      </c>
      <c r="V3811" t="s">
        <v>28</v>
      </c>
      <c r="W3811">
        <v>23</v>
      </c>
      <c r="X3811">
        <v>10.55</v>
      </c>
      <c r="Y3811">
        <f>12.13-X3811</f>
        <v>1.58</v>
      </c>
      <c r="AA3811" s="6"/>
      <c r="AB3811" s="6"/>
    </row>
    <row r="3812" spans="1:28" x14ac:dyDescent="0.2">
      <c r="A3812" t="s">
        <v>482</v>
      </c>
      <c r="B3812">
        <v>2010</v>
      </c>
      <c r="C3812" t="s">
        <v>826</v>
      </c>
      <c r="D3812" t="s">
        <v>824</v>
      </c>
      <c r="E3812" t="s">
        <v>114</v>
      </c>
      <c r="F3812" t="s">
        <v>485</v>
      </c>
      <c r="G3812">
        <v>37.478665999999997</v>
      </c>
      <c r="H3812">
        <v>121.949291</v>
      </c>
      <c r="I3812" t="s">
        <v>766</v>
      </c>
      <c r="J3812" s="2" t="s">
        <v>7</v>
      </c>
      <c r="K3812" t="s">
        <v>490</v>
      </c>
      <c r="L3812" t="s">
        <v>143</v>
      </c>
      <c r="M3812" t="s">
        <v>637</v>
      </c>
      <c r="N3812" t="s">
        <v>86</v>
      </c>
      <c r="O3812" s="6" t="s">
        <v>401</v>
      </c>
      <c r="P3812" t="s">
        <v>494</v>
      </c>
      <c r="Q3812">
        <v>1</v>
      </c>
      <c r="R3812" t="s">
        <v>213</v>
      </c>
      <c r="S3812" s="2" t="s">
        <v>7</v>
      </c>
      <c r="T3812">
        <v>4</v>
      </c>
      <c r="U3812" t="s">
        <v>28</v>
      </c>
      <c r="V3812" t="s">
        <v>28</v>
      </c>
      <c r="W3812">
        <v>10</v>
      </c>
      <c r="X3812">
        <v>7.3</v>
      </c>
      <c r="Y3812">
        <f>7.94-X3812</f>
        <v>0.64000000000000057</v>
      </c>
      <c r="AA3812" s="6"/>
      <c r="AB3812" s="6"/>
    </row>
    <row r="3813" spans="1:28" x14ac:dyDescent="0.2">
      <c r="A3813" t="s">
        <v>482</v>
      </c>
      <c r="B3813">
        <v>2010</v>
      </c>
      <c r="C3813" t="s">
        <v>826</v>
      </c>
      <c r="D3813" t="s">
        <v>824</v>
      </c>
      <c r="E3813" t="s">
        <v>114</v>
      </c>
      <c r="F3813" t="s">
        <v>485</v>
      </c>
      <c r="G3813">
        <v>37.478665999999997</v>
      </c>
      <c r="H3813">
        <v>121.949291</v>
      </c>
      <c r="I3813" t="s">
        <v>766</v>
      </c>
      <c r="J3813" s="2" t="s">
        <v>14</v>
      </c>
      <c r="K3813" t="s">
        <v>490</v>
      </c>
      <c r="L3813" t="s">
        <v>143</v>
      </c>
      <c r="M3813" t="s">
        <v>637</v>
      </c>
      <c r="N3813" t="s">
        <v>86</v>
      </c>
      <c r="O3813" s="6" t="s">
        <v>401</v>
      </c>
      <c r="P3813" t="s">
        <v>494</v>
      </c>
      <c r="Q3813">
        <v>1</v>
      </c>
      <c r="R3813" t="s">
        <v>213</v>
      </c>
      <c r="S3813" s="2" t="s">
        <v>9</v>
      </c>
      <c r="T3813">
        <v>4</v>
      </c>
      <c r="U3813" t="s">
        <v>28</v>
      </c>
      <c r="V3813" t="s">
        <v>28</v>
      </c>
      <c r="W3813">
        <v>21</v>
      </c>
      <c r="X3813">
        <v>12.65</v>
      </c>
      <c r="Y3813">
        <f>13.67-X3813</f>
        <v>1.0199999999999996</v>
      </c>
      <c r="AA3813" s="6"/>
      <c r="AB3813" s="6"/>
    </row>
    <row r="3814" spans="1:28" x14ac:dyDescent="0.2">
      <c r="A3814" t="s">
        <v>482</v>
      </c>
      <c r="B3814">
        <v>2010</v>
      </c>
      <c r="C3814" t="s">
        <v>826</v>
      </c>
      <c r="D3814" t="s">
        <v>824</v>
      </c>
      <c r="E3814" t="s">
        <v>114</v>
      </c>
      <c r="F3814" t="s">
        <v>485</v>
      </c>
      <c r="G3814">
        <v>37.478665999999997</v>
      </c>
      <c r="H3814">
        <v>121.949291</v>
      </c>
      <c r="I3814" t="s">
        <v>766</v>
      </c>
      <c r="J3814" s="2" t="s">
        <v>14</v>
      </c>
      <c r="K3814" t="s">
        <v>490</v>
      </c>
      <c r="L3814" t="s">
        <v>143</v>
      </c>
      <c r="M3814" t="s">
        <v>637</v>
      </c>
      <c r="N3814" t="s">
        <v>86</v>
      </c>
      <c r="O3814" s="6" t="s">
        <v>401</v>
      </c>
      <c r="P3814" t="s">
        <v>494</v>
      </c>
      <c r="Q3814">
        <v>1</v>
      </c>
      <c r="R3814" t="s">
        <v>213</v>
      </c>
      <c r="S3814" s="2" t="s">
        <v>27</v>
      </c>
      <c r="T3814">
        <v>4</v>
      </c>
      <c r="U3814" t="s">
        <v>28</v>
      </c>
      <c r="V3814" t="s">
        <v>28</v>
      </c>
      <c r="W3814">
        <v>23</v>
      </c>
      <c r="X3814">
        <v>13.23</v>
      </c>
      <c r="Y3814">
        <f>14.87-X3814</f>
        <v>1.6399999999999988</v>
      </c>
      <c r="AA3814" s="6"/>
      <c r="AB3814" s="6"/>
    </row>
    <row r="3815" spans="1:28" x14ac:dyDescent="0.2">
      <c r="A3815" t="s">
        <v>482</v>
      </c>
      <c r="B3815">
        <v>2010</v>
      </c>
      <c r="C3815" t="s">
        <v>826</v>
      </c>
      <c r="D3815" t="s">
        <v>824</v>
      </c>
      <c r="E3815" t="s">
        <v>114</v>
      </c>
      <c r="F3815" t="s">
        <v>486</v>
      </c>
      <c r="G3815">
        <v>37.212491</v>
      </c>
      <c r="H3815">
        <v>122.63297900000001</v>
      </c>
      <c r="I3815" t="s">
        <v>766</v>
      </c>
      <c r="J3815" s="2" t="s">
        <v>7</v>
      </c>
      <c r="K3815" t="s">
        <v>490</v>
      </c>
      <c r="L3815" t="s">
        <v>143</v>
      </c>
      <c r="M3815" t="s">
        <v>637</v>
      </c>
      <c r="N3815" t="s">
        <v>86</v>
      </c>
      <c r="O3815" s="6" t="s">
        <v>401</v>
      </c>
      <c r="P3815" t="s">
        <v>494</v>
      </c>
      <c r="Q3815">
        <v>1</v>
      </c>
      <c r="R3815" t="s">
        <v>213</v>
      </c>
      <c r="S3815" s="2" t="s">
        <v>7</v>
      </c>
      <c r="T3815">
        <v>4</v>
      </c>
      <c r="U3815" t="s">
        <v>28</v>
      </c>
      <c r="V3815" t="s">
        <v>28</v>
      </c>
      <c r="W3815">
        <v>10</v>
      </c>
      <c r="X3815">
        <v>8</v>
      </c>
      <c r="Y3815">
        <f>8.33-X3815</f>
        <v>0.33000000000000007</v>
      </c>
      <c r="AA3815" s="6"/>
      <c r="AB3815" s="6"/>
    </row>
    <row r="3816" spans="1:28" x14ac:dyDescent="0.2">
      <c r="A3816" t="s">
        <v>482</v>
      </c>
      <c r="B3816">
        <v>2010</v>
      </c>
      <c r="C3816" t="s">
        <v>826</v>
      </c>
      <c r="D3816" t="s">
        <v>824</v>
      </c>
      <c r="E3816" t="s">
        <v>114</v>
      </c>
      <c r="F3816" t="s">
        <v>486</v>
      </c>
      <c r="G3816">
        <v>37.212491</v>
      </c>
      <c r="H3816">
        <v>122.63297900000001</v>
      </c>
      <c r="I3816" t="s">
        <v>766</v>
      </c>
      <c r="J3816" s="2" t="s">
        <v>14</v>
      </c>
      <c r="K3816" t="s">
        <v>490</v>
      </c>
      <c r="L3816" t="s">
        <v>143</v>
      </c>
      <c r="M3816" t="s">
        <v>637</v>
      </c>
      <c r="N3816" t="s">
        <v>86</v>
      </c>
      <c r="O3816" s="6" t="s">
        <v>401</v>
      </c>
      <c r="P3816" t="s">
        <v>494</v>
      </c>
      <c r="Q3816">
        <v>1</v>
      </c>
      <c r="R3816" t="s">
        <v>213</v>
      </c>
      <c r="S3816" s="2" t="s">
        <v>9</v>
      </c>
      <c r="T3816">
        <v>4</v>
      </c>
      <c r="U3816" t="s">
        <v>28</v>
      </c>
      <c r="V3816" t="s">
        <v>28</v>
      </c>
      <c r="W3816">
        <v>21</v>
      </c>
      <c r="X3816">
        <v>11.1</v>
      </c>
      <c r="Y3816">
        <f>12.19-X3816</f>
        <v>1.0899999999999999</v>
      </c>
      <c r="AA3816" s="6"/>
      <c r="AB3816" s="6"/>
    </row>
    <row r="3817" spans="1:28" x14ac:dyDescent="0.2">
      <c r="A3817" t="s">
        <v>482</v>
      </c>
      <c r="B3817">
        <v>2010</v>
      </c>
      <c r="C3817" t="s">
        <v>826</v>
      </c>
      <c r="D3817" t="s">
        <v>824</v>
      </c>
      <c r="E3817" t="s">
        <v>114</v>
      </c>
      <c r="F3817" t="s">
        <v>486</v>
      </c>
      <c r="G3817">
        <v>37.212491</v>
      </c>
      <c r="H3817">
        <v>122.63297900000001</v>
      </c>
      <c r="I3817" t="s">
        <v>766</v>
      </c>
      <c r="J3817" s="2" t="s">
        <v>14</v>
      </c>
      <c r="K3817" t="s">
        <v>490</v>
      </c>
      <c r="L3817" t="s">
        <v>143</v>
      </c>
      <c r="M3817" t="s">
        <v>637</v>
      </c>
      <c r="N3817" t="s">
        <v>86</v>
      </c>
      <c r="O3817" s="6" t="s">
        <v>401</v>
      </c>
      <c r="P3817" t="s">
        <v>494</v>
      </c>
      <c r="Q3817">
        <v>1</v>
      </c>
      <c r="R3817" t="s">
        <v>213</v>
      </c>
      <c r="S3817" s="2" t="s">
        <v>27</v>
      </c>
      <c r="T3817">
        <v>4</v>
      </c>
      <c r="U3817" t="s">
        <v>28</v>
      </c>
      <c r="V3817" t="s">
        <v>28</v>
      </c>
      <c r="W3817">
        <v>23</v>
      </c>
      <c r="X3817">
        <v>13.3</v>
      </c>
      <c r="Y3817">
        <f>14.14-X3817</f>
        <v>0.83999999999999986</v>
      </c>
      <c r="AA3817" s="6"/>
      <c r="AB3817" s="6"/>
    </row>
    <row r="3818" spans="1:28" x14ac:dyDescent="0.2">
      <c r="A3818" t="s">
        <v>482</v>
      </c>
      <c r="B3818">
        <v>2010</v>
      </c>
      <c r="C3818" t="s">
        <v>826</v>
      </c>
      <c r="D3818" t="s">
        <v>824</v>
      </c>
      <c r="E3818" t="s">
        <v>114</v>
      </c>
      <c r="F3818" t="s">
        <v>487</v>
      </c>
      <c r="G3818">
        <v>37.094527999999997</v>
      </c>
      <c r="H3818">
        <v>122.58033500000001</v>
      </c>
      <c r="I3818" t="s">
        <v>766</v>
      </c>
      <c r="J3818" s="2" t="s">
        <v>7</v>
      </c>
      <c r="K3818" t="s">
        <v>490</v>
      </c>
      <c r="L3818" t="s">
        <v>143</v>
      </c>
      <c r="M3818" t="s">
        <v>637</v>
      </c>
      <c r="N3818" t="s">
        <v>86</v>
      </c>
      <c r="O3818" s="6" t="s">
        <v>401</v>
      </c>
      <c r="P3818" t="s">
        <v>494</v>
      </c>
      <c r="Q3818">
        <v>1</v>
      </c>
      <c r="R3818" t="s">
        <v>213</v>
      </c>
      <c r="S3818" s="2" t="s">
        <v>7</v>
      </c>
      <c r="T3818">
        <v>4</v>
      </c>
      <c r="U3818" t="s">
        <v>28</v>
      </c>
      <c r="V3818" t="s">
        <v>28</v>
      </c>
      <c r="W3818">
        <v>10</v>
      </c>
      <c r="X3818">
        <v>7.02</v>
      </c>
      <c r="Y3818">
        <f>7.45-X3818</f>
        <v>0.4300000000000006</v>
      </c>
      <c r="AA3818" s="6"/>
      <c r="AB3818" s="6"/>
    </row>
    <row r="3819" spans="1:28" x14ac:dyDescent="0.2">
      <c r="A3819" t="s">
        <v>482</v>
      </c>
      <c r="B3819">
        <v>2010</v>
      </c>
      <c r="C3819" t="s">
        <v>826</v>
      </c>
      <c r="D3819" t="s">
        <v>824</v>
      </c>
      <c r="E3819" t="s">
        <v>114</v>
      </c>
      <c r="F3819" t="s">
        <v>487</v>
      </c>
      <c r="G3819">
        <v>37.094527999999997</v>
      </c>
      <c r="H3819">
        <v>122.58033500000001</v>
      </c>
      <c r="I3819" t="s">
        <v>766</v>
      </c>
      <c r="J3819" s="2" t="s">
        <v>14</v>
      </c>
      <c r="K3819" t="s">
        <v>490</v>
      </c>
      <c r="L3819" t="s">
        <v>143</v>
      </c>
      <c r="M3819" t="s">
        <v>637</v>
      </c>
      <c r="N3819" t="s">
        <v>86</v>
      </c>
      <c r="O3819" s="6" t="s">
        <v>401</v>
      </c>
      <c r="P3819" t="s">
        <v>494</v>
      </c>
      <c r="Q3819">
        <v>1</v>
      </c>
      <c r="R3819" t="s">
        <v>213</v>
      </c>
      <c r="S3819" s="2" t="s">
        <v>9</v>
      </c>
      <c r="T3819">
        <v>4</v>
      </c>
      <c r="U3819" t="s">
        <v>28</v>
      </c>
      <c r="V3819" t="s">
        <v>28</v>
      </c>
      <c r="W3819">
        <v>21</v>
      </c>
      <c r="X3819">
        <v>9.11</v>
      </c>
      <c r="Y3819">
        <f>10.26-X3819</f>
        <v>1.1500000000000004</v>
      </c>
      <c r="AA3819" s="6"/>
      <c r="AB3819" s="6"/>
    </row>
    <row r="3820" spans="1:28" x14ac:dyDescent="0.2">
      <c r="A3820" t="s">
        <v>482</v>
      </c>
      <c r="B3820">
        <v>2010</v>
      </c>
      <c r="C3820" t="s">
        <v>826</v>
      </c>
      <c r="D3820" t="s">
        <v>824</v>
      </c>
      <c r="E3820" t="s">
        <v>114</v>
      </c>
      <c r="F3820" t="s">
        <v>487</v>
      </c>
      <c r="G3820">
        <v>37.094527999999997</v>
      </c>
      <c r="H3820">
        <v>122.58033500000001</v>
      </c>
      <c r="I3820" t="s">
        <v>766</v>
      </c>
      <c r="J3820" s="2" t="s">
        <v>14</v>
      </c>
      <c r="K3820" t="s">
        <v>490</v>
      </c>
      <c r="L3820" t="s">
        <v>143</v>
      </c>
      <c r="M3820" t="s">
        <v>637</v>
      </c>
      <c r="N3820" t="s">
        <v>86</v>
      </c>
      <c r="O3820" s="6" t="s">
        <v>401</v>
      </c>
      <c r="P3820" t="s">
        <v>494</v>
      </c>
      <c r="Q3820">
        <v>1</v>
      </c>
      <c r="R3820" t="s">
        <v>213</v>
      </c>
      <c r="S3820" s="2" t="s">
        <v>27</v>
      </c>
      <c r="T3820">
        <v>4</v>
      </c>
      <c r="U3820" t="s">
        <v>28</v>
      </c>
      <c r="V3820" t="s">
        <v>28</v>
      </c>
      <c r="W3820">
        <v>23</v>
      </c>
      <c r="X3820">
        <v>9.7799999999999994</v>
      </c>
      <c r="Y3820">
        <f>11.08-X3820</f>
        <v>1.3000000000000007</v>
      </c>
      <c r="AA3820" s="6"/>
      <c r="AB3820" s="6"/>
    </row>
    <row r="3821" spans="1:28" x14ac:dyDescent="0.2">
      <c r="A3821" t="s">
        <v>482</v>
      </c>
      <c r="B3821">
        <v>2010</v>
      </c>
      <c r="C3821" t="s">
        <v>826</v>
      </c>
      <c r="D3821" t="s">
        <v>824</v>
      </c>
      <c r="E3821" t="s">
        <v>114</v>
      </c>
      <c r="F3821" t="s">
        <v>488</v>
      </c>
      <c r="G3821">
        <v>37.482649000000002</v>
      </c>
      <c r="H3821">
        <v>121.931369</v>
      </c>
      <c r="I3821" t="s">
        <v>764</v>
      </c>
      <c r="J3821" s="2" t="s">
        <v>7</v>
      </c>
      <c r="K3821" t="s">
        <v>490</v>
      </c>
      <c r="L3821" t="s">
        <v>143</v>
      </c>
      <c r="M3821" t="s">
        <v>637</v>
      </c>
      <c r="N3821" t="s">
        <v>86</v>
      </c>
      <c r="O3821" s="6" t="s">
        <v>401</v>
      </c>
      <c r="P3821" t="s">
        <v>494</v>
      </c>
      <c r="Q3821">
        <v>1</v>
      </c>
      <c r="R3821" t="s">
        <v>213</v>
      </c>
      <c r="S3821" s="2" t="s">
        <v>7</v>
      </c>
      <c r="T3821">
        <v>4</v>
      </c>
      <c r="U3821" t="s">
        <v>28</v>
      </c>
      <c r="V3821" t="s">
        <v>28</v>
      </c>
      <c r="W3821">
        <v>10</v>
      </c>
      <c r="X3821">
        <v>7.82</v>
      </c>
      <c r="Y3821">
        <f>8.67-X3821</f>
        <v>0.84999999999999964</v>
      </c>
      <c r="AA3821" s="6"/>
      <c r="AB3821" s="6"/>
    </row>
    <row r="3822" spans="1:28" x14ac:dyDescent="0.2">
      <c r="A3822" t="s">
        <v>482</v>
      </c>
      <c r="B3822">
        <v>2010</v>
      </c>
      <c r="C3822" t="s">
        <v>826</v>
      </c>
      <c r="D3822" t="s">
        <v>824</v>
      </c>
      <c r="E3822" t="s">
        <v>114</v>
      </c>
      <c r="F3822" t="s">
        <v>488</v>
      </c>
      <c r="G3822">
        <v>37.482649000000002</v>
      </c>
      <c r="H3822">
        <v>121.931369</v>
      </c>
      <c r="I3822" t="s">
        <v>764</v>
      </c>
      <c r="J3822" s="2" t="s">
        <v>14</v>
      </c>
      <c r="K3822" t="s">
        <v>490</v>
      </c>
      <c r="L3822" t="s">
        <v>143</v>
      </c>
      <c r="M3822" t="s">
        <v>637</v>
      </c>
      <c r="N3822" t="s">
        <v>86</v>
      </c>
      <c r="O3822" s="6" t="s">
        <v>401</v>
      </c>
      <c r="P3822" t="s">
        <v>494</v>
      </c>
      <c r="Q3822">
        <v>1</v>
      </c>
      <c r="R3822" t="s">
        <v>213</v>
      </c>
      <c r="S3822" s="2" t="s">
        <v>9</v>
      </c>
      <c r="T3822">
        <v>4</v>
      </c>
      <c r="U3822" t="s">
        <v>28</v>
      </c>
      <c r="V3822" t="s">
        <v>28</v>
      </c>
      <c r="W3822">
        <v>21</v>
      </c>
      <c r="X3822">
        <v>9.31</v>
      </c>
      <c r="Y3822">
        <f>9.93-X3822</f>
        <v>0.61999999999999922</v>
      </c>
      <c r="AA3822" s="6"/>
      <c r="AB3822" s="6"/>
    </row>
    <row r="3823" spans="1:28" x14ac:dyDescent="0.2">
      <c r="A3823" t="s">
        <v>482</v>
      </c>
      <c r="B3823">
        <v>2010</v>
      </c>
      <c r="C3823" t="s">
        <v>826</v>
      </c>
      <c r="D3823" t="s">
        <v>824</v>
      </c>
      <c r="E3823" t="s">
        <v>114</v>
      </c>
      <c r="F3823" t="s">
        <v>488</v>
      </c>
      <c r="G3823">
        <v>37.482649000000002</v>
      </c>
      <c r="H3823">
        <v>121.931369</v>
      </c>
      <c r="I3823" t="s">
        <v>764</v>
      </c>
      <c r="J3823" s="2" t="s">
        <v>14</v>
      </c>
      <c r="K3823" t="s">
        <v>490</v>
      </c>
      <c r="L3823" t="s">
        <v>143</v>
      </c>
      <c r="M3823" t="s">
        <v>637</v>
      </c>
      <c r="N3823" t="s">
        <v>86</v>
      </c>
      <c r="O3823" s="6" t="s">
        <v>401</v>
      </c>
      <c r="P3823" t="s">
        <v>494</v>
      </c>
      <c r="Q3823">
        <v>1</v>
      </c>
      <c r="R3823" t="s">
        <v>213</v>
      </c>
      <c r="S3823" s="2" t="s">
        <v>27</v>
      </c>
      <c r="T3823">
        <v>4</v>
      </c>
      <c r="U3823" t="s">
        <v>28</v>
      </c>
      <c r="V3823" t="s">
        <v>28</v>
      </c>
      <c r="W3823">
        <v>23</v>
      </c>
      <c r="X3823">
        <v>9.5500000000000007</v>
      </c>
      <c r="Y3823">
        <f>10.93-X3823</f>
        <v>1.379999999999999</v>
      </c>
      <c r="AA3823" s="6"/>
      <c r="AB3823" s="6"/>
    </row>
    <row r="3824" spans="1:28" x14ac:dyDescent="0.2">
      <c r="A3824" t="s">
        <v>482</v>
      </c>
      <c r="B3824">
        <v>2010</v>
      </c>
      <c r="C3824" t="s">
        <v>826</v>
      </c>
      <c r="D3824" t="s">
        <v>824</v>
      </c>
      <c r="E3824" t="s">
        <v>114</v>
      </c>
      <c r="F3824" t="s">
        <v>489</v>
      </c>
      <c r="G3824">
        <v>36.033332000000001</v>
      </c>
      <c r="H3824">
        <v>120.380697</v>
      </c>
      <c r="I3824" t="s">
        <v>764</v>
      </c>
      <c r="J3824" s="2" t="s">
        <v>7</v>
      </c>
      <c r="K3824" t="s">
        <v>490</v>
      </c>
      <c r="L3824" t="s">
        <v>143</v>
      </c>
      <c r="M3824" t="s">
        <v>637</v>
      </c>
      <c r="N3824" t="s">
        <v>86</v>
      </c>
      <c r="O3824" s="6" t="s">
        <v>401</v>
      </c>
      <c r="P3824" t="s">
        <v>494</v>
      </c>
      <c r="Q3824">
        <v>1</v>
      </c>
      <c r="R3824" t="s">
        <v>213</v>
      </c>
      <c r="S3824" s="2" t="s">
        <v>7</v>
      </c>
      <c r="T3824">
        <v>4</v>
      </c>
      <c r="U3824" t="s">
        <v>28</v>
      </c>
      <c r="V3824" t="s">
        <v>28</v>
      </c>
      <c r="W3824">
        <v>10</v>
      </c>
      <c r="X3824">
        <v>6.89</v>
      </c>
      <c r="Y3824">
        <f>7.45-X3824</f>
        <v>0.5600000000000005</v>
      </c>
      <c r="AA3824" s="6"/>
      <c r="AB3824" s="6"/>
    </row>
    <row r="3825" spans="1:28" x14ac:dyDescent="0.2">
      <c r="A3825" t="s">
        <v>482</v>
      </c>
      <c r="B3825">
        <v>2010</v>
      </c>
      <c r="C3825" t="s">
        <v>826</v>
      </c>
      <c r="D3825" t="s">
        <v>824</v>
      </c>
      <c r="E3825" t="s">
        <v>114</v>
      </c>
      <c r="F3825" t="s">
        <v>489</v>
      </c>
      <c r="G3825">
        <v>36.033332000000001</v>
      </c>
      <c r="H3825">
        <v>120.380697</v>
      </c>
      <c r="I3825" t="s">
        <v>764</v>
      </c>
      <c r="J3825" s="2" t="s">
        <v>14</v>
      </c>
      <c r="K3825" t="s">
        <v>490</v>
      </c>
      <c r="L3825" t="s">
        <v>143</v>
      </c>
      <c r="M3825" t="s">
        <v>637</v>
      </c>
      <c r="N3825" t="s">
        <v>86</v>
      </c>
      <c r="O3825" s="6" t="s">
        <v>401</v>
      </c>
      <c r="P3825" t="s">
        <v>494</v>
      </c>
      <c r="Q3825">
        <v>1</v>
      </c>
      <c r="R3825" t="s">
        <v>213</v>
      </c>
      <c r="S3825" s="2" t="s">
        <v>9</v>
      </c>
      <c r="T3825">
        <v>4</v>
      </c>
      <c r="U3825" t="s">
        <v>28</v>
      </c>
      <c r="V3825" t="s">
        <v>28</v>
      </c>
      <c r="W3825">
        <v>21</v>
      </c>
      <c r="X3825">
        <v>7.91</v>
      </c>
      <c r="Y3825">
        <f>9.49-X3825</f>
        <v>1.58</v>
      </c>
      <c r="AA3825" s="6"/>
      <c r="AB3825" s="6"/>
    </row>
    <row r="3826" spans="1:28" x14ac:dyDescent="0.2">
      <c r="A3826" t="s">
        <v>482</v>
      </c>
      <c r="B3826">
        <v>2010</v>
      </c>
      <c r="C3826" t="s">
        <v>826</v>
      </c>
      <c r="D3826" t="s">
        <v>824</v>
      </c>
      <c r="E3826" t="s">
        <v>114</v>
      </c>
      <c r="F3826" t="s">
        <v>489</v>
      </c>
      <c r="G3826">
        <v>36.033332000000001</v>
      </c>
      <c r="H3826">
        <v>120.380697</v>
      </c>
      <c r="I3826" t="s">
        <v>764</v>
      </c>
      <c r="J3826" s="2" t="s">
        <v>14</v>
      </c>
      <c r="K3826" t="s">
        <v>490</v>
      </c>
      <c r="L3826" t="s">
        <v>143</v>
      </c>
      <c r="M3826" t="s">
        <v>637</v>
      </c>
      <c r="N3826" t="s">
        <v>86</v>
      </c>
      <c r="O3826" s="6" t="s">
        <v>401</v>
      </c>
      <c r="P3826" t="s">
        <v>494</v>
      </c>
      <c r="Q3826">
        <v>1</v>
      </c>
      <c r="R3826" t="s">
        <v>213</v>
      </c>
      <c r="S3826" s="2" t="s">
        <v>27</v>
      </c>
      <c r="T3826">
        <v>4</v>
      </c>
      <c r="U3826" t="s">
        <v>28</v>
      </c>
      <c r="V3826" t="s">
        <v>28</v>
      </c>
      <c r="W3826">
        <v>23</v>
      </c>
      <c r="X3826">
        <v>8.67</v>
      </c>
      <c r="Y3826">
        <f>9.08-X3826</f>
        <v>0.41000000000000014</v>
      </c>
      <c r="AA3826" s="6"/>
      <c r="AB3826" s="6"/>
    </row>
    <row r="3827" spans="1:28" x14ac:dyDescent="0.2">
      <c r="A3827" t="s">
        <v>482</v>
      </c>
      <c r="B3827">
        <v>2010</v>
      </c>
      <c r="C3827" t="s">
        <v>826</v>
      </c>
      <c r="D3827" t="s">
        <v>824</v>
      </c>
      <c r="E3827" t="s">
        <v>114</v>
      </c>
      <c r="F3827" t="s">
        <v>483</v>
      </c>
      <c r="G3827">
        <v>36.869999999999997</v>
      </c>
      <c r="H3827">
        <v>122.42</v>
      </c>
      <c r="I3827" t="s">
        <v>766</v>
      </c>
      <c r="J3827" s="2" t="s">
        <v>7</v>
      </c>
      <c r="K3827" t="s">
        <v>490</v>
      </c>
      <c r="L3827" t="s">
        <v>143</v>
      </c>
      <c r="M3827" t="s">
        <v>637</v>
      </c>
      <c r="N3827" t="s">
        <v>86</v>
      </c>
      <c r="O3827" s="6" t="s">
        <v>495</v>
      </c>
      <c r="P3827" t="s">
        <v>496</v>
      </c>
      <c r="Q3827">
        <v>1</v>
      </c>
      <c r="R3827" t="s">
        <v>213</v>
      </c>
      <c r="S3827" s="2" t="s">
        <v>7</v>
      </c>
      <c r="T3827">
        <v>4</v>
      </c>
      <c r="U3827" t="s">
        <v>28</v>
      </c>
      <c r="V3827" t="s">
        <v>28</v>
      </c>
      <c r="W3827">
        <v>10</v>
      </c>
      <c r="X3827">
        <v>146.80000000000001</v>
      </c>
      <c r="Y3827">
        <f>154.4-X3827</f>
        <v>7.5999999999999943</v>
      </c>
      <c r="AA3827" s="6"/>
      <c r="AB3827" s="6"/>
    </row>
    <row r="3828" spans="1:28" x14ac:dyDescent="0.2">
      <c r="A3828" t="s">
        <v>482</v>
      </c>
      <c r="B3828">
        <v>2010</v>
      </c>
      <c r="C3828" t="s">
        <v>826</v>
      </c>
      <c r="D3828" t="s">
        <v>824</v>
      </c>
      <c r="E3828" t="s">
        <v>114</v>
      </c>
      <c r="F3828" t="s">
        <v>483</v>
      </c>
      <c r="G3828">
        <v>36.869999999999997</v>
      </c>
      <c r="H3828">
        <v>122.42</v>
      </c>
      <c r="I3828" t="s">
        <v>766</v>
      </c>
      <c r="J3828" s="2" t="s">
        <v>14</v>
      </c>
      <c r="K3828" t="s">
        <v>490</v>
      </c>
      <c r="L3828" t="s">
        <v>143</v>
      </c>
      <c r="M3828" t="s">
        <v>637</v>
      </c>
      <c r="N3828" t="s">
        <v>86</v>
      </c>
      <c r="O3828" s="6" t="s">
        <v>495</v>
      </c>
      <c r="P3828" t="s">
        <v>496</v>
      </c>
      <c r="Q3828">
        <v>1</v>
      </c>
      <c r="R3828" t="s">
        <v>213</v>
      </c>
      <c r="S3828" s="2" t="s">
        <v>9</v>
      </c>
      <c r="T3828">
        <v>4</v>
      </c>
      <c r="U3828" t="s">
        <v>28</v>
      </c>
      <c r="V3828" t="s">
        <v>28</v>
      </c>
      <c r="W3828">
        <v>21</v>
      </c>
      <c r="X3828">
        <v>162.6</v>
      </c>
      <c r="Y3828">
        <f>172-X3828</f>
        <v>9.4000000000000057</v>
      </c>
      <c r="AA3828" s="6"/>
      <c r="AB3828" s="6"/>
    </row>
    <row r="3829" spans="1:28" x14ac:dyDescent="0.2">
      <c r="A3829" t="s">
        <v>482</v>
      </c>
      <c r="B3829">
        <v>2010</v>
      </c>
      <c r="C3829" t="s">
        <v>826</v>
      </c>
      <c r="D3829" t="s">
        <v>824</v>
      </c>
      <c r="E3829" t="s">
        <v>114</v>
      </c>
      <c r="F3829" t="s">
        <v>483</v>
      </c>
      <c r="G3829">
        <v>36.869999999999997</v>
      </c>
      <c r="H3829">
        <v>122.42</v>
      </c>
      <c r="I3829" t="s">
        <v>766</v>
      </c>
      <c r="J3829" s="2" t="s">
        <v>14</v>
      </c>
      <c r="K3829" t="s">
        <v>490</v>
      </c>
      <c r="L3829" t="s">
        <v>143</v>
      </c>
      <c r="M3829" t="s">
        <v>637</v>
      </c>
      <c r="N3829" t="s">
        <v>86</v>
      </c>
      <c r="O3829" s="6" t="s">
        <v>495</v>
      </c>
      <c r="P3829" t="s">
        <v>496</v>
      </c>
      <c r="Q3829">
        <v>1</v>
      </c>
      <c r="R3829" t="s">
        <v>213</v>
      </c>
      <c r="S3829" s="2" t="s">
        <v>27</v>
      </c>
      <c r="T3829">
        <v>4</v>
      </c>
      <c r="U3829" t="s">
        <v>28</v>
      </c>
      <c r="V3829" t="s">
        <v>28</v>
      </c>
      <c r="W3829">
        <v>23</v>
      </c>
      <c r="X3829">
        <v>162.4</v>
      </c>
      <c r="Y3829">
        <f>168.7-X3829</f>
        <v>6.2999999999999829</v>
      </c>
      <c r="AA3829" s="6"/>
      <c r="AB3829" s="6"/>
    </row>
    <row r="3830" spans="1:28" x14ac:dyDescent="0.2">
      <c r="A3830" t="s">
        <v>482</v>
      </c>
      <c r="B3830">
        <v>2010</v>
      </c>
      <c r="C3830" t="s">
        <v>826</v>
      </c>
      <c r="D3830" t="s">
        <v>824</v>
      </c>
      <c r="E3830" t="s">
        <v>114</v>
      </c>
      <c r="F3830" t="s">
        <v>484</v>
      </c>
      <c r="G3830">
        <v>37.24</v>
      </c>
      <c r="H3830">
        <v>122.58</v>
      </c>
      <c r="I3830" t="s">
        <v>766</v>
      </c>
      <c r="J3830" s="2" t="s">
        <v>7</v>
      </c>
      <c r="K3830" t="s">
        <v>490</v>
      </c>
      <c r="L3830" t="s">
        <v>143</v>
      </c>
      <c r="M3830" t="s">
        <v>637</v>
      </c>
      <c r="N3830" t="s">
        <v>86</v>
      </c>
      <c r="O3830" s="6" t="s">
        <v>495</v>
      </c>
      <c r="P3830" t="s">
        <v>496</v>
      </c>
      <c r="Q3830">
        <v>1</v>
      </c>
      <c r="R3830" t="s">
        <v>213</v>
      </c>
      <c r="S3830" s="2" t="s">
        <v>7</v>
      </c>
      <c r="T3830">
        <v>4</v>
      </c>
      <c r="U3830" t="s">
        <v>28</v>
      </c>
      <c r="V3830" t="s">
        <v>28</v>
      </c>
      <c r="W3830">
        <v>10</v>
      </c>
      <c r="X3830">
        <v>151.80000000000001</v>
      </c>
      <c r="Y3830">
        <f>158.7-X3830</f>
        <v>6.8999999999999773</v>
      </c>
      <c r="AA3830" s="6"/>
      <c r="AB3830" s="6"/>
    </row>
    <row r="3831" spans="1:28" x14ac:dyDescent="0.2">
      <c r="A3831" t="s">
        <v>482</v>
      </c>
      <c r="B3831">
        <v>2010</v>
      </c>
      <c r="C3831" t="s">
        <v>826</v>
      </c>
      <c r="D3831" t="s">
        <v>824</v>
      </c>
      <c r="E3831" t="s">
        <v>114</v>
      </c>
      <c r="F3831" t="s">
        <v>484</v>
      </c>
      <c r="G3831">
        <v>37.24</v>
      </c>
      <c r="H3831">
        <v>122.58</v>
      </c>
      <c r="I3831" t="s">
        <v>766</v>
      </c>
      <c r="J3831" s="2" t="s">
        <v>14</v>
      </c>
      <c r="K3831" t="s">
        <v>490</v>
      </c>
      <c r="L3831" t="s">
        <v>143</v>
      </c>
      <c r="M3831" t="s">
        <v>637</v>
      </c>
      <c r="N3831" t="s">
        <v>86</v>
      </c>
      <c r="O3831" s="6" t="s">
        <v>495</v>
      </c>
      <c r="P3831" t="s">
        <v>496</v>
      </c>
      <c r="Q3831">
        <v>1</v>
      </c>
      <c r="R3831" t="s">
        <v>213</v>
      </c>
      <c r="S3831" s="2" t="s">
        <v>9</v>
      </c>
      <c r="T3831">
        <v>4</v>
      </c>
      <c r="U3831" t="s">
        <v>28</v>
      </c>
      <c r="V3831" t="s">
        <v>28</v>
      </c>
      <c r="W3831">
        <v>21</v>
      </c>
      <c r="X3831">
        <v>181.9</v>
      </c>
      <c r="Y3831">
        <f>188.7-X3831</f>
        <v>6.7999999999999829</v>
      </c>
      <c r="AA3831" s="6"/>
      <c r="AB3831" s="6"/>
    </row>
    <row r="3832" spans="1:28" x14ac:dyDescent="0.2">
      <c r="A3832" t="s">
        <v>482</v>
      </c>
      <c r="B3832">
        <v>2010</v>
      </c>
      <c r="C3832" t="s">
        <v>826</v>
      </c>
      <c r="D3832" t="s">
        <v>824</v>
      </c>
      <c r="E3832" t="s">
        <v>114</v>
      </c>
      <c r="F3832" t="s">
        <v>484</v>
      </c>
      <c r="G3832">
        <v>37.24</v>
      </c>
      <c r="H3832">
        <v>122.58</v>
      </c>
      <c r="I3832" t="s">
        <v>766</v>
      </c>
      <c r="J3832" s="2" t="s">
        <v>14</v>
      </c>
      <c r="K3832" t="s">
        <v>490</v>
      </c>
      <c r="L3832" t="s">
        <v>143</v>
      </c>
      <c r="M3832" t="s">
        <v>637</v>
      </c>
      <c r="N3832" t="s">
        <v>86</v>
      </c>
      <c r="O3832" s="6" t="s">
        <v>495</v>
      </c>
      <c r="P3832" t="s">
        <v>496</v>
      </c>
      <c r="Q3832">
        <v>1</v>
      </c>
      <c r="R3832" t="s">
        <v>213</v>
      </c>
      <c r="S3832" s="2" t="s">
        <v>27</v>
      </c>
      <c r="T3832">
        <v>4</v>
      </c>
      <c r="U3832" t="s">
        <v>28</v>
      </c>
      <c r="V3832" t="s">
        <v>28</v>
      </c>
      <c r="W3832">
        <v>23</v>
      </c>
      <c r="X3832">
        <v>171.1</v>
      </c>
      <c r="Y3832">
        <f>186.5-X3832</f>
        <v>15.400000000000006</v>
      </c>
      <c r="AA3832" s="6"/>
      <c r="AB3832" s="6"/>
    </row>
    <row r="3833" spans="1:28" x14ac:dyDescent="0.2">
      <c r="A3833" t="s">
        <v>482</v>
      </c>
      <c r="B3833">
        <v>2010</v>
      </c>
      <c r="C3833" t="s">
        <v>826</v>
      </c>
      <c r="D3833" t="s">
        <v>824</v>
      </c>
      <c r="E3833" t="s">
        <v>114</v>
      </c>
      <c r="F3833" t="s">
        <v>485</v>
      </c>
      <c r="G3833">
        <v>37.478665999999997</v>
      </c>
      <c r="H3833">
        <v>121.949291</v>
      </c>
      <c r="I3833" t="s">
        <v>766</v>
      </c>
      <c r="J3833" s="2" t="s">
        <v>7</v>
      </c>
      <c r="K3833" t="s">
        <v>490</v>
      </c>
      <c r="L3833" t="s">
        <v>143</v>
      </c>
      <c r="M3833" t="s">
        <v>637</v>
      </c>
      <c r="N3833" t="s">
        <v>86</v>
      </c>
      <c r="O3833" s="6" t="s">
        <v>495</v>
      </c>
      <c r="P3833" t="s">
        <v>496</v>
      </c>
      <c r="Q3833">
        <v>1</v>
      </c>
      <c r="R3833" t="s">
        <v>213</v>
      </c>
      <c r="S3833" s="2" t="s">
        <v>7</v>
      </c>
      <c r="T3833">
        <v>4</v>
      </c>
      <c r="U3833" t="s">
        <v>28</v>
      </c>
      <c r="V3833" t="s">
        <v>28</v>
      </c>
      <c r="W3833">
        <v>10</v>
      </c>
      <c r="X3833">
        <v>139.5</v>
      </c>
      <c r="Y3833">
        <f>147.2-X3833</f>
        <v>7.6999999999999886</v>
      </c>
      <c r="AA3833" s="6"/>
      <c r="AB3833" s="6"/>
    </row>
    <row r="3834" spans="1:28" x14ac:dyDescent="0.2">
      <c r="A3834" t="s">
        <v>482</v>
      </c>
      <c r="B3834">
        <v>2010</v>
      </c>
      <c r="C3834" t="s">
        <v>826</v>
      </c>
      <c r="D3834" t="s">
        <v>824</v>
      </c>
      <c r="E3834" t="s">
        <v>114</v>
      </c>
      <c r="F3834" t="s">
        <v>485</v>
      </c>
      <c r="G3834">
        <v>37.478665999999997</v>
      </c>
      <c r="H3834">
        <v>121.949291</v>
      </c>
      <c r="I3834" t="s">
        <v>766</v>
      </c>
      <c r="J3834" s="2" t="s">
        <v>14</v>
      </c>
      <c r="K3834" t="s">
        <v>490</v>
      </c>
      <c r="L3834" t="s">
        <v>143</v>
      </c>
      <c r="M3834" t="s">
        <v>637</v>
      </c>
      <c r="N3834" t="s">
        <v>86</v>
      </c>
      <c r="O3834" s="6" t="s">
        <v>495</v>
      </c>
      <c r="P3834" t="s">
        <v>496</v>
      </c>
      <c r="Q3834">
        <v>1</v>
      </c>
      <c r="R3834" t="s">
        <v>213</v>
      </c>
      <c r="S3834" s="2" t="s">
        <v>9</v>
      </c>
      <c r="T3834">
        <v>4</v>
      </c>
      <c r="U3834" t="s">
        <v>28</v>
      </c>
      <c r="V3834" t="s">
        <v>28</v>
      </c>
      <c r="W3834">
        <v>21</v>
      </c>
      <c r="X3834">
        <v>164</v>
      </c>
      <c r="Y3834">
        <f>170-X3834</f>
        <v>6</v>
      </c>
      <c r="AA3834" s="6"/>
      <c r="AB3834" s="6"/>
    </row>
    <row r="3835" spans="1:28" x14ac:dyDescent="0.2">
      <c r="A3835" t="s">
        <v>482</v>
      </c>
      <c r="B3835">
        <v>2010</v>
      </c>
      <c r="C3835" t="s">
        <v>826</v>
      </c>
      <c r="D3835" t="s">
        <v>824</v>
      </c>
      <c r="E3835" t="s">
        <v>114</v>
      </c>
      <c r="F3835" t="s">
        <v>485</v>
      </c>
      <c r="G3835">
        <v>37.478665999999997</v>
      </c>
      <c r="H3835">
        <v>121.949291</v>
      </c>
      <c r="I3835" t="s">
        <v>766</v>
      </c>
      <c r="J3835" s="2" t="s">
        <v>14</v>
      </c>
      <c r="K3835" t="s">
        <v>490</v>
      </c>
      <c r="L3835" t="s">
        <v>143</v>
      </c>
      <c r="M3835" t="s">
        <v>637</v>
      </c>
      <c r="N3835" t="s">
        <v>86</v>
      </c>
      <c r="O3835" s="6" t="s">
        <v>495</v>
      </c>
      <c r="P3835" t="s">
        <v>496</v>
      </c>
      <c r="Q3835">
        <v>1</v>
      </c>
      <c r="R3835" t="s">
        <v>213</v>
      </c>
      <c r="S3835" s="2" t="s">
        <v>27</v>
      </c>
      <c r="T3835">
        <v>4</v>
      </c>
      <c r="U3835" t="s">
        <v>28</v>
      </c>
      <c r="V3835" t="s">
        <v>28</v>
      </c>
      <c r="W3835">
        <v>23</v>
      </c>
      <c r="X3835">
        <v>141.80000000000001</v>
      </c>
      <c r="Y3835">
        <f>151.4-X3835</f>
        <v>9.5999999999999943</v>
      </c>
      <c r="AA3835" s="6"/>
      <c r="AB3835" s="6"/>
    </row>
    <row r="3836" spans="1:28" x14ac:dyDescent="0.2">
      <c r="A3836" t="s">
        <v>482</v>
      </c>
      <c r="B3836">
        <v>2010</v>
      </c>
      <c r="C3836" t="s">
        <v>826</v>
      </c>
      <c r="D3836" t="s">
        <v>824</v>
      </c>
      <c r="E3836" t="s">
        <v>114</v>
      </c>
      <c r="F3836" t="s">
        <v>486</v>
      </c>
      <c r="G3836">
        <v>37.212491</v>
      </c>
      <c r="H3836">
        <v>122.63297900000001</v>
      </c>
      <c r="I3836" t="s">
        <v>766</v>
      </c>
      <c r="J3836" s="2" t="s">
        <v>7</v>
      </c>
      <c r="K3836" t="s">
        <v>490</v>
      </c>
      <c r="L3836" t="s">
        <v>143</v>
      </c>
      <c r="M3836" t="s">
        <v>637</v>
      </c>
      <c r="N3836" t="s">
        <v>86</v>
      </c>
      <c r="O3836" s="6" t="s">
        <v>495</v>
      </c>
      <c r="P3836" t="s">
        <v>496</v>
      </c>
      <c r="Q3836">
        <v>1</v>
      </c>
      <c r="R3836" t="s">
        <v>213</v>
      </c>
      <c r="S3836" s="2" t="s">
        <v>7</v>
      </c>
      <c r="T3836">
        <v>4</v>
      </c>
      <c r="U3836" t="s">
        <v>28</v>
      </c>
      <c r="V3836" t="s">
        <v>28</v>
      </c>
      <c r="W3836">
        <v>10</v>
      </c>
      <c r="X3836">
        <v>140.1</v>
      </c>
      <c r="Y3836">
        <f>151.4-X3836</f>
        <v>11.300000000000011</v>
      </c>
      <c r="AA3836" s="6"/>
      <c r="AB3836" s="6"/>
    </row>
    <row r="3837" spans="1:28" x14ac:dyDescent="0.2">
      <c r="A3837" t="s">
        <v>482</v>
      </c>
      <c r="B3837">
        <v>2010</v>
      </c>
      <c r="C3837" t="s">
        <v>826</v>
      </c>
      <c r="D3837" t="s">
        <v>824</v>
      </c>
      <c r="E3837" t="s">
        <v>114</v>
      </c>
      <c r="F3837" t="s">
        <v>486</v>
      </c>
      <c r="G3837">
        <v>37.212491</v>
      </c>
      <c r="H3837">
        <v>122.63297900000001</v>
      </c>
      <c r="I3837" t="s">
        <v>766</v>
      </c>
      <c r="J3837" s="2" t="s">
        <v>14</v>
      </c>
      <c r="K3837" t="s">
        <v>490</v>
      </c>
      <c r="L3837" t="s">
        <v>143</v>
      </c>
      <c r="M3837" t="s">
        <v>637</v>
      </c>
      <c r="N3837" t="s">
        <v>86</v>
      </c>
      <c r="O3837" s="6" t="s">
        <v>495</v>
      </c>
      <c r="P3837" t="s">
        <v>496</v>
      </c>
      <c r="Q3837">
        <v>1</v>
      </c>
      <c r="R3837" t="s">
        <v>213</v>
      </c>
      <c r="S3837" s="2" t="s">
        <v>9</v>
      </c>
      <c r="T3837">
        <v>4</v>
      </c>
      <c r="U3837" t="s">
        <v>28</v>
      </c>
      <c r="V3837" t="s">
        <v>28</v>
      </c>
      <c r="W3837">
        <v>21</v>
      </c>
      <c r="X3837">
        <v>161.30000000000001</v>
      </c>
      <c r="Y3837">
        <f>167.9-X3837</f>
        <v>6.5999999999999943</v>
      </c>
      <c r="AA3837" s="6"/>
      <c r="AB3837" s="6"/>
    </row>
    <row r="3838" spans="1:28" x14ac:dyDescent="0.2">
      <c r="A3838" t="s">
        <v>482</v>
      </c>
      <c r="B3838">
        <v>2010</v>
      </c>
      <c r="C3838" t="s">
        <v>826</v>
      </c>
      <c r="D3838" t="s">
        <v>824</v>
      </c>
      <c r="E3838" t="s">
        <v>114</v>
      </c>
      <c r="F3838" t="s">
        <v>486</v>
      </c>
      <c r="G3838">
        <v>37.212491</v>
      </c>
      <c r="H3838">
        <v>122.63297900000001</v>
      </c>
      <c r="I3838" t="s">
        <v>766</v>
      </c>
      <c r="J3838" s="2" t="s">
        <v>14</v>
      </c>
      <c r="K3838" t="s">
        <v>490</v>
      </c>
      <c r="L3838" t="s">
        <v>143</v>
      </c>
      <c r="M3838" t="s">
        <v>637</v>
      </c>
      <c r="N3838" t="s">
        <v>86</v>
      </c>
      <c r="O3838" s="6" t="s">
        <v>495</v>
      </c>
      <c r="P3838" t="s">
        <v>496</v>
      </c>
      <c r="Q3838">
        <v>1</v>
      </c>
      <c r="R3838" t="s">
        <v>213</v>
      </c>
      <c r="S3838" s="2" t="s">
        <v>27</v>
      </c>
      <c r="T3838">
        <v>4</v>
      </c>
      <c r="U3838" t="s">
        <v>28</v>
      </c>
      <c r="V3838" t="s">
        <v>28</v>
      </c>
      <c r="W3838">
        <v>23</v>
      </c>
      <c r="X3838">
        <v>170.2</v>
      </c>
      <c r="Y3838">
        <f>183.5-X3838</f>
        <v>13.300000000000011</v>
      </c>
      <c r="AA3838" s="6"/>
      <c r="AB3838" s="6"/>
    </row>
    <row r="3839" spans="1:28" x14ac:dyDescent="0.2">
      <c r="A3839" t="s">
        <v>482</v>
      </c>
      <c r="B3839">
        <v>2010</v>
      </c>
      <c r="C3839" t="s">
        <v>826</v>
      </c>
      <c r="D3839" t="s">
        <v>824</v>
      </c>
      <c r="E3839" t="s">
        <v>114</v>
      </c>
      <c r="F3839" t="s">
        <v>487</v>
      </c>
      <c r="G3839">
        <v>37.094527999999997</v>
      </c>
      <c r="H3839">
        <v>122.58033500000001</v>
      </c>
      <c r="I3839" t="s">
        <v>766</v>
      </c>
      <c r="J3839" s="2" t="s">
        <v>7</v>
      </c>
      <c r="K3839" t="s">
        <v>490</v>
      </c>
      <c r="L3839" t="s">
        <v>143</v>
      </c>
      <c r="M3839" t="s">
        <v>637</v>
      </c>
      <c r="N3839" t="s">
        <v>86</v>
      </c>
      <c r="O3839" s="6" t="s">
        <v>495</v>
      </c>
      <c r="P3839" t="s">
        <v>496</v>
      </c>
      <c r="Q3839">
        <v>1</v>
      </c>
      <c r="R3839" t="s">
        <v>213</v>
      </c>
      <c r="S3839" s="2" t="s">
        <v>7</v>
      </c>
      <c r="T3839">
        <v>4</v>
      </c>
      <c r="U3839" t="s">
        <v>28</v>
      </c>
      <c r="V3839" t="s">
        <v>28</v>
      </c>
      <c r="W3839">
        <v>10</v>
      </c>
      <c r="X3839">
        <v>151.80000000000001</v>
      </c>
      <c r="Y3839">
        <f>160.7-X3839</f>
        <v>8.8999999999999773</v>
      </c>
      <c r="AA3839" s="6"/>
      <c r="AB3839" s="6"/>
    </row>
    <row r="3840" spans="1:28" x14ac:dyDescent="0.2">
      <c r="A3840" t="s">
        <v>482</v>
      </c>
      <c r="B3840">
        <v>2010</v>
      </c>
      <c r="C3840" t="s">
        <v>826</v>
      </c>
      <c r="D3840" t="s">
        <v>824</v>
      </c>
      <c r="E3840" t="s">
        <v>114</v>
      </c>
      <c r="F3840" t="s">
        <v>487</v>
      </c>
      <c r="G3840">
        <v>37.094527999999997</v>
      </c>
      <c r="H3840">
        <v>122.58033500000001</v>
      </c>
      <c r="I3840" t="s">
        <v>766</v>
      </c>
      <c r="J3840" s="2" t="s">
        <v>14</v>
      </c>
      <c r="K3840" t="s">
        <v>490</v>
      </c>
      <c r="L3840" t="s">
        <v>143</v>
      </c>
      <c r="M3840" t="s">
        <v>637</v>
      </c>
      <c r="N3840" t="s">
        <v>86</v>
      </c>
      <c r="O3840" s="6" t="s">
        <v>495</v>
      </c>
      <c r="P3840" t="s">
        <v>496</v>
      </c>
      <c r="Q3840">
        <v>1</v>
      </c>
      <c r="R3840" t="s">
        <v>213</v>
      </c>
      <c r="S3840" s="2" t="s">
        <v>9</v>
      </c>
      <c r="T3840">
        <v>4</v>
      </c>
      <c r="U3840" t="s">
        <v>28</v>
      </c>
      <c r="V3840" t="s">
        <v>28</v>
      </c>
      <c r="W3840">
        <v>21</v>
      </c>
      <c r="X3840">
        <v>182.8</v>
      </c>
      <c r="Y3840">
        <f>193.8-X3840</f>
        <v>11</v>
      </c>
      <c r="AA3840" s="6"/>
      <c r="AB3840" s="6"/>
    </row>
    <row r="3841" spans="1:28" x14ac:dyDescent="0.2">
      <c r="A3841" t="s">
        <v>482</v>
      </c>
      <c r="B3841">
        <v>2010</v>
      </c>
      <c r="C3841" t="s">
        <v>826</v>
      </c>
      <c r="D3841" t="s">
        <v>824</v>
      </c>
      <c r="E3841" t="s">
        <v>114</v>
      </c>
      <c r="F3841" t="s">
        <v>487</v>
      </c>
      <c r="G3841">
        <v>37.094527999999997</v>
      </c>
      <c r="H3841">
        <v>122.58033500000001</v>
      </c>
      <c r="I3841" t="s">
        <v>766</v>
      </c>
      <c r="J3841" s="2" t="s">
        <v>14</v>
      </c>
      <c r="K3841" t="s">
        <v>490</v>
      </c>
      <c r="L3841" t="s">
        <v>143</v>
      </c>
      <c r="M3841" t="s">
        <v>637</v>
      </c>
      <c r="N3841" t="s">
        <v>86</v>
      </c>
      <c r="O3841" s="6" t="s">
        <v>495</v>
      </c>
      <c r="P3841" t="s">
        <v>496</v>
      </c>
      <c r="Q3841">
        <v>1</v>
      </c>
      <c r="R3841" t="s">
        <v>213</v>
      </c>
      <c r="S3841" s="2" t="s">
        <v>27</v>
      </c>
      <c r="T3841">
        <v>4</v>
      </c>
      <c r="U3841" t="s">
        <v>28</v>
      </c>
      <c r="V3841" t="s">
        <v>28</v>
      </c>
      <c r="W3841">
        <v>23</v>
      </c>
      <c r="X3841">
        <v>185</v>
      </c>
      <c r="Y3841">
        <f>192.1-X3841</f>
        <v>7.0999999999999943</v>
      </c>
      <c r="AA3841" s="6"/>
      <c r="AB3841" s="6"/>
    </row>
    <row r="3842" spans="1:28" x14ac:dyDescent="0.2">
      <c r="A3842" t="s">
        <v>482</v>
      </c>
      <c r="B3842">
        <v>2010</v>
      </c>
      <c r="C3842" t="s">
        <v>826</v>
      </c>
      <c r="D3842" t="s">
        <v>824</v>
      </c>
      <c r="E3842" t="s">
        <v>114</v>
      </c>
      <c r="F3842" t="s">
        <v>488</v>
      </c>
      <c r="G3842">
        <v>37.482649000000002</v>
      </c>
      <c r="H3842">
        <v>121.931369</v>
      </c>
      <c r="I3842" t="s">
        <v>764</v>
      </c>
      <c r="J3842" s="2" t="s">
        <v>7</v>
      </c>
      <c r="K3842" t="s">
        <v>490</v>
      </c>
      <c r="L3842" t="s">
        <v>143</v>
      </c>
      <c r="M3842" t="s">
        <v>637</v>
      </c>
      <c r="N3842" t="s">
        <v>86</v>
      </c>
      <c r="O3842" s="6" t="s">
        <v>495</v>
      </c>
      <c r="P3842" t="s">
        <v>496</v>
      </c>
      <c r="Q3842">
        <v>1</v>
      </c>
      <c r="R3842" t="s">
        <v>213</v>
      </c>
      <c r="S3842" s="2" t="s">
        <v>7</v>
      </c>
      <c r="T3842">
        <v>4</v>
      </c>
      <c r="U3842" t="s">
        <v>28</v>
      </c>
      <c r="V3842" t="s">
        <v>28</v>
      </c>
      <c r="W3842">
        <v>10</v>
      </c>
      <c r="X3842">
        <v>143.1</v>
      </c>
      <c r="Y3842">
        <f>150.1-X3842</f>
        <v>7</v>
      </c>
      <c r="AA3842" s="6"/>
      <c r="AB3842" s="6"/>
    </row>
    <row r="3843" spans="1:28" x14ac:dyDescent="0.2">
      <c r="A3843" t="s">
        <v>482</v>
      </c>
      <c r="B3843">
        <v>2010</v>
      </c>
      <c r="C3843" t="s">
        <v>826</v>
      </c>
      <c r="D3843" t="s">
        <v>824</v>
      </c>
      <c r="E3843" t="s">
        <v>114</v>
      </c>
      <c r="F3843" t="s">
        <v>488</v>
      </c>
      <c r="G3843">
        <v>37.482649000000002</v>
      </c>
      <c r="H3843">
        <v>121.931369</v>
      </c>
      <c r="I3843" t="s">
        <v>764</v>
      </c>
      <c r="J3843" s="2" t="s">
        <v>14</v>
      </c>
      <c r="K3843" t="s">
        <v>490</v>
      </c>
      <c r="L3843" t="s">
        <v>143</v>
      </c>
      <c r="M3843" t="s">
        <v>637</v>
      </c>
      <c r="N3843" t="s">
        <v>86</v>
      </c>
      <c r="O3843" s="6" t="s">
        <v>495</v>
      </c>
      <c r="P3843" t="s">
        <v>496</v>
      </c>
      <c r="Q3843">
        <v>1</v>
      </c>
      <c r="R3843" t="s">
        <v>213</v>
      </c>
      <c r="S3843" s="2" t="s">
        <v>9</v>
      </c>
      <c r="T3843">
        <v>4</v>
      </c>
      <c r="U3843" t="s">
        <v>28</v>
      </c>
      <c r="V3843" t="s">
        <v>28</v>
      </c>
      <c r="W3843">
        <v>21</v>
      </c>
      <c r="X3843">
        <v>190.6</v>
      </c>
      <c r="Y3843">
        <f>199.3-X3843</f>
        <v>8.7000000000000171</v>
      </c>
      <c r="AA3843" s="6"/>
      <c r="AB3843" s="6"/>
    </row>
    <row r="3844" spans="1:28" x14ac:dyDescent="0.2">
      <c r="A3844" t="s">
        <v>482</v>
      </c>
      <c r="B3844">
        <v>2010</v>
      </c>
      <c r="C3844" t="s">
        <v>826</v>
      </c>
      <c r="D3844" t="s">
        <v>824</v>
      </c>
      <c r="E3844" t="s">
        <v>114</v>
      </c>
      <c r="F3844" t="s">
        <v>488</v>
      </c>
      <c r="G3844">
        <v>37.482649000000002</v>
      </c>
      <c r="H3844">
        <v>121.931369</v>
      </c>
      <c r="I3844" t="s">
        <v>764</v>
      </c>
      <c r="J3844" s="2" t="s">
        <v>14</v>
      </c>
      <c r="K3844" t="s">
        <v>490</v>
      </c>
      <c r="L3844" t="s">
        <v>143</v>
      </c>
      <c r="M3844" t="s">
        <v>637</v>
      </c>
      <c r="N3844" t="s">
        <v>86</v>
      </c>
      <c r="O3844" s="6" t="s">
        <v>495</v>
      </c>
      <c r="P3844" t="s">
        <v>496</v>
      </c>
      <c r="Q3844">
        <v>1</v>
      </c>
      <c r="R3844" t="s">
        <v>213</v>
      </c>
      <c r="S3844" s="2" t="s">
        <v>27</v>
      </c>
      <c r="T3844">
        <v>4</v>
      </c>
      <c r="U3844" t="s">
        <v>28</v>
      </c>
      <c r="V3844" t="s">
        <v>28</v>
      </c>
      <c r="W3844">
        <v>23</v>
      </c>
      <c r="X3844">
        <v>185</v>
      </c>
      <c r="Y3844">
        <f>191.5-X3844</f>
        <v>6.5</v>
      </c>
      <c r="AA3844" s="6"/>
      <c r="AB3844" s="6"/>
    </row>
    <row r="3845" spans="1:28" x14ac:dyDescent="0.2">
      <c r="A3845" t="s">
        <v>482</v>
      </c>
      <c r="B3845">
        <v>2010</v>
      </c>
      <c r="C3845" t="s">
        <v>826</v>
      </c>
      <c r="D3845" t="s">
        <v>824</v>
      </c>
      <c r="E3845" t="s">
        <v>114</v>
      </c>
      <c r="F3845" t="s">
        <v>489</v>
      </c>
      <c r="G3845">
        <v>36.033332000000001</v>
      </c>
      <c r="H3845">
        <v>120.380697</v>
      </c>
      <c r="I3845" t="s">
        <v>764</v>
      </c>
      <c r="J3845" s="2" t="s">
        <v>7</v>
      </c>
      <c r="K3845" t="s">
        <v>490</v>
      </c>
      <c r="L3845" t="s">
        <v>143</v>
      </c>
      <c r="M3845" t="s">
        <v>637</v>
      </c>
      <c r="N3845" t="s">
        <v>86</v>
      </c>
      <c r="O3845" s="6" t="s">
        <v>495</v>
      </c>
      <c r="P3845" t="s">
        <v>496</v>
      </c>
      <c r="Q3845">
        <v>1</v>
      </c>
      <c r="R3845" t="s">
        <v>213</v>
      </c>
      <c r="S3845" s="2" t="s">
        <v>7</v>
      </c>
      <c r="T3845">
        <v>4</v>
      </c>
      <c r="U3845" t="s">
        <v>28</v>
      </c>
      <c r="V3845" t="s">
        <v>28</v>
      </c>
      <c r="W3845">
        <v>10</v>
      </c>
      <c r="X3845">
        <v>157.69999999999999</v>
      </c>
      <c r="Y3845">
        <f>164.4-X3845</f>
        <v>6.7000000000000171</v>
      </c>
      <c r="AA3845" s="6"/>
      <c r="AB3845" s="6"/>
    </row>
    <row r="3846" spans="1:28" x14ac:dyDescent="0.2">
      <c r="A3846" t="s">
        <v>482</v>
      </c>
      <c r="B3846">
        <v>2010</v>
      </c>
      <c r="C3846" t="s">
        <v>826</v>
      </c>
      <c r="D3846" t="s">
        <v>824</v>
      </c>
      <c r="E3846" t="s">
        <v>114</v>
      </c>
      <c r="F3846" t="s">
        <v>489</v>
      </c>
      <c r="G3846">
        <v>36.033332000000001</v>
      </c>
      <c r="H3846">
        <v>120.380697</v>
      </c>
      <c r="I3846" t="s">
        <v>764</v>
      </c>
      <c r="J3846" s="2" t="s">
        <v>14</v>
      </c>
      <c r="K3846" t="s">
        <v>490</v>
      </c>
      <c r="L3846" t="s">
        <v>143</v>
      </c>
      <c r="M3846" t="s">
        <v>637</v>
      </c>
      <c r="N3846" t="s">
        <v>86</v>
      </c>
      <c r="O3846" s="6" t="s">
        <v>495</v>
      </c>
      <c r="P3846" t="s">
        <v>496</v>
      </c>
      <c r="Q3846">
        <v>1</v>
      </c>
      <c r="R3846" t="s">
        <v>213</v>
      </c>
      <c r="S3846" s="2" t="s">
        <v>9</v>
      </c>
      <c r="T3846">
        <v>4</v>
      </c>
      <c r="U3846" t="s">
        <v>28</v>
      </c>
      <c r="V3846" t="s">
        <v>28</v>
      </c>
      <c r="W3846">
        <v>21</v>
      </c>
      <c r="X3846">
        <v>185.2</v>
      </c>
      <c r="Y3846">
        <f>193-X3846</f>
        <v>7.8000000000000114</v>
      </c>
      <c r="AA3846" s="6"/>
      <c r="AB3846" s="6"/>
    </row>
    <row r="3847" spans="1:28" x14ac:dyDescent="0.2">
      <c r="A3847" t="s">
        <v>482</v>
      </c>
      <c r="B3847">
        <v>2010</v>
      </c>
      <c r="C3847" t="s">
        <v>826</v>
      </c>
      <c r="D3847" t="s">
        <v>824</v>
      </c>
      <c r="E3847" t="s">
        <v>114</v>
      </c>
      <c r="F3847" t="s">
        <v>489</v>
      </c>
      <c r="G3847">
        <v>36.033332000000001</v>
      </c>
      <c r="H3847">
        <v>120.380697</v>
      </c>
      <c r="I3847" t="s">
        <v>764</v>
      </c>
      <c r="J3847" s="2" t="s">
        <v>14</v>
      </c>
      <c r="K3847" t="s">
        <v>490</v>
      </c>
      <c r="L3847" t="s">
        <v>143</v>
      </c>
      <c r="M3847" t="s">
        <v>637</v>
      </c>
      <c r="N3847" t="s">
        <v>86</v>
      </c>
      <c r="O3847" s="6" t="s">
        <v>495</v>
      </c>
      <c r="P3847" t="s">
        <v>496</v>
      </c>
      <c r="Q3847">
        <v>1</v>
      </c>
      <c r="R3847" t="s">
        <v>213</v>
      </c>
      <c r="S3847" s="2" t="s">
        <v>27</v>
      </c>
      <c r="T3847">
        <v>4</v>
      </c>
      <c r="U3847" t="s">
        <v>28</v>
      </c>
      <c r="V3847" t="s">
        <v>28</v>
      </c>
      <c r="W3847">
        <v>23</v>
      </c>
      <c r="X3847">
        <v>192.5</v>
      </c>
      <c r="Y3847">
        <f>204.3-X3847</f>
        <v>11.800000000000011</v>
      </c>
      <c r="AA3847" s="6"/>
      <c r="AB3847" s="6"/>
    </row>
    <row r="3848" spans="1:28" x14ac:dyDescent="0.2">
      <c r="A3848" t="s">
        <v>482</v>
      </c>
      <c r="B3848">
        <v>2010</v>
      </c>
      <c r="C3848" t="s">
        <v>826</v>
      </c>
      <c r="D3848" t="s">
        <v>824</v>
      </c>
      <c r="E3848" t="s">
        <v>114</v>
      </c>
      <c r="F3848" t="s">
        <v>483</v>
      </c>
      <c r="G3848">
        <v>36.869999999999997</v>
      </c>
      <c r="H3848">
        <v>122.42</v>
      </c>
      <c r="I3848" t="s">
        <v>766</v>
      </c>
      <c r="J3848" s="2" t="s">
        <v>7</v>
      </c>
      <c r="K3848" t="s">
        <v>490</v>
      </c>
      <c r="L3848" t="s">
        <v>143</v>
      </c>
      <c r="M3848" t="s">
        <v>637</v>
      </c>
      <c r="N3848" t="s">
        <v>86</v>
      </c>
      <c r="O3848" s="6" t="s">
        <v>497</v>
      </c>
      <c r="P3848" t="s">
        <v>496</v>
      </c>
      <c r="Q3848">
        <v>1</v>
      </c>
      <c r="R3848" t="s">
        <v>213</v>
      </c>
      <c r="S3848" s="2" t="s">
        <v>7</v>
      </c>
      <c r="T3848">
        <v>4</v>
      </c>
      <c r="U3848" t="s">
        <v>28</v>
      </c>
      <c r="V3848" t="s">
        <v>28</v>
      </c>
      <c r="W3848">
        <v>10</v>
      </c>
      <c r="X3848">
        <v>4.077</v>
      </c>
      <c r="Y3848">
        <f>4.356-X3848</f>
        <v>0.27899999999999991</v>
      </c>
      <c r="AA3848" s="6"/>
      <c r="AB3848" s="6"/>
    </row>
    <row r="3849" spans="1:28" x14ac:dyDescent="0.2">
      <c r="A3849" t="s">
        <v>482</v>
      </c>
      <c r="B3849">
        <v>2010</v>
      </c>
      <c r="C3849" t="s">
        <v>826</v>
      </c>
      <c r="D3849" t="s">
        <v>824</v>
      </c>
      <c r="E3849" t="s">
        <v>114</v>
      </c>
      <c r="F3849" t="s">
        <v>483</v>
      </c>
      <c r="G3849">
        <v>36.869999999999997</v>
      </c>
      <c r="H3849">
        <v>122.42</v>
      </c>
      <c r="I3849" t="s">
        <v>766</v>
      </c>
      <c r="J3849" s="2" t="s">
        <v>14</v>
      </c>
      <c r="K3849" t="s">
        <v>490</v>
      </c>
      <c r="L3849" t="s">
        <v>143</v>
      </c>
      <c r="M3849" t="s">
        <v>637</v>
      </c>
      <c r="N3849" t="s">
        <v>86</v>
      </c>
      <c r="O3849" s="6" t="s">
        <v>497</v>
      </c>
      <c r="P3849" t="s">
        <v>496</v>
      </c>
      <c r="Q3849">
        <v>1</v>
      </c>
      <c r="R3849" t="s">
        <v>213</v>
      </c>
      <c r="S3849" s="2" t="s">
        <v>9</v>
      </c>
      <c r="T3849">
        <v>4</v>
      </c>
      <c r="U3849" t="s">
        <v>28</v>
      </c>
      <c r="V3849" t="s">
        <v>28</v>
      </c>
      <c r="W3849">
        <v>21</v>
      </c>
      <c r="X3849">
        <v>4.24</v>
      </c>
      <c r="Y3849">
        <f>4.624-X3849</f>
        <v>0.38399999999999945</v>
      </c>
      <c r="AA3849" s="6"/>
      <c r="AB3849" s="6"/>
    </row>
    <row r="3850" spans="1:28" x14ac:dyDescent="0.2">
      <c r="A3850" t="s">
        <v>482</v>
      </c>
      <c r="B3850">
        <v>2010</v>
      </c>
      <c r="C3850" t="s">
        <v>826</v>
      </c>
      <c r="D3850" t="s">
        <v>824</v>
      </c>
      <c r="E3850" t="s">
        <v>114</v>
      </c>
      <c r="F3850" t="s">
        <v>483</v>
      </c>
      <c r="G3850">
        <v>36.869999999999997</v>
      </c>
      <c r="H3850">
        <v>122.42</v>
      </c>
      <c r="I3850" t="s">
        <v>766</v>
      </c>
      <c r="J3850" s="2" t="s">
        <v>14</v>
      </c>
      <c r="K3850" t="s">
        <v>490</v>
      </c>
      <c r="L3850" t="s">
        <v>143</v>
      </c>
      <c r="M3850" t="s">
        <v>637</v>
      </c>
      <c r="N3850" t="s">
        <v>86</v>
      </c>
      <c r="O3850" s="6" t="s">
        <v>497</v>
      </c>
      <c r="P3850" t="s">
        <v>496</v>
      </c>
      <c r="Q3850">
        <v>1</v>
      </c>
      <c r="R3850" t="s">
        <v>213</v>
      </c>
      <c r="S3850" s="2" t="s">
        <v>27</v>
      </c>
      <c r="T3850">
        <v>4</v>
      </c>
      <c r="U3850" t="s">
        <v>28</v>
      </c>
      <c r="V3850" t="s">
        <v>28</v>
      </c>
      <c r="W3850">
        <v>23</v>
      </c>
      <c r="X3850">
        <v>4.1909999999999998</v>
      </c>
      <c r="Y3850">
        <f>4.406-X3850</f>
        <v>0.21499999999999986</v>
      </c>
      <c r="AA3850" s="6"/>
      <c r="AB3850" s="6"/>
    </row>
    <row r="3851" spans="1:28" x14ac:dyDescent="0.2">
      <c r="A3851" t="s">
        <v>482</v>
      </c>
      <c r="B3851">
        <v>2010</v>
      </c>
      <c r="C3851" t="s">
        <v>826</v>
      </c>
      <c r="D3851" t="s">
        <v>824</v>
      </c>
      <c r="E3851" t="s">
        <v>114</v>
      </c>
      <c r="F3851" t="s">
        <v>484</v>
      </c>
      <c r="G3851">
        <v>37.24</v>
      </c>
      <c r="H3851">
        <v>122.58</v>
      </c>
      <c r="I3851" t="s">
        <v>766</v>
      </c>
      <c r="J3851" s="2" t="s">
        <v>7</v>
      </c>
      <c r="K3851" t="s">
        <v>490</v>
      </c>
      <c r="L3851" t="s">
        <v>143</v>
      </c>
      <c r="M3851" t="s">
        <v>637</v>
      </c>
      <c r="N3851" t="s">
        <v>86</v>
      </c>
      <c r="O3851" s="6" t="s">
        <v>497</v>
      </c>
      <c r="P3851" t="s">
        <v>496</v>
      </c>
      <c r="Q3851">
        <v>1</v>
      </c>
      <c r="R3851" t="s">
        <v>213</v>
      </c>
      <c r="S3851" s="2" t="s">
        <v>7</v>
      </c>
      <c r="T3851">
        <v>4</v>
      </c>
      <c r="U3851" t="s">
        <v>28</v>
      </c>
      <c r="V3851" t="s">
        <v>28</v>
      </c>
      <c r="W3851">
        <v>10</v>
      </c>
      <c r="X3851">
        <v>4.05</v>
      </c>
      <c r="Y3851">
        <f>4.243-X3851</f>
        <v>0.1930000000000005</v>
      </c>
      <c r="AA3851" s="6"/>
      <c r="AB3851" s="6"/>
    </row>
    <row r="3852" spans="1:28" x14ac:dyDescent="0.2">
      <c r="A3852" t="s">
        <v>482</v>
      </c>
      <c r="B3852">
        <v>2010</v>
      </c>
      <c r="C3852" t="s">
        <v>826</v>
      </c>
      <c r="D3852" t="s">
        <v>824</v>
      </c>
      <c r="E3852" t="s">
        <v>114</v>
      </c>
      <c r="F3852" t="s">
        <v>484</v>
      </c>
      <c r="G3852">
        <v>37.24</v>
      </c>
      <c r="H3852">
        <v>122.58</v>
      </c>
      <c r="I3852" t="s">
        <v>766</v>
      </c>
      <c r="J3852" s="2" t="s">
        <v>14</v>
      </c>
      <c r="K3852" t="s">
        <v>490</v>
      </c>
      <c r="L3852" t="s">
        <v>143</v>
      </c>
      <c r="M3852" t="s">
        <v>637</v>
      </c>
      <c r="N3852" t="s">
        <v>86</v>
      </c>
      <c r="O3852" s="6" t="s">
        <v>497</v>
      </c>
      <c r="P3852" t="s">
        <v>496</v>
      </c>
      <c r="Q3852">
        <v>1</v>
      </c>
      <c r="R3852" t="s">
        <v>213</v>
      </c>
      <c r="S3852" s="2" t="s">
        <v>9</v>
      </c>
      <c r="T3852">
        <v>4</v>
      </c>
      <c r="U3852" t="s">
        <v>28</v>
      </c>
      <c r="V3852" t="s">
        <v>28</v>
      </c>
      <c r="W3852">
        <v>21</v>
      </c>
      <c r="X3852">
        <v>4.4279999999999999</v>
      </c>
      <c r="Y3852">
        <f>4.661-X3852</f>
        <v>0.23299999999999965</v>
      </c>
      <c r="AA3852" s="6"/>
      <c r="AB3852" s="6"/>
    </row>
    <row r="3853" spans="1:28" x14ac:dyDescent="0.2">
      <c r="A3853" t="s">
        <v>482</v>
      </c>
      <c r="B3853">
        <v>2010</v>
      </c>
      <c r="C3853" t="s">
        <v>826</v>
      </c>
      <c r="D3853" t="s">
        <v>824</v>
      </c>
      <c r="E3853" t="s">
        <v>114</v>
      </c>
      <c r="F3853" t="s">
        <v>484</v>
      </c>
      <c r="G3853">
        <v>37.24</v>
      </c>
      <c r="H3853">
        <v>122.58</v>
      </c>
      <c r="I3853" t="s">
        <v>766</v>
      </c>
      <c r="J3853" s="2" t="s">
        <v>14</v>
      </c>
      <c r="K3853" t="s">
        <v>490</v>
      </c>
      <c r="L3853" t="s">
        <v>143</v>
      </c>
      <c r="M3853" t="s">
        <v>637</v>
      </c>
      <c r="N3853" t="s">
        <v>86</v>
      </c>
      <c r="O3853" s="6" t="s">
        <v>497</v>
      </c>
      <c r="P3853" t="s">
        <v>496</v>
      </c>
      <c r="Q3853">
        <v>1</v>
      </c>
      <c r="R3853" t="s">
        <v>213</v>
      </c>
      <c r="S3853" s="2" t="s">
        <v>27</v>
      </c>
      <c r="T3853">
        <v>4</v>
      </c>
      <c r="U3853" t="s">
        <v>28</v>
      </c>
      <c r="V3853" t="s">
        <v>28</v>
      </c>
      <c r="W3853">
        <v>23</v>
      </c>
      <c r="X3853">
        <v>4.24</v>
      </c>
      <c r="Y3853">
        <f>4.49-X3853</f>
        <v>0.25</v>
      </c>
      <c r="AA3853" s="6"/>
      <c r="AB3853" s="6"/>
    </row>
    <row r="3854" spans="1:28" x14ac:dyDescent="0.2">
      <c r="A3854" t="s">
        <v>482</v>
      </c>
      <c r="B3854">
        <v>2010</v>
      </c>
      <c r="C3854" t="s">
        <v>826</v>
      </c>
      <c r="D3854" t="s">
        <v>824</v>
      </c>
      <c r="E3854" t="s">
        <v>114</v>
      </c>
      <c r="F3854" t="s">
        <v>485</v>
      </c>
      <c r="G3854">
        <v>37.478665999999997</v>
      </c>
      <c r="H3854">
        <v>121.949291</v>
      </c>
      <c r="I3854" t="s">
        <v>766</v>
      </c>
      <c r="J3854" s="2" t="s">
        <v>7</v>
      </c>
      <c r="K3854" t="s">
        <v>490</v>
      </c>
      <c r="L3854" t="s">
        <v>143</v>
      </c>
      <c r="M3854" t="s">
        <v>637</v>
      </c>
      <c r="N3854" t="s">
        <v>86</v>
      </c>
      <c r="O3854" s="6" t="s">
        <v>497</v>
      </c>
      <c r="P3854" t="s">
        <v>496</v>
      </c>
      <c r="Q3854">
        <v>1</v>
      </c>
      <c r="R3854" t="s">
        <v>213</v>
      </c>
      <c r="S3854" s="2" t="s">
        <v>7</v>
      </c>
      <c r="T3854">
        <v>4</v>
      </c>
      <c r="U3854" t="s">
        <v>28</v>
      </c>
      <c r="V3854" t="s">
        <v>28</v>
      </c>
      <c r="W3854">
        <v>10</v>
      </c>
      <c r="X3854">
        <v>4.1310000000000002</v>
      </c>
      <c r="Y3854">
        <f>4.46-X3854</f>
        <v>0.32899999999999974</v>
      </c>
      <c r="AA3854" s="6"/>
      <c r="AB3854" s="6"/>
    </row>
    <row r="3855" spans="1:28" x14ac:dyDescent="0.2">
      <c r="A3855" t="s">
        <v>482</v>
      </c>
      <c r="B3855">
        <v>2010</v>
      </c>
      <c r="C3855" t="s">
        <v>826</v>
      </c>
      <c r="D3855" t="s">
        <v>824</v>
      </c>
      <c r="E3855" t="s">
        <v>114</v>
      </c>
      <c r="F3855" t="s">
        <v>485</v>
      </c>
      <c r="G3855">
        <v>37.478665999999997</v>
      </c>
      <c r="H3855">
        <v>121.949291</v>
      </c>
      <c r="I3855" t="s">
        <v>766</v>
      </c>
      <c r="J3855" s="2" t="s">
        <v>14</v>
      </c>
      <c r="K3855" t="s">
        <v>490</v>
      </c>
      <c r="L3855" t="s">
        <v>143</v>
      </c>
      <c r="M3855" t="s">
        <v>637</v>
      </c>
      <c r="N3855" t="s">
        <v>86</v>
      </c>
      <c r="O3855" s="6" t="s">
        <v>497</v>
      </c>
      <c r="P3855" t="s">
        <v>496</v>
      </c>
      <c r="Q3855">
        <v>1</v>
      </c>
      <c r="R3855" t="s">
        <v>213</v>
      </c>
      <c r="S3855" s="2" t="s">
        <v>9</v>
      </c>
      <c r="T3855">
        <v>4</v>
      </c>
      <c r="U3855" t="s">
        <v>28</v>
      </c>
      <c r="V3855" t="s">
        <v>28</v>
      </c>
      <c r="W3855">
        <v>21</v>
      </c>
      <c r="X3855">
        <v>4.24</v>
      </c>
      <c r="Y3855">
        <f>4.636-X3855</f>
        <v>0.39599999999999991</v>
      </c>
      <c r="AA3855" s="6"/>
      <c r="AB3855" s="6"/>
    </row>
    <row r="3856" spans="1:28" x14ac:dyDescent="0.2">
      <c r="A3856" t="s">
        <v>482</v>
      </c>
      <c r="B3856">
        <v>2010</v>
      </c>
      <c r="C3856" t="s">
        <v>826</v>
      </c>
      <c r="D3856" t="s">
        <v>824</v>
      </c>
      <c r="E3856" t="s">
        <v>114</v>
      </c>
      <c r="F3856" t="s">
        <v>485</v>
      </c>
      <c r="G3856">
        <v>37.478665999999997</v>
      </c>
      <c r="H3856">
        <v>121.949291</v>
      </c>
      <c r="I3856" t="s">
        <v>766</v>
      </c>
      <c r="J3856" s="2" t="s">
        <v>14</v>
      </c>
      <c r="K3856" t="s">
        <v>490</v>
      </c>
      <c r="L3856" t="s">
        <v>143</v>
      </c>
      <c r="M3856" t="s">
        <v>637</v>
      </c>
      <c r="N3856" t="s">
        <v>86</v>
      </c>
      <c r="O3856" s="6" t="s">
        <v>497</v>
      </c>
      <c r="P3856" t="s">
        <v>496</v>
      </c>
      <c r="Q3856">
        <v>1</v>
      </c>
      <c r="R3856" t="s">
        <v>213</v>
      </c>
      <c r="S3856" s="2" t="s">
        <v>27</v>
      </c>
      <c r="T3856">
        <v>4</v>
      </c>
      <c r="U3856" t="s">
        <v>28</v>
      </c>
      <c r="V3856" t="s">
        <v>28</v>
      </c>
      <c r="W3856">
        <v>23</v>
      </c>
      <c r="X3856">
        <v>4.0540000000000003</v>
      </c>
      <c r="Y3856">
        <f>4.198-X3856</f>
        <v>0.14400000000000013</v>
      </c>
      <c r="AA3856" s="6"/>
      <c r="AB3856" s="6"/>
    </row>
    <row r="3857" spans="1:28" x14ac:dyDescent="0.2">
      <c r="A3857" t="s">
        <v>482</v>
      </c>
      <c r="B3857">
        <v>2010</v>
      </c>
      <c r="C3857" t="s">
        <v>826</v>
      </c>
      <c r="D3857" t="s">
        <v>824</v>
      </c>
      <c r="E3857" t="s">
        <v>114</v>
      </c>
      <c r="F3857" t="s">
        <v>486</v>
      </c>
      <c r="G3857">
        <v>37.212491</v>
      </c>
      <c r="H3857">
        <v>122.63297900000001</v>
      </c>
      <c r="I3857" t="s">
        <v>766</v>
      </c>
      <c r="J3857" s="2" t="s">
        <v>7</v>
      </c>
      <c r="K3857" t="s">
        <v>490</v>
      </c>
      <c r="L3857" t="s">
        <v>143</v>
      </c>
      <c r="M3857" t="s">
        <v>637</v>
      </c>
      <c r="N3857" t="s">
        <v>86</v>
      </c>
      <c r="O3857" s="6" t="s">
        <v>497</v>
      </c>
      <c r="P3857" t="s">
        <v>496</v>
      </c>
      <c r="Q3857">
        <v>1</v>
      </c>
      <c r="R3857" t="s">
        <v>213</v>
      </c>
      <c r="S3857" s="2" t="s">
        <v>7</v>
      </c>
      <c r="T3857">
        <v>4</v>
      </c>
      <c r="U3857" t="s">
        <v>28</v>
      </c>
      <c r="V3857" t="s">
        <v>28</v>
      </c>
      <c r="W3857">
        <v>10</v>
      </c>
      <c r="X3857">
        <v>4.0469999999999997</v>
      </c>
      <c r="Y3857">
        <f>4.129-X3857</f>
        <v>8.1999999999999851E-2</v>
      </c>
      <c r="AA3857" s="6"/>
      <c r="AB3857" s="6"/>
    </row>
    <row r="3858" spans="1:28" x14ac:dyDescent="0.2">
      <c r="A3858" t="s">
        <v>482</v>
      </c>
      <c r="B3858">
        <v>2010</v>
      </c>
      <c r="C3858" t="s">
        <v>826</v>
      </c>
      <c r="D3858" t="s">
        <v>824</v>
      </c>
      <c r="E3858" t="s">
        <v>114</v>
      </c>
      <c r="F3858" t="s">
        <v>486</v>
      </c>
      <c r="G3858">
        <v>37.212491</v>
      </c>
      <c r="H3858">
        <v>122.63297900000001</v>
      </c>
      <c r="I3858" t="s">
        <v>766</v>
      </c>
      <c r="J3858" s="2" t="s">
        <v>14</v>
      </c>
      <c r="K3858" t="s">
        <v>490</v>
      </c>
      <c r="L3858" t="s">
        <v>143</v>
      </c>
      <c r="M3858" t="s">
        <v>637</v>
      </c>
      <c r="N3858" t="s">
        <v>86</v>
      </c>
      <c r="O3858" s="6" t="s">
        <v>497</v>
      </c>
      <c r="P3858" t="s">
        <v>496</v>
      </c>
      <c r="Q3858">
        <v>1</v>
      </c>
      <c r="R3858" t="s">
        <v>213</v>
      </c>
      <c r="S3858" s="2" t="s">
        <v>9</v>
      </c>
      <c r="T3858">
        <v>4</v>
      </c>
      <c r="U3858" t="s">
        <v>28</v>
      </c>
      <c r="V3858" t="s">
        <v>28</v>
      </c>
      <c r="W3858">
        <v>21</v>
      </c>
      <c r="X3858">
        <v>4.2300000000000004</v>
      </c>
      <c r="Y3858">
        <f>4.49-X3858</f>
        <v>0.25999999999999979</v>
      </c>
      <c r="AA3858" s="6"/>
      <c r="AB3858" s="6"/>
    </row>
    <row r="3859" spans="1:28" x14ac:dyDescent="0.2">
      <c r="A3859" t="s">
        <v>482</v>
      </c>
      <c r="B3859">
        <v>2010</v>
      </c>
      <c r="C3859" t="s">
        <v>826</v>
      </c>
      <c r="D3859" t="s">
        <v>824</v>
      </c>
      <c r="E3859" t="s">
        <v>114</v>
      </c>
      <c r="F3859" t="s">
        <v>486</v>
      </c>
      <c r="G3859">
        <v>37.212491</v>
      </c>
      <c r="H3859">
        <v>122.63297900000001</v>
      </c>
      <c r="I3859" t="s">
        <v>766</v>
      </c>
      <c r="J3859" s="2" t="s">
        <v>14</v>
      </c>
      <c r="K3859" t="s">
        <v>490</v>
      </c>
      <c r="L3859" t="s">
        <v>143</v>
      </c>
      <c r="M3859" t="s">
        <v>637</v>
      </c>
      <c r="N3859" t="s">
        <v>86</v>
      </c>
      <c r="O3859" s="6" t="s">
        <v>497</v>
      </c>
      <c r="P3859" t="s">
        <v>496</v>
      </c>
      <c r="Q3859">
        <v>1</v>
      </c>
      <c r="R3859" t="s">
        <v>213</v>
      </c>
      <c r="S3859" s="2" t="s">
        <v>27</v>
      </c>
      <c r="T3859">
        <v>4</v>
      </c>
      <c r="U3859" t="s">
        <v>28</v>
      </c>
      <c r="V3859" t="s">
        <v>28</v>
      </c>
      <c r="W3859">
        <v>23</v>
      </c>
      <c r="X3859">
        <v>4.1929999999999996</v>
      </c>
      <c r="Y3859">
        <f>4.433-X3859</f>
        <v>0.24000000000000021</v>
      </c>
      <c r="AA3859" s="6"/>
      <c r="AB3859" s="6"/>
    </row>
    <row r="3860" spans="1:28" x14ac:dyDescent="0.2">
      <c r="A3860" t="s">
        <v>482</v>
      </c>
      <c r="B3860">
        <v>2010</v>
      </c>
      <c r="C3860" t="s">
        <v>826</v>
      </c>
      <c r="D3860" t="s">
        <v>824</v>
      </c>
      <c r="E3860" t="s">
        <v>114</v>
      </c>
      <c r="F3860" t="s">
        <v>487</v>
      </c>
      <c r="G3860">
        <v>37.094527999999997</v>
      </c>
      <c r="H3860">
        <v>122.58033500000001</v>
      </c>
      <c r="I3860" t="s">
        <v>766</v>
      </c>
      <c r="J3860" s="2" t="s">
        <v>7</v>
      </c>
      <c r="K3860" t="s">
        <v>490</v>
      </c>
      <c r="L3860" t="s">
        <v>143</v>
      </c>
      <c r="M3860" t="s">
        <v>637</v>
      </c>
      <c r="N3860" t="s">
        <v>86</v>
      </c>
      <c r="O3860" s="6" t="s">
        <v>497</v>
      </c>
      <c r="P3860" t="s">
        <v>496</v>
      </c>
      <c r="Q3860">
        <v>1</v>
      </c>
      <c r="R3860" t="s">
        <v>213</v>
      </c>
      <c r="S3860" s="2" t="s">
        <v>7</v>
      </c>
      <c r="T3860">
        <v>4</v>
      </c>
      <c r="U3860" t="s">
        <v>28</v>
      </c>
      <c r="V3860" t="s">
        <v>28</v>
      </c>
      <c r="W3860">
        <v>10</v>
      </c>
      <c r="X3860">
        <v>4.01</v>
      </c>
      <c r="Y3860">
        <f>4.262-X3860</f>
        <v>0.25199999999999978</v>
      </c>
      <c r="AA3860" s="6"/>
      <c r="AB3860" s="6"/>
    </row>
    <row r="3861" spans="1:28" x14ac:dyDescent="0.2">
      <c r="A3861" t="s">
        <v>482</v>
      </c>
      <c r="B3861">
        <v>2010</v>
      </c>
      <c r="C3861" t="s">
        <v>826</v>
      </c>
      <c r="D3861" t="s">
        <v>824</v>
      </c>
      <c r="E3861" t="s">
        <v>114</v>
      </c>
      <c r="F3861" t="s">
        <v>487</v>
      </c>
      <c r="G3861">
        <v>37.094527999999997</v>
      </c>
      <c r="H3861">
        <v>122.58033500000001</v>
      </c>
      <c r="I3861" t="s">
        <v>766</v>
      </c>
      <c r="J3861" s="2" t="s">
        <v>14</v>
      </c>
      <c r="K3861" t="s">
        <v>490</v>
      </c>
      <c r="L3861" t="s">
        <v>143</v>
      </c>
      <c r="M3861" t="s">
        <v>637</v>
      </c>
      <c r="N3861" t="s">
        <v>86</v>
      </c>
      <c r="O3861" s="6" t="s">
        <v>497</v>
      </c>
      <c r="P3861" t="s">
        <v>496</v>
      </c>
      <c r="Q3861">
        <v>1</v>
      </c>
      <c r="R3861" t="s">
        <v>213</v>
      </c>
      <c r="S3861" s="2" t="s">
        <v>9</v>
      </c>
      <c r="T3861">
        <v>4</v>
      </c>
      <c r="U3861" t="s">
        <v>28</v>
      </c>
      <c r="V3861" t="s">
        <v>28</v>
      </c>
      <c r="W3861">
        <v>21</v>
      </c>
      <c r="X3861">
        <v>4.5170000000000003</v>
      </c>
      <c r="Y3861">
        <f>4.661-X3861</f>
        <v>0.14399999999999924</v>
      </c>
      <c r="AA3861" s="6"/>
      <c r="AB3861" s="6"/>
    </row>
    <row r="3862" spans="1:28" x14ac:dyDescent="0.2">
      <c r="A3862" t="s">
        <v>482</v>
      </c>
      <c r="B3862">
        <v>2010</v>
      </c>
      <c r="C3862" t="s">
        <v>826</v>
      </c>
      <c r="D3862" t="s">
        <v>824</v>
      </c>
      <c r="E3862" t="s">
        <v>114</v>
      </c>
      <c r="F3862" t="s">
        <v>487</v>
      </c>
      <c r="G3862">
        <v>37.094527999999997</v>
      </c>
      <c r="H3862">
        <v>122.58033500000001</v>
      </c>
      <c r="I3862" t="s">
        <v>766</v>
      </c>
      <c r="J3862" s="2" t="s">
        <v>14</v>
      </c>
      <c r="K3862" t="s">
        <v>490</v>
      </c>
      <c r="L3862" t="s">
        <v>143</v>
      </c>
      <c r="M3862" t="s">
        <v>637</v>
      </c>
      <c r="N3862" t="s">
        <v>86</v>
      </c>
      <c r="O3862" s="6" t="s">
        <v>497</v>
      </c>
      <c r="P3862" t="s">
        <v>496</v>
      </c>
      <c r="Q3862">
        <v>1</v>
      </c>
      <c r="R3862" t="s">
        <v>213</v>
      </c>
      <c r="S3862" s="2" t="s">
        <v>27</v>
      </c>
      <c r="T3862">
        <v>4</v>
      </c>
      <c r="U3862" t="s">
        <v>28</v>
      </c>
      <c r="V3862" t="s">
        <v>28</v>
      </c>
      <c r="W3862">
        <v>23</v>
      </c>
      <c r="X3862">
        <v>4.4930000000000003</v>
      </c>
      <c r="Y3862">
        <f>4.72-X3862</f>
        <v>0.22699999999999942</v>
      </c>
      <c r="AA3862" s="6"/>
      <c r="AB3862" s="6"/>
    </row>
    <row r="3863" spans="1:28" x14ac:dyDescent="0.2">
      <c r="A3863" t="s">
        <v>482</v>
      </c>
      <c r="B3863">
        <v>2010</v>
      </c>
      <c r="C3863" t="s">
        <v>826</v>
      </c>
      <c r="D3863" t="s">
        <v>824</v>
      </c>
      <c r="E3863" t="s">
        <v>114</v>
      </c>
      <c r="F3863" t="s">
        <v>488</v>
      </c>
      <c r="G3863">
        <v>37.482649000000002</v>
      </c>
      <c r="H3863">
        <v>121.931369</v>
      </c>
      <c r="I3863" t="s">
        <v>764</v>
      </c>
      <c r="J3863" s="2" t="s">
        <v>7</v>
      </c>
      <c r="K3863" t="s">
        <v>490</v>
      </c>
      <c r="L3863" t="s">
        <v>143</v>
      </c>
      <c r="M3863" t="s">
        <v>637</v>
      </c>
      <c r="N3863" t="s">
        <v>86</v>
      </c>
      <c r="O3863" s="6" t="s">
        <v>497</v>
      </c>
      <c r="P3863" t="s">
        <v>496</v>
      </c>
      <c r="Q3863">
        <v>1</v>
      </c>
      <c r="R3863" t="s">
        <v>213</v>
      </c>
      <c r="S3863" s="2" t="s">
        <v>7</v>
      </c>
      <c r="T3863">
        <v>4</v>
      </c>
      <c r="U3863" t="s">
        <v>28</v>
      </c>
      <c r="V3863" t="s">
        <v>28</v>
      </c>
      <c r="W3863">
        <v>10</v>
      </c>
      <c r="X3863">
        <v>4.2850000000000001</v>
      </c>
      <c r="Y3863">
        <f>4.49-X3863</f>
        <v>0.20500000000000007</v>
      </c>
      <c r="AA3863" s="6"/>
      <c r="AB3863" s="6"/>
    </row>
    <row r="3864" spans="1:28" x14ac:dyDescent="0.2">
      <c r="A3864" t="s">
        <v>482</v>
      </c>
      <c r="B3864">
        <v>2010</v>
      </c>
      <c r="C3864" t="s">
        <v>826</v>
      </c>
      <c r="D3864" t="s">
        <v>824</v>
      </c>
      <c r="E3864" t="s">
        <v>114</v>
      </c>
      <c r="F3864" t="s">
        <v>488</v>
      </c>
      <c r="G3864">
        <v>37.482649000000002</v>
      </c>
      <c r="H3864">
        <v>121.931369</v>
      </c>
      <c r="I3864" t="s">
        <v>764</v>
      </c>
      <c r="J3864" s="2" t="s">
        <v>14</v>
      </c>
      <c r="K3864" t="s">
        <v>490</v>
      </c>
      <c r="L3864" t="s">
        <v>143</v>
      </c>
      <c r="M3864" t="s">
        <v>637</v>
      </c>
      <c r="N3864" t="s">
        <v>86</v>
      </c>
      <c r="O3864" s="6" t="s">
        <v>497</v>
      </c>
      <c r="P3864" t="s">
        <v>496</v>
      </c>
      <c r="Q3864">
        <v>1</v>
      </c>
      <c r="R3864" t="s">
        <v>213</v>
      </c>
      <c r="S3864" s="2" t="s">
        <v>9</v>
      </c>
      <c r="T3864">
        <v>4</v>
      </c>
      <c r="U3864" t="s">
        <v>28</v>
      </c>
      <c r="V3864" t="s">
        <v>28</v>
      </c>
      <c r="W3864">
        <v>21</v>
      </c>
      <c r="X3864">
        <v>4.601</v>
      </c>
      <c r="Y3864">
        <f>4.728-X3864</f>
        <v>0.12699999999999978</v>
      </c>
      <c r="AA3864" s="6"/>
      <c r="AB3864" s="6"/>
    </row>
    <row r="3865" spans="1:28" x14ac:dyDescent="0.2">
      <c r="A3865" t="s">
        <v>482</v>
      </c>
      <c r="B3865">
        <v>2010</v>
      </c>
      <c r="C3865" t="s">
        <v>826</v>
      </c>
      <c r="D3865" t="s">
        <v>824</v>
      </c>
      <c r="E3865" t="s">
        <v>114</v>
      </c>
      <c r="F3865" t="s">
        <v>488</v>
      </c>
      <c r="G3865">
        <v>37.482649000000002</v>
      </c>
      <c r="H3865">
        <v>121.931369</v>
      </c>
      <c r="I3865" t="s">
        <v>764</v>
      </c>
      <c r="J3865" s="2" t="s">
        <v>14</v>
      </c>
      <c r="K3865" t="s">
        <v>490</v>
      </c>
      <c r="L3865" t="s">
        <v>143</v>
      </c>
      <c r="M3865" t="s">
        <v>637</v>
      </c>
      <c r="N3865" t="s">
        <v>86</v>
      </c>
      <c r="O3865" s="6" t="s">
        <v>497</v>
      </c>
      <c r="P3865" t="s">
        <v>496</v>
      </c>
      <c r="Q3865">
        <v>1</v>
      </c>
      <c r="R3865" t="s">
        <v>213</v>
      </c>
      <c r="S3865" s="2" t="s">
        <v>27</v>
      </c>
      <c r="T3865">
        <v>4</v>
      </c>
      <c r="U3865" t="s">
        <v>28</v>
      </c>
      <c r="V3865" t="s">
        <v>28</v>
      </c>
      <c r="W3865">
        <v>23</v>
      </c>
      <c r="X3865">
        <v>4.569</v>
      </c>
      <c r="Y3865">
        <f>4.938-X3865</f>
        <v>0.36899999999999977</v>
      </c>
      <c r="AA3865" s="6"/>
      <c r="AB3865" s="6"/>
    </row>
    <row r="3866" spans="1:28" x14ac:dyDescent="0.2">
      <c r="A3866" t="s">
        <v>482</v>
      </c>
      <c r="B3866">
        <v>2010</v>
      </c>
      <c r="C3866" t="s">
        <v>826</v>
      </c>
      <c r="D3866" t="s">
        <v>824</v>
      </c>
      <c r="E3866" t="s">
        <v>114</v>
      </c>
      <c r="F3866" t="s">
        <v>489</v>
      </c>
      <c r="G3866">
        <v>36.033332000000001</v>
      </c>
      <c r="H3866">
        <v>120.380697</v>
      </c>
      <c r="I3866" t="s">
        <v>764</v>
      </c>
      <c r="J3866" s="2" t="s">
        <v>7</v>
      </c>
      <c r="K3866" t="s">
        <v>490</v>
      </c>
      <c r="L3866" t="s">
        <v>143</v>
      </c>
      <c r="M3866" t="s">
        <v>637</v>
      </c>
      <c r="N3866" t="s">
        <v>86</v>
      </c>
      <c r="O3866" s="6" t="s">
        <v>497</v>
      </c>
      <c r="P3866" t="s">
        <v>496</v>
      </c>
      <c r="Q3866">
        <v>1</v>
      </c>
      <c r="R3866" t="s">
        <v>213</v>
      </c>
      <c r="S3866" s="2" t="s">
        <v>7</v>
      </c>
      <c r="T3866">
        <v>4</v>
      </c>
      <c r="U3866" t="s">
        <v>28</v>
      </c>
      <c r="V3866" t="s">
        <v>28</v>
      </c>
      <c r="W3866">
        <v>10</v>
      </c>
      <c r="X3866">
        <v>4.0869999999999997</v>
      </c>
      <c r="Y3866">
        <f>4.426-X3866</f>
        <v>0.33900000000000041</v>
      </c>
      <c r="AA3866" s="6"/>
      <c r="AB3866" s="6"/>
    </row>
    <row r="3867" spans="1:28" x14ac:dyDescent="0.2">
      <c r="A3867" t="s">
        <v>482</v>
      </c>
      <c r="B3867">
        <v>2010</v>
      </c>
      <c r="C3867" t="s">
        <v>826</v>
      </c>
      <c r="D3867" t="s">
        <v>824</v>
      </c>
      <c r="E3867" t="s">
        <v>114</v>
      </c>
      <c r="F3867" t="s">
        <v>489</v>
      </c>
      <c r="G3867">
        <v>36.033332000000001</v>
      </c>
      <c r="H3867">
        <v>120.380697</v>
      </c>
      <c r="I3867" t="s">
        <v>764</v>
      </c>
      <c r="J3867" s="2" t="s">
        <v>14</v>
      </c>
      <c r="K3867" t="s">
        <v>490</v>
      </c>
      <c r="L3867" t="s">
        <v>143</v>
      </c>
      <c r="M3867" t="s">
        <v>637</v>
      </c>
      <c r="N3867" t="s">
        <v>86</v>
      </c>
      <c r="O3867" s="6" t="s">
        <v>497</v>
      </c>
      <c r="P3867" t="s">
        <v>496</v>
      </c>
      <c r="Q3867">
        <v>1</v>
      </c>
      <c r="R3867" t="s">
        <v>213</v>
      </c>
      <c r="S3867" s="2" t="s">
        <v>9</v>
      </c>
      <c r="T3867">
        <v>4</v>
      </c>
      <c r="U3867" t="s">
        <v>28</v>
      </c>
      <c r="V3867" t="s">
        <v>28</v>
      </c>
      <c r="W3867">
        <v>21</v>
      </c>
      <c r="X3867">
        <v>4.6959999999999997</v>
      </c>
      <c r="Y3867">
        <f>4.978-X3867</f>
        <v>0.28200000000000003</v>
      </c>
      <c r="AA3867" s="6"/>
      <c r="AB3867" s="6"/>
    </row>
    <row r="3868" spans="1:28" x14ac:dyDescent="0.2">
      <c r="A3868" t="s">
        <v>482</v>
      </c>
      <c r="B3868">
        <v>2010</v>
      </c>
      <c r="C3868" t="s">
        <v>826</v>
      </c>
      <c r="D3868" t="s">
        <v>824</v>
      </c>
      <c r="E3868" t="s">
        <v>114</v>
      </c>
      <c r="F3868" t="s">
        <v>489</v>
      </c>
      <c r="G3868">
        <v>36.033332000000001</v>
      </c>
      <c r="H3868">
        <v>120.380697</v>
      </c>
      <c r="I3868" t="s">
        <v>764</v>
      </c>
      <c r="J3868" s="2" t="s">
        <v>14</v>
      </c>
      <c r="K3868" t="s">
        <v>490</v>
      </c>
      <c r="L3868" t="s">
        <v>143</v>
      </c>
      <c r="M3868" t="s">
        <v>637</v>
      </c>
      <c r="N3868" t="s">
        <v>86</v>
      </c>
      <c r="O3868" s="6" t="s">
        <v>497</v>
      </c>
      <c r="P3868" t="s">
        <v>496</v>
      </c>
      <c r="Q3868">
        <v>1</v>
      </c>
      <c r="R3868" t="s">
        <v>213</v>
      </c>
      <c r="S3868" s="2" t="s">
        <v>27</v>
      </c>
      <c r="T3868">
        <v>4</v>
      </c>
      <c r="U3868" t="s">
        <v>28</v>
      </c>
      <c r="V3868" t="s">
        <v>28</v>
      </c>
      <c r="W3868">
        <v>23</v>
      </c>
      <c r="X3868">
        <v>4.5620000000000003</v>
      </c>
      <c r="Y3868">
        <f>4.7-X3868</f>
        <v>0.1379999999999999</v>
      </c>
      <c r="AA3868" s="6"/>
      <c r="AB3868" s="6"/>
    </row>
    <row r="3869" spans="1:28" x14ac:dyDescent="0.2">
      <c r="A3869" t="s">
        <v>482</v>
      </c>
      <c r="B3869">
        <v>2010</v>
      </c>
      <c r="C3869" t="s">
        <v>826</v>
      </c>
      <c r="D3869" t="s">
        <v>824</v>
      </c>
      <c r="E3869" t="s">
        <v>114</v>
      </c>
      <c r="F3869" t="s">
        <v>483</v>
      </c>
      <c r="G3869">
        <v>36.869999999999997</v>
      </c>
      <c r="H3869">
        <v>122.42</v>
      </c>
      <c r="I3869" t="s">
        <v>766</v>
      </c>
      <c r="J3869" s="2" t="s">
        <v>7</v>
      </c>
      <c r="K3869" t="s">
        <v>490</v>
      </c>
      <c r="L3869" t="s">
        <v>143</v>
      </c>
      <c r="M3869" t="s">
        <v>664</v>
      </c>
      <c r="N3869" t="s">
        <v>86</v>
      </c>
      <c r="O3869" s="6" t="s">
        <v>498</v>
      </c>
      <c r="P3869" t="s">
        <v>496</v>
      </c>
      <c r="Q3869">
        <v>1</v>
      </c>
      <c r="R3869" t="s">
        <v>213</v>
      </c>
      <c r="S3869" s="2" t="s">
        <v>7</v>
      </c>
      <c r="T3869">
        <v>4</v>
      </c>
      <c r="U3869" t="s">
        <v>28</v>
      </c>
      <c r="V3869" t="s">
        <v>28</v>
      </c>
      <c r="W3869">
        <v>10</v>
      </c>
      <c r="X3869">
        <v>4.1429999999999998</v>
      </c>
      <c r="Y3869">
        <f>4.381-X3869</f>
        <v>0.23800000000000043</v>
      </c>
      <c r="AA3869" s="6"/>
      <c r="AB3869" s="6"/>
    </row>
    <row r="3870" spans="1:28" x14ac:dyDescent="0.2">
      <c r="A3870" t="s">
        <v>482</v>
      </c>
      <c r="B3870">
        <v>2010</v>
      </c>
      <c r="C3870" t="s">
        <v>826</v>
      </c>
      <c r="D3870" t="s">
        <v>824</v>
      </c>
      <c r="E3870" t="s">
        <v>114</v>
      </c>
      <c r="F3870" t="s">
        <v>483</v>
      </c>
      <c r="G3870">
        <v>36.869999999999997</v>
      </c>
      <c r="H3870">
        <v>122.42</v>
      </c>
      <c r="I3870" t="s">
        <v>766</v>
      </c>
      <c r="J3870" s="2" t="s">
        <v>14</v>
      </c>
      <c r="K3870" t="s">
        <v>490</v>
      </c>
      <c r="L3870" t="s">
        <v>143</v>
      </c>
      <c r="M3870" t="s">
        <v>664</v>
      </c>
      <c r="N3870" t="s">
        <v>86</v>
      </c>
      <c r="O3870" s="6" t="s">
        <v>498</v>
      </c>
      <c r="P3870" t="s">
        <v>496</v>
      </c>
      <c r="Q3870">
        <v>1</v>
      </c>
      <c r="R3870" t="s">
        <v>213</v>
      </c>
      <c r="S3870" s="2" t="s">
        <v>9</v>
      </c>
      <c r="T3870">
        <v>4</v>
      </c>
      <c r="U3870" t="s">
        <v>28</v>
      </c>
      <c r="V3870" t="s">
        <v>28</v>
      </c>
      <c r="W3870">
        <v>21</v>
      </c>
      <c r="X3870">
        <v>4.758</v>
      </c>
      <c r="Y3870">
        <f>5.023-X3870</f>
        <v>0.26499999999999968</v>
      </c>
      <c r="AA3870" s="6"/>
      <c r="AB3870" s="6"/>
    </row>
    <row r="3871" spans="1:28" x14ac:dyDescent="0.2">
      <c r="A3871" t="s">
        <v>482</v>
      </c>
      <c r="B3871">
        <v>2010</v>
      </c>
      <c r="C3871" t="s">
        <v>826</v>
      </c>
      <c r="D3871" t="s">
        <v>824</v>
      </c>
      <c r="E3871" t="s">
        <v>114</v>
      </c>
      <c r="F3871" t="s">
        <v>483</v>
      </c>
      <c r="G3871">
        <v>36.869999999999997</v>
      </c>
      <c r="H3871">
        <v>122.42</v>
      </c>
      <c r="I3871" t="s">
        <v>766</v>
      </c>
      <c r="J3871" s="2" t="s">
        <v>14</v>
      </c>
      <c r="K3871" t="s">
        <v>490</v>
      </c>
      <c r="L3871" t="s">
        <v>143</v>
      </c>
      <c r="M3871" t="s">
        <v>664</v>
      </c>
      <c r="N3871" t="s">
        <v>86</v>
      </c>
      <c r="O3871" s="6" t="s">
        <v>498</v>
      </c>
      <c r="P3871" t="s">
        <v>496</v>
      </c>
      <c r="Q3871">
        <v>1</v>
      </c>
      <c r="R3871" t="s">
        <v>213</v>
      </c>
      <c r="S3871" s="2" t="s">
        <v>27</v>
      </c>
      <c r="T3871">
        <v>4</v>
      </c>
      <c r="U3871" t="s">
        <v>28</v>
      </c>
      <c r="V3871" t="s">
        <v>28</v>
      </c>
      <c r="W3871">
        <v>23</v>
      </c>
      <c r="X3871">
        <v>4.63</v>
      </c>
      <c r="Y3871">
        <f>4.755-X3871</f>
        <v>0.125</v>
      </c>
      <c r="AA3871" s="6"/>
      <c r="AB3871" s="6"/>
    </row>
    <row r="3872" spans="1:28" x14ac:dyDescent="0.2">
      <c r="A3872" t="s">
        <v>482</v>
      </c>
      <c r="B3872">
        <v>2010</v>
      </c>
      <c r="C3872" t="s">
        <v>826</v>
      </c>
      <c r="D3872" t="s">
        <v>824</v>
      </c>
      <c r="E3872" t="s">
        <v>114</v>
      </c>
      <c r="F3872" t="s">
        <v>484</v>
      </c>
      <c r="G3872">
        <v>37.24</v>
      </c>
      <c r="H3872">
        <v>122.58</v>
      </c>
      <c r="I3872" t="s">
        <v>766</v>
      </c>
      <c r="J3872" s="2" t="s">
        <v>7</v>
      </c>
      <c r="K3872" t="s">
        <v>490</v>
      </c>
      <c r="L3872" t="s">
        <v>143</v>
      </c>
      <c r="M3872" t="s">
        <v>664</v>
      </c>
      <c r="N3872" t="s">
        <v>86</v>
      </c>
      <c r="O3872" s="6" t="s">
        <v>498</v>
      </c>
      <c r="P3872" t="s">
        <v>496</v>
      </c>
      <c r="Q3872">
        <v>1</v>
      </c>
      <c r="R3872" t="s">
        <v>213</v>
      </c>
      <c r="S3872" s="2" t="s">
        <v>7</v>
      </c>
      <c r="T3872">
        <v>4</v>
      </c>
      <c r="U3872" t="s">
        <v>28</v>
      </c>
      <c r="V3872" t="s">
        <v>28</v>
      </c>
      <c r="W3872">
        <v>10</v>
      </c>
      <c r="X3872">
        <v>3.77</v>
      </c>
      <c r="Y3872">
        <f>4.072-X3872</f>
        <v>0.30200000000000005</v>
      </c>
      <c r="AA3872" s="6"/>
      <c r="AB3872" s="6"/>
    </row>
    <row r="3873" spans="1:28" x14ac:dyDescent="0.2">
      <c r="A3873" t="s">
        <v>482</v>
      </c>
      <c r="B3873">
        <v>2010</v>
      </c>
      <c r="C3873" t="s">
        <v>826</v>
      </c>
      <c r="D3873" t="s">
        <v>824</v>
      </c>
      <c r="E3873" t="s">
        <v>114</v>
      </c>
      <c r="F3873" t="s">
        <v>484</v>
      </c>
      <c r="G3873">
        <v>37.24</v>
      </c>
      <c r="H3873">
        <v>122.58</v>
      </c>
      <c r="I3873" t="s">
        <v>766</v>
      </c>
      <c r="J3873" s="2" t="s">
        <v>14</v>
      </c>
      <c r="K3873" t="s">
        <v>490</v>
      </c>
      <c r="L3873" t="s">
        <v>143</v>
      </c>
      <c r="M3873" t="s">
        <v>664</v>
      </c>
      <c r="N3873" t="s">
        <v>86</v>
      </c>
      <c r="O3873" s="6" t="s">
        <v>498</v>
      </c>
      <c r="P3873" t="s">
        <v>496</v>
      </c>
      <c r="Q3873">
        <v>1</v>
      </c>
      <c r="R3873" t="s">
        <v>213</v>
      </c>
      <c r="S3873" s="2" t="s">
        <v>9</v>
      </c>
      <c r="T3873">
        <v>4</v>
      </c>
      <c r="U3873" t="s">
        <v>28</v>
      </c>
      <c r="V3873" t="s">
        <v>28</v>
      </c>
      <c r="W3873">
        <v>21</v>
      </c>
      <c r="X3873">
        <v>4.46</v>
      </c>
      <c r="Y3873">
        <f>4.872-X3873</f>
        <v>0.41199999999999992</v>
      </c>
      <c r="AA3873" s="6"/>
      <c r="AB3873" s="6"/>
    </row>
    <row r="3874" spans="1:28" x14ac:dyDescent="0.2">
      <c r="A3874" t="s">
        <v>482</v>
      </c>
      <c r="B3874">
        <v>2010</v>
      </c>
      <c r="C3874" t="s">
        <v>826</v>
      </c>
      <c r="D3874" t="s">
        <v>824</v>
      </c>
      <c r="E3874" t="s">
        <v>114</v>
      </c>
      <c r="F3874" t="s">
        <v>484</v>
      </c>
      <c r="G3874">
        <v>37.24</v>
      </c>
      <c r="H3874">
        <v>122.58</v>
      </c>
      <c r="I3874" t="s">
        <v>766</v>
      </c>
      <c r="J3874" s="2" t="s">
        <v>14</v>
      </c>
      <c r="K3874" t="s">
        <v>490</v>
      </c>
      <c r="L3874" t="s">
        <v>143</v>
      </c>
      <c r="M3874" t="s">
        <v>664</v>
      </c>
      <c r="N3874" t="s">
        <v>86</v>
      </c>
      <c r="O3874" s="6" t="s">
        <v>498</v>
      </c>
      <c r="P3874" t="s">
        <v>496</v>
      </c>
      <c r="Q3874">
        <v>1</v>
      </c>
      <c r="R3874" t="s">
        <v>213</v>
      </c>
      <c r="S3874" s="2" t="s">
        <v>27</v>
      </c>
      <c r="T3874">
        <v>4</v>
      </c>
      <c r="U3874" t="s">
        <v>28</v>
      </c>
      <c r="V3874" t="s">
        <v>28</v>
      </c>
      <c r="W3874">
        <v>23</v>
      </c>
      <c r="X3874">
        <v>4.4189999999999996</v>
      </c>
      <c r="Y3874">
        <f>4.781-X3874</f>
        <v>0.3620000000000001</v>
      </c>
      <c r="AA3874" s="6"/>
      <c r="AB3874" s="6"/>
    </row>
    <row r="3875" spans="1:28" x14ac:dyDescent="0.2">
      <c r="A3875" t="s">
        <v>482</v>
      </c>
      <c r="B3875">
        <v>2010</v>
      </c>
      <c r="C3875" t="s">
        <v>826</v>
      </c>
      <c r="D3875" t="s">
        <v>824</v>
      </c>
      <c r="E3875" t="s">
        <v>114</v>
      </c>
      <c r="F3875" t="s">
        <v>485</v>
      </c>
      <c r="G3875">
        <v>37.478665999999997</v>
      </c>
      <c r="H3875">
        <v>121.949291</v>
      </c>
      <c r="I3875" t="s">
        <v>766</v>
      </c>
      <c r="J3875" s="2" t="s">
        <v>7</v>
      </c>
      <c r="K3875" t="s">
        <v>490</v>
      </c>
      <c r="L3875" t="s">
        <v>143</v>
      </c>
      <c r="M3875" t="s">
        <v>664</v>
      </c>
      <c r="N3875" t="s">
        <v>86</v>
      </c>
      <c r="O3875" s="6" t="s">
        <v>498</v>
      </c>
      <c r="P3875" t="s">
        <v>496</v>
      </c>
      <c r="Q3875">
        <v>1</v>
      </c>
      <c r="R3875" t="s">
        <v>213</v>
      </c>
      <c r="S3875" s="2" t="s">
        <v>7</v>
      </c>
      <c r="T3875">
        <v>4</v>
      </c>
      <c r="U3875" t="s">
        <v>28</v>
      </c>
      <c r="V3875" t="s">
        <v>28</v>
      </c>
      <c r="W3875">
        <v>10</v>
      </c>
      <c r="X3875">
        <v>4.0750000000000002</v>
      </c>
      <c r="Y3875">
        <f>4.34-X3875</f>
        <v>0.26499999999999968</v>
      </c>
      <c r="AA3875" s="6"/>
      <c r="AB3875" s="6"/>
    </row>
    <row r="3876" spans="1:28" x14ac:dyDescent="0.2">
      <c r="A3876" t="s">
        <v>482</v>
      </c>
      <c r="B3876">
        <v>2010</v>
      </c>
      <c r="C3876" t="s">
        <v>826</v>
      </c>
      <c r="D3876" t="s">
        <v>824</v>
      </c>
      <c r="E3876" t="s">
        <v>114</v>
      </c>
      <c r="F3876" t="s">
        <v>485</v>
      </c>
      <c r="G3876">
        <v>37.478665999999997</v>
      </c>
      <c r="H3876">
        <v>121.949291</v>
      </c>
      <c r="I3876" t="s">
        <v>766</v>
      </c>
      <c r="J3876" s="2" t="s">
        <v>14</v>
      </c>
      <c r="K3876" t="s">
        <v>490</v>
      </c>
      <c r="L3876" t="s">
        <v>143</v>
      </c>
      <c r="M3876" t="s">
        <v>664</v>
      </c>
      <c r="N3876" t="s">
        <v>86</v>
      </c>
      <c r="O3876" s="6" t="s">
        <v>498</v>
      </c>
      <c r="P3876" t="s">
        <v>496</v>
      </c>
      <c r="Q3876">
        <v>1</v>
      </c>
      <c r="R3876" t="s">
        <v>213</v>
      </c>
      <c r="S3876" s="2" t="s">
        <v>9</v>
      </c>
      <c r="T3876">
        <v>4</v>
      </c>
      <c r="U3876" t="s">
        <v>28</v>
      </c>
      <c r="V3876" t="s">
        <v>28</v>
      </c>
      <c r="W3876">
        <v>21</v>
      </c>
      <c r="X3876">
        <v>4.181</v>
      </c>
      <c r="Y3876">
        <f>4.411-X3876</f>
        <v>0.22999999999999954</v>
      </c>
      <c r="AA3876" s="6"/>
      <c r="AB3876" s="6"/>
    </row>
    <row r="3877" spans="1:28" x14ac:dyDescent="0.2">
      <c r="A3877" t="s">
        <v>482</v>
      </c>
      <c r="B3877">
        <v>2010</v>
      </c>
      <c r="C3877" t="s">
        <v>826</v>
      </c>
      <c r="D3877" t="s">
        <v>824</v>
      </c>
      <c r="E3877" t="s">
        <v>114</v>
      </c>
      <c r="F3877" t="s">
        <v>485</v>
      </c>
      <c r="G3877">
        <v>37.478665999999997</v>
      </c>
      <c r="H3877">
        <v>121.949291</v>
      </c>
      <c r="I3877" t="s">
        <v>766</v>
      </c>
      <c r="J3877" s="2" t="s">
        <v>14</v>
      </c>
      <c r="K3877" t="s">
        <v>490</v>
      </c>
      <c r="L3877" t="s">
        <v>143</v>
      </c>
      <c r="M3877" t="s">
        <v>664</v>
      </c>
      <c r="N3877" t="s">
        <v>86</v>
      </c>
      <c r="O3877" s="6" t="s">
        <v>498</v>
      </c>
      <c r="P3877" t="s">
        <v>496</v>
      </c>
      <c r="Q3877">
        <v>1</v>
      </c>
      <c r="R3877" t="s">
        <v>213</v>
      </c>
      <c r="S3877" s="2" t="s">
        <v>27</v>
      </c>
      <c r="T3877">
        <v>4</v>
      </c>
      <c r="U3877" t="s">
        <v>28</v>
      </c>
      <c r="V3877" t="s">
        <v>28</v>
      </c>
      <c r="W3877">
        <v>23</v>
      </c>
      <c r="X3877">
        <v>4.008</v>
      </c>
      <c r="Y3877">
        <f>4.411-X3877</f>
        <v>0.40299999999999958</v>
      </c>
      <c r="AA3877" s="6"/>
      <c r="AB3877" s="6"/>
    </row>
    <row r="3878" spans="1:28" x14ac:dyDescent="0.2">
      <c r="A3878" t="s">
        <v>482</v>
      </c>
      <c r="B3878">
        <v>2010</v>
      </c>
      <c r="C3878" t="s">
        <v>826</v>
      </c>
      <c r="D3878" t="s">
        <v>824</v>
      </c>
      <c r="E3878" t="s">
        <v>114</v>
      </c>
      <c r="F3878" t="s">
        <v>486</v>
      </c>
      <c r="G3878">
        <v>37.212491</v>
      </c>
      <c r="H3878">
        <v>122.63297900000001</v>
      </c>
      <c r="I3878" t="s">
        <v>766</v>
      </c>
      <c r="J3878" s="2" t="s">
        <v>7</v>
      </c>
      <c r="K3878" t="s">
        <v>490</v>
      </c>
      <c r="L3878" t="s">
        <v>143</v>
      </c>
      <c r="M3878" t="s">
        <v>664</v>
      </c>
      <c r="N3878" t="s">
        <v>86</v>
      </c>
      <c r="O3878" s="6" t="s">
        <v>498</v>
      </c>
      <c r="P3878" t="s">
        <v>496</v>
      </c>
      <c r="Q3878">
        <v>1</v>
      </c>
      <c r="R3878" t="s">
        <v>213</v>
      </c>
      <c r="S3878" s="2" t="s">
        <v>7</v>
      </c>
      <c r="T3878">
        <v>4</v>
      </c>
      <c r="U3878" t="s">
        <v>28</v>
      </c>
      <c r="V3878" t="s">
        <v>28</v>
      </c>
      <c r="W3878">
        <v>10</v>
      </c>
      <c r="X3878">
        <v>4.1360000000000001</v>
      </c>
      <c r="Y3878">
        <f>4.498-X3878</f>
        <v>0.3620000000000001</v>
      </c>
      <c r="AA3878" s="6"/>
      <c r="AB3878" s="6"/>
    </row>
    <row r="3879" spans="1:28" x14ac:dyDescent="0.2">
      <c r="A3879" t="s">
        <v>482</v>
      </c>
      <c r="B3879">
        <v>2010</v>
      </c>
      <c r="C3879" t="s">
        <v>826</v>
      </c>
      <c r="D3879" t="s">
        <v>824</v>
      </c>
      <c r="E3879" t="s">
        <v>114</v>
      </c>
      <c r="F3879" t="s">
        <v>486</v>
      </c>
      <c r="G3879">
        <v>37.212491</v>
      </c>
      <c r="H3879">
        <v>122.63297900000001</v>
      </c>
      <c r="I3879" t="s">
        <v>766</v>
      </c>
      <c r="J3879" s="2" t="s">
        <v>14</v>
      </c>
      <c r="K3879" t="s">
        <v>490</v>
      </c>
      <c r="L3879" t="s">
        <v>143</v>
      </c>
      <c r="M3879" t="s">
        <v>664</v>
      </c>
      <c r="N3879" t="s">
        <v>86</v>
      </c>
      <c r="O3879" s="6" t="s">
        <v>498</v>
      </c>
      <c r="P3879" t="s">
        <v>496</v>
      </c>
      <c r="Q3879">
        <v>1</v>
      </c>
      <c r="R3879" t="s">
        <v>213</v>
      </c>
      <c r="S3879" s="2" t="s">
        <v>9</v>
      </c>
      <c r="T3879">
        <v>4</v>
      </c>
      <c r="U3879" t="s">
        <v>28</v>
      </c>
      <c r="V3879" t="s">
        <v>28</v>
      </c>
      <c r="W3879">
        <v>21</v>
      </c>
      <c r="X3879">
        <v>4.3849999999999998</v>
      </c>
      <c r="Y3879">
        <f>4.57-X3879</f>
        <v>0.1850000000000005</v>
      </c>
      <c r="AA3879" s="6"/>
      <c r="AB3879" s="6"/>
    </row>
    <row r="3880" spans="1:28" x14ac:dyDescent="0.2">
      <c r="A3880" t="s">
        <v>482</v>
      </c>
      <c r="B3880">
        <v>2010</v>
      </c>
      <c r="C3880" t="s">
        <v>826</v>
      </c>
      <c r="D3880" t="s">
        <v>824</v>
      </c>
      <c r="E3880" t="s">
        <v>114</v>
      </c>
      <c r="F3880" t="s">
        <v>486</v>
      </c>
      <c r="G3880">
        <v>37.212491</v>
      </c>
      <c r="H3880">
        <v>122.63297900000001</v>
      </c>
      <c r="I3880" t="s">
        <v>766</v>
      </c>
      <c r="J3880" s="2" t="s">
        <v>14</v>
      </c>
      <c r="K3880" t="s">
        <v>490</v>
      </c>
      <c r="L3880" t="s">
        <v>143</v>
      </c>
      <c r="M3880" t="s">
        <v>664</v>
      </c>
      <c r="N3880" t="s">
        <v>86</v>
      </c>
      <c r="O3880" s="6" t="s">
        <v>498</v>
      </c>
      <c r="P3880" t="s">
        <v>496</v>
      </c>
      <c r="Q3880">
        <v>1</v>
      </c>
      <c r="R3880" t="s">
        <v>213</v>
      </c>
      <c r="S3880" s="2" t="s">
        <v>27</v>
      </c>
      <c r="T3880">
        <v>4</v>
      </c>
      <c r="U3880" t="s">
        <v>28</v>
      </c>
      <c r="V3880" t="s">
        <v>28</v>
      </c>
      <c r="W3880">
        <v>23</v>
      </c>
      <c r="X3880">
        <v>4.125</v>
      </c>
      <c r="Y3880">
        <f>4.211-X3880</f>
        <v>8.6000000000000298E-2</v>
      </c>
      <c r="AA3880" s="6"/>
      <c r="AB3880" s="6"/>
    </row>
    <row r="3881" spans="1:28" x14ac:dyDescent="0.2">
      <c r="A3881" t="s">
        <v>482</v>
      </c>
      <c r="B3881">
        <v>2010</v>
      </c>
      <c r="C3881" t="s">
        <v>826</v>
      </c>
      <c r="D3881" t="s">
        <v>824</v>
      </c>
      <c r="E3881" t="s">
        <v>114</v>
      </c>
      <c r="F3881" t="s">
        <v>487</v>
      </c>
      <c r="G3881">
        <v>37.094527999999997</v>
      </c>
      <c r="H3881">
        <v>122.58033500000001</v>
      </c>
      <c r="I3881" t="s">
        <v>766</v>
      </c>
      <c r="J3881" s="2" t="s">
        <v>7</v>
      </c>
      <c r="K3881" t="s">
        <v>490</v>
      </c>
      <c r="L3881" t="s">
        <v>143</v>
      </c>
      <c r="M3881" t="s">
        <v>664</v>
      </c>
      <c r="N3881" t="s">
        <v>86</v>
      </c>
      <c r="O3881" s="6" t="s">
        <v>498</v>
      </c>
      <c r="P3881" t="s">
        <v>496</v>
      </c>
      <c r="Q3881">
        <v>1</v>
      </c>
      <c r="R3881" t="s">
        <v>213</v>
      </c>
      <c r="S3881" s="2" t="s">
        <v>7</v>
      </c>
      <c r="T3881">
        <v>4</v>
      </c>
      <c r="U3881" t="s">
        <v>28</v>
      </c>
      <c r="V3881" t="s">
        <v>28</v>
      </c>
      <c r="W3881">
        <v>10</v>
      </c>
      <c r="X3881">
        <v>4.3890000000000002</v>
      </c>
      <c r="Y3881">
        <f>4.513-X3881</f>
        <v>0.12399999999999967</v>
      </c>
      <c r="AA3881" s="6"/>
      <c r="AB3881" s="6"/>
    </row>
    <row r="3882" spans="1:28" x14ac:dyDescent="0.2">
      <c r="A3882" t="s">
        <v>482</v>
      </c>
      <c r="B3882">
        <v>2010</v>
      </c>
      <c r="C3882" t="s">
        <v>826</v>
      </c>
      <c r="D3882" t="s">
        <v>824</v>
      </c>
      <c r="E3882" t="s">
        <v>114</v>
      </c>
      <c r="F3882" t="s">
        <v>487</v>
      </c>
      <c r="G3882">
        <v>37.094527999999997</v>
      </c>
      <c r="H3882">
        <v>122.58033500000001</v>
      </c>
      <c r="I3882" t="s">
        <v>766</v>
      </c>
      <c r="J3882" s="2" t="s">
        <v>14</v>
      </c>
      <c r="K3882" t="s">
        <v>490</v>
      </c>
      <c r="L3882" t="s">
        <v>143</v>
      </c>
      <c r="M3882" t="s">
        <v>664</v>
      </c>
      <c r="N3882" t="s">
        <v>86</v>
      </c>
      <c r="O3882" s="6" t="s">
        <v>498</v>
      </c>
      <c r="P3882" t="s">
        <v>496</v>
      </c>
      <c r="Q3882">
        <v>1</v>
      </c>
      <c r="R3882" t="s">
        <v>213</v>
      </c>
      <c r="S3882" s="2" t="s">
        <v>9</v>
      </c>
      <c r="T3882">
        <v>4</v>
      </c>
      <c r="U3882" t="s">
        <v>28</v>
      </c>
      <c r="V3882" t="s">
        <v>28</v>
      </c>
      <c r="W3882">
        <v>21</v>
      </c>
      <c r="X3882">
        <v>4.6079999999999997</v>
      </c>
      <c r="Y3882">
        <f>4.842-X3882</f>
        <v>0.23399999999999999</v>
      </c>
      <c r="AA3882" s="6"/>
      <c r="AB3882" s="6"/>
    </row>
    <row r="3883" spans="1:28" x14ac:dyDescent="0.2">
      <c r="A3883" t="s">
        <v>482</v>
      </c>
      <c r="B3883">
        <v>2010</v>
      </c>
      <c r="C3883" t="s">
        <v>826</v>
      </c>
      <c r="D3883" t="s">
        <v>824</v>
      </c>
      <c r="E3883" t="s">
        <v>114</v>
      </c>
      <c r="F3883" t="s">
        <v>487</v>
      </c>
      <c r="G3883">
        <v>37.094527999999997</v>
      </c>
      <c r="H3883">
        <v>122.58033500000001</v>
      </c>
      <c r="I3883" t="s">
        <v>766</v>
      </c>
      <c r="J3883" s="2" t="s">
        <v>14</v>
      </c>
      <c r="K3883" t="s">
        <v>490</v>
      </c>
      <c r="L3883" t="s">
        <v>143</v>
      </c>
      <c r="M3883" t="s">
        <v>664</v>
      </c>
      <c r="N3883" t="s">
        <v>86</v>
      </c>
      <c r="O3883" s="6" t="s">
        <v>498</v>
      </c>
      <c r="P3883" t="s">
        <v>496</v>
      </c>
      <c r="Q3883">
        <v>1</v>
      </c>
      <c r="R3883" t="s">
        <v>213</v>
      </c>
      <c r="S3883" s="2" t="s">
        <v>27</v>
      </c>
      <c r="T3883">
        <v>4</v>
      </c>
      <c r="U3883" t="s">
        <v>28</v>
      </c>
      <c r="V3883" t="s">
        <v>28</v>
      </c>
      <c r="W3883">
        <v>23</v>
      </c>
      <c r="X3883">
        <v>4.5620000000000003</v>
      </c>
      <c r="Y3883">
        <f>4.925-X3883</f>
        <v>0.36299999999999955</v>
      </c>
      <c r="AA3883" s="6"/>
      <c r="AB3883" s="6"/>
    </row>
    <row r="3884" spans="1:28" x14ac:dyDescent="0.2">
      <c r="A3884" t="s">
        <v>482</v>
      </c>
      <c r="B3884">
        <v>2010</v>
      </c>
      <c r="C3884" t="s">
        <v>826</v>
      </c>
      <c r="D3884" t="s">
        <v>824</v>
      </c>
      <c r="E3884" t="s">
        <v>114</v>
      </c>
      <c r="F3884" t="s">
        <v>488</v>
      </c>
      <c r="G3884">
        <v>37.482649000000002</v>
      </c>
      <c r="H3884">
        <v>121.931369</v>
      </c>
      <c r="I3884" t="s">
        <v>764</v>
      </c>
      <c r="J3884" s="2" t="s">
        <v>7</v>
      </c>
      <c r="K3884" t="s">
        <v>490</v>
      </c>
      <c r="L3884" t="s">
        <v>143</v>
      </c>
      <c r="M3884" t="s">
        <v>664</v>
      </c>
      <c r="N3884" t="s">
        <v>86</v>
      </c>
      <c r="O3884" s="6" t="s">
        <v>498</v>
      </c>
      <c r="P3884" t="s">
        <v>496</v>
      </c>
      <c r="Q3884">
        <v>1</v>
      </c>
      <c r="R3884" t="s">
        <v>213</v>
      </c>
      <c r="S3884" s="2" t="s">
        <v>7</v>
      </c>
      <c r="T3884">
        <v>4</v>
      </c>
      <c r="U3884" t="s">
        <v>28</v>
      </c>
      <c r="V3884" t="s">
        <v>28</v>
      </c>
      <c r="W3884">
        <v>10</v>
      </c>
      <c r="X3884">
        <v>4.2039999999999997</v>
      </c>
      <c r="Y3884">
        <f>4.453-X3884</f>
        <v>0.24900000000000055</v>
      </c>
      <c r="AA3884" s="6"/>
      <c r="AB3884" s="6"/>
    </row>
    <row r="3885" spans="1:28" x14ac:dyDescent="0.2">
      <c r="A3885" t="s">
        <v>482</v>
      </c>
      <c r="B3885">
        <v>2010</v>
      </c>
      <c r="C3885" t="s">
        <v>826</v>
      </c>
      <c r="D3885" t="s">
        <v>824</v>
      </c>
      <c r="E3885" t="s">
        <v>114</v>
      </c>
      <c r="F3885" t="s">
        <v>488</v>
      </c>
      <c r="G3885">
        <v>37.482649000000002</v>
      </c>
      <c r="H3885">
        <v>121.931369</v>
      </c>
      <c r="I3885" t="s">
        <v>764</v>
      </c>
      <c r="J3885" s="2" t="s">
        <v>14</v>
      </c>
      <c r="K3885" t="s">
        <v>490</v>
      </c>
      <c r="L3885" t="s">
        <v>143</v>
      </c>
      <c r="M3885" t="s">
        <v>664</v>
      </c>
      <c r="N3885" t="s">
        <v>86</v>
      </c>
      <c r="O3885" s="6" t="s">
        <v>498</v>
      </c>
      <c r="P3885" t="s">
        <v>496</v>
      </c>
      <c r="Q3885">
        <v>1</v>
      </c>
      <c r="R3885" t="s">
        <v>213</v>
      </c>
      <c r="S3885" s="2" t="s">
        <v>9</v>
      </c>
      <c r="T3885">
        <v>4</v>
      </c>
      <c r="U3885" t="s">
        <v>28</v>
      </c>
      <c r="V3885" t="s">
        <v>28</v>
      </c>
      <c r="W3885">
        <v>21</v>
      </c>
      <c r="X3885">
        <v>5.117</v>
      </c>
      <c r="Y3885">
        <f>5.298-X3885</f>
        <v>0.18100000000000005</v>
      </c>
      <c r="AA3885" s="6"/>
      <c r="AB3885" s="6"/>
    </row>
    <row r="3886" spans="1:28" x14ac:dyDescent="0.2">
      <c r="A3886" t="s">
        <v>482</v>
      </c>
      <c r="B3886">
        <v>2010</v>
      </c>
      <c r="C3886" t="s">
        <v>826</v>
      </c>
      <c r="D3886" t="s">
        <v>824</v>
      </c>
      <c r="E3886" t="s">
        <v>114</v>
      </c>
      <c r="F3886" t="s">
        <v>488</v>
      </c>
      <c r="G3886">
        <v>37.482649000000002</v>
      </c>
      <c r="H3886">
        <v>121.931369</v>
      </c>
      <c r="I3886" t="s">
        <v>764</v>
      </c>
      <c r="J3886" s="2" t="s">
        <v>14</v>
      </c>
      <c r="K3886" t="s">
        <v>490</v>
      </c>
      <c r="L3886" t="s">
        <v>143</v>
      </c>
      <c r="M3886" t="s">
        <v>664</v>
      </c>
      <c r="N3886" t="s">
        <v>86</v>
      </c>
      <c r="O3886" s="6" t="s">
        <v>498</v>
      </c>
      <c r="P3886" t="s">
        <v>496</v>
      </c>
      <c r="Q3886">
        <v>1</v>
      </c>
      <c r="R3886" t="s">
        <v>213</v>
      </c>
      <c r="S3886" s="2" t="s">
        <v>27</v>
      </c>
      <c r="T3886">
        <v>4</v>
      </c>
      <c r="U3886" t="s">
        <v>28</v>
      </c>
      <c r="V3886" t="s">
        <v>28</v>
      </c>
      <c r="W3886">
        <v>23</v>
      </c>
      <c r="X3886">
        <v>4.8570000000000002</v>
      </c>
      <c r="Y3886">
        <f>4.996-X3886</f>
        <v>0.13900000000000023</v>
      </c>
      <c r="AA3886" s="6"/>
      <c r="AB3886" s="6"/>
    </row>
    <row r="3887" spans="1:28" x14ac:dyDescent="0.2">
      <c r="A3887" t="s">
        <v>482</v>
      </c>
      <c r="B3887">
        <v>2010</v>
      </c>
      <c r="C3887" t="s">
        <v>826</v>
      </c>
      <c r="D3887" t="s">
        <v>824</v>
      </c>
      <c r="E3887" t="s">
        <v>114</v>
      </c>
      <c r="F3887" t="s">
        <v>489</v>
      </c>
      <c r="G3887">
        <v>36.033332000000001</v>
      </c>
      <c r="H3887">
        <v>120.380697</v>
      </c>
      <c r="I3887" t="s">
        <v>764</v>
      </c>
      <c r="J3887" s="2" t="s">
        <v>7</v>
      </c>
      <c r="K3887" t="s">
        <v>490</v>
      </c>
      <c r="L3887" t="s">
        <v>143</v>
      </c>
      <c r="M3887" t="s">
        <v>664</v>
      </c>
      <c r="N3887" t="s">
        <v>86</v>
      </c>
      <c r="O3887" s="6" t="s">
        <v>498</v>
      </c>
      <c r="P3887" t="s">
        <v>496</v>
      </c>
      <c r="Q3887">
        <v>1</v>
      </c>
      <c r="R3887" t="s">
        <v>213</v>
      </c>
      <c r="S3887" s="2" t="s">
        <v>7</v>
      </c>
      <c r="T3887">
        <v>4</v>
      </c>
      <c r="U3887" t="s">
        <v>28</v>
      </c>
      <c r="V3887" t="s">
        <v>28</v>
      </c>
      <c r="W3887">
        <v>10</v>
      </c>
      <c r="X3887">
        <v>4.7469999999999999</v>
      </c>
      <c r="Y3887">
        <f>4.868-X3887</f>
        <v>0.12100000000000044</v>
      </c>
      <c r="AA3887" s="6"/>
      <c r="AB3887" s="6"/>
    </row>
    <row r="3888" spans="1:28" x14ac:dyDescent="0.2">
      <c r="A3888" t="s">
        <v>482</v>
      </c>
      <c r="B3888">
        <v>2010</v>
      </c>
      <c r="C3888" t="s">
        <v>826</v>
      </c>
      <c r="D3888" t="s">
        <v>824</v>
      </c>
      <c r="E3888" t="s">
        <v>114</v>
      </c>
      <c r="F3888" t="s">
        <v>489</v>
      </c>
      <c r="G3888">
        <v>36.033332000000001</v>
      </c>
      <c r="H3888">
        <v>120.380697</v>
      </c>
      <c r="I3888" t="s">
        <v>764</v>
      </c>
      <c r="J3888" s="2" t="s">
        <v>14</v>
      </c>
      <c r="K3888" t="s">
        <v>490</v>
      </c>
      <c r="L3888" t="s">
        <v>143</v>
      </c>
      <c r="M3888" t="s">
        <v>664</v>
      </c>
      <c r="N3888" t="s">
        <v>86</v>
      </c>
      <c r="O3888" s="6" t="s">
        <v>498</v>
      </c>
      <c r="P3888" t="s">
        <v>496</v>
      </c>
      <c r="Q3888">
        <v>1</v>
      </c>
      <c r="R3888" t="s">
        <v>213</v>
      </c>
      <c r="S3888" s="2" t="s">
        <v>9</v>
      </c>
      <c r="T3888">
        <v>4</v>
      </c>
      <c r="U3888" t="s">
        <v>28</v>
      </c>
      <c r="V3888" t="s">
        <v>28</v>
      </c>
      <c r="W3888">
        <v>21</v>
      </c>
      <c r="X3888">
        <v>5.2190000000000003</v>
      </c>
      <c r="Y3888">
        <f>5.54-X3888</f>
        <v>0.32099999999999973</v>
      </c>
      <c r="AA3888" s="6"/>
      <c r="AB3888" s="6"/>
    </row>
    <row r="3889" spans="1:28" x14ac:dyDescent="0.2">
      <c r="A3889" t="s">
        <v>482</v>
      </c>
      <c r="B3889">
        <v>2010</v>
      </c>
      <c r="C3889" t="s">
        <v>826</v>
      </c>
      <c r="D3889" t="s">
        <v>824</v>
      </c>
      <c r="E3889" t="s">
        <v>114</v>
      </c>
      <c r="F3889" t="s">
        <v>489</v>
      </c>
      <c r="G3889">
        <v>36.033332000000001</v>
      </c>
      <c r="H3889">
        <v>120.380697</v>
      </c>
      <c r="I3889" t="s">
        <v>764</v>
      </c>
      <c r="J3889" s="2" t="s">
        <v>14</v>
      </c>
      <c r="K3889" t="s">
        <v>490</v>
      </c>
      <c r="L3889" t="s">
        <v>143</v>
      </c>
      <c r="M3889" t="s">
        <v>664</v>
      </c>
      <c r="N3889" t="s">
        <v>86</v>
      </c>
      <c r="O3889" s="6" t="s">
        <v>498</v>
      </c>
      <c r="P3889" t="s">
        <v>496</v>
      </c>
      <c r="Q3889">
        <v>1</v>
      </c>
      <c r="R3889" t="s">
        <v>213</v>
      </c>
      <c r="S3889" s="2" t="s">
        <v>27</v>
      </c>
      <c r="T3889">
        <v>4</v>
      </c>
      <c r="U3889" t="s">
        <v>28</v>
      </c>
      <c r="V3889" t="s">
        <v>28</v>
      </c>
      <c r="W3889">
        <v>23</v>
      </c>
      <c r="X3889">
        <v>4.9850000000000003</v>
      </c>
      <c r="Y3889">
        <f>5.185-X3889</f>
        <v>0.19999999999999929</v>
      </c>
      <c r="AA3889" s="6"/>
      <c r="AB3889" s="6"/>
    </row>
    <row r="3890" spans="1:28" x14ac:dyDescent="0.2">
      <c r="A3890" t="s">
        <v>482</v>
      </c>
      <c r="B3890">
        <v>2010</v>
      </c>
      <c r="C3890" t="s">
        <v>826</v>
      </c>
      <c r="D3890" t="s">
        <v>824</v>
      </c>
      <c r="E3890" t="s">
        <v>114</v>
      </c>
      <c r="F3890" t="s">
        <v>483</v>
      </c>
      <c r="G3890">
        <v>36.869999999999997</v>
      </c>
      <c r="H3890">
        <v>122.42</v>
      </c>
      <c r="I3890" t="s">
        <v>766</v>
      </c>
      <c r="J3890" s="2" t="s">
        <v>7</v>
      </c>
      <c r="K3890" t="s">
        <v>490</v>
      </c>
      <c r="L3890" t="s">
        <v>143</v>
      </c>
      <c r="M3890" t="s">
        <v>664</v>
      </c>
      <c r="N3890" t="s">
        <v>86</v>
      </c>
      <c r="O3890" s="6" t="s">
        <v>499</v>
      </c>
      <c r="P3890" t="s">
        <v>496</v>
      </c>
      <c r="Q3890">
        <v>1</v>
      </c>
      <c r="R3890" t="s">
        <v>213</v>
      </c>
      <c r="S3890" s="2" t="s">
        <v>7</v>
      </c>
      <c r="T3890">
        <v>4</v>
      </c>
      <c r="U3890" t="s">
        <v>28</v>
      </c>
      <c r="V3890" t="s">
        <v>28</v>
      </c>
      <c r="W3890">
        <v>10</v>
      </c>
      <c r="X3890">
        <v>11.68</v>
      </c>
      <c r="Y3890">
        <f>12.57-X3890</f>
        <v>0.89000000000000057</v>
      </c>
      <c r="AA3890" s="6"/>
      <c r="AB3890" s="6"/>
    </row>
    <row r="3891" spans="1:28" x14ac:dyDescent="0.2">
      <c r="A3891" t="s">
        <v>482</v>
      </c>
      <c r="B3891">
        <v>2010</v>
      </c>
      <c r="C3891" t="s">
        <v>826</v>
      </c>
      <c r="D3891" t="s">
        <v>824</v>
      </c>
      <c r="E3891" t="s">
        <v>114</v>
      </c>
      <c r="F3891" t="s">
        <v>483</v>
      </c>
      <c r="G3891">
        <v>36.869999999999997</v>
      </c>
      <c r="H3891">
        <v>122.42</v>
      </c>
      <c r="I3891" t="s">
        <v>766</v>
      </c>
      <c r="J3891" s="2" t="s">
        <v>14</v>
      </c>
      <c r="K3891" t="s">
        <v>490</v>
      </c>
      <c r="L3891" t="s">
        <v>143</v>
      </c>
      <c r="M3891" t="s">
        <v>664</v>
      </c>
      <c r="N3891" t="s">
        <v>86</v>
      </c>
      <c r="O3891" s="6" t="s">
        <v>499</v>
      </c>
      <c r="P3891" t="s">
        <v>496</v>
      </c>
      <c r="Q3891">
        <v>1</v>
      </c>
      <c r="R3891" t="s">
        <v>213</v>
      </c>
      <c r="S3891" s="2" t="s">
        <v>9</v>
      </c>
      <c r="T3891">
        <v>4</v>
      </c>
      <c r="U3891" t="s">
        <v>28</v>
      </c>
      <c r="V3891" t="s">
        <v>28</v>
      </c>
      <c r="W3891">
        <v>21</v>
      </c>
      <c r="X3891">
        <v>13.51</v>
      </c>
      <c r="Y3891">
        <f>14.91-X3891</f>
        <v>1.4000000000000004</v>
      </c>
      <c r="AA3891" s="6"/>
      <c r="AB3891" s="6"/>
    </row>
    <row r="3892" spans="1:28" x14ac:dyDescent="0.2">
      <c r="A3892" t="s">
        <v>482</v>
      </c>
      <c r="B3892">
        <v>2010</v>
      </c>
      <c r="C3892" t="s">
        <v>826</v>
      </c>
      <c r="D3892" t="s">
        <v>824</v>
      </c>
      <c r="E3892" t="s">
        <v>114</v>
      </c>
      <c r="F3892" t="s">
        <v>483</v>
      </c>
      <c r="G3892">
        <v>36.869999999999997</v>
      </c>
      <c r="H3892">
        <v>122.42</v>
      </c>
      <c r="I3892" t="s">
        <v>766</v>
      </c>
      <c r="J3892" s="2" t="s">
        <v>14</v>
      </c>
      <c r="K3892" t="s">
        <v>490</v>
      </c>
      <c r="L3892" t="s">
        <v>143</v>
      </c>
      <c r="M3892" t="s">
        <v>664</v>
      </c>
      <c r="N3892" t="s">
        <v>86</v>
      </c>
      <c r="O3892" s="6" t="s">
        <v>499</v>
      </c>
      <c r="P3892" t="s">
        <v>496</v>
      </c>
      <c r="Q3892">
        <v>1</v>
      </c>
      <c r="R3892" t="s">
        <v>213</v>
      </c>
      <c r="S3892" s="2" t="s">
        <v>27</v>
      </c>
      <c r="T3892">
        <v>4</v>
      </c>
      <c r="U3892" t="s">
        <v>28</v>
      </c>
      <c r="V3892" t="s">
        <v>28</v>
      </c>
      <c r="W3892">
        <v>23</v>
      </c>
      <c r="X3892">
        <v>12.79</v>
      </c>
      <c r="Y3892">
        <f>14.36-X3892</f>
        <v>1.5700000000000003</v>
      </c>
      <c r="AA3892" s="6"/>
      <c r="AB3892" s="6"/>
    </row>
    <row r="3893" spans="1:28" x14ac:dyDescent="0.2">
      <c r="A3893" t="s">
        <v>482</v>
      </c>
      <c r="B3893">
        <v>2010</v>
      </c>
      <c r="C3893" t="s">
        <v>826</v>
      </c>
      <c r="D3893" t="s">
        <v>824</v>
      </c>
      <c r="E3893" t="s">
        <v>114</v>
      </c>
      <c r="F3893" t="s">
        <v>484</v>
      </c>
      <c r="G3893">
        <v>37.24</v>
      </c>
      <c r="H3893">
        <v>122.58</v>
      </c>
      <c r="I3893" t="s">
        <v>766</v>
      </c>
      <c r="J3893" s="2" t="s">
        <v>7</v>
      </c>
      <c r="K3893" t="s">
        <v>490</v>
      </c>
      <c r="L3893" t="s">
        <v>143</v>
      </c>
      <c r="M3893" t="s">
        <v>664</v>
      </c>
      <c r="N3893" t="s">
        <v>86</v>
      </c>
      <c r="O3893" s="6" t="s">
        <v>499</v>
      </c>
      <c r="P3893" t="s">
        <v>496</v>
      </c>
      <c r="Q3893">
        <v>1</v>
      </c>
      <c r="R3893" t="s">
        <v>213</v>
      </c>
      <c r="S3893" s="2" t="s">
        <v>7</v>
      </c>
      <c r="T3893">
        <v>4</v>
      </c>
      <c r="U3893" t="s">
        <v>28</v>
      </c>
      <c r="V3893" t="s">
        <v>28</v>
      </c>
      <c r="W3893">
        <v>10</v>
      </c>
      <c r="X3893">
        <v>9.5299999999999994</v>
      </c>
      <c r="Y3893">
        <f>10.49-X3893</f>
        <v>0.96000000000000085</v>
      </c>
      <c r="AA3893" s="6"/>
      <c r="AB3893" s="6"/>
    </row>
    <row r="3894" spans="1:28" x14ac:dyDescent="0.2">
      <c r="A3894" t="s">
        <v>482</v>
      </c>
      <c r="B3894">
        <v>2010</v>
      </c>
      <c r="C3894" t="s">
        <v>826</v>
      </c>
      <c r="D3894" t="s">
        <v>824</v>
      </c>
      <c r="E3894" t="s">
        <v>114</v>
      </c>
      <c r="F3894" t="s">
        <v>484</v>
      </c>
      <c r="G3894">
        <v>37.24</v>
      </c>
      <c r="H3894">
        <v>122.58</v>
      </c>
      <c r="I3894" t="s">
        <v>766</v>
      </c>
      <c r="J3894" s="2" t="s">
        <v>14</v>
      </c>
      <c r="K3894" t="s">
        <v>490</v>
      </c>
      <c r="L3894" t="s">
        <v>143</v>
      </c>
      <c r="M3894" t="s">
        <v>664</v>
      </c>
      <c r="N3894" t="s">
        <v>86</v>
      </c>
      <c r="O3894" s="6" t="s">
        <v>499</v>
      </c>
      <c r="P3894" t="s">
        <v>496</v>
      </c>
      <c r="Q3894">
        <v>1</v>
      </c>
      <c r="R3894" t="s">
        <v>213</v>
      </c>
      <c r="S3894" s="2" t="s">
        <v>9</v>
      </c>
      <c r="T3894">
        <v>4</v>
      </c>
      <c r="U3894" t="s">
        <v>28</v>
      </c>
      <c r="V3894" t="s">
        <v>28</v>
      </c>
      <c r="W3894">
        <v>21</v>
      </c>
      <c r="X3894">
        <v>11.3</v>
      </c>
      <c r="Y3894">
        <f>14.34-X3894</f>
        <v>3.0399999999999991</v>
      </c>
      <c r="AA3894" s="6"/>
      <c r="AB3894" s="6"/>
    </row>
    <row r="3895" spans="1:28" x14ac:dyDescent="0.2">
      <c r="A3895" t="s">
        <v>482</v>
      </c>
      <c r="B3895">
        <v>2010</v>
      </c>
      <c r="C3895" t="s">
        <v>826</v>
      </c>
      <c r="D3895" t="s">
        <v>824</v>
      </c>
      <c r="E3895" t="s">
        <v>114</v>
      </c>
      <c r="F3895" t="s">
        <v>484</v>
      </c>
      <c r="G3895">
        <v>37.24</v>
      </c>
      <c r="H3895">
        <v>122.58</v>
      </c>
      <c r="I3895" t="s">
        <v>766</v>
      </c>
      <c r="J3895" s="2" t="s">
        <v>14</v>
      </c>
      <c r="K3895" t="s">
        <v>490</v>
      </c>
      <c r="L3895" t="s">
        <v>143</v>
      </c>
      <c r="M3895" t="s">
        <v>664</v>
      </c>
      <c r="N3895" t="s">
        <v>86</v>
      </c>
      <c r="O3895" s="6" t="s">
        <v>499</v>
      </c>
      <c r="P3895" t="s">
        <v>496</v>
      </c>
      <c r="Q3895">
        <v>1</v>
      </c>
      <c r="R3895" t="s">
        <v>213</v>
      </c>
      <c r="S3895" s="2" t="s">
        <v>27</v>
      </c>
      <c r="T3895">
        <v>4</v>
      </c>
      <c r="U3895" t="s">
        <v>28</v>
      </c>
      <c r="V3895" t="s">
        <v>28</v>
      </c>
      <c r="W3895">
        <v>23</v>
      </c>
      <c r="X3895">
        <v>10.92</v>
      </c>
      <c r="Y3895">
        <f>13.36-X3895</f>
        <v>2.4399999999999995</v>
      </c>
      <c r="AA3895" s="6"/>
      <c r="AB3895" s="6"/>
    </row>
    <row r="3896" spans="1:28" x14ac:dyDescent="0.2">
      <c r="A3896" t="s">
        <v>482</v>
      </c>
      <c r="B3896">
        <v>2010</v>
      </c>
      <c r="C3896" t="s">
        <v>826</v>
      </c>
      <c r="D3896" t="s">
        <v>824</v>
      </c>
      <c r="E3896" t="s">
        <v>114</v>
      </c>
      <c r="F3896" t="s">
        <v>485</v>
      </c>
      <c r="G3896">
        <v>37.478665999999997</v>
      </c>
      <c r="H3896">
        <v>121.949291</v>
      </c>
      <c r="I3896" t="s">
        <v>766</v>
      </c>
      <c r="J3896" s="2" t="s">
        <v>7</v>
      </c>
      <c r="K3896" t="s">
        <v>490</v>
      </c>
      <c r="L3896" t="s">
        <v>143</v>
      </c>
      <c r="M3896" t="s">
        <v>664</v>
      </c>
      <c r="N3896" t="s">
        <v>86</v>
      </c>
      <c r="O3896" s="6" t="s">
        <v>499</v>
      </c>
      <c r="P3896" t="s">
        <v>496</v>
      </c>
      <c r="Q3896">
        <v>1</v>
      </c>
      <c r="R3896" t="s">
        <v>213</v>
      </c>
      <c r="S3896" s="2" t="s">
        <v>7</v>
      </c>
      <c r="T3896">
        <v>4</v>
      </c>
      <c r="U3896" t="s">
        <v>28</v>
      </c>
      <c r="V3896" t="s">
        <v>28</v>
      </c>
      <c r="W3896">
        <v>10</v>
      </c>
      <c r="X3896">
        <v>10.72</v>
      </c>
      <c r="Y3896">
        <f>11.34-X3896</f>
        <v>0.61999999999999922</v>
      </c>
      <c r="AA3896" s="6"/>
      <c r="AB3896" s="6"/>
    </row>
    <row r="3897" spans="1:28" x14ac:dyDescent="0.2">
      <c r="A3897" t="s">
        <v>482</v>
      </c>
      <c r="B3897">
        <v>2010</v>
      </c>
      <c r="C3897" t="s">
        <v>826</v>
      </c>
      <c r="D3897" t="s">
        <v>824</v>
      </c>
      <c r="E3897" t="s">
        <v>114</v>
      </c>
      <c r="F3897" t="s">
        <v>485</v>
      </c>
      <c r="G3897">
        <v>37.478665999999997</v>
      </c>
      <c r="H3897">
        <v>121.949291</v>
      </c>
      <c r="I3897" t="s">
        <v>766</v>
      </c>
      <c r="J3897" s="2" t="s">
        <v>14</v>
      </c>
      <c r="K3897" t="s">
        <v>490</v>
      </c>
      <c r="L3897" t="s">
        <v>143</v>
      </c>
      <c r="M3897" t="s">
        <v>664</v>
      </c>
      <c r="N3897" t="s">
        <v>86</v>
      </c>
      <c r="O3897" s="6" t="s">
        <v>499</v>
      </c>
      <c r="P3897" t="s">
        <v>496</v>
      </c>
      <c r="Q3897">
        <v>1</v>
      </c>
      <c r="R3897" t="s">
        <v>213</v>
      </c>
      <c r="S3897" s="2" t="s">
        <v>9</v>
      </c>
      <c r="T3897">
        <v>4</v>
      </c>
      <c r="U3897" t="s">
        <v>28</v>
      </c>
      <c r="V3897" t="s">
        <v>28</v>
      </c>
      <c r="W3897">
        <v>21</v>
      </c>
      <c r="X3897">
        <v>11.58</v>
      </c>
      <c r="Y3897">
        <f>14.11-X3897</f>
        <v>2.5299999999999994</v>
      </c>
      <c r="AA3897" s="6"/>
      <c r="AB3897" s="6"/>
    </row>
    <row r="3898" spans="1:28" x14ac:dyDescent="0.2">
      <c r="A3898" t="s">
        <v>482</v>
      </c>
      <c r="B3898">
        <v>2010</v>
      </c>
      <c r="C3898" t="s">
        <v>826</v>
      </c>
      <c r="D3898" t="s">
        <v>824</v>
      </c>
      <c r="E3898" t="s">
        <v>114</v>
      </c>
      <c r="F3898" t="s">
        <v>485</v>
      </c>
      <c r="G3898">
        <v>37.478665999999997</v>
      </c>
      <c r="H3898">
        <v>121.949291</v>
      </c>
      <c r="I3898" t="s">
        <v>766</v>
      </c>
      <c r="J3898" s="2" t="s">
        <v>14</v>
      </c>
      <c r="K3898" t="s">
        <v>490</v>
      </c>
      <c r="L3898" t="s">
        <v>143</v>
      </c>
      <c r="M3898" t="s">
        <v>664</v>
      </c>
      <c r="N3898" t="s">
        <v>86</v>
      </c>
      <c r="O3898" s="6" t="s">
        <v>499</v>
      </c>
      <c r="P3898" t="s">
        <v>496</v>
      </c>
      <c r="Q3898">
        <v>1</v>
      </c>
      <c r="R3898" t="s">
        <v>213</v>
      </c>
      <c r="S3898" s="2" t="s">
        <v>27</v>
      </c>
      <c r="T3898">
        <v>4</v>
      </c>
      <c r="U3898" t="s">
        <v>28</v>
      </c>
      <c r="V3898" t="s">
        <v>28</v>
      </c>
      <c r="W3898">
        <v>23</v>
      </c>
      <c r="X3898">
        <v>10.72</v>
      </c>
      <c r="Y3898">
        <f>12.77-X3898</f>
        <v>2.0499999999999989</v>
      </c>
      <c r="AA3898" s="6"/>
      <c r="AB3898" s="6"/>
    </row>
    <row r="3899" spans="1:28" x14ac:dyDescent="0.2">
      <c r="A3899" t="s">
        <v>482</v>
      </c>
      <c r="B3899">
        <v>2010</v>
      </c>
      <c r="C3899" t="s">
        <v>826</v>
      </c>
      <c r="D3899" t="s">
        <v>824</v>
      </c>
      <c r="E3899" t="s">
        <v>114</v>
      </c>
      <c r="F3899" t="s">
        <v>486</v>
      </c>
      <c r="G3899">
        <v>37.212491</v>
      </c>
      <c r="H3899">
        <v>122.63297900000001</v>
      </c>
      <c r="I3899" t="s">
        <v>766</v>
      </c>
      <c r="J3899" s="2" t="s">
        <v>7</v>
      </c>
      <c r="K3899" t="s">
        <v>490</v>
      </c>
      <c r="L3899" t="s">
        <v>143</v>
      </c>
      <c r="M3899" t="s">
        <v>664</v>
      </c>
      <c r="N3899" t="s">
        <v>86</v>
      </c>
      <c r="O3899" s="6" t="s">
        <v>499</v>
      </c>
      <c r="P3899" t="s">
        <v>496</v>
      </c>
      <c r="Q3899">
        <v>1</v>
      </c>
      <c r="R3899" t="s">
        <v>213</v>
      </c>
      <c r="S3899" s="2" t="s">
        <v>7</v>
      </c>
      <c r="T3899">
        <v>4</v>
      </c>
      <c r="U3899" t="s">
        <v>28</v>
      </c>
      <c r="V3899" t="s">
        <v>28</v>
      </c>
      <c r="W3899">
        <v>10</v>
      </c>
      <c r="X3899">
        <v>10.15</v>
      </c>
      <c r="Y3899">
        <f>10.92-X3899</f>
        <v>0.76999999999999957</v>
      </c>
      <c r="AA3899" s="6"/>
      <c r="AB3899" s="6"/>
    </row>
    <row r="3900" spans="1:28" x14ac:dyDescent="0.2">
      <c r="A3900" t="s">
        <v>482</v>
      </c>
      <c r="B3900">
        <v>2010</v>
      </c>
      <c r="C3900" t="s">
        <v>826</v>
      </c>
      <c r="D3900" t="s">
        <v>824</v>
      </c>
      <c r="E3900" t="s">
        <v>114</v>
      </c>
      <c r="F3900" t="s">
        <v>486</v>
      </c>
      <c r="G3900">
        <v>37.212491</v>
      </c>
      <c r="H3900">
        <v>122.63297900000001</v>
      </c>
      <c r="I3900" t="s">
        <v>766</v>
      </c>
      <c r="J3900" s="2" t="s">
        <v>14</v>
      </c>
      <c r="K3900" t="s">
        <v>490</v>
      </c>
      <c r="L3900" t="s">
        <v>143</v>
      </c>
      <c r="M3900" t="s">
        <v>664</v>
      </c>
      <c r="N3900" t="s">
        <v>86</v>
      </c>
      <c r="O3900" s="6" t="s">
        <v>499</v>
      </c>
      <c r="P3900" t="s">
        <v>496</v>
      </c>
      <c r="Q3900">
        <v>1</v>
      </c>
      <c r="R3900" t="s">
        <v>213</v>
      </c>
      <c r="S3900" s="2" t="s">
        <v>9</v>
      </c>
      <c r="T3900">
        <v>4</v>
      </c>
      <c r="U3900" t="s">
        <v>28</v>
      </c>
      <c r="V3900" t="s">
        <v>28</v>
      </c>
      <c r="W3900">
        <v>21</v>
      </c>
      <c r="X3900">
        <v>11.53</v>
      </c>
      <c r="Y3900">
        <f>15.19-X3900</f>
        <v>3.66</v>
      </c>
      <c r="AA3900" s="6"/>
      <c r="AB3900" s="6"/>
    </row>
    <row r="3901" spans="1:28" x14ac:dyDescent="0.2">
      <c r="A3901" t="s">
        <v>482</v>
      </c>
      <c r="B3901">
        <v>2010</v>
      </c>
      <c r="C3901" t="s">
        <v>826</v>
      </c>
      <c r="D3901" t="s">
        <v>824</v>
      </c>
      <c r="E3901" t="s">
        <v>114</v>
      </c>
      <c r="F3901" t="s">
        <v>486</v>
      </c>
      <c r="G3901">
        <v>37.212491</v>
      </c>
      <c r="H3901">
        <v>122.63297900000001</v>
      </c>
      <c r="I3901" t="s">
        <v>766</v>
      </c>
      <c r="J3901" s="2" t="s">
        <v>14</v>
      </c>
      <c r="K3901" t="s">
        <v>490</v>
      </c>
      <c r="L3901" t="s">
        <v>143</v>
      </c>
      <c r="M3901" t="s">
        <v>664</v>
      </c>
      <c r="N3901" t="s">
        <v>86</v>
      </c>
      <c r="O3901" s="6" t="s">
        <v>499</v>
      </c>
      <c r="P3901" t="s">
        <v>496</v>
      </c>
      <c r="Q3901">
        <v>1</v>
      </c>
      <c r="R3901" t="s">
        <v>213</v>
      </c>
      <c r="S3901" s="2" t="s">
        <v>27</v>
      </c>
      <c r="T3901">
        <v>4</v>
      </c>
      <c r="U3901" t="s">
        <v>28</v>
      </c>
      <c r="V3901" t="s">
        <v>28</v>
      </c>
      <c r="W3901">
        <v>23</v>
      </c>
      <c r="X3901">
        <v>10.51</v>
      </c>
      <c r="Y3901">
        <f>12.7-X3901</f>
        <v>2.1899999999999995</v>
      </c>
      <c r="AA3901" s="6"/>
      <c r="AB3901" s="6"/>
    </row>
    <row r="3902" spans="1:28" x14ac:dyDescent="0.2">
      <c r="A3902" t="s">
        <v>482</v>
      </c>
      <c r="B3902">
        <v>2010</v>
      </c>
      <c r="C3902" t="s">
        <v>826</v>
      </c>
      <c r="D3902" t="s">
        <v>824</v>
      </c>
      <c r="E3902" t="s">
        <v>114</v>
      </c>
      <c r="F3902" t="s">
        <v>487</v>
      </c>
      <c r="G3902">
        <v>37.094527999999997</v>
      </c>
      <c r="H3902">
        <v>122.58033500000001</v>
      </c>
      <c r="I3902" t="s">
        <v>766</v>
      </c>
      <c r="J3902" s="2" t="s">
        <v>7</v>
      </c>
      <c r="K3902" t="s">
        <v>490</v>
      </c>
      <c r="L3902" t="s">
        <v>143</v>
      </c>
      <c r="M3902" t="s">
        <v>664</v>
      </c>
      <c r="N3902" t="s">
        <v>86</v>
      </c>
      <c r="O3902" s="6" t="s">
        <v>499</v>
      </c>
      <c r="P3902" t="s">
        <v>496</v>
      </c>
      <c r="Q3902">
        <v>1</v>
      </c>
      <c r="R3902" t="s">
        <v>213</v>
      </c>
      <c r="S3902" s="2" t="s">
        <v>7</v>
      </c>
      <c r="T3902">
        <v>4</v>
      </c>
      <c r="U3902" t="s">
        <v>28</v>
      </c>
      <c r="V3902" t="s">
        <v>28</v>
      </c>
      <c r="W3902">
        <v>10</v>
      </c>
      <c r="X3902">
        <v>11.38</v>
      </c>
      <c r="Y3902">
        <f>12.98-X3902</f>
        <v>1.5999999999999996</v>
      </c>
      <c r="AA3902" s="6"/>
      <c r="AB3902" s="6"/>
    </row>
    <row r="3903" spans="1:28" x14ac:dyDescent="0.2">
      <c r="A3903" t="s">
        <v>482</v>
      </c>
      <c r="B3903">
        <v>2010</v>
      </c>
      <c r="C3903" t="s">
        <v>826</v>
      </c>
      <c r="D3903" t="s">
        <v>824</v>
      </c>
      <c r="E3903" t="s">
        <v>114</v>
      </c>
      <c r="F3903" t="s">
        <v>487</v>
      </c>
      <c r="G3903">
        <v>37.094527999999997</v>
      </c>
      <c r="H3903">
        <v>122.58033500000001</v>
      </c>
      <c r="I3903" t="s">
        <v>766</v>
      </c>
      <c r="J3903" s="2" t="s">
        <v>14</v>
      </c>
      <c r="K3903" t="s">
        <v>490</v>
      </c>
      <c r="L3903" t="s">
        <v>143</v>
      </c>
      <c r="M3903" t="s">
        <v>664</v>
      </c>
      <c r="N3903" t="s">
        <v>86</v>
      </c>
      <c r="O3903" s="6" t="s">
        <v>499</v>
      </c>
      <c r="P3903" t="s">
        <v>496</v>
      </c>
      <c r="Q3903">
        <v>1</v>
      </c>
      <c r="R3903" t="s">
        <v>213</v>
      </c>
      <c r="S3903" s="2" t="s">
        <v>9</v>
      </c>
      <c r="T3903">
        <v>4</v>
      </c>
      <c r="U3903" t="s">
        <v>28</v>
      </c>
      <c r="V3903" t="s">
        <v>28</v>
      </c>
      <c r="W3903">
        <v>21</v>
      </c>
      <c r="X3903">
        <v>13.51</v>
      </c>
      <c r="Y3903">
        <f>16.06-X3903</f>
        <v>2.5499999999999989</v>
      </c>
      <c r="AA3903" s="6"/>
      <c r="AB3903" s="6"/>
    </row>
    <row r="3904" spans="1:28" x14ac:dyDescent="0.2">
      <c r="A3904" t="s">
        <v>482</v>
      </c>
      <c r="B3904">
        <v>2010</v>
      </c>
      <c r="C3904" t="s">
        <v>826</v>
      </c>
      <c r="D3904" t="s">
        <v>824</v>
      </c>
      <c r="E3904" t="s">
        <v>114</v>
      </c>
      <c r="F3904" t="s">
        <v>487</v>
      </c>
      <c r="G3904">
        <v>37.094527999999997</v>
      </c>
      <c r="H3904">
        <v>122.58033500000001</v>
      </c>
      <c r="I3904" t="s">
        <v>766</v>
      </c>
      <c r="J3904" s="2" t="s">
        <v>14</v>
      </c>
      <c r="K3904" t="s">
        <v>490</v>
      </c>
      <c r="L3904" t="s">
        <v>143</v>
      </c>
      <c r="M3904" t="s">
        <v>664</v>
      </c>
      <c r="N3904" t="s">
        <v>86</v>
      </c>
      <c r="O3904" s="6" t="s">
        <v>499</v>
      </c>
      <c r="P3904" t="s">
        <v>496</v>
      </c>
      <c r="Q3904">
        <v>1</v>
      </c>
      <c r="R3904" t="s">
        <v>213</v>
      </c>
      <c r="S3904" s="2" t="s">
        <v>27</v>
      </c>
      <c r="T3904">
        <v>4</v>
      </c>
      <c r="U3904" t="s">
        <v>28</v>
      </c>
      <c r="V3904" t="s">
        <v>28</v>
      </c>
      <c r="W3904">
        <v>23</v>
      </c>
      <c r="X3904">
        <v>14.08</v>
      </c>
      <c r="Y3904">
        <f>15.91-X3904</f>
        <v>1.83</v>
      </c>
      <c r="AA3904" s="6"/>
      <c r="AB3904" s="6"/>
    </row>
    <row r="3905" spans="1:28" x14ac:dyDescent="0.2">
      <c r="A3905" t="s">
        <v>482</v>
      </c>
      <c r="B3905">
        <v>2010</v>
      </c>
      <c r="C3905" t="s">
        <v>826</v>
      </c>
      <c r="D3905" t="s">
        <v>824</v>
      </c>
      <c r="E3905" t="s">
        <v>114</v>
      </c>
      <c r="F3905" t="s">
        <v>488</v>
      </c>
      <c r="G3905">
        <v>37.482649000000002</v>
      </c>
      <c r="H3905">
        <v>121.931369</v>
      </c>
      <c r="I3905" t="s">
        <v>764</v>
      </c>
      <c r="J3905" s="2" t="s">
        <v>7</v>
      </c>
      <c r="K3905" t="s">
        <v>490</v>
      </c>
      <c r="L3905" t="s">
        <v>143</v>
      </c>
      <c r="M3905" t="s">
        <v>664</v>
      </c>
      <c r="N3905" t="s">
        <v>86</v>
      </c>
      <c r="O3905" s="6" t="s">
        <v>499</v>
      </c>
      <c r="P3905" t="s">
        <v>496</v>
      </c>
      <c r="Q3905">
        <v>1</v>
      </c>
      <c r="R3905" t="s">
        <v>213</v>
      </c>
      <c r="S3905" s="2" t="s">
        <v>7</v>
      </c>
      <c r="T3905">
        <v>4</v>
      </c>
      <c r="U3905" t="s">
        <v>28</v>
      </c>
      <c r="V3905" t="s">
        <v>28</v>
      </c>
      <c r="W3905">
        <v>10</v>
      </c>
      <c r="X3905">
        <v>11.6</v>
      </c>
      <c r="Y3905">
        <f>12.62-X3905</f>
        <v>1.0199999999999996</v>
      </c>
      <c r="AA3905" s="6"/>
      <c r="AB3905" s="6"/>
    </row>
    <row r="3906" spans="1:28" x14ac:dyDescent="0.2">
      <c r="A3906" t="s">
        <v>482</v>
      </c>
      <c r="B3906">
        <v>2010</v>
      </c>
      <c r="C3906" t="s">
        <v>826</v>
      </c>
      <c r="D3906" t="s">
        <v>824</v>
      </c>
      <c r="E3906" t="s">
        <v>114</v>
      </c>
      <c r="F3906" t="s">
        <v>488</v>
      </c>
      <c r="G3906">
        <v>37.482649000000002</v>
      </c>
      <c r="H3906">
        <v>121.931369</v>
      </c>
      <c r="I3906" t="s">
        <v>764</v>
      </c>
      <c r="J3906" s="2" t="s">
        <v>14</v>
      </c>
      <c r="K3906" t="s">
        <v>490</v>
      </c>
      <c r="L3906" t="s">
        <v>143</v>
      </c>
      <c r="M3906" t="s">
        <v>664</v>
      </c>
      <c r="N3906" t="s">
        <v>86</v>
      </c>
      <c r="O3906" s="6" t="s">
        <v>499</v>
      </c>
      <c r="P3906" t="s">
        <v>496</v>
      </c>
      <c r="Q3906">
        <v>1</v>
      </c>
      <c r="R3906" t="s">
        <v>213</v>
      </c>
      <c r="S3906" s="2" t="s">
        <v>9</v>
      </c>
      <c r="T3906">
        <v>4</v>
      </c>
      <c r="U3906" t="s">
        <v>28</v>
      </c>
      <c r="V3906" t="s">
        <v>28</v>
      </c>
      <c r="W3906">
        <v>21</v>
      </c>
      <c r="X3906">
        <v>13.04</v>
      </c>
      <c r="Y3906">
        <f>15.62-X3906</f>
        <v>2.58</v>
      </c>
      <c r="AA3906" s="6"/>
      <c r="AB3906" s="6"/>
    </row>
    <row r="3907" spans="1:28" x14ac:dyDescent="0.2">
      <c r="A3907" t="s">
        <v>482</v>
      </c>
      <c r="B3907">
        <v>2010</v>
      </c>
      <c r="C3907" t="s">
        <v>826</v>
      </c>
      <c r="D3907" t="s">
        <v>824</v>
      </c>
      <c r="E3907" t="s">
        <v>114</v>
      </c>
      <c r="F3907" t="s">
        <v>488</v>
      </c>
      <c r="G3907">
        <v>37.482649000000002</v>
      </c>
      <c r="H3907">
        <v>121.931369</v>
      </c>
      <c r="I3907" t="s">
        <v>764</v>
      </c>
      <c r="J3907" s="2" t="s">
        <v>14</v>
      </c>
      <c r="K3907" t="s">
        <v>490</v>
      </c>
      <c r="L3907" t="s">
        <v>143</v>
      </c>
      <c r="M3907" t="s">
        <v>664</v>
      </c>
      <c r="N3907" t="s">
        <v>86</v>
      </c>
      <c r="O3907" s="6" t="s">
        <v>499</v>
      </c>
      <c r="P3907" t="s">
        <v>496</v>
      </c>
      <c r="Q3907">
        <v>1</v>
      </c>
      <c r="R3907" t="s">
        <v>213</v>
      </c>
      <c r="S3907" s="2" t="s">
        <v>27</v>
      </c>
      <c r="T3907">
        <v>4</v>
      </c>
      <c r="U3907" t="s">
        <v>28</v>
      </c>
      <c r="V3907" t="s">
        <v>28</v>
      </c>
      <c r="W3907">
        <v>23</v>
      </c>
      <c r="X3907">
        <v>13.42</v>
      </c>
      <c r="Y3907">
        <f>14.34-X3907</f>
        <v>0.91999999999999993</v>
      </c>
      <c r="AA3907" s="6"/>
      <c r="AB3907" s="6"/>
    </row>
    <row r="3908" spans="1:28" x14ac:dyDescent="0.2">
      <c r="A3908" t="s">
        <v>482</v>
      </c>
      <c r="B3908">
        <v>2010</v>
      </c>
      <c r="C3908" t="s">
        <v>826</v>
      </c>
      <c r="D3908" t="s">
        <v>824</v>
      </c>
      <c r="E3908" t="s">
        <v>114</v>
      </c>
      <c r="F3908" t="s">
        <v>489</v>
      </c>
      <c r="G3908">
        <v>36.033332000000001</v>
      </c>
      <c r="H3908">
        <v>120.380697</v>
      </c>
      <c r="I3908" t="s">
        <v>764</v>
      </c>
      <c r="J3908" s="2" t="s">
        <v>7</v>
      </c>
      <c r="K3908" t="s">
        <v>490</v>
      </c>
      <c r="L3908" t="s">
        <v>143</v>
      </c>
      <c r="M3908" t="s">
        <v>664</v>
      </c>
      <c r="N3908" t="s">
        <v>86</v>
      </c>
      <c r="O3908" s="6" t="s">
        <v>499</v>
      </c>
      <c r="P3908" t="s">
        <v>496</v>
      </c>
      <c r="Q3908">
        <v>1</v>
      </c>
      <c r="R3908" t="s">
        <v>213</v>
      </c>
      <c r="S3908" s="2" t="s">
        <v>7</v>
      </c>
      <c r="T3908">
        <v>4</v>
      </c>
      <c r="U3908" t="s">
        <v>28</v>
      </c>
      <c r="V3908" t="s">
        <v>28</v>
      </c>
      <c r="W3908">
        <v>10</v>
      </c>
      <c r="X3908">
        <v>11.17</v>
      </c>
      <c r="Y3908">
        <f>12.85-X3908</f>
        <v>1.6799999999999997</v>
      </c>
      <c r="AA3908" s="6"/>
      <c r="AB3908" s="6"/>
    </row>
    <row r="3909" spans="1:28" x14ac:dyDescent="0.2">
      <c r="A3909" t="s">
        <v>482</v>
      </c>
      <c r="B3909">
        <v>2010</v>
      </c>
      <c r="C3909" t="s">
        <v>826</v>
      </c>
      <c r="D3909" t="s">
        <v>824</v>
      </c>
      <c r="E3909" t="s">
        <v>114</v>
      </c>
      <c r="F3909" t="s">
        <v>489</v>
      </c>
      <c r="G3909">
        <v>36.033332000000001</v>
      </c>
      <c r="H3909">
        <v>120.380697</v>
      </c>
      <c r="I3909" t="s">
        <v>764</v>
      </c>
      <c r="J3909" s="2" t="s">
        <v>14</v>
      </c>
      <c r="K3909" t="s">
        <v>490</v>
      </c>
      <c r="L3909" t="s">
        <v>143</v>
      </c>
      <c r="M3909" t="s">
        <v>664</v>
      </c>
      <c r="N3909" t="s">
        <v>86</v>
      </c>
      <c r="O3909" s="6" t="s">
        <v>499</v>
      </c>
      <c r="P3909" t="s">
        <v>496</v>
      </c>
      <c r="Q3909">
        <v>1</v>
      </c>
      <c r="R3909" t="s">
        <v>213</v>
      </c>
      <c r="S3909" s="2" t="s">
        <v>9</v>
      </c>
      <c r="T3909">
        <v>4</v>
      </c>
      <c r="U3909" t="s">
        <v>28</v>
      </c>
      <c r="V3909" t="s">
        <v>28</v>
      </c>
      <c r="W3909">
        <v>21</v>
      </c>
      <c r="X3909">
        <v>13.42</v>
      </c>
      <c r="Y3909">
        <f>14.28-X3909</f>
        <v>0.85999999999999943</v>
      </c>
      <c r="AA3909" s="6"/>
      <c r="AB3909" s="6"/>
    </row>
    <row r="3910" spans="1:28" x14ac:dyDescent="0.2">
      <c r="A3910" t="s">
        <v>482</v>
      </c>
      <c r="B3910">
        <v>2010</v>
      </c>
      <c r="C3910" t="s">
        <v>826</v>
      </c>
      <c r="D3910" t="s">
        <v>824</v>
      </c>
      <c r="E3910" t="s">
        <v>114</v>
      </c>
      <c r="F3910" t="s">
        <v>489</v>
      </c>
      <c r="G3910">
        <v>36.033332000000001</v>
      </c>
      <c r="H3910">
        <v>120.380697</v>
      </c>
      <c r="I3910" t="s">
        <v>764</v>
      </c>
      <c r="J3910" s="2" t="s">
        <v>14</v>
      </c>
      <c r="K3910" t="s">
        <v>490</v>
      </c>
      <c r="L3910" t="s">
        <v>143</v>
      </c>
      <c r="M3910" t="s">
        <v>664</v>
      </c>
      <c r="N3910" t="s">
        <v>86</v>
      </c>
      <c r="O3910" s="6" t="s">
        <v>499</v>
      </c>
      <c r="P3910" t="s">
        <v>496</v>
      </c>
      <c r="Q3910">
        <v>1</v>
      </c>
      <c r="R3910" t="s">
        <v>213</v>
      </c>
      <c r="S3910" s="2" t="s">
        <v>27</v>
      </c>
      <c r="T3910">
        <v>4</v>
      </c>
      <c r="U3910" t="s">
        <v>28</v>
      </c>
      <c r="V3910" t="s">
        <v>28</v>
      </c>
      <c r="W3910">
        <v>23</v>
      </c>
      <c r="X3910">
        <v>14.08</v>
      </c>
      <c r="Y3910">
        <f>15.42-X3910</f>
        <v>1.3399999999999999</v>
      </c>
      <c r="AA3910" s="6"/>
      <c r="AB3910" s="6"/>
    </row>
    <row r="3911" spans="1:28" x14ac:dyDescent="0.2">
      <c r="A3911" t="s">
        <v>500</v>
      </c>
      <c r="B3911">
        <v>2013</v>
      </c>
      <c r="C3911" t="s">
        <v>826</v>
      </c>
      <c r="D3911" t="s">
        <v>824</v>
      </c>
      <c r="E3911" t="s">
        <v>48</v>
      </c>
      <c r="F3911" t="s">
        <v>501</v>
      </c>
      <c r="G3911">
        <v>53.364376</v>
      </c>
      <c r="H3911">
        <v>-9.8930489999999995</v>
      </c>
      <c r="I3911" t="s">
        <v>763</v>
      </c>
      <c r="J3911" s="2" t="s">
        <v>7</v>
      </c>
      <c r="K3911" t="s">
        <v>144</v>
      </c>
      <c r="L3911" t="s">
        <v>144</v>
      </c>
      <c r="M3911" s="6" t="s">
        <v>73</v>
      </c>
      <c r="N3911" t="s">
        <v>85</v>
      </c>
      <c r="O3911" s="6" t="s">
        <v>502</v>
      </c>
      <c r="P3911" t="s">
        <v>78</v>
      </c>
      <c r="Q3911">
        <f>0.5/24</f>
        <v>2.0833333333333332E-2</v>
      </c>
      <c r="R3911" t="s">
        <v>213</v>
      </c>
      <c r="S3911" s="2" t="s">
        <v>7</v>
      </c>
      <c r="T3911">
        <v>3</v>
      </c>
      <c r="U3911" s="3"/>
      <c r="V3911">
        <v>400</v>
      </c>
      <c r="W3911" t="s">
        <v>28</v>
      </c>
      <c r="X3911">
        <v>13.56</v>
      </c>
      <c r="Y3911">
        <v>5.86</v>
      </c>
      <c r="AA3911" s="6"/>
      <c r="AB3911" s="6"/>
    </row>
    <row r="3912" spans="1:28" x14ac:dyDescent="0.2">
      <c r="A3912" t="s">
        <v>500</v>
      </c>
      <c r="B3912">
        <v>2013</v>
      </c>
      <c r="C3912" t="s">
        <v>826</v>
      </c>
      <c r="D3912" t="s">
        <v>824</v>
      </c>
      <c r="E3912" t="s">
        <v>48</v>
      </c>
      <c r="F3912" t="s">
        <v>501</v>
      </c>
      <c r="G3912">
        <v>53.364376</v>
      </c>
      <c r="H3912">
        <v>-9.8930489999999995</v>
      </c>
      <c r="I3912" t="s">
        <v>763</v>
      </c>
      <c r="J3912" s="2" t="s">
        <v>5</v>
      </c>
      <c r="K3912" t="s">
        <v>144</v>
      </c>
      <c r="L3912" t="s">
        <v>144</v>
      </c>
      <c r="M3912" s="6" t="s">
        <v>73</v>
      </c>
      <c r="N3912" t="s">
        <v>85</v>
      </c>
      <c r="O3912" s="6" t="s">
        <v>502</v>
      </c>
      <c r="P3912" t="s">
        <v>78</v>
      </c>
      <c r="Q3912">
        <f t="shared" ref="Q3912:Q3920" si="73">0.5/24</f>
        <v>2.0833333333333332E-2</v>
      </c>
      <c r="R3912" t="s">
        <v>213</v>
      </c>
      <c r="S3912" s="2" t="s">
        <v>37</v>
      </c>
      <c r="T3912">
        <v>3</v>
      </c>
      <c r="U3912" s="3"/>
      <c r="V3912">
        <v>800</v>
      </c>
      <c r="W3912" t="s">
        <v>28</v>
      </c>
      <c r="X3912">
        <v>24.91</v>
      </c>
      <c r="Y3912">
        <v>1.87</v>
      </c>
      <c r="AA3912" s="6"/>
      <c r="AB3912" s="6"/>
    </row>
    <row r="3913" spans="1:28" x14ac:dyDescent="0.2">
      <c r="A3913" t="s">
        <v>500</v>
      </c>
      <c r="B3913">
        <v>2013</v>
      </c>
      <c r="C3913" t="s">
        <v>826</v>
      </c>
      <c r="D3913" t="s">
        <v>824</v>
      </c>
      <c r="E3913" t="s">
        <v>48</v>
      </c>
      <c r="F3913" t="s">
        <v>501</v>
      </c>
      <c r="G3913">
        <v>53.364376</v>
      </c>
      <c r="H3913">
        <v>-9.8930489999999995</v>
      </c>
      <c r="I3913" t="s">
        <v>763</v>
      </c>
      <c r="J3913" s="2" t="s">
        <v>7</v>
      </c>
      <c r="K3913" t="s">
        <v>144</v>
      </c>
      <c r="L3913" t="s">
        <v>144</v>
      </c>
      <c r="M3913" t="s">
        <v>726</v>
      </c>
      <c r="N3913" t="s">
        <v>85</v>
      </c>
      <c r="O3913" s="6" t="s">
        <v>196</v>
      </c>
      <c r="P3913" t="s">
        <v>83</v>
      </c>
      <c r="Q3913">
        <f t="shared" si="73"/>
        <v>2.0833333333333332E-2</v>
      </c>
      <c r="R3913" t="s">
        <v>213</v>
      </c>
      <c r="S3913" s="2" t="s">
        <v>7</v>
      </c>
      <c r="T3913">
        <v>3</v>
      </c>
      <c r="U3913" s="3"/>
      <c r="V3913">
        <v>400</v>
      </c>
      <c r="W3913" t="s">
        <v>28</v>
      </c>
      <c r="X3913">
        <v>129.9</v>
      </c>
      <c r="Y3913">
        <v>40.97</v>
      </c>
      <c r="AA3913" s="6"/>
      <c r="AB3913" s="6"/>
    </row>
    <row r="3914" spans="1:28" x14ac:dyDescent="0.2">
      <c r="A3914" t="s">
        <v>500</v>
      </c>
      <c r="B3914">
        <v>2013</v>
      </c>
      <c r="C3914" t="s">
        <v>826</v>
      </c>
      <c r="D3914" t="s">
        <v>824</v>
      </c>
      <c r="E3914" t="s">
        <v>48</v>
      </c>
      <c r="F3914" t="s">
        <v>501</v>
      </c>
      <c r="G3914">
        <v>53.364376</v>
      </c>
      <c r="H3914">
        <v>-9.8930489999999995</v>
      </c>
      <c r="I3914" t="s">
        <v>763</v>
      </c>
      <c r="J3914" s="2" t="s">
        <v>5</v>
      </c>
      <c r="K3914" t="s">
        <v>144</v>
      </c>
      <c r="L3914" t="s">
        <v>144</v>
      </c>
      <c r="M3914" t="s">
        <v>726</v>
      </c>
      <c r="N3914" t="s">
        <v>85</v>
      </c>
      <c r="O3914" t="s">
        <v>196</v>
      </c>
      <c r="P3914" t="s">
        <v>83</v>
      </c>
      <c r="Q3914">
        <f t="shared" si="73"/>
        <v>2.0833333333333332E-2</v>
      </c>
      <c r="R3914" t="s">
        <v>213</v>
      </c>
      <c r="S3914" s="2" t="s">
        <v>37</v>
      </c>
      <c r="T3914">
        <v>3</v>
      </c>
      <c r="U3914" s="3"/>
      <c r="V3914">
        <v>800</v>
      </c>
      <c r="W3914" t="s">
        <v>28</v>
      </c>
      <c r="X3914">
        <v>28.88</v>
      </c>
      <c r="Y3914">
        <v>1.8029999999999999</v>
      </c>
      <c r="AA3914" s="6"/>
      <c r="AB3914" s="6"/>
    </row>
    <row r="3915" spans="1:28" x14ac:dyDescent="0.2">
      <c r="A3915" t="s">
        <v>500</v>
      </c>
      <c r="B3915">
        <v>2013</v>
      </c>
      <c r="C3915" t="s">
        <v>826</v>
      </c>
      <c r="D3915" t="s">
        <v>824</v>
      </c>
      <c r="E3915" t="s">
        <v>48</v>
      </c>
      <c r="F3915" t="s">
        <v>501</v>
      </c>
      <c r="G3915">
        <v>53.364376</v>
      </c>
      <c r="H3915">
        <v>-9.8930489999999995</v>
      </c>
      <c r="I3915" t="s">
        <v>763</v>
      </c>
      <c r="J3915" s="2" t="s">
        <v>7</v>
      </c>
      <c r="K3915" t="s">
        <v>144</v>
      </c>
      <c r="L3915" t="s">
        <v>144</v>
      </c>
      <c r="M3915" t="s">
        <v>73</v>
      </c>
      <c r="N3915" t="s">
        <v>85</v>
      </c>
      <c r="O3915" s="6" t="s">
        <v>503</v>
      </c>
      <c r="P3915" t="s">
        <v>78</v>
      </c>
      <c r="Q3915">
        <f t="shared" si="73"/>
        <v>2.0833333333333332E-2</v>
      </c>
      <c r="R3915" t="s">
        <v>213</v>
      </c>
      <c r="S3915" s="2" t="s">
        <v>7</v>
      </c>
      <c r="T3915">
        <v>3</v>
      </c>
      <c r="U3915" s="3"/>
      <c r="V3915">
        <v>400</v>
      </c>
      <c r="W3915" t="s">
        <v>28</v>
      </c>
      <c r="X3915">
        <v>6.18</v>
      </c>
      <c r="Y3915">
        <f>16.97-X3915</f>
        <v>10.79</v>
      </c>
      <c r="AA3915" s="6"/>
      <c r="AB3915" s="6"/>
    </row>
    <row r="3916" spans="1:28" x14ac:dyDescent="0.2">
      <c r="A3916" t="s">
        <v>500</v>
      </c>
      <c r="B3916">
        <v>2013</v>
      </c>
      <c r="C3916" t="s">
        <v>826</v>
      </c>
      <c r="D3916" t="s">
        <v>824</v>
      </c>
      <c r="E3916" t="s">
        <v>48</v>
      </c>
      <c r="F3916" t="s">
        <v>501</v>
      </c>
      <c r="G3916">
        <v>53.364376</v>
      </c>
      <c r="H3916">
        <v>-9.8930489999999995</v>
      </c>
      <c r="I3916" t="s">
        <v>763</v>
      </c>
      <c r="J3916" s="2" t="s">
        <v>5</v>
      </c>
      <c r="K3916" t="s">
        <v>144</v>
      </c>
      <c r="L3916" t="s">
        <v>144</v>
      </c>
      <c r="M3916" t="s">
        <v>73</v>
      </c>
      <c r="N3916" t="s">
        <v>85</v>
      </c>
      <c r="O3916" s="6" t="s">
        <v>503</v>
      </c>
      <c r="P3916" t="s">
        <v>78</v>
      </c>
      <c r="Q3916">
        <f t="shared" si="73"/>
        <v>2.0833333333333332E-2</v>
      </c>
      <c r="R3916" t="s">
        <v>213</v>
      </c>
      <c r="S3916" s="2" t="s">
        <v>9</v>
      </c>
      <c r="T3916">
        <v>3</v>
      </c>
      <c r="U3916" s="3"/>
      <c r="V3916">
        <v>480</v>
      </c>
      <c r="W3916" t="s">
        <v>28</v>
      </c>
      <c r="X3916">
        <v>19.190000000000001</v>
      </c>
      <c r="Y3916">
        <f>22.05-X3916</f>
        <v>2.8599999999999994</v>
      </c>
      <c r="AA3916" s="6"/>
      <c r="AB3916" s="6"/>
    </row>
    <row r="3917" spans="1:28" x14ac:dyDescent="0.2">
      <c r="A3917" t="s">
        <v>500</v>
      </c>
      <c r="B3917">
        <v>2013</v>
      </c>
      <c r="C3917" t="s">
        <v>826</v>
      </c>
      <c r="D3917" t="s">
        <v>824</v>
      </c>
      <c r="E3917" t="s">
        <v>48</v>
      </c>
      <c r="F3917" t="s">
        <v>501</v>
      </c>
      <c r="G3917">
        <v>53.364376</v>
      </c>
      <c r="H3917">
        <v>-9.8930489999999995</v>
      </c>
      <c r="I3917" t="s">
        <v>763</v>
      </c>
      <c r="J3917" s="2" t="s">
        <v>5</v>
      </c>
      <c r="K3917" t="s">
        <v>144</v>
      </c>
      <c r="L3917" t="s">
        <v>144</v>
      </c>
      <c r="M3917" t="s">
        <v>73</v>
      </c>
      <c r="N3917" t="s">
        <v>85</v>
      </c>
      <c r="O3917" s="6" t="s">
        <v>503</v>
      </c>
      <c r="P3917" t="s">
        <v>78</v>
      </c>
      <c r="Q3917">
        <f t="shared" si="73"/>
        <v>2.0833333333333332E-2</v>
      </c>
      <c r="R3917" t="s">
        <v>213</v>
      </c>
      <c r="S3917" s="2" t="s">
        <v>27</v>
      </c>
      <c r="T3917">
        <v>3</v>
      </c>
      <c r="U3917" s="3"/>
      <c r="V3917">
        <v>560</v>
      </c>
      <c r="W3917" t="s">
        <v>28</v>
      </c>
      <c r="X3917">
        <v>22.05</v>
      </c>
      <c r="Y3917">
        <f>27.49-X3917</f>
        <v>5.4399999999999977</v>
      </c>
      <c r="AA3917" s="6"/>
      <c r="AB3917" s="6"/>
    </row>
    <row r="3918" spans="1:28" x14ac:dyDescent="0.2">
      <c r="A3918" t="s">
        <v>500</v>
      </c>
      <c r="B3918">
        <v>2013</v>
      </c>
      <c r="C3918" t="s">
        <v>826</v>
      </c>
      <c r="D3918" t="s">
        <v>824</v>
      </c>
      <c r="E3918" t="s">
        <v>48</v>
      </c>
      <c r="F3918" t="s">
        <v>501</v>
      </c>
      <c r="G3918">
        <v>53.364376</v>
      </c>
      <c r="H3918">
        <v>-9.8930489999999995</v>
      </c>
      <c r="I3918" t="s">
        <v>763</v>
      </c>
      <c r="J3918" s="2" t="s">
        <v>5</v>
      </c>
      <c r="K3918" t="s">
        <v>144</v>
      </c>
      <c r="L3918" t="s">
        <v>144</v>
      </c>
      <c r="M3918" t="s">
        <v>73</v>
      </c>
      <c r="N3918" t="s">
        <v>85</v>
      </c>
      <c r="O3918" s="6" t="s">
        <v>503</v>
      </c>
      <c r="P3918" t="s">
        <v>78</v>
      </c>
      <c r="Q3918">
        <f t="shared" si="73"/>
        <v>2.0833333333333332E-2</v>
      </c>
      <c r="R3918" t="s">
        <v>213</v>
      </c>
      <c r="S3918" s="2" t="s">
        <v>13</v>
      </c>
      <c r="T3918">
        <v>3</v>
      </c>
      <c r="U3918" s="3"/>
      <c r="V3918">
        <v>640</v>
      </c>
      <c r="W3918" t="s">
        <v>28</v>
      </c>
      <c r="X3918">
        <v>22.05</v>
      </c>
      <c r="Y3918">
        <f>23.62-X3918</f>
        <v>1.5700000000000003</v>
      </c>
      <c r="AA3918" s="6"/>
      <c r="AB3918" s="6"/>
    </row>
    <row r="3919" spans="1:28" x14ac:dyDescent="0.2">
      <c r="A3919" t="s">
        <v>500</v>
      </c>
      <c r="B3919">
        <v>2013</v>
      </c>
      <c r="C3919" t="s">
        <v>826</v>
      </c>
      <c r="D3919" t="s">
        <v>824</v>
      </c>
      <c r="E3919" t="s">
        <v>48</v>
      </c>
      <c r="F3919" t="s">
        <v>501</v>
      </c>
      <c r="G3919">
        <v>53.364376</v>
      </c>
      <c r="H3919">
        <v>-9.8930489999999995</v>
      </c>
      <c r="I3919" t="s">
        <v>763</v>
      </c>
      <c r="J3919" s="2" t="s">
        <v>5</v>
      </c>
      <c r="K3919" t="s">
        <v>144</v>
      </c>
      <c r="L3919" t="s">
        <v>144</v>
      </c>
      <c r="M3919" t="s">
        <v>73</v>
      </c>
      <c r="N3919" t="s">
        <v>85</v>
      </c>
      <c r="O3919" s="6" t="s">
        <v>503</v>
      </c>
      <c r="P3919" t="s">
        <v>78</v>
      </c>
      <c r="Q3919">
        <f t="shared" si="73"/>
        <v>2.0833333333333332E-2</v>
      </c>
      <c r="R3919" t="s">
        <v>213</v>
      </c>
      <c r="S3919" s="2" t="s">
        <v>15</v>
      </c>
      <c r="T3919">
        <v>3</v>
      </c>
      <c r="U3919" s="3"/>
      <c r="V3919">
        <v>720</v>
      </c>
      <c r="W3919" t="s">
        <v>28</v>
      </c>
      <c r="X3919">
        <v>31.64</v>
      </c>
      <c r="Y3919">
        <f>40.5-X3919</f>
        <v>8.86</v>
      </c>
      <c r="AA3919" s="6"/>
      <c r="AB3919" s="6"/>
    </row>
    <row r="3920" spans="1:28" x14ac:dyDescent="0.2">
      <c r="A3920" t="s">
        <v>500</v>
      </c>
      <c r="B3920">
        <v>2013</v>
      </c>
      <c r="C3920" t="s">
        <v>826</v>
      </c>
      <c r="D3920" t="s">
        <v>824</v>
      </c>
      <c r="E3920" t="s">
        <v>48</v>
      </c>
      <c r="F3920" t="s">
        <v>501</v>
      </c>
      <c r="G3920">
        <v>53.364376</v>
      </c>
      <c r="H3920">
        <v>-9.8930489999999995</v>
      </c>
      <c r="I3920" t="s">
        <v>763</v>
      </c>
      <c r="J3920" s="2" t="s">
        <v>5</v>
      </c>
      <c r="K3920" t="s">
        <v>144</v>
      </c>
      <c r="L3920" t="s">
        <v>144</v>
      </c>
      <c r="M3920" t="s">
        <v>73</v>
      </c>
      <c r="N3920" t="s">
        <v>85</v>
      </c>
      <c r="O3920" s="6" t="s">
        <v>503</v>
      </c>
      <c r="P3920" t="s">
        <v>78</v>
      </c>
      <c r="Q3920">
        <f t="shared" si="73"/>
        <v>2.0833333333333332E-2</v>
      </c>
      <c r="R3920" t="s">
        <v>213</v>
      </c>
      <c r="S3920" s="2" t="s">
        <v>37</v>
      </c>
      <c r="T3920">
        <v>3</v>
      </c>
      <c r="U3920" s="3"/>
      <c r="V3920">
        <v>800</v>
      </c>
      <c r="W3920" t="s">
        <v>28</v>
      </c>
      <c r="X3920">
        <v>35.79</v>
      </c>
      <c r="Y3920">
        <f>48.34-X3920</f>
        <v>12.550000000000004</v>
      </c>
      <c r="AA3920" s="6"/>
      <c r="AB3920" s="6"/>
    </row>
    <row r="3921" spans="1:28" x14ac:dyDescent="0.2">
      <c r="A3921" t="s">
        <v>504</v>
      </c>
      <c r="B3921">
        <v>2011</v>
      </c>
      <c r="C3921" t="s">
        <v>816</v>
      </c>
      <c r="D3921" t="s">
        <v>820</v>
      </c>
      <c r="E3921" t="s">
        <v>34</v>
      </c>
      <c r="F3921" t="s">
        <v>506</v>
      </c>
      <c r="G3921">
        <v>-31.9</v>
      </c>
      <c r="H3921">
        <v>-71.516666700000002</v>
      </c>
      <c r="I3921" t="s">
        <v>763</v>
      </c>
      <c r="J3921" s="2" t="s">
        <v>7</v>
      </c>
      <c r="K3921" t="s">
        <v>507</v>
      </c>
      <c r="L3921" t="s">
        <v>144</v>
      </c>
      <c r="M3921" t="s">
        <v>553</v>
      </c>
      <c r="N3921" t="s">
        <v>85</v>
      </c>
      <c r="O3921" s="6" t="s">
        <v>61</v>
      </c>
      <c r="P3921" t="s">
        <v>147</v>
      </c>
      <c r="Q3921">
        <v>15</v>
      </c>
      <c r="R3921" t="s">
        <v>213</v>
      </c>
      <c r="S3921" s="2" t="s">
        <v>7</v>
      </c>
      <c r="T3921">
        <v>8</v>
      </c>
      <c r="U3921" t="s">
        <v>28</v>
      </c>
      <c r="V3921" t="s">
        <v>28</v>
      </c>
      <c r="W3921">
        <v>17</v>
      </c>
      <c r="X3921">
        <v>0.32674999999999998</v>
      </c>
      <c r="Y3921">
        <v>0.11975</v>
      </c>
      <c r="AA3921" s="6"/>
      <c r="AB3921" s="6"/>
    </row>
    <row r="3922" spans="1:28" x14ac:dyDescent="0.2">
      <c r="A3922" t="s">
        <v>504</v>
      </c>
      <c r="B3922">
        <v>2011</v>
      </c>
      <c r="C3922" t="s">
        <v>816</v>
      </c>
      <c r="D3922" t="s">
        <v>820</v>
      </c>
      <c r="E3922" t="s">
        <v>34</v>
      </c>
      <c r="F3922" t="s">
        <v>506</v>
      </c>
      <c r="G3922">
        <v>-31.9</v>
      </c>
      <c r="H3922">
        <v>-71.516666700000002</v>
      </c>
      <c r="I3922" t="s">
        <v>763</v>
      </c>
      <c r="J3922" s="2" t="s">
        <v>14</v>
      </c>
      <c r="K3922" t="s">
        <v>507</v>
      </c>
      <c r="L3922" t="s">
        <v>144</v>
      </c>
      <c r="M3922" t="s">
        <v>553</v>
      </c>
      <c r="N3922" t="s">
        <v>85</v>
      </c>
      <c r="O3922" s="6" t="s">
        <v>61</v>
      </c>
      <c r="P3922" t="s">
        <v>147</v>
      </c>
      <c r="Q3922">
        <v>15</v>
      </c>
      <c r="R3922" t="s">
        <v>213</v>
      </c>
      <c r="S3922" s="2" t="s">
        <v>9</v>
      </c>
      <c r="T3922">
        <v>8</v>
      </c>
      <c r="U3922" t="s">
        <v>28</v>
      </c>
      <c r="V3922" t="s">
        <v>28</v>
      </c>
      <c r="W3922">
        <v>20</v>
      </c>
      <c r="X3922">
        <v>0.31279999999999997</v>
      </c>
      <c r="Y3922">
        <v>8.72E-2</v>
      </c>
      <c r="AA3922" s="6"/>
      <c r="AB3922" s="6"/>
    </row>
    <row r="3923" spans="1:28" x14ac:dyDescent="0.2">
      <c r="A3923" t="s">
        <v>504</v>
      </c>
      <c r="B3923">
        <v>2011</v>
      </c>
      <c r="C3923" t="s">
        <v>816</v>
      </c>
      <c r="D3923" t="s">
        <v>820</v>
      </c>
      <c r="E3923" t="s">
        <v>34</v>
      </c>
      <c r="F3923" t="s">
        <v>506</v>
      </c>
      <c r="G3923">
        <v>-31.9</v>
      </c>
      <c r="H3923">
        <v>-71.516666700000002</v>
      </c>
      <c r="I3923" t="s">
        <v>763</v>
      </c>
      <c r="J3923" s="2" t="s">
        <v>7</v>
      </c>
      <c r="K3923" t="s">
        <v>507</v>
      </c>
      <c r="L3923" t="s">
        <v>144</v>
      </c>
      <c r="M3923" t="s">
        <v>553</v>
      </c>
      <c r="N3923" t="s">
        <v>85</v>
      </c>
      <c r="O3923" s="6" t="s">
        <v>241</v>
      </c>
      <c r="P3923" t="s">
        <v>147</v>
      </c>
      <c r="Q3923">
        <v>15</v>
      </c>
      <c r="R3923" t="s">
        <v>213</v>
      </c>
      <c r="S3923" s="2" t="s">
        <v>7</v>
      </c>
      <c r="T3923">
        <v>8</v>
      </c>
      <c r="U3923" t="s">
        <v>28</v>
      </c>
      <c r="V3923" t="s">
        <v>28</v>
      </c>
      <c r="W3923">
        <v>17</v>
      </c>
      <c r="X3923">
        <v>5.6239999999999998E-2</v>
      </c>
      <c r="Y3923">
        <v>2.1904999999999997E-2</v>
      </c>
      <c r="AA3923" s="6"/>
      <c r="AB3923" s="6"/>
    </row>
    <row r="3924" spans="1:28" x14ac:dyDescent="0.2">
      <c r="A3924" t="s">
        <v>504</v>
      </c>
      <c r="B3924">
        <v>2011</v>
      </c>
      <c r="C3924" t="s">
        <v>816</v>
      </c>
      <c r="D3924" t="s">
        <v>820</v>
      </c>
      <c r="E3924" t="s">
        <v>34</v>
      </c>
      <c r="F3924" t="s">
        <v>506</v>
      </c>
      <c r="G3924">
        <v>-31.9</v>
      </c>
      <c r="H3924">
        <v>-71.516666700000002</v>
      </c>
      <c r="I3924" t="s">
        <v>763</v>
      </c>
      <c r="J3924" s="2" t="s">
        <v>14</v>
      </c>
      <c r="K3924" t="s">
        <v>507</v>
      </c>
      <c r="L3924" t="s">
        <v>144</v>
      </c>
      <c r="M3924" t="s">
        <v>553</v>
      </c>
      <c r="N3924" t="s">
        <v>85</v>
      </c>
      <c r="O3924" s="6" t="s">
        <v>241</v>
      </c>
      <c r="P3924" t="s">
        <v>147</v>
      </c>
      <c r="Q3924">
        <v>15</v>
      </c>
      <c r="R3924" t="s">
        <v>213</v>
      </c>
      <c r="S3924" s="2" t="s">
        <v>9</v>
      </c>
      <c r="T3924">
        <v>8</v>
      </c>
      <c r="U3924" t="s">
        <v>28</v>
      </c>
      <c r="V3924" t="s">
        <v>28</v>
      </c>
      <c r="W3924">
        <v>20</v>
      </c>
      <c r="X3924">
        <v>4.7884999999999997E-2</v>
      </c>
      <c r="Y3924">
        <v>9.6599999999999984E-3</v>
      </c>
      <c r="AA3924" s="6"/>
      <c r="AB3924" s="6"/>
    </row>
    <row r="3925" spans="1:28" x14ac:dyDescent="0.2">
      <c r="A3925" t="s">
        <v>504</v>
      </c>
      <c r="B3925">
        <v>2011</v>
      </c>
      <c r="C3925" t="s">
        <v>816</v>
      </c>
      <c r="D3925" t="s">
        <v>820</v>
      </c>
      <c r="E3925" t="s">
        <v>34</v>
      </c>
      <c r="F3925" t="s">
        <v>506</v>
      </c>
      <c r="G3925">
        <v>-31.9</v>
      </c>
      <c r="H3925">
        <v>-71.516666700000002</v>
      </c>
      <c r="I3925" t="s">
        <v>763</v>
      </c>
      <c r="J3925" s="2" t="s">
        <v>7</v>
      </c>
      <c r="K3925" t="s">
        <v>507</v>
      </c>
      <c r="L3925" t="s">
        <v>144</v>
      </c>
      <c r="M3925" t="s">
        <v>553</v>
      </c>
      <c r="N3925" t="s">
        <v>85</v>
      </c>
      <c r="O3925" s="6" t="s">
        <v>432</v>
      </c>
      <c r="P3925" t="s">
        <v>147</v>
      </c>
      <c r="Q3925">
        <v>15</v>
      </c>
      <c r="R3925" t="s">
        <v>213</v>
      </c>
      <c r="S3925" s="2" t="s">
        <v>7</v>
      </c>
      <c r="T3925">
        <v>8</v>
      </c>
      <c r="U3925" t="s">
        <v>28</v>
      </c>
      <c r="V3925" t="s">
        <v>28</v>
      </c>
      <c r="W3925">
        <v>17</v>
      </c>
      <c r="X3925">
        <v>0.16205</v>
      </c>
      <c r="Y3925">
        <v>4.859999999999999E-2</v>
      </c>
      <c r="AA3925" s="6"/>
      <c r="AB3925" s="6"/>
    </row>
    <row r="3926" spans="1:28" x14ac:dyDescent="0.2">
      <c r="A3926" t="s">
        <v>504</v>
      </c>
      <c r="B3926">
        <v>2011</v>
      </c>
      <c r="C3926" t="s">
        <v>816</v>
      </c>
      <c r="D3926" t="s">
        <v>820</v>
      </c>
      <c r="E3926" t="s">
        <v>34</v>
      </c>
      <c r="F3926" t="s">
        <v>506</v>
      </c>
      <c r="G3926">
        <v>-31.9</v>
      </c>
      <c r="H3926">
        <v>-71.516666700000002</v>
      </c>
      <c r="I3926" t="s">
        <v>763</v>
      </c>
      <c r="J3926" s="2" t="s">
        <v>14</v>
      </c>
      <c r="K3926" t="s">
        <v>507</v>
      </c>
      <c r="L3926" t="s">
        <v>144</v>
      </c>
      <c r="M3926" t="s">
        <v>553</v>
      </c>
      <c r="N3926" t="s">
        <v>85</v>
      </c>
      <c r="O3926" s="6" t="s">
        <v>432</v>
      </c>
      <c r="P3926" t="s">
        <v>147</v>
      </c>
      <c r="Q3926">
        <v>15</v>
      </c>
      <c r="R3926" t="s">
        <v>213</v>
      </c>
      <c r="S3926" s="2" t="s">
        <v>9</v>
      </c>
      <c r="T3926">
        <v>8</v>
      </c>
      <c r="U3926" t="s">
        <v>28</v>
      </c>
      <c r="V3926" t="s">
        <v>28</v>
      </c>
      <c r="W3926">
        <v>20</v>
      </c>
      <c r="X3926">
        <v>0.1653</v>
      </c>
      <c r="Y3926">
        <v>4.0249999999999994E-2</v>
      </c>
      <c r="AA3926" s="6"/>
      <c r="AB3926" s="6"/>
    </row>
    <row r="3927" spans="1:28" x14ac:dyDescent="0.2">
      <c r="A3927" t="s">
        <v>504</v>
      </c>
      <c r="B3927">
        <v>2011</v>
      </c>
      <c r="C3927" t="s">
        <v>816</v>
      </c>
      <c r="D3927" t="s">
        <v>820</v>
      </c>
      <c r="E3927" t="s">
        <v>34</v>
      </c>
      <c r="F3927" t="s">
        <v>506</v>
      </c>
      <c r="G3927">
        <v>-31.9</v>
      </c>
      <c r="H3927">
        <v>-71.516666700000002</v>
      </c>
      <c r="I3927" t="s">
        <v>763</v>
      </c>
      <c r="J3927" s="2" t="s">
        <v>7</v>
      </c>
      <c r="K3927" t="s">
        <v>507</v>
      </c>
      <c r="L3927" t="s">
        <v>144</v>
      </c>
      <c r="M3927" t="s">
        <v>726</v>
      </c>
      <c r="N3927" t="s">
        <v>85</v>
      </c>
      <c r="O3927" s="6" t="s">
        <v>84</v>
      </c>
      <c r="Q3927">
        <v>15</v>
      </c>
      <c r="R3927" t="s">
        <v>213</v>
      </c>
      <c r="S3927" s="2" t="s">
        <v>7</v>
      </c>
      <c r="T3927">
        <v>8</v>
      </c>
      <c r="U3927" t="s">
        <v>28</v>
      </c>
      <c r="V3927" t="s">
        <v>28</v>
      </c>
      <c r="W3927">
        <v>17</v>
      </c>
      <c r="X3927">
        <v>0.65010000000000001</v>
      </c>
      <c r="Y3927">
        <v>4.400000000000015E-3</v>
      </c>
      <c r="AA3927" s="6"/>
      <c r="AB3927" s="6"/>
    </row>
    <row r="3928" spans="1:28" x14ac:dyDescent="0.2">
      <c r="A3928" t="s">
        <v>504</v>
      </c>
      <c r="B3928">
        <v>2011</v>
      </c>
      <c r="C3928" t="s">
        <v>816</v>
      </c>
      <c r="D3928" t="s">
        <v>820</v>
      </c>
      <c r="E3928" t="s">
        <v>34</v>
      </c>
      <c r="F3928" t="s">
        <v>506</v>
      </c>
      <c r="G3928">
        <v>-31.9</v>
      </c>
      <c r="H3928">
        <v>-71.516666700000002</v>
      </c>
      <c r="I3928" t="s">
        <v>763</v>
      </c>
      <c r="J3928" s="2" t="s">
        <v>14</v>
      </c>
      <c r="K3928" t="s">
        <v>507</v>
      </c>
      <c r="L3928" t="s">
        <v>144</v>
      </c>
      <c r="M3928" t="s">
        <v>726</v>
      </c>
      <c r="N3928" t="s">
        <v>85</v>
      </c>
      <c r="O3928" s="6" t="s">
        <v>84</v>
      </c>
      <c r="Q3928">
        <v>15</v>
      </c>
      <c r="R3928" t="s">
        <v>213</v>
      </c>
      <c r="S3928" s="2" t="s">
        <v>9</v>
      </c>
      <c r="T3928">
        <v>8</v>
      </c>
      <c r="U3928" t="s">
        <v>28</v>
      </c>
      <c r="V3928" t="s">
        <v>28</v>
      </c>
      <c r="W3928">
        <v>20</v>
      </c>
      <c r="X3928">
        <v>0.64419999999999999</v>
      </c>
      <c r="Y3928">
        <v>3.6999999999999811E-3</v>
      </c>
      <c r="AA3928" s="6"/>
      <c r="AB3928" s="6"/>
    </row>
    <row r="3929" spans="1:28" x14ac:dyDescent="0.2">
      <c r="A3929" t="s">
        <v>504</v>
      </c>
      <c r="B3929">
        <v>2011</v>
      </c>
      <c r="C3929" t="s">
        <v>816</v>
      </c>
      <c r="D3929" t="s">
        <v>820</v>
      </c>
      <c r="E3929" t="s">
        <v>34</v>
      </c>
      <c r="F3929" t="s">
        <v>506</v>
      </c>
      <c r="G3929">
        <v>-31.9</v>
      </c>
      <c r="H3929">
        <v>-71.516666700000002</v>
      </c>
      <c r="I3929" t="s">
        <v>763</v>
      </c>
      <c r="J3929" s="2" t="s">
        <v>7</v>
      </c>
      <c r="K3929" t="s">
        <v>507</v>
      </c>
      <c r="L3929" t="s">
        <v>144</v>
      </c>
      <c r="M3929" t="s">
        <v>26</v>
      </c>
      <c r="N3929" t="s">
        <v>85</v>
      </c>
      <c r="O3929" t="s">
        <v>839</v>
      </c>
      <c r="P3929" t="s">
        <v>72</v>
      </c>
      <c r="Q3929">
        <v>15</v>
      </c>
      <c r="R3929" t="s">
        <v>213</v>
      </c>
      <c r="S3929" s="2" t="s">
        <v>7</v>
      </c>
      <c r="T3929">
        <v>8</v>
      </c>
      <c r="U3929" t="s">
        <v>28</v>
      </c>
      <c r="V3929" t="s">
        <v>28</v>
      </c>
      <c r="W3929">
        <v>17</v>
      </c>
      <c r="X3929">
        <v>4.6459999999999999</v>
      </c>
      <c r="Y3929">
        <v>1.4159999999999997</v>
      </c>
      <c r="AA3929" s="6"/>
      <c r="AB3929" s="6"/>
    </row>
    <row r="3930" spans="1:28" x14ac:dyDescent="0.2">
      <c r="A3930" t="s">
        <v>504</v>
      </c>
      <c r="B3930">
        <v>2011</v>
      </c>
      <c r="C3930" t="s">
        <v>816</v>
      </c>
      <c r="D3930" t="s">
        <v>820</v>
      </c>
      <c r="E3930" t="s">
        <v>34</v>
      </c>
      <c r="F3930" t="s">
        <v>506</v>
      </c>
      <c r="G3930">
        <v>-31.9</v>
      </c>
      <c r="H3930">
        <v>-71.516666700000002</v>
      </c>
      <c r="I3930" t="s">
        <v>763</v>
      </c>
      <c r="J3930" s="2" t="s">
        <v>14</v>
      </c>
      <c r="K3930" t="s">
        <v>507</v>
      </c>
      <c r="L3930" t="s">
        <v>144</v>
      </c>
      <c r="M3930" t="s">
        <v>26</v>
      </c>
      <c r="N3930" t="s">
        <v>85</v>
      </c>
      <c r="O3930" t="s">
        <v>839</v>
      </c>
      <c r="P3930" t="s">
        <v>72</v>
      </c>
      <c r="Q3930">
        <v>15</v>
      </c>
      <c r="R3930" t="s">
        <v>213</v>
      </c>
      <c r="S3930" s="2" t="s">
        <v>9</v>
      </c>
      <c r="T3930">
        <v>8</v>
      </c>
      <c r="U3930" t="s">
        <v>28</v>
      </c>
      <c r="V3930" t="s">
        <v>28</v>
      </c>
      <c r="W3930">
        <v>20</v>
      </c>
      <c r="X3930">
        <v>1.8494999999999999</v>
      </c>
      <c r="Y3930">
        <v>1.77</v>
      </c>
      <c r="AA3930" s="6"/>
      <c r="AB3930" s="6"/>
    </row>
    <row r="3931" spans="1:28" x14ac:dyDescent="0.2">
      <c r="A3931" t="s">
        <v>504</v>
      </c>
      <c r="B3931">
        <v>2011</v>
      </c>
      <c r="C3931" t="s">
        <v>816</v>
      </c>
      <c r="D3931" t="s">
        <v>820</v>
      </c>
      <c r="E3931" t="s">
        <v>34</v>
      </c>
      <c r="F3931" t="s">
        <v>506</v>
      </c>
      <c r="G3931">
        <v>-31.9</v>
      </c>
      <c r="H3931">
        <v>-71.516666700000002</v>
      </c>
      <c r="I3931" t="s">
        <v>763</v>
      </c>
      <c r="J3931" s="2" t="s">
        <v>7</v>
      </c>
      <c r="K3931" t="s">
        <v>507</v>
      </c>
      <c r="L3931" t="s">
        <v>144</v>
      </c>
      <c r="M3931" t="s">
        <v>26</v>
      </c>
      <c r="N3931" t="s">
        <v>85</v>
      </c>
      <c r="O3931" s="6" t="s">
        <v>462</v>
      </c>
      <c r="P3931" t="s">
        <v>124</v>
      </c>
      <c r="Q3931">
        <v>15</v>
      </c>
      <c r="R3931" t="s">
        <v>213</v>
      </c>
      <c r="S3931" s="2" t="s">
        <v>7</v>
      </c>
      <c r="T3931">
        <v>8</v>
      </c>
      <c r="U3931" t="s">
        <v>28</v>
      </c>
      <c r="V3931" t="s">
        <v>28</v>
      </c>
      <c r="W3931">
        <v>17</v>
      </c>
      <c r="X3931">
        <v>2.1094999999999997</v>
      </c>
      <c r="Y3931">
        <v>0.34550000000000014</v>
      </c>
      <c r="AA3931" s="6"/>
      <c r="AB3931" s="6"/>
    </row>
    <row r="3932" spans="1:28" x14ac:dyDescent="0.2">
      <c r="A3932" t="s">
        <v>504</v>
      </c>
      <c r="B3932">
        <v>2011</v>
      </c>
      <c r="C3932" t="s">
        <v>816</v>
      </c>
      <c r="D3932" t="s">
        <v>820</v>
      </c>
      <c r="E3932" t="s">
        <v>34</v>
      </c>
      <c r="F3932" t="s">
        <v>506</v>
      </c>
      <c r="G3932">
        <v>-31.9</v>
      </c>
      <c r="H3932">
        <v>-71.516666700000002</v>
      </c>
      <c r="I3932" t="s">
        <v>763</v>
      </c>
      <c r="J3932" s="2" t="s">
        <v>14</v>
      </c>
      <c r="K3932" t="s">
        <v>507</v>
      </c>
      <c r="L3932" t="s">
        <v>144</v>
      </c>
      <c r="M3932" t="s">
        <v>26</v>
      </c>
      <c r="N3932" t="s">
        <v>85</v>
      </c>
      <c r="O3932" s="6" t="s">
        <v>462</v>
      </c>
      <c r="P3932" t="s">
        <v>124</v>
      </c>
      <c r="Q3932">
        <v>15</v>
      </c>
      <c r="R3932" t="s">
        <v>213</v>
      </c>
      <c r="S3932" s="2" t="s">
        <v>9</v>
      </c>
      <c r="T3932">
        <v>8</v>
      </c>
      <c r="U3932" t="s">
        <v>28</v>
      </c>
      <c r="V3932" t="s">
        <v>28</v>
      </c>
      <c r="W3932">
        <v>20</v>
      </c>
      <c r="X3932">
        <v>1.534</v>
      </c>
      <c r="Y3932">
        <v>0.15649999999999997</v>
      </c>
      <c r="AA3932" s="6"/>
      <c r="AB3932" s="6"/>
    </row>
    <row r="3933" spans="1:28" x14ac:dyDescent="0.2">
      <c r="A3933" t="s">
        <v>504</v>
      </c>
      <c r="B3933">
        <v>2011</v>
      </c>
      <c r="C3933" t="s">
        <v>816</v>
      </c>
      <c r="D3933" t="s">
        <v>820</v>
      </c>
      <c r="E3933" t="s">
        <v>34</v>
      </c>
      <c r="F3933" t="s">
        <v>506</v>
      </c>
      <c r="G3933">
        <v>-31.9</v>
      </c>
      <c r="H3933">
        <v>-71.516666700000002</v>
      </c>
      <c r="I3933" t="s">
        <v>763</v>
      </c>
      <c r="J3933" s="2" t="s">
        <v>7</v>
      </c>
      <c r="K3933" t="s">
        <v>507</v>
      </c>
      <c r="L3933" t="s">
        <v>144</v>
      </c>
      <c r="M3933" t="s">
        <v>727</v>
      </c>
      <c r="N3933" t="s">
        <v>85</v>
      </c>
      <c r="O3933" s="6" t="s">
        <v>508</v>
      </c>
      <c r="P3933" t="s">
        <v>70</v>
      </c>
      <c r="Q3933">
        <v>15</v>
      </c>
      <c r="R3933" t="s">
        <v>213</v>
      </c>
      <c r="S3933" s="2" t="s">
        <v>7</v>
      </c>
      <c r="T3933">
        <v>6</v>
      </c>
      <c r="U3933" t="s">
        <v>28</v>
      </c>
      <c r="V3933" t="s">
        <v>28</v>
      </c>
      <c r="W3933">
        <v>17</v>
      </c>
      <c r="X3933">
        <v>8.06</v>
      </c>
      <c r="Y3933">
        <v>4.4600000000000009</v>
      </c>
      <c r="AA3933" s="6"/>
      <c r="AB3933" s="6"/>
    </row>
    <row r="3934" spans="1:28" x14ac:dyDescent="0.2">
      <c r="A3934" t="s">
        <v>504</v>
      </c>
      <c r="B3934">
        <v>2011</v>
      </c>
      <c r="C3934" t="s">
        <v>816</v>
      </c>
      <c r="D3934" t="s">
        <v>820</v>
      </c>
      <c r="E3934" t="s">
        <v>34</v>
      </c>
      <c r="F3934" t="s">
        <v>506</v>
      </c>
      <c r="G3934">
        <v>-31.9</v>
      </c>
      <c r="H3934">
        <v>-71.516666700000002</v>
      </c>
      <c r="I3934" t="s">
        <v>763</v>
      </c>
      <c r="J3934" s="2" t="s">
        <v>14</v>
      </c>
      <c r="K3934" t="s">
        <v>507</v>
      </c>
      <c r="L3934" t="s">
        <v>144</v>
      </c>
      <c r="M3934" t="s">
        <v>727</v>
      </c>
      <c r="N3934" t="s">
        <v>85</v>
      </c>
      <c r="O3934" s="6" t="s">
        <v>508</v>
      </c>
      <c r="P3934" t="s">
        <v>70</v>
      </c>
      <c r="Q3934">
        <v>15</v>
      </c>
      <c r="R3934" t="s">
        <v>213</v>
      </c>
      <c r="S3934" s="2" t="s">
        <v>9</v>
      </c>
      <c r="T3934">
        <v>2</v>
      </c>
      <c r="U3934" t="s">
        <v>28</v>
      </c>
      <c r="V3934" t="s">
        <v>28</v>
      </c>
      <c r="W3934">
        <v>20</v>
      </c>
      <c r="X3934">
        <v>5.45</v>
      </c>
      <c r="Y3934">
        <v>4.29</v>
      </c>
      <c r="AA3934" s="6"/>
      <c r="AB3934" s="6"/>
    </row>
    <row r="3935" spans="1:28" x14ac:dyDescent="0.2">
      <c r="A3935" t="s">
        <v>509</v>
      </c>
      <c r="B3935">
        <v>2016</v>
      </c>
      <c r="C3935" t="s">
        <v>826</v>
      </c>
      <c r="D3935" t="s">
        <v>812</v>
      </c>
      <c r="E3935" t="s">
        <v>175</v>
      </c>
      <c r="F3935" t="s">
        <v>478</v>
      </c>
      <c r="G3935">
        <v>-30.304137000000001</v>
      </c>
      <c r="H3935">
        <v>115.030576</v>
      </c>
      <c r="I3935" t="s">
        <v>17</v>
      </c>
      <c r="J3935" s="2" t="s">
        <v>7</v>
      </c>
      <c r="K3935" t="s">
        <v>144</v>
      </c>
      <c r="L3935" t="s">
        <v>144</v>
      </c>
      <c r="M3935" t="s">
        <v>73</v>
      </c>
      <c r="N3935" t="s">
        <v>85</v>
      </c>
      <c r="O3935" s="6" t="s">
        <v>146</v>
      </c>
      <c r="P3935" t="s">
        <v>211</v>
      </c>
      <c r="Q3935">
        <f>0.75/24</f>
        <v>3.125E-2</v>
      </c>
      <c r="R3935" t="s">
        <v>213</v>
      </c>
      <c r="S3935" s="2" t="s">
        <v>7</v>
      </c>
      <c r="T3935">
        <v>5</v>
      </c>
      <c r="U3935" t="s">
        <v>28</v>
      </c>
      <c r="V3935" t="s">
        <v>28</v>
      </c>
      <c r="W3935">
        <v>22</v>
      </c>
      <c r="X3935">
        <v>1.8660000000000001</v>
      </c>
      <c r="Y3935" s="6">
        <f t="shared" ref="Y3935:Y3972" si="74">Z3935*SQRT(T3935)</f>
        <v>0.17888543819998284</v>
      </c>
      <c r="Z3935">
        <f>1.946-X3935</f>
        <v>7.9999999999999849E-2</v>
      </c>
      <c r="AA3935" s="6"/>
      <c r="AB3935" s="6"/>
    </row>
    <row r="3936" spans="1:28" x14ac:dyDescent="0.2">
      <c r="A3936" t="s">
        <v>509</v>
      </c>
      <c r="B3936">
        <v>2016</v>
      </c>
      <c r="C3936" t="s">
        <v>826</v>
      </c>
      <c r="D3936" t="s">
        <v>812</v>
      </c>
      <c r="E3936" t="s">
        <v>175</v>
      </c>
      <c r="F3936" t="s">
        <v>478</v>
      </c>
      <c r="G3936">
        <v>-30.304137000000001</v>
      </c>
      <c r="H3936">
        <v>115.030576</v>
      </c>
      <c r="I3936" t="s">
        <v>17</v>
      </c>
      <c r="J3936" s="2" t="s">
        <v>14</v>
      </c>
      <c r="K3936" t="s">
        <v>144</v>
      </c>
      <c r="L3936" t="s">
        <v>144</v>
      </c>
      <c r="M3936" t="s">
        <v>73</v>
      </c>
      <c r="N3936" t="s">
        <v>85</v>
      </c>
      <c r="O3936" s="6" t="s">
        <v>146</v>
      </c>
      <c r="P3936" t="s">
        <v>211</v>
      </c>
      <c r="Q3936">
        <f t="shared" ref="Q3936:Q3964" si="75">0.75/24</f>
        <v>3.125E-2</v>
      </c>
      <c r="R3936" t="s">
        <v>213</v>
      </c>
      <c r="S3936" s="2" t="s">
        <v>9</v>
      </c>
      <c r="T3936">
        <v>5</v>
      </c>
      <c r="U3936" t="s">
        <v>28</v>
      </c>
      <c r="V3936" t="s">
        <v>28</v>
      </c>
      <c r="W3936">
        <v>24</v>
      </c>
      <c r="X3936">
        <v>2.0470000000000002</v>
      </c>
      <c r="Y3936" s="6">
        <f t="shared" si="74"/>
        <v>0.21466252583997902</v>
      </c>
      <c r="Z3936">
        <f>2.143-X3936</f>
        <v>9.5999999999999641E-2</v>
      </c>
      <c r="AA3936" s="6"/>
      <c r="AB3936" s="6"/>
    </row>
    <row r="3937" spans="1:28" x14ac:dyDescent="0.2">
      <c r="A3937" t="s">
        <v>509</v>
      </c>
      <c r="B3937">
        <v>2016</v>
      </c>
      <c r="C3937" t="s">
        <v>826</v>
      </c>
      <c r="D3937" t="s">
        <v>812</v>
      </c>
      <c r="E3937" t="s">
        <v>175</v>
      </c>
      <c r="F3937" t="s">
        <v>478</v>
      </c>
      <c r="G3937">
        <v>-30.304137000000001</v>
      </c>
      <c r="H3937">
        <v>115.030576</v>
      </c>
      <c r="I3937" t="s">
        <v>17</v>
      </c>
      <c r="J3937" s="2" t="s">
        <v>14</v>
      </c>
      <c r="K3937" t="s">
        <v>144</v>
      </c>
      <c r="L3937" t="s">
        <v>144</v>
      </c>
      <c r="M3937" t="s">
        <v>73</v>
      </c>
      <c r="N3937" t="s">
        <v>85</v>
      </c>
      <c r="O3937" s="6" t="s">
        <v>146</v>
      </c>
      <c r="P3937" t="s">
        <v>211</v>
      </c>
      <c r="Q3937">
        <f t="shared" si="75"/>
        <v>3.125E-2</v>
      </c>
      <c r="R3937" t="s">
        <v>213</v>
      </c>
      <c r="S3937" s="2" t="s">
        <v>27</v>
      </c>
      <c r="T3937">
        <v>5</v>
      </c>
      <c r="U3937" t="s">
        <v>28</v>
      </c>
      <c r="V3937" t="s">
        <v>28</v>
      </c>
      <c r="W3937">
        <v>26</v>
      </c>
      <c r="X3937">
        <v>1.9419999999999999</v>
      </c>
      <c r="Y3937" s="6">
        <f t="shared" si="74"/>
        <v>0.348826604489967</v>
      </c>
      <c r="Z3937">
        <f>X3937-1.786</f>
        <v>0.15599999999999992</v>
      </c>
      <c r="AA3937" s="6"/>
      <c r="AB3937" s="6"/>
    </row>
    <row r="3938" spans="1:28" x14ac:dyDescent="0.2">
      <c r="A3938" t="s">
        <v>509</v>
      </c>
      <c r="B3938">
        <v>2016</v>
      </c>
      <c r="C3938" t="s">
        <v>826</v>
      </c>
      <c r="D3938" t="s">
        <v>812</v>
      </c>
      <c r="E3938" t="s">
        <v>175</v>
      </c>
      <c r="F3938" t="s">
        <v>478</v>
      </c>
      <c r="G3938">
        <v>-30.304137000000001</v>
      </c>
      <c r="H3938">
        <v>115.030576</v>
      </c>
      <c r="I3938" t="s">
        <v>17</v>
      </c>
      <c r="J3938" s="2" t="s">
        <v>14</v>
      </c>
      <c r="K3938" t="s">
        <v>144</v>
      </c>
      <c r="L3938" t="s">
        <v>144</v>
      </c>
      <c r="M3938" t="s">
        <v>73</v>
      </c>
      <c r="N3938" t="s">
        <v>85</v>
      </c>
      <c r="O3938" s="6" t="s">
        <v>146</v>
      </c>
      <c r="P3938" t="s">
        <v>211</v>
      </c>
      <c r="Q3938">
        <f t="shared" si="75"/>
        <v>3.125E-2</v>
      </c>
      <c r="R3938" t="s">
        <v>213</v>
      </c>
      <c r="S3938" s="2" t="s">
        <v>13</v>
      </c>
      <c r="T3938">
        <v>5</v>
      </c>
      <c r="U3938" t="s">
        <v>28</v>
      </c>
      <c r="V3938" t="s">
        <v>28</v>
      </c>
      <c r="W3938">
        <v>28</v>
      </c>
      <c r="X3938">
        <v>1.548</v>
      </c>
      <c r="Y3938" s="6">
        <f t="shared" si="74"/>
        <v>0.19901004999748123</v>
      </c>
      <c r="Z3938">
        <f>1.637-X3938</f>
        <v>8.8999999999999968E-2</v>
      </c>
      <c r="AA3938" s="6"/>
      <c r="AB3938" s="6"/>
    </row>
    <row r="3939" spans="1:28" x14ac:dyDescent="0.2">
      <c r="A3939" t="s">
        <v>509</v>
      </c>
      <c r="B3939">
        <v>2016</v>
      </c>
      <c r="C3939" t="s">
        <v>826</v>
      </c>
      <c r="D3939" t="s">
        <v>812</v>
      </c>
      <c r="E3939" t="s">
        <v>175</v>
      </c>
      <c r="F3939" t="s">
        <v>478</v>
      </c>
      <c r="G3939">
        <v>-30.304137000000001</v>
      </c>
      <c r="H3939">
        <v>115.030576</v>
      </c>
      <c r="I3939" t="s">
        <v>17</v>
      </c>
      <c r="J3939" s="2" t="s">
        <v>14</v>
      </c>
      <c r="K3939" t="s">
        <v>144</v>
      </c>
      <c r="L3939" t="s">
        <v>144</v>
      </c>
      <c r="M3939" t="s">
        <v>73</v>
      </c>
      <c r="N3939" t="s">
        <v>85</v>
      </c>
      <c r="O3939" s="6" t="s">
        <v>146</v>
      </c>
      <c r="P3939" t="s">
        <v>211</v>
      </c>
      <c r="Q3939">
        <f t="shared" si="75"/>
        <v>3.125E-2</v>
      </c>
      <c r="R3939" t="s">
        <v>213</v>
      </c>
      <c r="S3939" s="2" t="s">
        <v>15</v>
      </c>
      <c r="T3939">
        <v>5</v>
      </c>
      <c r="U3939" t="s">
        <v>28</v>
      </c>
      <c r="V3939" t="s">
        <v>28</v>
      </c>
      <c r="W3939">
        <v>30</v>
      </c>
      <c r="X3939">
        <v>1.2549999999999999</v>
      </c>
      <c r="Y3939" s="6">
        <f t="shared" si="74"/>
        <v>0.17888543819998334</v>
      </c>
      <c r="Z3939">
        <f>1.335-X3939</f>
        <v>8.0000000000000071E-2</v>
      </c>
      <c r="AA3939" s="6"/>
      <c r="AB3939" s="6"/>
    </row>
    <row r="3940" spans="1:28" x14ac:dyDescent="0.2">
      <c r="A3940" t="s">
        <v>509</v>
      </c>
      <c r="B3940">
        <v>2016</v>
      </c>
      <c r="C3940" t="s">
        <v>826</v>
      </c>
      <c r="D3940" t="s">
        <v>812</v>
      </c>
      <c r="E3940" t="s">
        <v>175</v>
      </c>
      <c r="F3940" t="s">
        <v>478</v>
      </c>
      <c r="G3940">
        <v>-30.304137000000001</v>
      </c>
      <c r="H3940">
        <v>115.030576</v>
      </c>
      <c r="I3940" t="s">
        <v>17</v>
      </c>
      <c r="J3940" s="2" t="s">
        <v>7</v>
      </c>
      <c r="K3940" t="s">
        <v>144</v>
      </c>
      <c r="L3940" t="s">
        <v>144</v>
      </c>
      <c r="M3940" t="s">
        <v>172</v>
      </c>
      <c r="N3940" t="s">
        <v>86</v>
      </c>
      <c r="O3940" s="6" t="s">
        <v>62</v>
      </c>
      <c r="P3940" t="s">
        <v>211</v>
      </c>
      <c r="Q3940">
        <f>0.75/24</f>
        <v>3.125E-2</v>
      </c>
      <c r="R3940" t="s">
        <v>213</v>
      </c>
      <c r="S3940" s="2" t="s">
        <v>7</v>
      </c>
      <c r="T3940">
        <v>5</v>
      </c>
      <c r="U3940" t="s">
        <v>28</v>
      </c>
      <c r="V3940" t="s">
        <v>28</v>
      </c>
      <c r="W3940">
        <v>22</v>
      </c>
      <c r="X3940">
        <v>0.876</v>
      </c>
      <c r="Y3940" s="6">
        <f t="shared" si="74"/>
        <v>0.21913466179497934</v>
      </c>
      <c r="Z3940">
        <f>0.974-X3940</f>
        <v>9.7999999999999976E-2</v>
      </c>
      <c r="AA3940" s="6"/>
      <c r="AB3940" s="6"/>
    </row>
    <row r="3941" spans="1:28" x14ac:dyDescent="0.2">
      <c r="A3941" t="s">
        <v>509</v>
      </c>
      <c r="B3941">
        <v>2016</v>
      </c>
      <c r="C3941" t="s">
        <v>826</v>
      </c>
      <c r="D3941" t="s">
        <v>812</v>
      </c>
      <c r="E3941" t="s">
        <v>175</v>
      </c>
      <c r="F3941" t="s">
        <v>478</v>
      </c>
      <c r="G3941">
        <v>-30.304137000000001</v>
      </c>
      <c r="H3941">
        <v>115.030576</v>
      </c>
      <c r="I3941" t="s">
        <v>17</v>
      </c>
      <c r="J3941" s="2" t="s">
        <v>14</v>
      </c>
      <c r="K3941" t="s">
        <v>144</v>
      </c>
      <c r="L3941" t="s">
        <v>144</v>
      </c>
      <c r="M3941" t="s">
        <v>172</v>
      </c>
      <c r="N3941" t="s">
        <v>86</v>
      </c>
      <c r="O3941" s="6" t="s">
        <v>62</v>
      </c>
      <c r="P3941" t="s">
        <v>211</v>
      </c>
      <c r="Q3941">
        <f t="shared" si="75"/>
        <v>3.125E-2</v>
      </c>
      <c r="R3941" t="s">
        <v>213</v>
      </c>
      <c r="S3941" s="2" t="s">
        <v>9</v>
      </c>
      <c r="T3941">
        <v>5</v>
      </c>
      <c r="U3941" t="s">
        <v>28</v>
      </c>
      <c r="V3941" t="s">
        <v>28</v>
      </c>
      <c r="W3941">
        <v>24</v>
      </c>
      <c r="X3941">
        <v>0.98399999999999999</v>
      </c>
      <c r="Y3941" s="6">
        <f t="shared" si="74"/>
        <v>0.18335757415498294</v>
      </c>
      <c r="Z3941">
        <f>1.066-X3941</f>
        <v>8.2000000000000073E-2</v>
      </c>
      <c r="AA3941" s="6"/>
      <c r="AB3941" s="6"/>
    </row>
    <row r="3942" spans="1:28" x14ac:dyDescent="0.2">
      <c r="A3942" t="s">
        <v>509</v>
      </c>
      <c r="B3942">
        <v>2016</v>
      </c>
      <c r="C3942" t="s">
        <v>826</v>
      </c>
      <c r="D3942" t="s">
        <v>812</v>
      </c>
      <c r="E3942" t="s">
        <v>175</v>
      </c>
      <c r="F3942" t="s">
        <v>478</v>
      </c>
      <c r="G3942">
        <v>-30.304137000000001</v>
      </c>
      <c r="H3942">
        <v>115.030576</v>
      </c>
      <c r="I3942" t="s">
        <v>17</v>
      </c>
      <c r="J3942" s="2" t="s">
        <v>14</v>
      </c>
      <c r="K3942" t="s">
        <v>144</v>
      </c>
      <c r="L3942" t="s">
        <v>144</v>
      </c>
      <c r="M3942" t="s">
        <v>172</v>
      </c>
      <c r="N3942" t="s">
        <v>86</v>
      </c>
      <c r="O3942" s="6" t="s">
        <v>62</v>
      </c>
      <c r="P3942" t="s">
        <v>211</v>
      </c>
      <c r="Q3942">
        <f t="shared" si="75"/>
        <v>3.125E-2</v>
      </c>
      <c r="R3942" t="s">
        <v>213</v>
      </c>
      <c r="S3942" s="2" t="s">
        <v>27</v>
      </c>
      <c r="T3942">
        <v>5</v>
      </c>
      <c r="U3942" t="s">
        <v>28</v>
      </c>
      <c r="V3942" t="s">
        <v>28</v>
      </c>
      <c r="W3942">
        <v>26</v>
      </c>
      <c r="X3942">
        <v>1.147</v>
      </c>
      <c r="Y3942" s="6">
        <f t="shared" si="74"/>
        <v>0.19006577808748204</v>
      </c>
      <c r="Z3942">
        <f>1.232-X3942</f>
        <v>8.4999999999999964E-2</v>
      </c>
      <c r="AA3942" s="6"/>
      <c r="AB3942" s="6"/>
    </row>
    <row r="3943" spans="1:28" x14ac:dyDescent="0.2">
      <c r="A3943" t="s">
        <v>509</v>
      </c>
      <c r="B3943">
        <v>2016</v>
      </c>
      <c r="C3943" t="s">
        <v>826</v>
      </c>
      <c r="D3943" t="s">
        <v>812</v>
      </c>
      <c r="E3943" t="s">
        <v>175</v>
      </c>
      <c r="F3943" t="s">
        <v>478</v>
      </c>
      <c r="G3943">
        <v>-30.304137000000001</v>
      </c>
      <c r="H3943">
        <v>115.030576</v>
      </c>
      <c r="I3943" t="s">
        <v>17</v>
      </c>
      <c r="J3943" s="2" t="s">
        <v>14</v>
      </c>
      <c r="K3943" t="s">
        <v>144</v>
      </c>
      <c r="L3943" t="s">
        <v>144</v>
      </c>
      <c r="M3943" t="s">
        <v>172</v>
      </c>
      <c r="N3943" t="s">
        <v>86</v>
      </c>
      <c r="O3943" s="6" t="s">
        <v>62</v>
      </c>
      <c r="P3943" t="s">
        <v>211</v>
      </c>
      <c r="Q3943">
        <f t="shared" si="75"/>
        <v>3.125E-2</v>
      </c>
      <c r="R3943" t="s">
        <v>213</v>
      </c>
      <c r="S3943" s="2" t="s">
        <v>13</v>
      </c>
      <c r="T3943">
        <v>5</v>
      </c>
      <c r="U3943" t="s">
        <v>28</v>
      </c>
      <c r="V3943" t="s">
        <v>28</v>
      </c>
      <c r="W3943">
        <v>28</v>
      </c>
      <c r="X3943">
        <v>1.32</v>
      </c>
      <c r="Y3943" s="6">
        <f t="shared" si="74"/>
        <v>0.19677398201998117</v>
      </c>
      <c r="Z3943">
        <f>1.408-X3943</f>
        <v>8.7999999999999856E-2</v>
      </c>
      <c r="AA3943" s="6"/>
      <c r="AB3943" s="6"/>
    </row>
    <row r="3944" spans="1:28" x14ac:dyDescent="0.2">
      <c r="A3944" t="s">
        <v>509</v>
      </c>
      <c r="B3944">
        <v>2016</v>
      </c>
      <c r="C3944" t="s">
        <v>826</v>
      </c>
      <c r="D3944" t="s">
        <v>812</v>
      </c>
      <c r="E3944" t="s">
        <v>175</v>
      </c>
      <c r="F3944" t="s">
        <v>478</v>
      </c>
      <c r="G3944">
        <v>-30.304137000000001</v>
      </c>
      <c r="H3944">
        <v>115.030576</v>
      </c>
      <c r="I3944" t="s">
        <v>17</v>
      </c>
      <c r="J3944" s="2" t="s">
        <v>14</v>
      </c>
      <c r="K3944" t="s">
        <v>144</v>
      </c>
      <c r="L3944" t="s">
        <v>144</v>
      </c>
      <c r="M3944" t="s">
        <v>172</v>
      </c>
      <c r="N3944" t="s">
        <v>86</v>
      </c>
      <c r="O3944" s="6" t="s">
        <v>62</v>
      </c>
      <c r="P3944" t="s">
        <v>211</v>
      </c>
      <c r="Q3944">
        <f t="shared" si="75"/>
        <v>3.125E-2</v>
      </c>
      <c r="R3944" t="s">
        <v>213</v>
      </c>
      <c r="S3944" s="2" t="s">
        <v>15</v>
      </c>
      <c r="T3944">
        <v>5</v>
      </c>
      <c r="U3944" t="s">
        <v>28</v>
      </c>
      <c r="V3944" t="s">
        <v>28</v>
      </c>
      <c r="W3944">
        <v>30</v>
      </c>
      <c r="X3944">
        <v>1.486</v>
      </c>
      <c r="Y3944" s="6">
        <f t="shared" si="74"/>
        <v>0.19901004999748123</v>
      </c>
      <c r="Z3944">
        <f>1.575-X3944</f>
        <v>8.8999999999999968E-2</v>
      </c>
      <c r="AA3944" s="6"/>
      <c r="AB3944" s="6"/>
    </row>
    <row r="3945" spans="1:28" x14ac:dyDescent="0.2">
      <c r="A3945" t="s">
        <v>509</v>
      </c>
      <c r="B3945">
        <v>2016</v>
      </c>
      <c r="C3945" t="s">
        <v>826</v>
      </c>
      <c r="D3945" t="s">
        <v>812</v>
      </c>
      <c r="E3945" t="s">
        <v>175</v>
      </c>
      <c r="F3945" t="s">
        <v>477</v>
      </c>
      <c r="G3945">
        <v>-31.843350000000001</v>
      </c>
      <c r="H3945">
        <v>115.749726</v>
      </c>
      <c r="I3945" t="s">
        <v>17</v>
      </c>
      <c r="J3945" s="2" t="s">
        <v>7</v>
      </c>
      <c r="K3945" t="s">
        <v>144</v>
      </c>
      <c r="L3945" t="s">
        <v>144</v>
      </c>
      <c r="M3945" t="s">
        <v>73</v>
      </c>
      <c r="N3945" t="s">
        <v>85</v>
      </c>
      <c r="O3945" s="6" t="s">
        <v>146</v>
      </c>
      <c r="P3945" t="s">
        <v>211</v>
      </c>
      <c r="Q3945">
        <f>0.75/24</f>
        <v>3.125E-2</v>
      </c>
      <c r="R3945" t="s">
        <v>213</v>
      </c>
      <c r="S3945" s="2" t="s">
        <v>7</v>
      </c>
      <c r="T3945">
        <v>5</v>
      </c>
      <c r="U3945" t="s">
        <v>28</v>
      </c>
      <c r="V3945" t="s">
        <v>28</v>
      </c>
      <c r="W3945">
        <v>22</v>
      </c>
      <c r="X3945">
        <v>2.0939999999999999</v>
      </c>
      <c r="Y3945" s="6">
        <f t="shared" si="74"/>
        <v>0.17664937022248381</v>
      </c>
      <c r="Z3945">
        <f>2.173-X3945</f>
        <v>7.9000000000000181E-2</v>
      </c>
      <c r="AA3945" s="6"/>
      <c r="AB3945" s="6"/>
    </row>
    <row r="3946" spans="1:28" x14ac:dyDescent="0.2">
      <c r="A3946" t="s">
        <v>509</v>
      </c>
      <c r="B3946">
        <v>2016</v>
      </c>
      <c r="C3946" t="s">
        <v>826</v>
      </c>
      <c r="D3946" t="s">
        <v>812</v>
      </c>
      <c r="E3946" t="s">
        <v>175</v>
      </c>
      <c r="F3946" t="s">
        <v>477</v>
      </c>
      <c r="G3946">
        <v>-31.843350000000001</v>
      </c>
      <c r="H3946">
        <v>115.749726</v>
      </c>
      <c r="I3946" t="s">
        <v>17</v>
      </c>
      <c r="J3946" s="2" t="s">
        <v>14</v>
      </c>
      <c r="K3946" t="s">
        <v>144</v>
      </c>
      <c r="L3946" t="s">
        <v>144</v>
      </c>
      <c r="M3946" t="s">
        <v>73</v>
      </c>
      <c r="N3946" t="s">
        <v>85</v>
      </c>
      <c r="O3946" s="6" t="s">
        <v>146</v>
      </c>
      <c r="P3946" t="s">
        <v>211</v>
      </c>
      <c r="Q3946">
        <f t="shared" si="75"/>
        <v>3.125E-2</v>
      </c>
      <c r="R3946" t="s">
        <v>213</v>
      </c>
      <c r="S3946" s="2" t="s">
        <v>9</v>
      </c>
      <c r="T3946">
        <v>5</v>
      </c>
      <c r="U3946" t="s">
        <v>28</v>
      </c>
      <c r="V3946" t="s">
        <v>28</v>
      </c>
      <c r="W3946">
        <v>24</v>
      </c>
      <c r="X3946">
        <v>2.343</v>
      </c>
      <c r="Y3946" s="6">
        <f t="shared" si="74"/>
        <v>0.16546903033498409</v>
      </c>
      <c r="Z3946">
        <f>2.417-X3946</f>
        <v>7.3999999999999844E-2</v>
      </c>
      <c r="AA3946" s="6"/>
      <c r="AB3946" s="6"/>
    </row>
    <row r="3947" spans="1:28" x14ac:dyDescent="0.2">
      <c r="A3947" t="s">
        <v>509</v>
      </c>
      <c r="B3947">
        <v>2016</v>
      </c>
      <c r="C3947" t="s">
        <v>826</v>
      </c>
      <c r="D3947" t="s">
        <v>812</v>
      </c>
      <c r="E3947" t="s">
        <v>175</v>
      </c>
      <c r="F3947" t="s">
        <v>477</v>
      </c>
      <c r="G3947">
        <v>-31.843350000000001</v>
      </c>
      <c r="H3947">
        <v>115.749726</v>
      </c>
      <c r="I3947" t="s">
        <v>17</v>
      </c>
      <c r="J3947" s="2" t="s">
        <v>14</v>
      </c>
      <c r="K3947" t="s">
        <v>144</v>
      </c>
      <c r="L3947" t="s">
        <v>144</v>
      </c>
      <c r="M3947" t="s">
        <v>73</v>
      </c>
      <c r="N3947" t="s">
        <v>85</v>
      </c>
      <c r="O3947" s="6" t="s">
        <v>146</v>
      </c>
      <c r="P3947" t="s">
        <v>211</v>
      </c>
      <c r="Q3947">
        <f t="shared" si="75"/>
        <v>3.125E-2</v>
      </c>
      <c r="R3947" t="s">
        <v>213</v>
      </c>
      <c r="S3947" s="2" t="s">
        <v>27</v>
      </c>
      <c r="T3947">
        <v>5</v>
      </c>
      <c r="U3947" t="s">
        <v>28</v>
      </c>
      <c r="V3947" t="s">
        <v>28</v>
      </c>
      <c r="W3947">
        <v>26</v>
      </c>
      <c r="X3947">
        <v>1.9690000000000001</v>
      </c>
      <c r="Y3947" s="6">
        <f t="shared" si="74"/>
        <v>0.28845276909747242</v>
      </c>
      <c r="Z3947">
        <f>2.098-X3947</f>
        <v>0.12899999999999978</v>
      </c>
      <c r="AA3947" s="6"/>
      <c r="AB3947" s="6"/>
    </row>
    <row r="3948" spans="1:28" x14ac:dyDescent="0.2">
      <c r="A3948" t="s">
        <v>509</v>
      </c>
      <c r="B3948">
        <v>2016</v>
      </c>
      <c r="C3948" t="s">
        <v>826</v>
      </c>
      <c r="D3948" t="s">
        <v>812</v>
      </c>
      <c r="E3948" t="s">
        <v>175</v>
      </c>
      <c r="F3948" t="s">
        <v>477</v>
      </c>
      <c r="G3948">
        <v>-31.843350000000001</v>
      </c>
      <c r="H3948">
        <v>115.749726</v>
      </c>
      <c r="I3948" t="s">
        <v>17</v>
      </c>
      <c r="J3948" s="2" t="s">
        <v>14</v>
      </c>
      <c r="K3948" t="s">
        <v>144</v>
      </c>
      <c r="L3948" t="s">
        <v>144</v>
      </c>
      <c r="M3948" t="s">
        <v>73</v>
      </c>
      <c r="N3948" t="s">
        <v>85</v>
      </c>
      <c r="O3948" s="6" t="s">
        <v>146</v>
      </c>
      <c r="P3948" t="s">
        <v>211</v>
      </c>
      <c r="Q3948">
        <f t="shared" si="75"/>
        <v>3.125E-2</v>
      </c>
      <c r="R3948" t="s">
        <v>213</v>
      </c>
      <c r="S3948" s="2" t="s">
        <v>13</v>
      </c>
      <c r="T3948">
        <v>5</v>
      </c>
      <c r="U3948" t="s">
        <v>28</v>
      </c>
      <c r="V3948" t="s">
        <v>28</v>
      </c>
      <c r="W3948">
        <v>28</v>
      </c>
      <c r="X3948">
        <v>1.5940000000000001</v>
      </c>
      <c r="Y3948" s="6">
        <f t="shared" si="74"/>
        <v>0.18559364213248247</v>
      </c>
      <c r="Z3948">
        <f>1.677-X3948</f>
        <v>8.2999999999999963E-2</v>
      </c>
      <c r="AA3948" s="6"/>
      <c r="AB3948" s="6"/>
    </row>
    <row r="3949" spans="1:28" x14ac:dyDescent="0.2">
      <c r="A3949" t="s">
        <v>509</v>
      </c>
      <c r="B3949">
        <v>2016</v>
      </c>
      <c r="C3949" t="s">
        <v>826</v>
      </c>
      <c r="D3949" t="s">
        <v>812</v>
      </c>
      <c r="E3949" t="s">
        <v>175</v>
      </c>
      <c r="F3949" t="s">
        <v>477</v>
      </c>
      <c r="G3949">
        <v>-31.843350000000001</v>
      </c>
      <c r="H3949">
        <v>115.749726</v>
      </c>
      <c r="I3949" t="s">
        <v>17</v>
      </c>
      <c r="J3949" s="2" t="s">
        <v>14</v>
      </c>
      <c r="K3949" t="s">
        <v>144</v>
      </c>
      <c r="L3949" t="s">
        <v>144</v>
      </c>
      <c r="M3949" t="s">
        <v>73</v>
      </c>
      <c r="N3949" t="s">
        <v>85</v>
      </c>
      <c r="O3949" s="6" t="s">
        <v>146</v>
      </c>
      <c r="P3949" t="s">
        <v>211</v>
      </c>
      <c r="Q3949">
        <f t="shared" si="75"/>
        <v>3.125E-2</v>
      </c>
      <c r="R3949" t="s">
        <v>213</v>
      </c>
      <c r="S3949" s="2" t="s">
        <v>15</v>
      </c>
      <c r="T3949">
        <v>5</v>
      </c>
      <c r="U3949" t="s">
        <v>28</v>
      </c>
      <c r="V3949" t="s">
        <v>28</v>
      </c>
      <c r="W3949">
        <v>30</v>
      </c>
      <c r="X3949">
        <v>1.232</v>
      </c>
      <c r="Y3949" s="6">
        <f t="shared" si="74"/>
        <v>0.16770509831248415</v>
      </c>
      <c r="Z3949">
        <f>1.307-X3949</f>
        <v>7.4999999999999956E-2</v>
      </c>
      <c r="AA3949" s="6"/>
      <c r="AB3949" s="6"/>
    </row>
    <row r="3950" spans="1:28" x14ac:dyDescent="0.2">
      <c r="A3950" t="s">
        <v>509</v>
      </c>
      <c r="B3950">
        <v>2016</v>
      </c>
      <c r="C3950" t="s">
        <v>826</v>
      </c>
      <c r="D3950" t="s">
        <v>812</v>
      </c>
      <c r="E3950" t="s">
        <v>175</v>
      </c>
      <c r="F3950" t="s">
        <v>477</v>
      </c>
      <c r="G3950">
        <v>-31.843350000000001</v>
      </c>
      <c r="H3950">
        <v>115.749726</v>
      </c>
      <c r="I3950" t="s">
        <v>17</v>
      </c>
      <c r="J3950" s="2" t="s">
        <v>7</v>
      </c>
      <c r="K3950" t="s">
        <v>144</v>
      </c>
      <c r="L3950" t="s">
        <v>144</v>
      </c>
      <c r="M3950" t="s">
        <v>172</v>
      </c>
      <c r="N3950" t="s">
        <v>86</v>
      </c>
      <c r="O3950" s="6" t="s">
        <v>62</v>
      </c>
      <c r="P3950" t="s">
        <v>211</v>
      </c>
      <c r="Q3950">
        <f>0.75/24</f>
        <v>3.125E-2</v>
      </c>
      <c r="R3950" t="s">
        <v>213</v>
      </c>
      <c r="S3950" s="2" t="s">
        <v>7</v>
      </c>
      <c r="T3950">
        <v>5</v>
      </c>
      <c r="U3950" t="s">
        <v>28</v>
      </c>
      <c r="V3950" t="s">
        <v>28</v>
      </c>
      <c r="W3950">
        <v>22</v>
      </c>
      <c r="X3950">
        <v>0.80800000000000005</v>
      </c>
      <c r="Y3950" s="6">
        <f t="shared" si="74"/>
        <v>0.17217723426748371</v>
      </c>
      <c r="Z3950">
        <f>0.885-X3950</f>
        <v>7.6999999999999957E-2</v>
      </c>
      <c r="AA3950" s="6"/>
      <c r="AB3950" s="6"/>
    </row>
    <row r="3951" spans="1:28" x14ac:dyDescent="0.2">
      <c r="A3951" t="s">
        <v>509</v>
      </c>
      <c r="B3951">
        <v>2016</v>
      </c>
      <c r="C3951" t="s">
        <v>826</v>
      </c>
      <c r="D3951" t="s">
        <v>812</v>
      </c>
      <c r="E3951" t="s">
        <v>175</v>
      </c>
      <c r="F3951" t="s">
        <v>477</v>
      </c>
      <c r="G3951">
        <v>-31.843350000000001</v>
      </c>
      <c r="H3951">
        <v>115.749726</v>
      </c>
      <c r="I3951" t="s">
        <v>17</v>
      </c>
      <c r="J3951" s="2" t="s">
        <v>14</v>
      </c>
      <c r="K3951" t="s">
        <v>144</v>
      </c>
      <c r="L3951" t="s">
        <v>144</v>
      </c>
      <c r="M3951" t="s">
        <v>172</v>
      </c>
      <c r="N3951" t="s">
        <v>86</v>
      </c>
      <c r="O3951" s="6" t="s">
        <v>62</v>
      </c>
      <c r="P3951" t="s">
        <v>211</v>
      </c>
      <c r="Q3951">
        <f t="shared" si="75"/>
        <v>3.125E-2</v>
      </c>
      <c r="R3951" t="s">
        <v>213</v>
      </c>
      <c r="S3951" s="2" t="s">
        <v>9</v>
      </c>
      <c r="T3951">
        <v>5</v>
      </c>
      <c r="U3951" t="s">
        <v>28</v>
      </c>
      <c r="V3951" t="s">
        <v>28</v>
      </c>
      <c r="W3951">
        <v>24</v>
      </c>
      <c r="X3951">
        <v>1.0449999999999999</v>
      </c>
      <c r="Y3951" s="6">
        <f t="shared" si="74"/>
        <v>0.20124611797498126</v>
      </c>
      <c r="Z3951">
        <f>1.135-X3951</f>
        <v>9.000000000000008E-2</v>
      </c>
      <c r="AA3951" s="6"/>
      <c r="AB3951" s="6"/>
    </row>
    <row r="3952" spans="1:28" x14ac:dyDescent="0.2">
      <c r="A3952" t="s">
        <v>509</v>
      </c>
      <c r="B3952">
        <v>2016</v>
      </c>
      <c r="C3952" t="s">
        <v>826</v>
      </c>
      <c r="D3952" t="s">
        <v>812</v>
      </c>
      <c r="E3952" t="s">
        <v>175</v>
      </c>
      <c r="F3952" t="s">
        <v>477</v>
      </c>
      <c r="G3952">
        <v>-31.843350000000001</v>
      </c>
      <c r="H3952">
        <v>115.749726</v>
      </c>
      <c r="I3952" t="s">
        <v>17</v>
      </c>
      <c r="J3952" s="2" t="s">
        <v>14</v>
      </c>
      <c r="K3952" t="s">
        <v>144</v>
      </c>
      <c r="L3952" t="s">
        <v>144</v>
      </c>
      <c r="M3952" t="s">
        <v>172</v>
      </c>
      <c r="N3952" t="s">
        <v>86</v>
      </c>
      <c r="O3952" s="6" t="s">
        <v>62</v>
      </c>
      <c r="P3952" t="s">
        <v>211</v>
      </c>
      <c r="Q3952">
        <f t="shared" si="75"/>
        <v>3.125E-2</v>
      </c>
      <c r="R3952" t="s">
        <v>213</v>
      </c>
      <c r="S3952" s="2" t="s">
        <v>27</v>
      </c>
      <c r="T3952">
        <v>5</v>
      </c>
      <c r="U3952" t="s">
        <v>28</v>
      </c>
      <c r="V3952" t="s">
        <v>28</v>
      </c>
      <c r="W3952">
        <v>26</v>
      </c>
      <c r="X3952">
        <v>1.238</v>
      </c>
      <c r="Y3952" s="6">
        <f t="shared" si="74"/>
        <v>0.24596747752497711</v>
      </c>
      <c r="Z3952">
        <f>1.348-X3952</f>
        <v>0.1100000000000001</v>
      </c>
      <c r="AA3952" s="6"/>
      <c r="AB3952" s="6"/>
    </row>
    <row r="3953" spans="1:28" x14ac:dyDescent="0.2">
      <c r="A3953" t="s">
        <v>509</v>
      </c>
      <c r="B3953">
        <v>2016</v>
      </c>
      <c r="C3953" t="s">
        <v>826</v>
      </c>
      <c r="D3953" t="s">
        <v>812</v>
      </c>
      <c r="E3953" t="s">
        <v>175</v>
      </c>
      <c r="F3953" t="s">
        <v>477</v>
      </c>
      <c r="G3953">
        <v>-31.843350000000001</v>
      </c>
      <c r="H3953">
        <v>115.749726</v>
      </c>
      <c r="I3953" t="s">
        <v>17</v>
      </c>
      <c r="J3953" s="2" t="s">
        <v>14</v>
      </c>
      <c r="K3953" t="s">
        <v>144</v>
      </c>
      <c r="L3953" t="s">
        <v>144</v>
      </c>
      <c r="M3953" t="s">
        <v>172</v>
      </c>
      <c r="N3953" t="s">
        <v>86</v>
      </c>
      <c r="O3953" s="6" t="s">
        <v>62</v>
      </c>
      <c r="P3953" t="s">
        <v>211</v>
      </c>
      <c r="Q3953">
        <f t="shared" si="75"/>
        <v>3.125E-2</v>
      </c>
      <c r="R3953" t="s">
        <v>213</v>
      </c>
      <c r="S3953" s="2" t="s">
        <v>13</v>
      </c>
      <c r="T3953">
        <v>5</v>
      </c>
      <c r="U3953" t="s">
        <v>28</v>
      </c>
      <c r="V3953" t="s">
        <v>28</v>
      </c>
      <c r="W3953">
        <v>28</v>
      </c>
      <c r="X3953">
        <v>1.4850000000000001</v>
      </c>
      <c r="Y3953" s="6">
        <f t="shared" si="74"/>
        <v>0.29068883707497245</v>
      </c>
      <c r="Z3953">
        <f>1.615-X3953</f>
        <v>0.12999999999999989</v>
      </c>
      <c r="AA3953" s="6"/>
      <c r="AB3953" s="6"/>
    </row>
    <row r="3954" spans="1:28" x14ac:dyDescent="0.2">
      <c r="A3954" t="s">
        <v>509</v>
      </c>
      <c r="B3954">
        <v>2016</v>
      </c>
      <c r="C3954" t="s">
        <v>826</v>
      </c>
      <c r="D3954" t="s">
        <v>812</v>
      </c>
      <c r="E3954" t="s">
        <v>175</v>
      </c>
      <c r="F3954" t="s">
        <v>477</v>
      </c>
      <c r="G3954">
        <v>-31.843350000000001</v>
      </c>
      <c r="H3954">
        <v>115.749726</v>
      </c>
      <c r="I3954" t="s">
        <v>17</v>
      </c>
      <c r="J3954" s="2" t="s">
        <v>14</v>
      </c>
      <c r="K3954" t="s">
        <v>144</v>
      </c>
      <c r="L3954" t="s">
        <v>144</v>
      </c>
      <c r="M3954" t="s">
        <v>172</v>
      </c>
      <c r="N3954" t="s">
        <v>86</v>
      </c>
      <c r="O3954" s="6" t="s">
        <v>62</v>
      </c>
      <c r="P3954" t="s">
        <v>211</v>
      </c>
      <c r="Q3954">
        <f t="shared" si="75"/>
        <v>3.125E-2</v>
      </c>
      <c r="R3954" t="s">
        <v>213</v>
      </c>
      <c r="S3954" s="2" t="s">
        <v>15</v>
      </c>
      <c r="T3954">
        <v>5</v>
      </c>
      <c r="U3954" t="s">
        <v>28</v>
      </c>
      <c r="V3954" t="s">
        <v>28</v>
      </c>
      <c r="W3954">
        <v>30</v>
      </c>
      <c r="X3954">
        <v>1.6879999999999999</v>
      </c>
      <c r="Y3954" s="6">
        <f t="shared" si="74"/>
        <v>0.19453791404248164</v>
      </c>
      <c r="Z3954">
        <f>1.775-X3954</f>
        <v>8.6999999999999966E-2</v>
      </c>
      <c r="AA3954" s="6"/>
      <c r="AB3954" s="6"/>
    </row>
    <row r="3955" spans="1:28" x14ac:dyDescent="0.2">
      <c r="A3955" t="s">
        <v>509</v>
      </c>
      <c r="B3955">
        <v>2016</v>
      </c>
      <c r="C3955" t="s">
        <v>826</v>
      </c>
      <c r="D3955" t="s">
        <v>812</v>
      </c>
      <c r="E3955" t="s">
        <v>175</v>
      </c>
      <c r="F3955" t="s">
        <v>322</v>
      </c>
      <c r="G3955">
        <v>-34.35</v>
      </c>
      <c r="H3955">
        <v>115.016667</v>
      </c>
      <c r="I3955" t="s">
        <v>17</v>
      </c>
      <c r="J3955" s="2" t="s">
        <v>7</v>
      </c>
      <c r="K3955" t="s">
        <v>144</v>
      </c>
      <c r="L3955" t="s">
        <v>144</v>
      </c>
      <c r="M3955" t="s">
        <v>73</v>
      </c>
      <c r="N3955" t="s">
        <v>85</v>
      </c>
      <c r="O3955" s="6" t="s">
        <v>146</v>
      </c>
      <c r="P3955" t="s">
        <v>211</v>
      </c>
      <c r="Q3955">
        <f>0.75/24</f>
        <v>3.125E-2</v>
      </c>
      <c r="R3955" t="s">
        <v>213</v>
      </c>
      <c r="S3955" s="2" t="s">
        <v>7</v>
      </c>
      <c r="T3955">
        <v>5</v>
      </c>
      <c r="U3955" t="s">
        <v>28</v>
      </c>
      <c r="V3955" t="s">
        <v>28</v>
      </c>
      <c r="W3955">
        <v>22</v>
      </c>
      <c r="X3955">
        <v>2.2549999999999999</v>
      </c>
      <c r="Y3955" s="6">
        <f t="shared" si="74"/>
        <v>0.16770509831248465</v>
      </c>
      <c r="Z3955">
        <f>2.33-X3955</f>
        <v>7.5000000000000178E-2</v>
      </c>
      <c r="AA3955" s="6"/>
      <c r="AB3955" s="6"/>
    </row>
    <row r="3956" spans="1:28" x14ac:dyDescent="0.2">
      <c r="A3956" t="s">
        <v>509</v>
      </c>
      <c r="B3956">
        <v>2016</v>
      </c>
      <c r="C3956" t="s">
        <v>826</v>
      </c>
      <c r="D3956" t="s">
        <v>812</v>
      </c>
      <c r="E3956" t="s">
        <v>175</v>
      </c>
      <c r="F3956" t="s">
        <v>322</v>
      </c>
      <c r="G3956">
        <v>-34.35</v>
      </c>
      <c r="H3956">
        <v>115.016667</v>
      </c>
      <c r="I3956" t="s">
        <v>17</v>
      </c>
      <c r="J3956" s="2" t="s">
        <v>14</v>
      </c>
      <c r="K3956" t="s">
        <v>144</v>
      </c>
      <c r="L3956" t="s">
        <v>144</v>
      </c>
      <c r="M3956" t="s">
        <v>73</v>
      </c>
      <c r="N3956" t="s">
        <v>85</v>
      </c>
      <c r="O3956" s="6" t="s">
        <v>146</v>
      </c>
      <c r="P3956" t="s">
        <v>211</v>
      </c>
      <c r="Q3956">
        <f t="shared" si="75"/>
        <v>3.125E-2</v>
      </c>
      <c r="R3956" t="s">
        <v>213</v>
      </c>
      <c r="S3956" s="2" t="s">
        <v>9</v>
      </c>
      <c r="T3956">
        <v>5</v>
      </c>
      <c r="U3956" t="s">
        <v>28</v>
      </c>
      <c r="V3956" t="s">
        <v>28</v>
      </c>
      <c r="W3956">
        <v>24</v>
      </c>
      <c r="X3956">
        <v>2.5720000000000001</v>
      </c>
      <c r="Y3956" s="6">
        <f t="shared" si="74"/>
        <v>0.32870199269246864</v>
      </c>
      <c r="Z3956">
        <f>2.719-X3956</f>
        <v>0.1469999999999998</v>
      </c>
      <c r="AA3956" s="6"/>
      <c r="AB3956" s="6"/>
    </row>
    <row r="3957" spans="1:28" x14ac:dyDescent="0.2">
      <c r="A3957" t="s">
        <v>509</v>
      </c>
      <c r="B3957">
        <v>2016</v>
      </c>
      <c r="C3957" t="s">
        <v>826</v>
      </c>
      <c r="D3957" t="s">
        <v>812</v>
      </c>
      <c r="E3957" t="s">
        <v>175</v>
      </c>
      <c r="F3957" t="s">
        <v>322</v>
      </c>
      <c r="G3957">
        <v>-34.35</v>
      </c>
      <c r="H3957">
        <v>115.016667</v>
      </c>
      <c r="I3957" t="s">
        <v>17</v>
      </c>
      <c r="J3957" s="2" t="s">
        <v>14</v>
      </c>
      <c r="K3957" t="s">
        <v>144</v>
      </c>
      <c r="L3957" t="s">
        <v>144</v>
      </c>
      <c r="M3957" t="s">
        <v>73</v>
      </c>
      <c r="N3957" t="s">
        <v>85</v>
      </c>
      <c r="O3957" s="6" t="s">
        <v>146</v>
      </c>
      <c r="P3957" t="s">
        <v>211</v>
      </c>
      <c r="Q3957">
        <f t="shared" si="75"/>
        <v>3.125E-2</v>
      </c>
      <c r="R3957" t="s">
        <v>213</v>
      </c>
      <c r="S3957" s="2" t="s">
        <v>27</v>
      </c>
      <c r="T3957">
        <v>5</v>
      </c>
      <c r="U3957" t="s">
        <v>28</v>
      </c>
      <c r="V3957" t="s">
        <v>28</v>
      </c>
      <c r="W3957">
        <v>26</v>
      </c>
      <c r="X3957">
        <v>2.2389999999999999</v>
      </c>
      <c r="Y3957" s="6">
        <f t="shared" si="74"/>
        <v>0.18559364213248297</v>
      </c>
      <c r="Z3957">
        <f>2.322-X3957</f>
        <v>8.3000000000000185E-2</v>
      </c>
      <c r="AA3957" s="6"/>
      <c r="AB3957" s="6"/>
    </row>
    <row r="3958" spans="1:28" x14ac:dyDescent="0.2">
      <c r="A3958" t="s">
        <v>509</v>
      </c>
      <c r="B3958">
        <v>2016</v>
      </c>
      <c r="C3958" t="s">
        <v>826</v>
      </c>
      <c r="D3958" t="s">
        <v>812</v>
      </c>
      <c r="E3958" t="s">
        <v>175</v>
      </c>
      <c r="F3958" t="s">
        <v>322</v>
      </c>
      <c r="G3958">
        <v>-34.35</v>
      </c>
      <c r="H3958">
        <v>115.016667</v>
      </c>
      <c r="I3958" t="s">
        <v>17</v>
      </c>
      <c r="J3958" s="2" t="s">
        <v>14</v>
      </c>
      <c r="K3958" t="s">
        <v>144</v>
      </c>
      <c r="L3958" t="s">
        <v>144</v>
      </c>
      <c r="M3958" t="s">
        <v>73</v>
      </c>
      <c r="N3958" t="s">
        <v>85</v>
      </c>
      <c r="O3958" s="6" t="s">
        <v>146</v>
      </c>
      <c r="P3958" t="s">
        <v>211</v>
      </c>
      <c r="Q3958">
        <f t="shared" si="75"/>
        <v>3.125E-2</v>
      </c>
      <c r="R3958" t="s">
        <v>213</v>
      </c>
      <c r="S3958" s="2" t="s">
        <v>13</v>
      </c>
      <c r="T3958">
        <v>5</v>
      </c>
      <c r="U3958" t="s">
        <v>28</v>
      </c>
      <c r="V3958" t="s">
        <v>28</v>
      </c>
      <c r="W3958">
        <v>28</v>
      </c>
      <c r="X3958">
        <v>1.395</v>
      </c>
      <c r="Y3958" s="6">
        <f t="shared" si="74"/>
        <v>0.24820354550247664</v>
      </c>
      <c r="Z3958">
        <f>1.506-X3958</f>
        <v>0.11099999999999999</v>
      </c>
      <c r="AA3958" s="6"/>
      <c r="AB3958" s="6"/>
    </row>
    <row r="3959" spans="1:28" x14ac:dyDescent="0.2">
      <c r="A3959" t="s">
        <v>509</v>
      </c>
      <c r="B3959">
        <v>2016</v>
      </c>
      <c r="C3959" t="s">
        <v>826</v>
      </c>
      <c r="D3959" t="s">
        <v>812</v>
      </c>
      <c r="E3959" t="s">
        <v>175</v>
      </c>
      <c r="F3959" t="s">
        <v>322</v>
      </c>
      <c r="G3959">
        <v>-34.35</v>
      </c>
      <c r="H3959">
        <v>115.016667</v>
      </c>
      <c r="I3959" t="s">
        <v>17</v>
      </c>
      <c r="J3959" s="2" t="s">
        <v>14</v>
      </c>
      <c r="K3959" t="s">
        <v>144</v>
      </c>
      <c r="L3959" t="s">
        <v>144</v>
      </c>
      <c r="M3959" t="s">
        <v>73</v>
      </c>
      <c r="N3959" t="s">
        <v>85</v>
      </c>
      <c r="O3959" s="6" t="s">
        <v>146</v>
      </c>
      <c r="P3959" t="s">
        <v>211</v>
      </c>
      <c r="Q3959">
        <f t="shared" si="75"/>
        <v>3.125E-2</v>
      </c>
      <c r="R3959" t="s">
        <v>213</v>
      </c>
      <c r="S3959" s="2" t="s">
        <v>15</v>
      </c>
      <c r="T3959">
        <v>5</v>
      </c>
      <c r="U3959" t="s">
        <v>28</v>
      </c>
      <c r="V3959" t="s">
        <v>28</v>
      </c>
      <c r="W3959">
        <v>30</v>
      </c>
      <c r="X3959">
        <v>0.53900000000000003</v>
      </c>
      <c r="Y3959" s="6">
        <f t="shared" si="74"/>
        <v>0.27503636123247416</v>
      </c>
      <c r="Z3959">
        <f>0.662-X3959</f>
        <v>0.123</v>
      </c>
      <c r="AA3959" s="6"/>
      <c r="AB3959" s="6"/>
    </row>
    <row r="3960" spans="1:28" x14ac:dyDescent="0.2">
      <c r="A3960" t="s">
        <v>509</v>
      </c>
      <c r="B3960">
        <v>2016</v>
      </c>
      <c r="C3960" t="s">
        <v>826</v>
      </c>
      <c r="D3960" t="s">
        <v>812</v>
      </c>
      <c r="E3960" t="s">
        <v>175</v>
      </c>
      <c r="F3960" t="s">
        <v>322</v>
      </c>
      <c r="G3960">
        <v>-34.35</v>
      </c>
      <c r="H3960">
        <v>115.016667</v>
      </c>
      <c r="I3960" t="s">
        <v>17</v>
      </c>
      <c r="J3960" s="2" t="s">
        <v>7</v>
      </c>
      <c r="K3960" t="s">
        <v>144</v>
      </c>
      <c r="L3960" t="s">
        <v>144</v>
      </c>
      <c r="M3960" t="s">
        <v>172</v>
      </c>
      <c r="N3960" t="s">
        <v>86</v>
      </c>
      <c r="O3960" s="6" t="s">
        <v>62</v>
      </c>
      <c r="P3960" t="s">
        <v>211</v>
      </c>
      <c r="Q3960">
        <f>0.75/24</f>
        <v>3.125E-2</v>
      </c>
      <c r="R3960" t="s">
        <v>213</v>
      </c>
      <c r="S3960" s="2" t="s">
        <v>7</v>
      </c>
      <c r="T3960">
        <v>5</v>
      </c>
      <c r="U3960" t="s">
        <v>28</v>
      </c>
      <c r="V3960" t="s">
        <v>28</v>
      </c>
      <c r="W3960">
        <v>22</v>
      </c>
      <c r="X3960">
        <v>0.77200000000000002</v>
      </c>
      <c r="Y3960" s="6">
        <f t="shared" si="74"/>
        <v>0.16770509831248415</v>
      </c>
      <c r="Z3960">
        <f>0.847-X3960</f>
        <v>7.4999999999999956E-2</v>
      </c>
      <c r="AA3960" s="6"/>
      <c r="AB3960" s="6"/>
    </row>
    <row r="3961" spans="1:28" x14ac:dyDescent="0.2">
      <c r="A3961" t="s">
        <v>509</v>
      </c>
      <c r="B3961">
        <v>2016</v>
      </c>
      <c r="C3961" t="s">
        <v>826</v>
      </c>
      <c r="D3961" t="s">
        <v>812</v>
      </c>
      <c r="E3961" t="s">
        <v>175</v>
      </c>
      <c r="F3961" t="s">
        <v>322</v>
      </c>
      <c r="G3961">
        <v>-34.35</v>
      </c>
      <c r="H3961">
        <v>115.016667</v>
      </c>
      <c r="I3961" t="s">
        <v>17</v>
      </c>
      <c r="J3961" s="2" t="s">
        <v>14</v>
      </c>
      <c r="K3961" t="s">
        <v>144</v>
      </c>
      <c r="L3961" t="s">
        <v>144</v>
      </c>
      <c r="M3961" t="s">
        <v>172</v>
      </c>
      <c r="N3961" t="s">
        <v>86</v>
      </c>
      <c r="O3961" s="6" t="s">
        <v>62</v>
      </c>
      <c r="P3961" t="s">
        <v>211</v>
      </c>
      <c r="Q3961">
        <f t="shared" si="75"/>
        <v>3.125E-2</v>
      </c>
      <c r="R3961" t="s">
        <v>213</v>
      </c>
      <c r="S3961" s="2" t="s">
        <v>9</v>
      </c>
      <c r="T3961">
        <v>5</v>
      </c>
      <c r="U3961" t="s">
        <v>28</v>
      </c>
      <c r="V3961" t="s">
        <v>28</v>
      </c>
      <c r="W3961">
        <v>24</v>
      </c>
      <c r="X3961">
        <v>1.044</v>
      </c>
      <c r="Y3961" s="6">
        <f t="shared" si="74"/>
        <v>0.19006577808748204</v>
      </c>
      <c r="Z3961">
        <f>1.129-X3961</f>
        <v>8.4999999999999964E-2</v>
      </c>
      <c r="AA3961" s="6"/>
      <c r="AB3961" s="6"/>
    </row>
    <row r="3962" spans="1:28" x14ac:dyDescent="0.2">
      <c r="A3962" t="s">
        <v>509</v>
      </c>
      <c r="B3962">
        <v>2016</v>
      </c>
      <c r="C3962" t="s">
        <v>826</v>
      </c>
      <c r="D3962" t="s">
        <v>812</v>
      </c>
      <c r="E3962" t="s">
        <v>175</v>
      </c>
      <c r="F3962" t="s">
        <v>322</v>
      </c>
      <c r="G3962">
        <v>-34.35</v>
      </c>
      <c r="H3962">
        <v>115.016667</v>
      </c>
      <c r="I3962" t="s">
        <v>17</v>
      </c>
      <c r="J3962" s="2" t="s">
        <v>14</v>
      </c>
      <c r="K3962" t="s">
        <v>144</v>
      </c>
      <c r="L3962" t="s">
        <v>144</v>
      </c>
      <c r="M3962" t="s">
        <v>172</v>
      </c>
      <c r="N3962" t="s">
        <v>86</v>
      </c>
      <c r="O3962" s="6" t="s">
        <v>62</v>
      </c>
      <c r="P3962" t="s">
        <v>211</v>
      </c>
      <c r="Q3962">
        <f t="shared" si="75"/>
        <v>3.125E-2</v>
      </c>
      <c r="R3962" t="s">
        <v>213</v>
      </c>
      <c r="S3962" s="2" t="s">
        <v>27</v>
      </c>
      <c r="T3962">
        <v>5</v>
      </c>
      <c r="U3962" t="s">
        <v>28</v>
      </c>
      <c r="V3962" t="s">
        <v>28</v>
      </c>
      <c r="W3962">
        <v>26</v>
      </c>
      <c r="X3962">
        <v>1.2989999999999999</v>
      </c>
      <c r="Y3962" s="6">
        <f t="shared" si="74"/>
        <v>0.16099689437998502</v>
      </c>
      <c r="Z3962">
        <f>1.371-X3962</f>
        <v>7.2000000000000064E-2</v>
      </c>
      <c r="AA3962" s="6"/>
      <c r="AB3962" s="6"/>
    </row>
    <row r="3963" spans="1:28" x14ac:dyDescent="0.2">
      <c r="A3963" t="s">
        <v>509</v>
      </c>
      <c r="B3963">
        <v>2016</v>
      </c>
      <c r="C3963" t="s">
        <v>826</v>
      </c>
      <c r="D3963" t="s">
        <v>812</v>
      </c>
      <c r="E3963" t="s">
        <v>175</v>
      </c>
      <c r="F3963" t="s">
        <v>322</v>
      </c>
      <c r="G3963">
        <v>-34.35</v>
      </c>
      <c r="H3963">
        <v>115.016667</v>
      </c>
      <c r="I3963" t="s">
        <v>17</v>
      </c>
      <c r="J3963" s="2" t="s">
        <v>14</v>
      </c>
      <c r="K3963" t="s">
        <v>144</v>
      </c>
      <c r="L3963" t="s">
        <v>144</v>
      </c>
      <c r="M3963" t="s">
        <v>172</v>
      </c>
      <c r="N3963" t="s">
        <v>86</v>
      </c>
      <c r="O3963" s="6" t="s">
        <v>62</v>
      </c>
      <c r="P3963" t="s">
        <v>211</v>
      </c>
      <c r="Q3963">
        <f t="shared" si="75"/>
        <v>3.125E-2</v>
      </c>
      <c r="R3963" t="s">
        <v>213</v>
      </c>
      <c r="S3963" s="2" t="s">
        <v>13</v>
      </c>
      <c r="T3963">
        <v>5</v>
      </c>
      <c r="U3963" t="s">
        <v>28</v>
      </c>
      <c r="V3963" t="s">
        <v>28</v>
      </c>
      <c r="W3963">
        <v>28</v>
      </c>
      <c r="X3963">
        <v>1.57</v>
      </c>
      <c r="Y3963" s="6">
        <f t="shared" si="74"/>
        <v>0.15428869044748539</v>
      </c>
      <c r="Z3963">
        <f>1.639-X3963</f>
        <v>6.899999999999995E-2</v>
      </c>
      <c r="AA3963" s="6"/>
      <c r="AB3963" s="6"/>
    </row>
    <row r="3964" spans="1:28" x14ac:dyDescent="0.2">
      <c r="A3964" t="s">
        <v>509</v>
      </c>
      <c r="B3964">
        <v>2016</v>
      </c>
      <c r="C3964" t="s">
        <v>826</v>
      </c>
      <c r="D3964" t="s">
        <v>812</v>
      </c>
      <c r="E3964" t="s">
        <v>175</v>
      </c>
      <c r="F3964" t="s">
        <v>322</v>
      </c>
      <c r="G3964">
        <v>-34.35</v>
      </c>
      <c r="H3964">
        <v>115.016667</v>
      </c>
      <c r="I3964" t="s">
        <v>17</v>
      </c>
      <c r="J3964" s="2" t="s">
        <v>14</v>
      </c>
      <c r="K3964" t="s">
        <v>144</v>
      </c>
      <c r="L3964" t="s">
        <v>144</v>
      </c>
      <c r="M3964" t="s">
        <v>172</v>
      </c>
      <c r="N3964" t="s">
        <v>86</v>
      </c>
      <c r="O3964" s="6" t="s">
        <v>62</v>
      </c>
      <c r="P3964" t="s">
        <v>211</v>
      </c>
      <c r="Q3964">
        <f t="shared" si="75"/>
        <v>3.125E-2</v>
      </c>
      <c r="R3964" t="s">
        <v>213</v>
      </c>
      <c r="S3964" s="2" t="s">
        <v>15</v>
      </c>
      <c r="T3964">
        <v>5</v>
      </c>
      <c r="U3964" t="s">
        <v>28</v>
      </c>
      <c r="V3964" t="s">
        <v>28</v>
      </c>
      <c r="W3964">
        <v>30</v>
      </c>
      <c r="X3964">
        <v>1.9470000000000001</v>
      </c>
      <c r="Y3964" s="6">
        <f t="shared" si="74"/>
        <v>0.27056422527747453</v>
      </c>
      <c r="Z3964">
        <f>2.068-X3964</f>
        <v>0.121</v>
      </c>
      <c r="AA3964" s="6"/>
      <c r="AB3964" s="6"/>
    </row>
    <row r="3965" spans="1:28" x14ac:dyDescent="0.2">
      <c r="A3965" t="s">
        <v>510</v>
      </c>
      <c r="B3965">
        <v>2010</v>
      </c>
      <c r="C3965" t="s">
        <v>826</v>
      </c>
      <c r="D3965" t="s">
        <v>824</v>
      </c>
      <c r="E3965" t="s">
        <v>114</v>
      </c>
      <c r="F3965" t="s">
        <v>512</v>
      </c>
      <c r="G3965">
        <v>37.510309999999997</v>
      </c>
      <c r="H3965">
        <v>121.53622</v>
      </c>
      <c r="I3965" t="s">
        <v>139</v>
      </c>
      <c r="J3965" s="2" t="s">
        <v>7</v>
      </c>
      <c r="K3965" t="s">
        <v>511</v>
      </c>
      <c r="L3965" t="s">
        <v>143</v>
      </c>
      <c r="M3965" t="s">
        <v>638</v>
      </c>
      <c r="N3965" t="s">
        <v>85</v>
      </c>
      <c r="O3965" s="6" t="s">
        <v>348</v>
      </c>
      <c r="P3965" t="s">
        <v>147</v>
      </c>
      <c r="Q3965">
        <f t="shared" ref="Q3965:Q3984" si="76">16/24</f>
        <v>0.66666666666666663</v>
      </c>
      <c r="R3965" t="s">
        <v>213</v>
      </c>
      <c r="S3965" s="2" t="s">
        <v>7</v>
      </c>
      <c r="T3965">
        <v>4</v>
      </c>
      <c r="U3965" t="s">
        <v>28</v>
      </c>
      <c r="V3965" t="s">
        <v>28</v>
      </c>
      <c r="W3965">
        <v>10</v>
      </c>
      <c r="X3965">
        <v>0.91100000000000003</v>
      </c>
      <c r="Y3965" s="6">
        <f t="shared" si="74"/>
        <v>2.4199999999999999E-2</v>
      </c>
      <c r="Z3965">
        <v>1.21E-2</v>
      </c>
      <c r="AA3965" s="6"/>
      <c r="AB3965" s="6"/>
    </row>
    <row r="3966" spans="1:28" x14ac:dyDescent="0.2">
      <c r="A3966" t="s">
        <v>510</v>
      </c>
      <c r="B3966">
        <v>2010</v>
      </c>
      <c r="C3966" t="s">
        <v>826</v>
      </c>
      <c r="D3966" t="s">
        <v>824</v>
      </c>
      <c r="E3966" t="s">
        <v>114</v>
      </c>
      <c r="F3966" t="s">
        <v>512</v>
      </c>
      <c r="G3966">
        <v>37.510309999999997</v>
      </c>
      <c r="H3966">
        <v>121.53622</v>
      </c>
      <c r="I3966" t="s">
        <v>139</v>
      </c>
      <c r="J3966" s="2" t="s">
        <v>14</v>
      </c>
      <c r="K3966" t="s">
        <v>511</v>
      </c>
      <c r="L3966" t="s">
        <v>143</v>
      </c>
      <c r="M3966" t="s">
        <v>638</v>
      </c>
      <c r="N3966" t="s">
        <v>85</v>
      </c>
      <c r="O3966" s="6" t="s">
        <v>348</v>
      </c>
      <c r="P3966" t="s">
        <v>147</v>
      </c>
      <c r="Q3966">
        <f t="shared" si="76"/>
        <v>0.66666666666666663</v>
      </c>
      <c r="R3966" t="s">
        <v>213</v>
      </c>
      <c r="S3966" s="2" t="s">
        <v>9</v>
      </c>
      <c r="T3966">
        <v>4</v>
      </c>
      <c r="U3966" t="s">
        <v>28</v>
      </c>
      <c r="V3966" t="s">
        <v>28</v>
      </c>
      <c r="W3966">
        <v>25</v>
      </c>
      <c r="X3966">
        <v>0.99619999999999997</v>
      </c>
      <c r="Y3966" s="6">
        <f t="shared" si="74"/>
        <v>3.6600000000000001E-2</v>
      </c>
      <c r="Z3966">
        <v>1.83E-2</v>
      </c>
      <c r="AA3966" s="6"/>
      <c r="AB3966" s="6"/>
    </row>
    <row r="3967" spans="1:28" x14ac:dyDescent="0.2">
      <c r="A3967" t="s">
        <v>510</v>
      </c>
      <c r="B3967">
        <v>2010</v>
      </c>
      <c r="C3967" t="s">
        <v>826</v>
      </c>
      <c r="D3967" t="s">
        <v>824</v>
      </c>
      <c r="E3967" t="s">
        <v>114</v>
      </c>
      <c r="F3967" t="s">
        <v>512</v>
      </c>
      <c r="G3967">
        <v>37.510309999999997</v>
      </c>
      <c r="H3967">
        <v>121.53622</v>
      </c>
      <c r="I3967" t="s">
        <v>139</v>
      </c>
      <c r="J3967" s="2" t="s">
        <v>7</v>
      </c>
      <c r="K3967" t="s">
        <v>511</v>
      </c>
      <c r="L3967" t="s">
        <v>143</v>
      </c>
      <c r="M3967" t="s">
        <v>553</v>
      </c>
      <c r="N3967" t="s">
        <v>85</v>
      </c>
      <c r="O3967" s="6" t="s">
        <v>61</v>
      </c>
      <c r="P3967" t="s">
        <v>402</v>
      </c>
      <c r="Q3967">
        <f t="shared" si="76"/>
        <v>0.66666666666666663</v>
      </c>
      <c r="R3967" t="s">
        <v>213</v>
      </c>
      <c r="S3967" s="2" t="s">
        <v>7</v>
      </c>
      <c r="T3967">
        <v>4</v>
      </c>
      <c r="U3967" t="s">
        <v>28</v>
      </c>
      <c r="V3967" t="s">
        <v>28</v>
      </c>
      <c r="W3967">
        <v>10</v>
      </c>
      <c r="X3967">
        <v>1.6500000000000001E-2</v>
      </c>
      <c r="Y3967" s="6">
        <f t="shared" si="74"/>
        <v>1E-3</v>
      </c>
      <c r="Z3967">
        <v>5.0000000000000001E-4</v>
      </c>
      <c r="AA3967" s="6"/>
      <c r="AB3967" s="6"/>
    </row>
    <row r="3968" spans="1:28" x14ac:dyDescent="0.2">
      <c r="A3968" t="s">
        <v>510</v>
      </c>
      <c r="B3968">
        <v>2010</v>
      </c>
      <c r="C3968" t="s">
        <v>826</v>
      </c>
      <c r="D3968" t="s">
        <v>824</v>
      </c>
      <c r="E3968" t="s">
        <v>114</v>
      </c>
      <c r="F3968" t="s">
        <v>512</v>
      </c>
      <c r="G3968">
        <v>37.510309999999997</v>
      </c>
      <c r="H3968">
        <v>121.53622</v>
      </c>
      <c r="I3968" t="s">
        <v>139</v>
      </c>
      <c r="J3968" s="2" t="s">
        <v>14</v>
      </c>
      <c r="K3968" t="s">
        <v>511</v>
      </c>
      <c r="L3968" t="s">
        <v>143</v>
      </c>
      <c r="M3968" t="s">
        <v>553</v>
      </c>
      <c r="N3968" t="s">
        <v>85</v>
      </c>
      <c r="O3968" s="6" t="s">
        <v>61</v>
      </c>
      <c r="P3968" t="s">
        <v>402</v>
      </c>
      <c r="Q3968">
        <f t="shared" si="76"/>
        <v>0.66666666666666663</v>
      </c>
      <c r="R3968" t="s">
        <v>213</v>
      </c>
      <c r="S3968" s="2" t="s">
        <v>9</v>
      </c>
      <c r="T3968">
        <v>4</v>
      </c>
      <c r="U3968" t="s">
        <v>28</v>
      </c>
      <c r="V3968" t="s">
        <v>28</v>
      </c>
      <c r="W3968">
        <v>25</v>
      </c>
      <c r="X3968">
        <v>1.46E-2</v>
      </c>
      <c r="Y3968" s="6">
        <f t="shared" si="74"/>
        <v>1.1999999999999999E-3</v>
      </c>
      <c r="Z3968">
        <v>5.9999999999999995E-4</v>
      </c>
      <c r="AA3968" s="6"/>
      <c r="AB3968" s="6"/>
    </row>
    <row r="3969" spans="1:28" x14ac:dyDescent="0.2">
      <c r="A3969" t="s">
        <v>510</v>
      </c>
      <c r="B3969">
        <v>2010</v>
      </c>
      <c r="C3969" t="s">
        <v>826</v>
      </c>
      <c r="D3969" t="s">
        <v>824</v>
      </c>
      <c r="E3969" t="s">
        <v>114</v>
      </c>
      <c r="F3969" t="s">
        <v>512</v>
      </c>
      <c r="G3969">
        <v>37.510309999999997</v>
      </c>
      <c r="H3969">
        <v>121.53622</v>
      </c>
      <c r="I3969" t="s">
        <v>139</v>
      </c>
      <c r="J3969" s="2" t="s">
        <v>7</v>
      </c>
      <c r="K3969" t="s">
        <v>511</v>
      </c>
      <c r="L3969" t="s">
        <v>143</v>
      </c>
      <c r="M3969" t="s">
        <v>637</v>
      </c>
      <c r="N3969" t="s">
        <v>86</v>
      </c>
      <c r="O3969" s="6" t="s">
        <v>513</v>
      </c>
      <c r="P3969" t="s">
        <v>402</v>
      </c>
      <c r="Q3969">
        <f t="shared" si="76"/>
        <v>0.66666666666666663</v>
      </c>
      <c r="R3969" t="s">
        <v>213</v>
      </c>
      <c r="S3969" s="2" t="s">
        <v>7</v>
      </c>
      <c r="T3969">
        <v>4</v>
      </c>
      <c r="U3969" t="s">
        <v>28</v>
      </c>
      <c r="V3969" t="s">
        <v>28</v>
      </c>
      <c r="W3969">
        <v>10</v>
      </c>
      <c r="X3969">
        <v>3.9275000000000002</v>
      </c>
      <c r="Y3969" s="6">
        <f t="shared" si="74"/>
        <v>0.39500000000000002</v>
      </c>
      <c r="Z3969">
        <v>0.19750000000000001</v>
      </c>
      <c r="AA3969" s="6"/>
      <c r="AB3969" s="6"/>
    </row>
    <row r="3970" spans="1:28" x14ac:dyDescent="0.2">
      <c r="A3970" t="s">
        <v>510</v>
      </c>
      <c r="B3970">
        <v>2010</v>
      </c>
      <c r="C3970" t="s">
        <v>826</v>
      </c>
      <c r="D3970" t="s">
        <v>824</v>
      </c>
      <c r="E3970" t="s">
        <v>114</v>
      </c>
      <c r="F3970" t="s">
        <v>512</v>
      </c>
      <c r="G3970">
        <v>37.510309999999997</v>
      </c>
      <c r="H3970">
        <v>121.53622</v>
      </c>
      <c r="I3970" t="s">
        <v>139</v>
      </c>
      <c r="J3970" s="2" t="s">
        <v>14</v>
      </c>
      <c r="K3970" t="s">
        <v>511</v>
      </c>
      <c r="L3970" t="s">
        <v>143</v>
      </c>
      <c r="M3970" t="s">
        <v>637</v>
      </c>
      <c r="N3970" t="s">
        <v>86</v>
      </c>
      <c r="O3970" s="6" t="s">
        <v>513</v>
      </c>
      <c r="P3970" t="s">
        <v>402</v>
      </c>
      <c r="Q3970">
        <f t="shared" si="76"/>
        <v>0.66666666666666663</v>
      </c>
      <c r="R3970" t="s">
        <v>213</v>
      </c>
      <c r="S3970" s="2" t="s">
        <v>9</v>
      </c>
      <c r="T3970">
        <v>4</v>
      </c>
      <c r="U3970" t="s">
        <v>28</v>
      </c>
      <c r="V3970" t="s">
        <v>28</v>
      </c>
      <c r="W3970">
        <v>25</v>
      </c>
      <c r="X3970">
        <v>5.0199999999999996</v>
      </c>
      <c r="Y3970" s="6">
        <f t="shared" si="74"/>
        <v>7.6600000000000001E-2</v>
      </c>
      <c r="Z3970">
        <v>3.8300000000000001E-2</v>
      </c>
      <c r="AA3970" s="6"/>
      <c r="AB3970" s="6"/>
    </row>
    <row r="3971" spans="1:28" x14ac:dyDescent="0.2">
      <c r="A3971" t="s">
        <v>510</v>
      </c>
      <c r="B3971">
        <v>2010</v>
      </c>
      <c r="C3971" t="s">
        <v>826</v>
      </c>
      <c r="D3971" t="s">
        <v>824</v>
      </c>
      <c r="E3971" t="s">
        <v>114</v>
      </c>
      <c r="F3971" t="s">
        <v>512</v>
      </c>
      <c r="G3971">
        <v>37.510309999999997</v>
      </c>
      <c r="H3971">
        <v>121.53622</v>
      </c>
      <c r="I3971" t="s">
        <v>139</v>
      </c>
      <c r="J3971" s="2" t="s">
        <v>7</v>
      </c>
      <c r="K3971" t="s">
        <v>511</v>
      </c>
      <c r="L3971" t="s">
        <v>143</v>
      </c>
      <c r="M3971" t="s">
        <v>637</v>
      </c>
      <c r="N3971" t="s">
        <v>86</v>
      </c>
      <c r="O3971" s="6" t="s">
        <v>401</v>
      </c>
      <c r="P3971" t="s">
        <v>402</v>
      </c>
      <c r="Q3971">
        <f t="shared" si="76"/>
        <v>0.66666666666666663</v>
      </c>
      <c r="R3971" t="s">
        <v>213</v>
      </c>
      <c r="S3971" s="2" t="s">
        <v>7</v>
      </c>
      <c r="T3971">
        <v>4</v>
      </c>
      <c r="U3971" t="s">
        <v>28</v>
      </c>
      <c r="V3971" t="s">
        <v>28</v>
      </c>
      <c r="W3971">
        <v>10</v>
      </c>
      <c r="X3971">
        <v>0.79</v>
      </c>
      <c r="Y3971" s="6">
        <f t="shared" si="74"/>
        <v>0.20399999999999999</v>
      </c>
      <c r="Z3971">
        <v>0.10199999999999999</v>
      </c>
      <c r="AA3971" s="6"/>
      <c r="AB3971" s="6"/>
    </row>
    <row r="3972" spans="1:28" x14ac:dyDescent="0.2">
      <c r="A3972" t="s">
        <v>510</v>
      </c>
      <c r="B3972">
        <v>2010</v>
      </c>
      <c r="C3972" t="s">
        <v>826</v>
      </c>
      <c r="D3972" t="s">
        <v>824</v>
      </c>
      <c r="E3972" t="s">
        <v>114</v>
      </c>
      <c r="F3972" t="s">
        <v>512</v>
      </c>
      <c r="G3972">
        <v>37.510309999999997</v>
      </c>
      <c r="H3972">
        <v>121.53622</v>
      </c>
      <c r="I3972" t="s">
        <v>139</v>
      </c>
      <c r="J3972" s="2" t="s">
        <v>14</v>
      </c>
      <c r="K3972" t="s">
        <v>511</v>
      </c>
      <c r="L3972" t="s">
        <v>143</v>
      </c>
      <c r="M3972" t="s">
        <v>637</v>
      </c>
      <c r="N3972" t="s">
        <v>86</v>
      </c>
      <c r="O3972" s="6" t="s">
        <v>401</v>
      </c>
      <c r="P3972" t="s">
        <v>402</v>
      </c>
      <c r="Q3972">
        <f t="shared" si="76"/>
        <v>0.66666666666666663</v>
      </c>
      <c r="R3972" t="s">
        <v>213</v>
      </c>
      <c r="S3972" s="2" t="s">
        <v>9</v>
      </c>
      <c r="T3972">
        <v>4</v>
      </c>
      <c r="U3972" t="s">
        <v>28</v>
      </c>
      <c r="V3972" t="s">
        <v>28</v>
      </c>
      <c r="W3972">
        <v>25</v>
      </c>
      <c r="X3972">
        <v>1.419</v>
      </c>
      <c r="Y3972" s="6">
        <f t="shared" si="74"/>
        <v>0.22500000000000001</v>
      </c>
      <c r="Z3972">
        <v>0.1125</v>
      </c>
      <c r="AA3972" s="6"/>
      <c r="AB3972" s="6"/>
    </row>
    <row r="3973" spans="1:28" x14ac:dyDescent="0.2">
      <c r="A3973" t="s">
        <v>510</v>
      </c>
      <c r="B3973">
        <v>2010</v>
      </c>
      <c r="C3973" t="s">
        <v>826</v>
      </c>
      <c r="D3973" t="s">
        <v>824</v>
      </c>
      <c r="E3973" t="s">
        <v>114</v>
      </c>
      <c r="F3973" t="s">
        <v>512</v>
      </c>
      <c r="G3973">
        <v>37.510309999999997</v>
      </c>
      <c r="H3973">
        <v>121.53622</v>
      </c>
      <c r="I3973" t="s">
        <v>139</v>
      </c>
      <c r="J3973" s="2" t="s">
        <v>7</v>
      </c>
      <c r="K3973" t="s">
        <v>511</v>
      </c>
      <c r="L3973" t="s">
        <v>143</v>
      </c>
      <c r="M3973" t="s">
        <v>637</v>
      </c>
      <c r="N3973" t="s">
        <v>86</v>
      </c>
      <c r="O3973" s="6" t="s">
        <v>495</v>
      </c>
      <c r="P3973" t="s">
        <v>496</v>
      </c>
      <c r="Q3973">
        <f t="shared" si="76"/>
        <v>0.66666666666666663</v>
      </c>
      <c r="R3973" t="s">
        <v>213</v>
      </c>
      <c r="S3973" s="2" t="s">
        <v>7</v>
      </c>
      <c r="T3973">
        <v>4</v>
      </c>
      <c r="U3973" t="s">
        <v>28</v>
      </c>
      <c r="V3973" t="s">
        <v>28</v>
      </c>
      <c r="W3973">
        <v>10</v>
      </c>
      <c r="X3973">
        <v>12.8</v>
      </c>
      <c r="Y3973" s="6">
        <f>14.2-X3973</f>
        <v>1.3999999999999986</v>
      </c>
      <c r="AA3973" s="6"/>
      <c r="AB3973" s="6"/>
    </row>
    <row r="3974" spans="1:28" x14ac:dyDescent="0.2">
      <c r="A3974" t="s">
        <v>510</v>
      </c>
      <c r="B3974">
        <v>2010</v>
      </c>
      <c r="C3974" t="s">
        <v>826</v>
      </c>
      <c r="D3974" t="s">
        <v>824</v>
      </c>
      <c r="E3974" t="s">
        <v>114</v>
      </c>
      <c r="F3974" t="s">
        <v>512</v>
      </c>
      <c r="G3974">
        <v>37.510309999999997</v>
      </c>
      <c r="H3974">
        <v>121.53622</v>
      </c>
      <c r="I3974" t="s">
        <v>139</v>
      </c>
      <c r="J3974" s="2" t="s">
        <v>14</v>
      </c>
      <c r="K3974" t="s">
        <v>511</v>
      </c>
      <c r="L3974" t="s">
        <v>143</v>
      </c>
      <c r="M3974" t="s">
        <v>637</v>
      </c>
      <c r="N3974" t="s">
        <v>86</v>
      </c>
      <c r="O3974" s="6" t="s">
        <v>495</v>
      </c>
      <c r="P3974" t="s">
        <v>496</v>
      </c>
      <c r="Q3974">
        <f t="shared" si="76"/>
        <v>0.66666666666666663</v>
      </c>
      <c r="R3974" t="s">
        <v>213</v>
      </c>
      <c r="S3974" s="2" t="s">
        <v>9</v>
      </c>
      <c r="T3974">
        <v>4</v>
      </c>
      <c r="U3974" t="s">
        <v>28</v>
      </c>
      <c r="V3974" t="s">
        <v>28</v>
      </c>
      <c r="W3974">
        <v>25</v>
      </c>
      <c r="X3974">
        <v>17.46</v>
      </c>
      <c r="Y3974" s="6">
        <f>18.07-X3974</f>
        <v>0.60999999999999943</v>
      </c>
      <c r="AA3974" s="6"/>
      <c r="AB3974" s="6"/>
    </row>
    <row r="3975" spans="1:28" x14ac:dyDescent="0.2">
      <c r="A3975" t="s">
        <v>510</v>
      </c>
      <c r="B3975">
        <v>2010</v>
      </c>
      <c r="C3975" t="s">
        <v>826</v>
      </c>
      <c r="D3975" t="s">
        <v>824</v>
      </c>
      <c r="E3975" t="s">
        <v>114</v>
      </c>
      <c r="F3975" t="s">
        <v>512</v>
      </c>
      <c r="G3975">
        <v>37.510309999999997</v>
      </c>
      <c r="H3975">
        <v>121.53622</v>
      </c>
      <c r="I3975" t="s">
        <v>139</v>
      </c>
      <c r="J3975" s="2" t="s">
        <v>7</v>
      </c>
      <c r="K3975" t="s">
        <v>511</v>
      </c>
      <c r="L3975" t="s">
        <v>143</v>
      </c>
      <c r="M3975" t="s">
        <v>664</v>
      </c>
      <c r="N3975" t="s">
        <v>86</v>
      </c>
      <c r="O3975" s="6" t="s">
        <v>498</v>
      </c>
      <c r="P3975" t="s">
        <v>496</v>
      </c>
      <c r="Q3975">
        <f t="shared" si="76"/>
        <v>0.66666666666666663</v>
      </c>
      <c r="R3975" t="s">
        <v>213</v>
      </c>
      <c r="S3975" s="2" t="s">
        <v>7</v>
      </c>
      <c r="T3975">
        <v>4</v>
      </c>
      <c r="U3975" t="s">
        <v>28</v>
      </c>
      <c r="V3975" t="s">
        <v>28</v>
      </c>
      <c r="W3975">
        <v>10</v>
      </c>
      <c r="X3975">
        <v>1.518</v>
      </c>
      <c r="Y3975">
        <f>1.663-X3975</f>
        <v>0.14500000000000002</v>
      </c>
      <c r="AA3975" s="6"/>
      <c r="AB3975" s="6"/>
    </row>
    <row r="3976" spans="1:28" x14ac:dyDescent="0.2">
      <c r="A3976" t="s">
        <v>510</v>
      </c>
      <c r="B3976">
        <v>2010</v>
      </c>
      <c r="C3976" t="s">
        <v>826</v>
      </c>
      <c r="D3976" t="s">
        <v>824</v>
      </c>
      <c r="E3976" t="s">
        <v>114</v>
      </c>
      <c r="F3976" t="s">
        <v>512</v>
      </c>
      <c r="G3976">
        <v>37.510309999999997</v>
      </c>
      <c r="H3976">
        <v>121.53622</v>
      </c>
      <c r="I3976" t="s">
        <v>139</v>
      </c>
      <c r="J3976" s="2" t="s">
        <v>14</v>
      </c>
      <c r="K3976" t="s">
        <v>511</v>
      </c>
      <c r="L3976" t="s">
        <v>143</v>
      </c>
      <c r="M3976" t="s">
        <v>664</v>
      </c>
      <c r="N3976" t="s">
        <v>86</v>
      </c>
      <c r="O3976" s="6" t="s">
        <v>498</v>
      </c>
      <c r="P3976" t="s">
        <v>496</v>
      </c>
      <c r="Q3976">
        <f t="shared" si="76"/>
        <v>0.66666666666666663</v>
      </c>
      <c r="R3976" t="s">
        <v>213</v>
      </c>
      <c r="S3976" s="2" t="s">
        <v>9</v>
      </c>
      <c r="T3976">
        <v>4</v>
      </c>
      <c r="U3976" t="s">
        <v>28</v>
      </c>
      <c r="V3976" t="s">
        <v>28</v>
      </c>
      <c r="W3976">
        <v>25</v>
      </c>
      <c r="X3976">
        <v>1.083</v>
      </c>
      <c r="Y3976">
        <f>1.172-X3976</f>
        <v>8.8999999999999968E-2</v>
      </c>
      <c r="AA3976" s="6"/>
      <c r="AB3976" s="6"/>
    </row>
    <row r="3977" spans="1:28" x14ac:dyDescent="0.2">
      <c r="A3977" t="s">
        <v>510</v>
      </c>
      <c r="B3977">
        <v>2010</v>
      </c>
      <c r="C3977" t="s">
        <v>826</v>
      </c>
      <c r="D3977" t="s">
        <v>824</v>
      </c>
      <c r="E3977" t="s">
        <v>114</v>
      </c>
      <c r="F3977" t="s">
        <v>512</v>
      </c>
      <c r="G3977">
        <v>37.510309999999997</v>
      </c>
      <c r="H3977">
        <v>121.53622</v>
      </c>
      <c r="I3977" t="s">
        <v>139</v>
      </c>
      <c r="J3977" s="2" t="s">
        <v>7</v>
      </c>
      <c r="K3977" t="s">
        <v>511</v>
      </c>
      <c r="L3977" t="s">
        <v>143</v>
      </c>
      <c r="M3977" t="s">
        <v>637</v>
      </c>
      <c r="N3977" t="s">
        <v>86</v>
      </c>
      <c r="O3977" s="6" t="s">
        <v>497</v>
      </c>
      <c r="P3977" t="s">
        <v>496</v>
      </c>
      <c r="Q3977">
        <f t="shared" si="76"/>
        <v>0.66666666666666663</v>
      </c>
      <c r="R3977" t="s">
        <v>213</v>
      </c>
      <c r="S3977" s="2" t="s">
        <v>7</v>
      </c>
      <c r="T3977">
        <v>4</v>
      </c>
      <c r="U3977" t="s">
        <v>28</v>
      </c>
      <c r="V3977" t="s">
        <v>28</v>
      </c>
      <c r="W3977">
        <v>10</v>
      </c>
      <c r="X3977">
        <v>22.13</v>
      </c>
      <c r="Y3977">
        <f>23.13-X3977</f>
        <v>1</v>
      </c>
      <c r="AA3977" s="6"/>
      <c r="AB3977" s="6"/>
    </row>
    <row r="3978" spans="1:28" x14ac:dyDescent="0.2">
      <c r="A3978" t="s">
        <v>510</v>
      </c>
      <c r="B3978">
        <v>2010</v>
      </c>
      <c r="C3978" t="s">
        <v>826</v>
      </c>
      <c r="D3978" t="s">
        <v>824</v>
      </c>
      <c r="E3978" t="s">
        <v>114</v>
      </c>
      <c r="F3978" t="s">
        <v>512</v>
      </c>
      <c r="G3978">
        <v>37.510309999999997</v>
      </c>
      <c r="H3978">
        <v>121.53622</v>
      </c>
      <c r="I3978" t="s">
        <v>139</v>
      </c>
      <c r="J3978" s="2" t="s">
        <v>14</v>
      </c>
      <c r="K3978" t="s">
        <v>511</v>
      </c>
      <c r="L3978" t="s">
        <v>143</v>
      </c>
      <c r="M3978" t="s">
        <v>637</v>
      </c>
      <c r="N3978" t="s">
        <v>86</v>
      </c>
      <c r="O3978" s="6" t="s">
        <v>497</v>
      </c>
      <c r="P3978" t="s">
        <v>496</v>
      </c>
      <c r="Q3978">
        <f t="shared" si="76"/>
        <v>0.66666666666666663</v>
      </c>
      <c r="R3978" t="s">
        <v>213</v>
      </c>
      <c r="S3978" s="2" t="s">
        <v>9</v>
      </c>
      <c r="T3978">
        <v>4</v>
      </c>
      <c r="U3978" t="s">
        <v>28</v>
      </c>
      <c r="V3978" t="s">
        <v>28</v>
      </c>
      <c r="W3978">
        <v>25</v>
      </c>
      <c r="X3978">
        <v>19.03</v>
      </c>
      <c r="Y3978">
        <f>19.85-X3978</f>
        <v>0.82000000000000028</v>
      </c>
      <c r="AA3978" s="6"/>
      <c r="AB3978" s="6"/>
    </row>
    <row r="3979" spans="1:28" x14ac:dyDescent="0.2">
      <c r="A3979" t="s">
        <v>510</v>
      </c>
      <c r="B3979">
        <v>2010</v>
      </c>
      <c r="C3979" t="s">
        <v>826</v>
      </c>
      <c r="D3979" t="s">
        <v>824</v>
      </c>
      <c r="E3979" t="s">
        <v>114</v>
      </c>
      <c r="F3979" t="s">
        <v>512</v>
      </c>
      <c r="G3979">
        <v>37.510309999999997</v>
      </c>
      <c r="H3979">
        <v>121.53622</v>
      </c>
      <c r="I3979" t="s">
        <v>139</v>
      </c>
      <c r="J3979" s="2" t="s">
        <v>7</v>
      </c>
      <c r="K3979" t="s">
        <v>511</v>
      </c>
      <c r="L3979" t="s">
        <v>143</v>
      </c>
      <c r="M3979" t="s">
        <v>664</v>
      </c>
      <c r="N3979" t="s">
        <v>86</v>
      </c>
      <c r="O3979" s="6" t="s">
        <v>514</v>
      </c>
      <c r="P3979" t="s">
        <v>496</v>
      </c>
      <c r="Q3979">
        <f t="shared" si="76"/>
        <v>0.66666666666666663</v>
      </c>
      <c r="R3979" t="s">
        <v>213</v>
      </c>
      <c r="S3979" s="2" t="s">
        <v>7</v>
      </c>
      <c r="T3979">
        <v>4</v>
      </c>
      <c r="U3979" t="s">
        <v>28</v>
      </c>
      <c r="V3979" t="s">
        <v>28</v>
      </c>
      <c r="W3979">
        <v>10</v>
      </c>
      <c r="X3979">
        <v>56.81</v>
      </c>
      <c r="Y3979">
        <f>62.27-X3979</f>
        <v>5.4600000000000009</v>
      </c>
      <c r="AA3979" s="6"/>
      <c r="AB3979" s="6"/>
    </row>
    <row r="3980" spans="1:28" x14ac:dyDescent="0.2">
      <c r="A3980" t="s">
        <v>510</v>
      </c>
      <c r="B3980">
        <v>2010</v>
      </c>
      <c r="C3980" t="s">
        <v>826</v>
      </c>
      <c r="D3980" t="s">
        <v>824</v>
      </c>
      <c r="E3980" t="s">
        <v>114</v>
      </c>
      <c r="F3980" t="s">
        <v>512</v>
      </c>
      <c r="G3980">
        <v>37.510309999999997</v>
      </c>
      <c r="H3980">
        <v>121.53622</v>
      </c>
      <c r="I3980" t="s">
        <v>139</v>
      </c>
      <c r="J3980" s="2" t="s">
        <v>14</v>
      </c>
      <c r="K3980" t="s">
        <v>511</v>
      </c>
      <c r="L3980" t="s">
        <v>143</v>
      </c>
      <c r="M3980" t="s">
        <v>664</v>
      </c>
      <c r="N3980" t="s">
        <v>86</v>
      </c>
      <c r="O3980" s="6" t="s">
        <v>514</v>
      </c>
      <c r="P3980" t="s">
        <v>496</v>
      </c>
      <c r="Q3980">
        <f t="shared" si="76"/>
        <v>0.66666666666666663</v>
      </c>
      <c r="R3980" t="s">
        <v>213</v>
      </c>
      <c r="S3980" s="2" t="s">
        <v>9</v>
      </c>
      <c r="T3980">
        <v>4</v>
      </c>
      <c r="U3980" t="s">
        <v>28</v>
      </c>
      <c r="V3980" t="s">
        <v>28</v>
      </c>
      <c r="W3980">
        <v>25</v>
      </c>
      <c r="X3980">
        <v>34.33</v>
      </c>
      <c r="Y3980">
        <f>43.05-X3980</f>
        <v>8.7199999999999989</v>
      </c>
      <c r="AA3980" s="6"/>
      <c r="AB3980" s="6"/>
    </row>
    <row r="3981" spans="1:28" x14ac:dyDescent="0.2">
      <c r="A3981" t="s">
        <v>510</v>
      </c>
      <c r="B3981">
        <v>2010</v>
      </c>
      <c r="C3981" t="s">
        <v>826</v>
      </c>
      <c r="D3981" t="s">
        <v>824</v>
      </c>
      <c r="E3981" t="s">
        <v>114</v>
      </c>
      <c r="F3981" t="s">
        <v>512</v>
      </c>
      <c r="G3981">
        <v>37.510309999999997</v>
      </c>
      <c r="H3981">
        <v>121.53622</v>
      </c>
      <c r="I3981" t="s">
        <v>139</v>
      </c>
      <c r="J3981" s="2" t="s">
        <v>7</v>
      </c>
      <c r="K3981" t="s">
        <v>511</v>
      </c>
      <c r="L3981" t="s">
        <v>143</v>
      </c>
      <c r="M3981" t="s">
        <v>664</v>
      </c>
      <c r="N3981" t="s">
        <v>86</v>
      </c>
      <c r="O3981" s="6" t="s">
        <v>515</v>
      </c>
      <c r="P3981" t="s">
        <v>496</v>
      </c>
      <c r="Q3981">
        <f t="shared" si="76"/>
        <v>0.66666666666666663</v>
      </c>
      <c r="R3981" t="s">
        <v>213</v>
      </c>
      <c r="S3981" s="2" t="s">
        <v>7</v>
      </c>
      <c r="T3981">
        <v>4</v>
      </c>
      <c r="U3981" t="s">
        <v>28</v>
      </c>
      <c r="V3981" t="s">
        <v>28</v>
      </c>
      <c r="W3981">
        <v>10</v>
      </c>
      <c r="X3981">
        <v>12.18</v>
      </c>
      <c r="Y3981">
        <f>12.47-X3981</f>
        <v>0.29000000000000092</v>
      </c>
      <c r="AA3981" s="6"/>
      <c r="AB3981" s="6"/>
    </row>
    <row r="3982" spans="1:28" x14ac:dyDescent="0.2">
      <c r="A3982" t="s">
        <v>510</v>
      </c>
      <c r="B3982">
        <v>2010</v>
      </c>
      <c r="C3982" t="s">
        <v>826</v>
      </c>
      <c r="D3982" t="s">
        <v>824</v>
      </c>
      <c r="E3982" t="s">
        <v>114</v>
      </c>
      <c r="F3982" t="s">
        <v>512</v>
      </c>
      <c r="G3982">
        <v>37.510309999999997</v>
      </c>
      <c r="H3982">
        <v>121.53622</v>
      </c>
      <c r="I3982" t="s">
        <v>139</v>
      </c>
      <c r="J3982" s="2" t="s">
        <v>14</v>
      </c>
      <c r="K3982" t="s">
        <v>511</v>
      </c>
      <c r="L3982" t="s">
        <v>143</v>
      </c>
      <c r="M3982" t="s">
        <v>664</v>
      </c>
      <c r="N3982" t="s">
        <v>86</v>
      </c>
      <c r="O3982" s="6" t="s">
        <v>515</v>
      </c>
      <c r="P3982" t="s">
        <v>496</v>
      </c>
      <c r="Q3982">
        <f t="shared" si="76"/>
        <v>0.66666666666666663</v>
      </c>
      <c r="R3982" t="s">
        <v>213</v>
      </c>
      <c r="S3982" s="2" t="s">
        <v>9</v>
      </c>
      <c r="T3982">
        <v>4</v>
      </c>
      <c r="U3982" t="s">
        <v>28</v>
      </c>
      <c r="V3982" t="s">
        <v>28</v>
      </c>
      <c r="W3982">
        <v>25</v>
      </c>
      <c r="X3982">
        <v>28.55</v>
      </c>
      <c r="Y3982">
        <f>29.82-X3982</f>
        <v>1.2699999999999996</v>
      </c>
      <c r="AA3982" s="6"/>
      <c r="AB3982" s="6"/>
    </row>
    <row r="3983" spans="1:28" x14ac:dyDescent="0.2">
      <c r="A3983" t="s">
        <v>510</v>
      </c>
      <c r="B3983">
        <v>2010</v>
      </c>
      <c r="C3983" t="s">
        <v>826</v>
      </c>
      <c r="D3983" t="s">
        <v>824</v>
      </c>
      <c r="E3983" t="s">
        <v>114</v>
      </c>
      <c r="F3983" t="s">
        <v>512</v>
      </c>
      <c r="G3983">
        <v>37.510309999999997</v>
      </c>
      <c r="H3983">
        <v>121.53622</v>
      </c>
      <c r="I3983" t="s">
        <v>139</v>
      </c>
      <c r="J3983" s="2" t="s">
        <v>7</v>
      </c>
      <c r="K3983" t="s">
        <v>511</v>
      </c>
      <c r="L3983" t="s">
        <v>143</v>
      </c>
      <c r="M3983" t="s">
        <v>664</v>
      </c>
      <c r="N3983" t="s">
        <v>86</v>
      </c>
      <c r="O3983" s="6" t="s">
        <v>516</v>
      </c>
      <c r="P3983" t="s">
        <v>496</v>
      </c>
      <c r="Q3983">
        <f t="shared" si="76"/>
        <v>0.66666666666666663</v>
      </c>
      <c r="R3983" t="s">
        <v>213</v>
      </c>
      <c r="S3983" s="2" t="s">
        <v>7</v>
      </c>
      <c r="T3983">
        <v>4</v>
      </c>
      <c r="U3983" t="s">
        <v>28</v>
      </c>
      <c r="V3983" t="s">
        <v>28</v>
      </c>
      <c r="W3983">
        <v>10</v>
      </c>
      <c r="X3983">
        <v>1.0940000000000001</v>
      </c>
      <c r="Y3983">
        <f>1.156-X3983</f>
        <v>6.1999999999999833E-2</v>
      </c>
      <c r="AA3983" s="6"/>
      <c r="AB3983" s="6"/>
    </row>
    <row r="3984" spans="1:28" x14ac:dyDescent="0.2">
      <c r="A3984" t="s">
        <v>510</v>
      </c>
      <c r="B3984">
        <v>2010</v>
      </c>
      <c r="C3984" t="s">
        <v>826</v>
      </c>
      <c r="D3984" t="s">
        <v>824</v>
      </c>
      <c r="E3984" t="s">
        <v>114</v>
      </c>
      <c r="F3984" t="s">
        <v>512</v>
      </c>
      <c r="G3984">
        <v>37.510309999999997</v>
      </c>
      <c r="H3984">
        <v>121.53622</v>
      </c>
      <c r="I3984" t="s">
        <v>139</v>
      </c>
      <c r="J3984" s="2" t="s">
        <v>14</v>
      </c>
      <c r="K3984" t="s">
        <v>511</v>
      </c>
      <c r="L3984" t="s">
        <v>143</v>
      </c>
      <c r="M3984" t="s">
        <v>664</v>
      </c>
      <c r="N3984" t="s">
        <v>86</v>
      </c>
      <c r="O3984" s="6" t="s">
        <v>516</v>
      </c>
      <c r="P3984" t="s">
        <v>496</v>
      </c>
      <c r="Q3984">
        <f t="shared" si="76"/>
        <v>0.66666666666666663</v>
      </c>
      <c r="R3984" t="s">
        <v>213</v>
      </c>
      <c r="S3984" s="2" t="s">
        <v>9</v>
      </c>
      <c r="T3984">
        <v>4</v>
      </c>
      <c r="U3984" t="s">
        <v>28</v>
      </c>
      <c r="V3984" t="s">
        <v>28</v>
      </c>
      <c r="W3984">
        <v>25</v>
      </c>
      <c r="X3984">
        <v>0.85599999999999998</v>
      </c>
      <c r="Y3984">
        <f>0.927-X3984</f>
        <v>7.1000000000000063E-2</v>
      </c>
      <c r="AA3984" s="6"/>
      <c r="AB3984" s="6"/>
    </row>
    <row r="3985" spans="1:28" x14ac:dyDescent="0.2">
      <c r="A3985" t="s">
        <v>517</v>
      </c>
      <c r="B3985">
        <v>2009</v>
      </c>
      <c r="C3985" t="s">
        <v>816</v>
      </c>
      <c r="D3985" t="s">
        <v>820</v>
      </c>
      <c r="E3985" t="s">
        <v>34</v>
      </c>
      <c r="F3985" t="s">
        <v>518</v>
      </c>
      <c r="G3985">
        <v>-20.233332999999998</v>
      </c>
      <c r="H3985">
        <v>-70.133332999999993</v>
      </c>
      <c r="I3985" t="s">
        <v>768</v>
      </c>
      <c r="J3985" s="2" t="s">
        <v>7</v>
      </c>
      <c r="K3985" t="s">
        <v>466</v>
      </c>
      <c r="L3985" t="s">
        <v>143</v>
      </c>
      <c r="M3985" t="s">
        <v>12</v>
      </c>
      <c r="N3985" t="s">
        <v>85</v>
      </c>
      <c r="O3985" s="6" t="s">
        <v>12</v>
      </c>
      <c r="P3985" t="s">
        <v>70</v>
      </c>
      <c r="Q3985">
        <v>5</v>
      </c>
      <c r="R3985" t="s">
        <v>213</v>
      </c>
      <c r="S3985" s="2" t="s">
        <v>7</v>
      </c>
      <c r="T3985">
        <v>1</v>
      </c>
      <c r="U3985" t="s">
        <v>28</v>
      </c>
      <c r="V3985" t="s">
        <v>28</v>
      </c>
      <c r="W3985">
        <v>19.899999999999999</v>
      </c>
      <c r="X3985">
        <v>100</v>
      </c>
      <c r="Y3985" t="s">
        <v>28</v>
      </c>
    </row>
    <row r="3986" spans="1:28" x14ac:dyDescent="0.2">
      <c r="A3986" t="s">
        <v>517</v>
      </c>
      <c r="B3986">
        <v>2009</v>
      </c>
      <c r="C3986" t="s">
        <v>816</v>
      </c>
      <c r="D3986" t="s">
        <v>820</v>
      </c>
      <c r="E3986" t="s">
        <v>34</v>
      </c>
      <c r="F3986" t="s">
        <v>518</v>
      </c>
      <c r="G3986">
        <v>-20.233332999999998</v>
      </c>
      <c r="H3986">
        <v>-70.133332999999993</v>
      </c>
      <c r="I3986" t="s">
        <v>768</v>
      </c>
      <c r="J3986" s="2" t="s">
        <v>14</v>
      </c>
      <c r="K3986" t="s">
        <v>466</v>
      </c>
      <c r="L3986" t="s">
        <v>143</v>
      </c>
      <c r="M3986" t="s">
        <v>12</v>
      </c>
      <c r="N3986" t="s">
        <v>85</v>
      </c>
      <c r="O3986" s="6" t="s">
        <v>12</v>
      </c>
      <c r="P3986" t="s">
        <v>70</v>
      </c>
      <c r="Q3986">
        <v>5</v>
      </c>
      <c r="R3986" t="s">
        <v>213</v>
      </c>
      <c r="S3986" s="2" t="s">
        <v>9</v>
      </c>
      <c r="T3986">
        <v>1</v>
      </c>
      <c r="U3986" t="s">
        <v>28</v>
      </c>
      <c r="V3986" t="s">
        <v>28</v>
      </c>
      <c r="W3986">
        <v>24.7</v>
      </c>
      <c r="X3986">
        <v>0</v>
      </c>
      <c r="Y3986" t="s">
        <v>28</v>
      </c>
    </row>
    <row r="3987" spans="1:28" x14ac:dyDescent="0.2">
      <c r="A3987" t="s">
        <v>517</v>
      </c>
      <c r="B3987">
        <v>2009</v>
      </c>
      <c r="C3987" t="s">
        <v>816</v>
      </c>
      <c r="D3987" t="s">
        <v>820</v>
      </c>
      <c r="E3987" t="s">
        <v>34</v>
      </c>
      <c r="F3987" t="s">
        <v>380</v>
      </c>
      <c r="G3987">
        <v>-29.966667000000001</v>
      </c>
      <c r="H3987">
        <v>-71.349999999999994</v>
      </c>
      <c r="I3987" t="s">
        <v>769</v>
      </c>
      <c r="J3987" s="2" t="s">
        <v>7</v>
      </c>
      <c r="K3987" t="s">
        <v>466</v>
      </c>
      <c r="L3987" t="s">
        <v>143</v>
      </c>
      <c r="M3987" t="s">
        <v>12</v>
      </c>
      <c r="N3987" t="s">
        <v>85</v>
      </c>
      <c r="O3987" s="6" t="s">
        <v>12</v>
      </c>
      <c r="P3987" t="s">
        <v>70</v>
      </c>
      <c r="Q3987">
        <v>14</v>
      </c>
      <c r="R3987" t="s">
        <v>213</v>
      </c>
      <c r="S3987" s="2" t="s">
        <v>7</v>
      </c>
      <c r="T3987">
        <v>1</v>
      </c>
      <c r="U3987" t="s">
        <v>28</v>
      </c>
      <c r="V3987" t="s">
        <v>28</v>
      </c>
      <c r="W3987">
        <v>17.600000000000001</v>
      </c>
      <c r="X3987">
        <v>100</v>
      </c>
      <c r="Y3987" t="s">
        <v>28</v>
      </c>
    </row>
    <row r="3988" spans="1:28" x14ac:dyDescent="0.2">
      <c r="A3988" t="s">
        <v>517</v>
      </c>
      <c r="B3988">
        <v>2009</v>
      </c>
      <c r="C3988" t="s">
        <v>816</v>
      </c>
      <c r="D3988" t="s">
        <v>820</v>
      </c>
      <c r="E3988" t="s">
        <v>34</v>
      </c>
      <c r="F3988" t="s">
        <v>380</v>
      </c>
      <c r="G3988">
        <v>-29.966667000000001</v>
      </c>
      <c r="H3988">
        <v>-71.349999999999994</v>
      </c>
      <c r="I3988" t="s">
        <v>769</v>
      </c>
      <c r="J3988" s="2" t="s">
        <v>14</v>
      </c>
      <c r="K3988" t="s">
        <v>466</v>
      </c>
      <c r="L3988" t="s">
        <v>143</v>
      </c>
      <c r="M3988" t="s">
        <v>12</v>
      </c>
      <c r="N3988" t="s">
        <v>85</v>
      </c>
      <c r="O3988" s="6" t="s">
        <v>12</v>
      </c>
      <c r="P3988" t="s">
        <v>70</v>
      </c>
      <c r="Q3988">
        <v>14</v>
      </c>
      <c r="R3988" t="s">
        <v>213</v>
      </c>
      <c r="S3988" s="2" t="s">
        <v>9</v>
      </c>
      <c r="T3988">
        <v>1</v>
      </c>
      <c r="U3988" t="s">
        <v>28</v>
      </c>
      <c r="V3988" t="s">
        <v>28</v>
      </c>
      <c r="W3988">
        <v>20.6</v>
      </c>
      <c r="X3988">
        <v>100</v>
      </c>
      <c r="Y3988" t="s">
        <v>28</v>
      </c>
    </row>
    <row r="3989" spans="1:28" x14ac:dyDescent="0.2">
      <c r="A3989" t="s">
        <v>517</v>
      </c>
      <c r="B3989">
        <v>2009</v>
      </c>
      <c r="C3989" t="s">
        <v>816</v>
      </c>
      <c r="D3989" t="s">
        <v>820</v>
      </c>
      <c r="E3989" t="s">
        <v>34</v>
      </c>
      <c r="F3989" t="s">
        <v>465</v>
      </c>
      <c r="G3989">
        <v>-39.75</v>
      </c>
      <c r="H3989">
        <v>-73.383332999999993</v>
      </c>
      <c r="I3989" t="s">
        <v>770</v>
      </c>
      <c r="J3989" s="2" t="s">
        <v>7</v>
      </c>
      <c r="K3989" t="s">
        <v>466</v>
      </c>
      <c r="L3989" t="s">
        <v>143</v>
      </c>
      <c r="M3989" t="s">
        <v>12</v>
      </c>
      <c r="N3989" t="s">
        <v>85</v>
      </c>
      <c r="O3989" s="6" t="s">
        <v>12</v>
      </c>
      <c r="P3989" t="s">
        <v>70</v>
      </c>
      <c r="Q3989">
        <v>14</v>
      </c>
      <c r="R3989" t="s">
        <v>213</v>
      </c>
      <c r="S3989" s="2" t="s">
        <v>7</v>
      </c>
      <c r="T3989">
        <v>1</v>
      </c>
      <c r="U3989" t="s">
        <v>28</v>
      </c>
      <c r="V3989" t="s">
        <v>28</v>
      </c>
      <c r="W3989">
        <v>15.5</v>
      </c>
      <c r="X3989">
        <v>100</v>
      </c>
      <c r="Y3989" t="s">
        <v>28</v>
      </c>
    </row>
    <row r="3990" spans="1:28" x14ac:dyDescent="0.2">
      <c r="A3990" t="s">
        <v>517</v>
      </c>
      <c r="B3990">
        <v>2009</v>
      </c>
      <c r="C3990" t="s">
        <v>816</v>
      </c>
      <c r="D3990" t="s">
        <v>820</v>
      </c>
      <c r="E3990" t="s">
        <v>34</v>
      </c>
      <c r="F3990" t="s">
        <v>465</v>
      </c>
      <c r="G3990">
        <v>-39.75</v>
      </c>
      <c r="H3990">
        <v>-73.383332999999993</v>
      </c>
      <c r="I3990" t="s">
        <v>770</v>
      </c>
      <c r="J3990" s="2" t="s">
        <v>14</v>
      </c>
      <c r="K3990" t="s">
        <v>466</v>
      </c>
      <c r="L3990" t="s">
        <v>143</v>
      </c>
      <c r="M3990" t="s">
        <v>12</v>
      </c>
      <c r="N3990" t="s">
        <v>85</v>
      </c>
      <c r="O3990" s="6" t="s">
        <v>12</v>
      </c>
      <c r="P3990" t="s">
        <v>70</v>
      </c>
      <c r="Q3990">
        <v>14</v>
      </c>
      <c r="R3990" t="s">
        <v>213</v>
      </c>
      <c r="S3990" s="2" t="s">
        <v>9</v>
      </c>
      <c r="T3990">
        <v>1</v>
      </c>
      <c r="U3990" t="s">
        <v>28</v>
      </c>
      <c r="V3990" t="s">
        <v>28</v>
      </c>
      <c r="W3990">
        <v>18.899999999999999</v>
      </c>
      <c r="X3990">
        <v>100</v>
      </c>
      <c r="Y3990" t="s">
        <v>28</v>
      </c>
    </row>
    <row r="3991" spans="1:28" x14ac:dyDescent="0.2">
      <c r="A3991" t="s">
        <v>517</v>
      </c>
      <c r="B3991">
        <v>2009</v>
      </c>
      <c r="C3991" t="s">
        <v>816</v>
      </c>
      <c r="D3991" t="s">
        <v>820</v>
      </c>
      <c r="E3991" t="s">
        <v>34</v>
      </c>
      <c r="F3991" t="s">
        <v>380</v>
      </c>
      <c r="G3991">
        <v>-29.966667000000001</v>
      </c>
      <c r="H3991">
        <v>-71.349999999999994</v>
      </c>
      <c r="I3991" t="s">
        <v>769</v>
      </c>
      <c r="J3991" s="2" t="s">
        <v>7</v>
      </c>
      <c r="K3991" t="s">
        <v>466</v>
      </c>
      <c r="L3991" t="s">
        <v>143</v>
      </c>
      <c r="M3991" t="s">
        <v>26</v>
      </c>
      <c r="N3991" t="s">
        <v>85</v>
      </c>
      <c r="O3991" t="s">
        <v>839</v>
      </c>
      <c r="P3991" t="s">
        <v>72</v>
      </c>
      <c r="Q3991">
        <v>5</v>
      </c>
      <c r="R3991" t="s">
        <v>214</v>
      </c>
      <c r="S3991" s="2" t="s">
        <v>7</v>
      </c>
      <c r="T3991">
        <v>4</v>
      </c>
      <c r="U3991" t="s">
        <v>28</v>
      </c>
      <c r="V3991" t="s">
        <v>28</v>
      </c>
      <c r="W3991">
        <v>17.600000000000001</v>
      </c>
      <c r="X3991">
        <v>5.4089999999999998</v>
      </c>
      <c r="Y3991">
        <f>7.16-X3991</f>
        <v>1.7510000000000003</v>
      </c>
      <c r="AA3991" s="6"/>
      <c r="AB3991" s="6"/>
    </row>
    <row r="3992" spans="1:28" x14ac:dyDescent="0.2">
      <c r="A3992" t="s">
        <v>517</v>
      </c>
      <c r="B3992">
        <v>2009</v>
      </c>
      <c r="C3992" t="s">
        <v>816</v>
      </c>
      <c r="D3992" t="s">
        <v>820</v>
      </c>
      <c r="E3992" t="s">
        <v>34</v>
      </c>
      <c r="F3992" t="s">
        <v>380</v>
      </c>
      <c r="G3992">
        <v>-29.966667000000001</v>
      </c>
      <c r="H3992">
        <v>-71.349999999999994</v>
      </c>
      <c r="I3992" t="s">
        <v>769</v>
      </c>
      <c r="J3992" s="2" t="s">
        <v>14</v>
      </c>
      <c r="K3992" t="s">
        <v>466</v>
      </c>
      <c r="L3992" t="s">
        <v>143</v>
      </c>
      <c r="M3992" t="s">
        <v>26</v>
      </c>
      <c r="N3992" t="s">
        <v>85</v>
      </c>
      <c r="O3992" t="s">
        <v>839</v>
      </c>
      <c r="P3992" t="s">
        <v>72</v>
      </c>
      <c r="Q3992">
        <v>5</v>
      </c>
      <c r="R3992" t="s">
        <v>214</v>
      </c>
      <c r="S3992" s="2" t="s">
        <v>9</v>
      </c>
      <c r="T3992">
        <v>4</v>
      </c>
      <c r="U3992" t="s">
        <v>28</v>
      </c>
      <c r="V3992" t="s">
        <v>28</v>
      </c>
      <c r="W3992">
        <v>20.6</v>
      </c>
      <c r="X3992">
        <v>3.5539999999999998</v>
      </c>
      <c r="Y3992">
        <f>9.015-X3992</f>
        <v>5.4610000000000003</v>
      </c>
      <c r="AA3992" s="6"/>
      <c r="AB3992" s="6"/>
    </row>
    <row r="3993" spans="1:28" x14ac:dyDescent="0.2">
      <c r="A3993" t="s">
        <v>517</v>
      </c>
      <c r="B3993">
        <v>2009</v>
      </c>
      <c r="C3993" t="s">
        <v>816</v>
      </c>
      <c r="D3993" t="s">
        <v>820</v>
      </c>
      <c r="E3993" t="s">
        <v>34</v>
      </c>
      <c r="F3993" t="s">
        <v>380</v>
      </c>
      <c r="G3993">
        <v>-29.966667000000001</v>
      </c>
      <c r="H3993">
        <v>-71.349999999999994</v>
      </c>
      <c r="I3993" t="s">
        <v>769</v>
      </c>
      <c r="J3993" s="2" t="s">
        <v>7</v>
      </c>
      <c r="K3993" t="s">
        <v>466</v>
      </c>
      <c r="L3993" t="s">
        <v>143</v>
      </c>
      <c r="M3993" t="s">
        <v>26</v>
      </c>
      <c r="N3993" t="s">
        <v>85</v>
      </c>
      <c r="O3993" t="s">
        <v>839</v>
      </c>
      <c r="P3993" t="s">
        <v>72</v>
      </c>
      <c r="Q3993">
        <v>10</v>
      </c>
      <c r="R3993" t="s">
        <v>214</v>
      </c>
      <c r="S3993" s="2" t="s">
        <v>7</v>
      </c>
      <c r="T3993">
        <v>4</v>
      </c>
      <c r="U3993" t="s">
        <v>28</v>
      </c>
      <c r="V3993" t="s">
        <v>28</v>
      </c>
      <c r="W3993">
        <v>17.600000000000001</v>
      </c>
      <c r="X3993">
        <v>1.8029999999999999</v>
      </c>
      <c r="Y3993">
        <f>3.028-X3993</f>
        <v>1.2250000000000001</v>
      </c>
      <c r="AA3993" s="6"/>
      <c r="AB3993" s="6"/>
    </row>
    <row r="3994" spans="1:28" x14ac:dyDescent="0.2">
      <c r="A3994" t="s">
        <v>517</v>
      </c>
      <c r="B3994">
        <v>2009</v>
      </c>
      <c r="C3994" t="s">
        <v>816</v>
      </c>
      <c r="D3994" t="s">
        <v>820</v>
      </c>
      <c r="E3994" t="s">
        <v>34</v>
      </c>
      <c r="F3994" t="s">
        <v>380</v>
      </c>
      <c r="G3994">
        <v>-29.966667000000001</v>
      </c>
      <c r="H3994">
        <v>-71.349999999999994</v>
      </c>
      <c r="I3994" t="s">
        <v>769</v>
      </c>
      <c r="J3994" s="2" t="s">
        <v>14</v>
      </c>
      <c r="K3994" t="s">
        <v>466</v>
      </c>
      <c r="L3994" t="s">
        <v>143</v>
      </c>
      <c r="M3994" t="s">
        <v>26</v>
      </c>
      <c r="N3994" t="s">
        <v>85</v>
      </c>
      <c r="O3994" t="s">
        <v>839</v>
      </c>
      <c r="P3994" t="s">
        <v>72</v>
      </c>
      <c r="Q3994">
        <v>10</v>
      </c>
      <c r="R3994" t="s">
        <v>214</v>
      </c>
      <c r="S3994" s="2" t="s">
        <v>9</v>
      </c>
      <c r="T3994">
        <v>4</v>
      </c>
      <c r="U3994" t="s">
        <v>28</v>
      </c>
      <c r="V3994" t="s">
        <v>28</v>
      </c>
      <c r="W3994">
        <v>20.6</v>
      </c>
      <c r="X3994">
        <v>2.8879999999999999</v>
      </c>
      <c r="Y3994">
        <f>4.149-X3994</f>
        <v>1.2610000000000001</v>
      </c>
      <c r="AA3994" s="6"/>
      <c r="AB3994" s="6"/>
    </row>
    <row r="3995" spans="1:28" x14ac:dyDescent="0.2">
      <c r="A3995" t="s">
        <v>517</v>
      </c>
      <c r="B3995">
        <v>2009</v>
      </c>
      <c r="C3995" t="s">
        <v>816</v>
      </c>
      <c r="D3995" t="s">
        <v>820</v>
      </c>
      <c r="E3995" t="s">
        <v>34</v>
      </c>
      <c r="F3995" t="s">
        <v>380</v>
      </c>
      <c r="G3995">
        <v>-29.966667000000001</v>
      </c>
      <c r="H3995">
        <v>-71.349999999999994</v>
      </c>
      <c r="I3995" t="s">
        <v>769</v>
      </c>
      <c r="J3995" s="2" t="s">
        <v>7</v>
      </c>
      <c r="K3995" t="s">
        <v>466</v>
      </c>
      <c r="L3995" t="s">
        <v>143</v>
      </c>
      <c r="M3995" t="s">
        <v>26</v>
      </c>
      <c r="N3995" t="s">
        <v>85</v>
      </c>
      <c r="O3995" t="s">
        <v>839</v>
      </c>
      <c r="P3995" t="s">
        <v>72</v>
      </c>
      <c r="Q3995">
        <v>14</v>
      </c>
      <c r="R3995" t="s">
        <v>213</v>
      </c>
      <c r="S3995" s="2" t="s">
        <v>7</v>
      </c>
      <c r="T3995">
        <v>4</v>
      </c>
      <c r="U3995" t="s">
        <v>28</v>
      </c>
      <c r="V3995" t="s">
        <v>28</v>
      </c>
      <c r="W3995">
        <v>17.600000000000001</v>
      </c>
      <c r="X3995">
        <v>0.82299999999999995</v>
      </c>
      <c r="Y3995">
        <f>2.853-X3995</f>
        <v>2.0300000000000002</v>
      </c>
      <c r="AA3995" s="6"/>
      <c r="AB3995" s="6"/>
    </row>
    <row r="3996" spans="1:28" x14ac:dyDescent="0.2">
      <c r="A3996" t="s">
        <v>517</v>
      </c>
      <c r="B3996">
        <v>2009</v>
      </c>
      <c r="C3996" t="s">
        <v>816</v>
      </c>
      <c r="D3996" t="s">
        <v>820</v>
      </c>
      <c r="E3996" t="s">
        <v>34</v>
      </c>
      <c r="F3996" t="s">
        <v>380</v>
      </c>
      <c r="G3996">
        <v>-29.966667000000001</v>
      </c>
      <c r="H3996">
        <v>-71.349999999999994</v>
      </c>
      <c r="I3996" t="s">
        <v>769</v>
      </c>
      <c r="J3996" s="2" t="s">
        <v>14</v>
      </c>
      <c r="K3996" t="s">
        <v>466</v>
      </c>
      <c r="L3996" t="s">
        <v>143</v>
      </c>
      <c r="M3996" t="s">
        <v>26</v>
      </c>
      <c r="N3996" t="s">
        <v>85</v>
      </c>
      <c r="O3996" t="s">
        <v>839</v>
      </c>
      <c r="P3996" t="s">
        <v>72</v>
      </c>
      <c r="Q3996">
        <v>14</v>
      </c>
      <c r="R3996" t="s">
        <v>213</v>
      </c>
      <c r="S3996" s="2" t="s">
        <v>9</v>
      </c>
      <c r="T3996">
        <v>4</v>
      </c>
      <c r="U3996" t="s">
        <v>28</v>
      </c>
      <c r="V3996" t="s">
        <v>28</v>
      </c>
      <c r="W3996">
        <v>20.6</v>
      </c>
      <c r="X3996">
        <v>5.1639999999999997</v>
      </c>
      <c r="Y3996">
        <f>6.705-X3996</f>
        <v>1.5410000000000004</v>
      </c>
      <c r="AA3996" s="6"/>
      <c r="AB3996" s="6"/>
    </row>
    <row r="3997" spans="1:28" x14ac:dyDescent="0.2">
      <c r="A3997" t="s">
        <v>517</v>
      </c>
      <c r="B3997">
        <v>2009</v>
      </c>
      <c r="C3997" t="s">
        <v>816</v>
      </c>
      <c r="D3997" t="s">
        <v>820</v>
      </c>
      <c r="E3997" t="s">
        <v>34</v>
      </c>
      <c r="F3997" t="s">
        <v>465</v>
      </c>
      <c r="G3997">
        <v>-39.75</v>
      </c>
      <c r="H3997">
        <v>-73.383332999999993</v>
      </c>
      <c r="I3997" t="s">
        <v>770</v>
      </c>
      <c r="J3997" s="2" t="s">
        <v>7</v>
      </c>
      <c r="K3997" t="s">
        <v>466</v>
      </c>
      <c r="L3997" t="s">
        <v>143</v>
      </c>
      <c r="M3997" t="s">
        <v>26</v>
      </c>
      <c r="N3997" t="s">
        <v>85</v>
      </c>
      <c r="O3997" t="s">
        <v>839</v>
      </c>
      <c r="P3997" t="s">
        <v>72</v>
      </c>
      <c r="Q3997">
        <v>5</v>
      </c>
      <c r="R3997" t="s">
        <v>214</v>
      </c>
      <c r="S3997" s="2" t="s">
        <v>7</v>
      </c>
      <c r="T3997">
        <v>4</v>
      </c>
      <c r="U3997" t="s">
        <v>28</v>
      </c>
      <c r="V3997" t="s">
        <v>28</v>
      </c>
      <c r="W3997">
        <v>15.5</v>
      </c>
      <c r="X3997">
        <v>4.7450000000000001</v>
      </c>
      <c r="Y3997">
        <f>7.3-X3997</f>
        <v>2.5549999999999997</v>
      </c>
      <c r="AA3997" s="6"/>
      <c r="AB3997" s="6"/>
    </row>
    <row r="3998" spans="1:28" x14ac:dyDescent="0.2">
      <c r="A3998" t="s">
        <v>517</v>
      </c>
      <c r="B3998">
        <v>2009</v>
      </c>
      <c r="C3998" t="s">
        <v>816</v>
      </c>
      <c r="D3998" t="s">
        <v>820</v>
      </c>
      <c r="E3998" t="s">
        <v>34</v>
      </c>
      <c r="F3998" t="s">
        <v>465</v>
      </c>
      <c r="G3998">
        <v>-39.75</v>
      </c>
      <c r="H3998">
        <v>-73.383332999999993</v>
      </c>
      <c r="I3998" t="s">
        <v>770</v>
      </c>
      <c r="J3998" s="2" t="s">
        <v>14</v>
      </c>
      <c r="K3998" t="s">
        <v>466</v>
      </c>
      <c r="L3998" t="s">
        <v>143</v>
      </c>
      <c r="M3998" t="s">
        <v>26</v>
      </c>
      <c r="N3998" t="s">
        <v>85</v>
      </c>
      <c r="O3998" t="s">
        <v>839</v>
      </c>
      <c r="P3998" t="s">
        <v>72</v>
      </c>
      <c r="Q3998">
        <v>5</v>
      </c>
      <c r="R3998" t="s">
        <v>214</v>
      </c>
      <c r="S3998" s="2" t="s">
        <v>9</v>
      </c>
      <c r="T3998">
        <v>4</v>
      </c>
      <c r="U3998" t="s">
        <v>28</v>
      </c>
      <c r="V3998" t="s">
        <v>28</v>
      </c>
      <c r="W3998">
        <v>18.899999999999999</v>
      </c>
      <c r="X3998">
        <v>5.1710000000000003</v>
      </c>
      <c r="Y3998">
        <f>5.871-X3998</f>
        <v>0.70000000000000018</v>
      </c>
      <c r="AA3998" s="6"/>
      <c r="AB3998" s="6"/>
    </row>
    <row r="3999" spans="1:28" x14ac:dyDescent="0.2">
      <c r="A3999" t="s">
        <v>517</v>
      </c>
      <c r="B3999">
        <v>2009</v>
      </c>
      <c r="C3999" t="s">
        <v>816</v>
      </c>
      <c r="D3999" t="s">
        <v>820</v>
      </c>
      <c r="E3999" t="s">
        <v>34</v>
      </c>
      <c r="F3999" t="s">
        <v>465</v>
      </c>
      <c r="G3999">
        <v>-39.75</v>
      </c>
      <c r="H3999">
        <v>-73.383332999999993</v>
      </c>
      <c r="I3999" t="s">
        <v>770</v>
      </c>
      <c r="J3999" s="2" t="s">
        <v>7</v>
      </c>
      <c r="K3999" t="s">
        <v>466</v>
      </c>
      <c r="L3999" t="s">
        <v>143</v>
      </c>
      <c r="M3999" t="s">
        <v>26</v>
      </c>
      <c r="N3999" t="s">
        <v>85</v>
      </c>
      <c r="O3999" t="s">
        <v>839</v>
      </c>
      <c r="P3999" t="s">
        <v>72</v>
      </c>
      <c r="Q3999">
        <v>10</v>
      </c>
      <c r="R3999" t="s">
        <v>214</v>
      </c>
      <c r="S3999" s="2" t="s">
        <v>7</v>
      </c>
      <c r="T3999">
        <v>4</v>
      </c>
      <c r="U3999" t="s">
        <v>28</v>
      </c>
      <c r="V3999" t="s">
        <v>28</v>
      </c>
      <c r="W3999">
        <v>15.5</v>
      </c>
      <c r="X3999">
        <v>7.8170000000000002</v>
      </c>
      <c r="Y3999">
        <f>11.316-X3999</f>
        <v>3.4990000000000006</v>
      </c>
      <c r="AA3999" s="6"/>
      <c r="AB3999" s="6"/>
    </row>
    <row r="4000" spans="1:28" x14ac:dyDescent="0.2">
      <c r="A4000" t="s">
        <v>517</v>
      </c>
      <c r="B4000">
        <v>2009</v>
      </c>
      <c r="C4000" t="s">
        <v>816</v>
      </c>
      <c r="D4000" t="s">
        <v>820</v>
      </c>
      <c r="E4000" t="s">
        <v>34</v>
      </c>
      <c r="F4000" t="s">
        <v>465</v>
      </c>
      <c r="G4000">
        <v>-39.75</v>
      </c>
      <c r="H4000">
        <v>-73.383332999999993</v>
      </c>
      <c r="I4000" t="s">
        <v>770</v>
      </c>
      <c r="J4000" s="2" t="s">
        <v>14</v>
      </c>
      <c r="K4000" t="s">
        <v>466</v>
      </c>
      <c r="L4000" t="s">
        <v>143</v>
      </c>
      <c r="M4000" t="s">
        <v>26</v>
      </c>
      <c r="N4000" t="s">
        <v>85</v>
      </c>
      <c r="O4000" t="s">
        <v>839</v>
      </c>
      <c r="P4000" t="s">
        <v>72</v>
      </c>
      <c r="Q4000">
        <v>10</v>
      </c>
      <c r="R4000" t="s">
        <v>214</v>
      </c>
      <c r="S4000" s="2" t="s">
        <v>9</v>
      </c>
      <c r="T4000">
        <v>4</v>
      </c>
      <c r="U4000" t="s">
        <v>28</v>
      </c>
      <c r="V4000" t="s">
        <v>28</v>
      </c>
      <c r="W4000">
        <v>18.899999999999999</v>
      </c>
      <c r="X4000">
        <v>4.9889999999999999</v>
      </c>
      <c r="Y4000">
        <f>7.635-X4000</f>
        <v>2.6459999999999999</v>
      </c>
      <c r="AA4000" s="6"/>
      <c r="AB4000" s="6"/>
    </row>
    <row r="4001" spans="1:28" x14ac:dyDescent="0.2">
      <c r="A4001" t="s">
        <v>517</v>
      </c>
      <c r="B4001">
        <v>2009</v>
      </c>
      <c r="C4001" t="s">
        <v>816</v>
      </c>
      <c r="D4001" t="s">
        <v>820</v>
      </c>
      <c r="E4001" t="s">
        <v>34</v>
      </c>
      <c r="F4001" t="s">
        <v>465</v>
      </c>
      <c r="G4001">
        <v>-39.75</v>
      </c>
      <c r="H4001">
        <v>-73.383332999999993</v>
      </c>
      <c r="I4001" t="s">
        <v>770</v>
      </c>
      <c r="J4001" s="2" t="s">
        <v>7</v>
      </c>
      <c r="K4001" t="s">
        <v>466</v>
      </c>
      <c r="L4001" t="s">
        <v>143</v>
      </c>
      <c r="M4001" t="s">
        <v>26</v>
      </c>
      <c r="N4001" t="s">
        <v>85</v>
      </c>
      <c r="O4001" t="s">
        <v>839</v>
      </c>
      <c r="P4001" t="s">
        <v>72</v>
      </c>
      <c r="Q4001">
        <v>14</v>
      </c>
      <c r="R4001" t="s">
        <v>213</v>
      </c>
      <c r="S4001" s="2" t="s">
        <v>7</v>
      </c>
      <c r="T4001">
        <v>4</v>
      </c>
      <c r="U4001" t="s">
        <v>28</v>
      </c>
      <c r="V4001" t="s">
        <v>28</v>
      </c>
      <c r="W4001">
        <v>15.5</v>
      </c>
      <c r="X4001">
        <v>4.9889999999999999</v>
      </c>
      <c r="Y4001">
        <f>8.852-X4001</f>
        <v>3.8630000000000004</v>
      </c>
      <c r="AA4001" s="6"/>
      <c r="AB4001" s="6"/>
    </row>
    <row r="4002" spans="1:28" x14ac:dyDescent="0.2">
      <c r="A4002" t="s">
        <v>517</v>
      </c>
      <c r="B4002">
        <v>2009</v>
      </c>
      <c r="C4002" t="s">
        <v>816</v>
      </c>
      <c r="D4002" t="s">
        <v>820</v>
      </c>
      <c r="E4002" t="s">
        <v>34</v>
      </c>
      <c r="F4002" t="s">
        <v>465</v>
      </c>
      <c r="G4002">
        <v>-39.75</v>
      </c>
      <c r="H4002">
        <v>-73.383332999999993</v>
      </c>
      <c r="I4002" t="s">
        <v>770</v>
      </c>
      <c r="J4002" s="2" t="s">
        <v>14</v>
      </c>
      <c r="K4002" t="s">
        <v>466</v>
      </c>
      <c r="L4002" t="s">
        <v>143</v>
      </c>
      <c r="M4002" t="s">
        <v>26</v>
      </c>
      <c r="N4002" t="s">
        <v>85</v>
      </c>
      <c r="O4002" t="s">
        <v>839</v>
      </c>
      <c r="P4002" t="s">
        <v>72</v>
      </c>
      <c r="Q4002">
        <v>14</v>
      </c>
      <c r="R4002" t="s">
        <v>213</v>
      </c>
      <c r="S4002" s="2" t="s">
        <v>9</v>
      </c>
      <c r="T4002">
        <v>4</v>
      </c>
      <c r="U4002" t="s">
        <v>28</v>
      </c>
      <c r="V4002" t="s">
        <v>28</v>
      </c>
      <c r="W4002">
        <v>18.899999999999999</v>
      </c>
      <c r="X4002">
        <v>3.4980000000000002</v>
      </c>
      <c r="Y4002">
        <f>4.563-X4002</f>
        <v>1.0649999999999995</v>
      </c>
      <c r="AA4002" s="6"/>
      <c r="AB4002" s="6"/>
    </row>
    <row r="4003" spans="1:28" x14ac:dyDescent="0.2">
      <c r="A4003" t="s">
        <v>517</v>
      </c>
      <c r="B4003">
        <v>2009</v>
      </c>
      <c r="C4003" t="s">
        <v>816</v>
      </c>
      <c r="D4003" t="s">
        <v>820</v>
      </c>
      <c r="E4003" t="s">
        <v>34</v>
      </c>
      <c r="F4003" t="s">
        <v>380</v>
      </c>
      <c r="G4003">
        <v>-29.966667000000001</v>
      </c>
      <c r="H4003">
        <v>-71.349999999999994</v>
      </c>
      <c r="I4003" t="s">
        <v>769</v>
      </c>
      <c r="J4003" s="2" t="s">
        <v>7</v>
      </c>
      <c r="K4003" t="s">
        <v>466</v>
      </c>
      <c r="L4003" t="s">
        <v>143</v>
      </c>
      <c r="M4003" t="s">
        <v>26</v>
      </c>
      <c r="N4003" t="s">
        <v>85</v>
      </c>
      <c r="O4003" s="6" t="s">
        <v>462</v>
      </c>
      <c r="P4003" t="s">
        <v>124</v>
      </c>
      <c r="Q4003">
        <v>5</v>
      </c>
      <c r="R4003" t="s">
        <v>214</v>
      </c>
      <c r="S4003" s="2" t="s">
        <v>7</v>
      </c>
      <c r="T4003">
        <v>4</v>
      </c>
      <c r="U4003" t="s">
        <v>28</v>
      </c>
      <c r="V4003" t="s">
        <v>28</v>
      </c>
      <c r="W4003">
        <v>17.600000000000001</v>
      </c>
      <c r="X4003">
        <v>2.2549999999999999</v>
      </c>
      <c r="Y4003">
        <f>2.59-X4003</f>
        <v>0.33499999999999996</v>
      </c>
      <c r="AA4003" s="6"/>
      <c r="AB4003" s="6"/>
    </row>
    <row r="4004" spans="1:28" x14ac:dyDescent="0.2">
      <c r="A4004" t="s">
        <v>517</v>
      </c>
      <c r="B4004">
        <v>2009</v>
      </c>
      <c r="C4004" t="s">
        <v>816</v>
      </c>
      <c r="D4004" t="s">
        <v>820</v>
      </c>
      <c r="E4004" t="s">
        <v>34</v>
      </c>
      <c r="F4004" t="s">
        <v>380</v>
      </c>
      <c r="G4004">
        <v>-29.966667000000001</v>
      </c>
      <c r="H4004">
        <v>-71.349999999999994</v>
      </c>
      <c r="I4004" t="s">
        <v>769</v>
      </c>
      <c r="J4004" s="2" t="s">
        <v>14</v>
      </c>
      <c r="K4004" t="s">
        <v>466</v>
      </c>
      <c r="L4004" t="s">
        <v>143</v>
      </c>
      <c r="M4004" t="s">
        <v>26</v>
      </c>
      <c r="N4004" t="s">
        <v>85</v>
      </c>
      <c r="O4004" s="6" t="s">
        <v>462</v>
      </c>
      <c r="P4004" t="s">
        <v>124</v>
      </c>
      <c r="Q4004">
        <v>5</v>
      </c>
      <c r="R4004" t="s">
        <v>214</v>
      </c>
      <c r="S4004" s="2" t="s">
        <v>9</v>
      </c>
      <c r="T4004">
        <v>4</v>
      </c>
      <c r="U4004" t="s">
        <v>28</v>
      </c>
      <c r="V4004" t="s">
        <v>28</v>
      </c>
      <c r="W4004">
        <v>20.6</v>
      </c>
      <c r="X4004">
        <v>1.6180000000000001</v>
      </c>
      <c r="Y4004">
        <f>2.231-X4004</f>
        <v>0.61299999999999977</v>
      </c>
      <c r="AA4004" s="6"/>
      <c r="AB4004" s="6"/>
    </row>
    <row r="4005" spans="1:28" x14ac:dyDescent="0.2">
      <c r="A4005" t="s">
        <v>517</v>
      </c>
      <c r="B4005">
        <v>2009</v>
      </c>
      <c r="C4005" t="s">
        <v>816</v>
      </c>
      <c r="D4005" t="s">
        <v>820</v>
      </c>
      <c r="E4005" t="s">
        <v>34</v>
      </c>
      <c r="F4005" t="s">
        <v>380</v>
      </c>
      <c r="G4005">
        <v>-29.966667000000001</v>
      </c>
      <c r="H4005">
        <v>-71.349999999999994</v>
      </c>
      <c r="I4005" t="s">
        <v>769</v>
      </c>
      <c r="J4005" s="2" t="s">
        <v>7</v>
      </c>
      <c r="K4005" t="s">
        <v>466</v>
      </c>
      <c r="L4005" t="s">
        <v>143</v>
      </c>
      <c r="M4005" t="s">
        <v>26</v>
      </c>
      <c r="N4005" t="s">
        <v>85</v>
      </c>
      <c r="O4005" s="6" t="s">
        <v>462</v>
      </c>
      <c r="P4005" t="s">
        <v>124</v>
      </c>
      <c r="Q4005">
        <v>10</v>
      </c>
      <c r="R4005" t="s">
        <v>214</v>
      </c>
      <c r="S4005" s="2" t="s">
        <v>7</v>
      </c>
      <c r="T4005">
        <v>4</v>
      </c>
      <c r="U4005" t="s">
        <v>28</v>
      </c>
      <c r="V4005" t="s">
        <v>28</v>
      </c>
      <c r="W4005">
        <v>17.600000000000001</v>
      </c>
      <c r="X4005">
        <v>1.7370000000000001</v>
      </c>
      <c r="Y4005">
        <f>1.984-X4005</f>
        <v>0.24699999999999989</v>
      </c>
      <c r="AA4005" s="6"/>
      <c r="AB4005" s="6"/>
    </row>
    <row r="4006" spans="1:28" x14ac:dyDescent="0.2">
      <c r="A4006" t="s">
        <v>517</v>
      </c>
      <c r="B4006">
        <v>2009</v>
      </c>
      <c r="C4006" t="s">
        <v>816</v>
      </c>
      <c r="D4006" t="s">
        <v>820</v>
      </c>
      <c r="E4006" t="s">
        <v>34</v>
      </c>
      <c r="F4006" t="s">
        <v>380</v>
      </c>
      <c r="G4006">
        <v>-29.966667000000001</v>
      </c>
      <c r="H4006">
        <v>-71.349999999999994</v>
      </c>
      <c r="I4006" t="s">
        <v>769</v>
      </c>
      <c r="J4006" s="2" t="s">
        <v>14</v>
      </c>
      <c r="K4006" t="s">
        <v>466</v>
      </c>
      <c r="L4006" t="s">
        <v>143</v>
      </c>
      <c r="M4006" t="s">
        <v>26</v>
      </c>
      <c r="N4006" t="s">
        <v>85</v>
      </c>
      <c r="O4006" s="6" t="s">
        <v>462</v>
      </c>
      <c r="P4006" t="s">
        <v>124</v>
      </c>
      <c r="Q4006">
        <v>10</v>
      </c>
      <c r="R4006" t="s">
        <v>214</v>
      </c>
      <c r="S4006" s="2" t="s">
        <v>9</v>
      </c>
      <c r="T4006">
        <v>4</v>
      </c>
      <c r="U4006" t="s">
        <v>28</v>
      </c>
      <c r="V4006" t="s">
        <v>28</v>
      </c>
      <c r="W4006">
        <v>20.6</v>
      </c>
      <c r="X4006">
        <v>1.3149999999999999</v>
      </c>
      <c r="Y4006">
        <f>2.104-X4006</f>
        <v>0.78900000000000015</v>
      </c>
      <c r="AA4006" s="6"/>
      <c r="AB4006" s="6"/>
    </row>
    <row r="4007" spans="1:28" x14ac:dyDescent="0.2">
      <c r="A4007" t="s">
        <v>517</v>
      </c>
      <c r="B4007">
        <v>2009</v>
      </c>
      <c r="C4007" t="s">
        <v>816</v>
      </c>
      <c r="D4007" t="s">
        <v>820</v>
      </c>
      <c r="E4007" t="s">
        <v>34</v>
      </c>
      <c r="F4007" t="s">
        <v>380</v>
      </c>
      <c r="G4007">
        <v>-29.966667000000001</v>
      </c>
      <c r="H4007">
        <v>-71.349999999999994</v>
      </c>
      <c r="I4007" t="s">
        <v>769</v>
      </c>
      <c r="J4007" s="2" t="s">
        <v>7</v>
      </c>
      <c r="K4007" t="s">
        <v>466</v>
      </c>
      <c r="L4007" t="s">
        <v>143</v>
      </c>
      <c r="M4007" t="s">
        <v>26</v>
      </c>
      <c r="N4007" t="s">
        <v>85</v>
      </c>
      <c r="O4007" s="6" t="s">
        <v>462</v>
      </c>
      <c r="P4007" t="s">
        <v>124</v>
      </c>
      <c r="Q4007">
        <v>14</v>
      </c>
      <c r="R4007" t="s">
        <v>213</v>
      </c>
      <c r="S4007" s="2" t="s">
        <v>7</v>
      </c>
      <c r="T4007">
        <v>4</v>
      </c>
      <c r="U4007" t="s">
        <v>28</v>
      </c>
      <c r="V4007" t="s">
        <v>28</v>
      </c>
      <c r="W4007">
        <v>17.600000000000001</v>
      </c>
      <c r="X4007">
        <v>0.56599999999999995</v>
      </c>
      <c r="Y4007">
        <f>0.781-X4007</f>
        <v>0.21500000000000008</v>
      </c>
      <c r="AA4007" s="6"/>
      <c r="AB4007" s="6"/>
    </row>
    <row r="4008" spans="1:28" x14ac:dyDescent="0.2">
      <c r="A4008" t="s">
        <v>517</v>
      </c>
      <c r="B4008">
        <v>2009</v>
      </c>
      <c r="C4008" t="s">
        <v>816</v>
      </c>
      <c r="D4008" t="s">
        <v>820</v>
      </c>
      <c r="E4008" t="s">
        <v>34</v>
      </c>
      <c r="F4008" t="s">
        <v>380</v>
      </c>
      <c r="G4008">
        <v>-29.966667000000001</v>
      </c>
      <c r="H4008">
        <v>-71.349999999999994</v>
      </c>
      <c r="I4008" t="s">
        <v>769</v>
      </c>
      <c r="J4008" s="2" t="s">
        <v>14</v>
      </c>
      <c r="K4008" t="s">
        <v>466</v>
      </c>
      <c r="L4008" t="s">
        <v>143</v>
      </c>
      <c r="M4008" t="s">
        <v>26</v>
      </c>
      <c r="N4008" t="s">
        <v>85</v>
      </c>
      <c r="O4008" s="6" t="s">
        <v>462</v>
      </c>
      <c r="P4008" t="s">
        <v>124</v>
      </c>
      <c r="Q4008">
        <v>14</v>
      </c>
      <c r="R4008" t="s">
        <v>213</v>
      </c>
      <c r="S4008" s="2" t="s">
        <v>9</v>
      </c>
      <c r="T4008">
        <v>4</v>
      </c>
      <c r="U4008" t="s">
        <v>28</v>
      </c>
      <c r="V4008" t="s">
        <v>28</v>
      </c>
      <c r="W4008">
        <v>20.6</v>
      </c>
      <c r="X4008">
        <v>0.77300000000000002</v>
      </c>
      <c r="Y4008">
        <f>1.139-X4008</f>
        <v>0.36599999999999999</v>
      </c>
      <c r="AA4008" s="6"/>
      <c r="AB4008" s="6"/>
    </row>
    <row r="4009" spans="1:28" x14ac:dyDescent="0.2">
      <c r="A4009" t="s">
        <v>517</v>
      </c>
      <c r="B4009">
        <v>2009</v>
      </c>
      <c r="C4009" t="s">
        <v>816</v>
      </c>
      <c r="D4009" t="s">
        <v>820</v>
      </c>
      <c r="E4009" t="s">
        <v>34</v>
      </c>
      <c r="F4009" t="s">
        <v>465</v>
      </c>
      <c r="G4009">
        <v>-39.75</v>
      </c>
      <c r="H4009">
        <v>-73.383332999999993</v>
      </c>
      <c r="I4009" t="s">
        <v>770</v>
      </c>
      <c r="J4009" s="2" t="s">
        <v>7</v>
      </c>
      <c r="K4009" t="s">
        <v>466</v>
      </c>
      <c r="L4009" t="s">
        <v>143</v>
      </c>
      <c r="M4009" t="s">
        <v>26</v>
      </c>
      <c r="N4009" t="s">
        <v>85</v>
      </c>
      <c r="O4009" s="6" t="s">
        <v>462</v>
      </c>
      <c r="P4009" t="s">
        <v>124</v>
      </c>
      <c r="Q4009">
        <v>5</v>
      </c>
      <c r="R4009" t="s">
        <v>214</v>
      </c>
      <c r="S4009" s="2" t="s">
        <v>7</v>
      </c>
      <c r="T4009">
        <v>4</v>
      </c>
      <c r="U4009" t="s">
        <v>28</v>
      </c>
      <c r="V4009" t="s">
        <v>28</v>
      </c>
      <c r="W4009">
        <v>15.5</v>
      </c>
      <c r="X4009">
        <v>2.0619999999999998</v>
      </c>
      <c r="Y4009">
        <f>2.906-X4009</f>
        <v>0.84400000000000031</v>
      </c>
      <c r="AA4009" s="6"/>
      <c r="AB4009" s="6"/>
    </row>
    <row r="4010" spans="1:28" x14ac:dyDescent="0.2">
      <c r="A4010" t="s">
        <v>517</v>
      </c>
      <c r="B4010">
        <v>2009</v>
      </c>
      <c r="C4010" t="s">
        <v>816</v>
      </c>
      <c r="D4010" t="s">
        <v>820</v>
      </c>
      <c r="E4010" t="s">
        <v>34</v>
      </c>
      <c r="F4010" t="s">
        <v>465</v>
      </c>
      <c r="G4010">
        <v>-39.75</v>
      </c>
      <c r="H4010">
        <v>-73.383332999999993</v>
      </c>
      <c r="I4010" t="s">
        <v>770</v>
      </c>
      <c r="J4010" s="2" t="s">
        <v>14</v>
      </c>
      <c r="K4010" t="s">
        <v>466</v>
      </c>
      <c r="L4010" t="s">
        <v>143</v>
      </c>
      <c r="M4010" t="s">
        <v>26</v>
      </c>
      <c r="N4010" t="s">
        <v>85</v>
      </c>
      <c r="O4010" s="6" t="s">
        <v>462</v>
      </c>
      <c r="P4010" t="s">
        <v>124</v>
      </c>
      <c r="Q4010">
        <v>5</v>
      </c>
      <c r="R4010" t="s">
        <v>214</v>
      </c>
      <c r="S4010" s="2" t="s">
        <v>9</v>
      </c>
      <c r="T4010">
        <v>4</v>
      </c>
      <c r="U4010" t="s">
        <v>28</v>
      </c>
      <c r="V4010" t="s">
        <v>28</v>
      </c>
      <c r="W4010">
        <v>18.899999999999999</v>
      </c>
      <c r="X4010">
        <v>2.4300000000000002</v>
      </c>
      <c r="Y4010">
        <f>2.656-X4010</f>
        <v>0.22599999999999998</v>
      </c>
      <c r="AA4010" s="6"/>
      <c r="AB4010" s="6"/>
    </row>
    <row r="4011" spans="1:28" x14ac:dyDescent="0.2">
      <c r="A4011" t="s">
        <v>517</v>
      </c>
      <c r="B4011">
        <v>2009</v>
      </c>
      <c r="C4011" t="s">
        <v>816</v>
      </c>
      <c r="D4011" t="s">
        <v>820</v>
      </c>
      <c r="E4011" t="s">
        <v>34</v>
      </c>
      <c r="F4011" t="s">
        <v>465</v>
      </c>
      <c r="G4011">
        <v>-39.75</v>
      </c>
      <c r="H4011">
        <v>-73.383332999999993</v>
      </c>
      <c r="I4011" t="s">
        <v>770</v>
      </c>
      <c r="J4011" s="2" t="s">
        <v>7</v>
      </c>
      <c r="K4011" t="s">
        <v>466</v>
      </c>
      <c r="L4011" t="s">
        <v>143</v>
      </c>
      <c r="M4011" t="s">
        <v>26</v>
      </c>
      <c r="N4011" t="s">
        <v>85</v>
      </c>
      <c r="O4011" s="6" t="s">
        <v>462</v>
      </c>
      <c r="P4011" t="s">
        <v>124</v>
      </c>
      <c r="Q4011">
        <v>10</v>
      </c>
      <c r="R4011" t="s">
        <v>214</v>
      </c>
      <c r="S4011" s="2" t="s">
        <v>7</v>
      </c>
      <c r="T4011">
        <v>4</v>
      </c>
      <c r="U4011" t="s">
        <v>28</v>
      </c>
      <c r="V4011" t="s">
        <v>28</v>
      </c>
      <c r="W4011">
        <v>15.5</v>
      </c>
      <c r="X4011">
        <v>2.1480000000000001</v>
      </c>
      <c r="Y4011">
        <f>3.055-X4011</f>
        <v>0.90700000000000003</v>
      </c>
      <c r="AA4011" s="6"/>
      <c r="AB4011" s="6"/>
    </row>
    <row r="4012" spans="1:28" x14ac:dyDescent="0.2">
      <c r="A4012" t="s">
        <v>517</v>
      </c>
      <c r="B4012">
        <v>2009</v>
      </c>
      <c r="C4012" t="s">
        <v>816</v>
      </c>
      <c r="D4012" t="s">
        <v>820</v>
      </c>
      <c r="E4012" t="s">
        <v>34</v>
      </c>
      <c r="F4012" t="s">
        <v>465</v>
      </c>
      <c r="G4012">
        <v>-39.75</v>
      </c>
      <c r="H4012">
        <v>-73.383332999999993</v>
      </c>
      <c r="I4012" t="s">
        <v>770</v>
      </c>
      <c r="J4012" s="2" t="s">
        <v>14</v>
      </c>
      <c r="K4012" t="s">
        <v>466</v>
      </c>
      <c r="L4012" t="s">
        <v>143</v>
      </c>
      <c r="M4012" t="s">
        <v>26</v>
      </c>
      <c r="N4012" t="s">
        <v>85</v>
      </c>
      <c r="O4012" s="6" t="s">
        <v>462</v>
      </c>
      <c r="P4012" t="s">
        <v>124</v>
      </c>
      <c r="Q4012">
        <v>10</v>
      </c>
      <c r="R4012" t="s">
        <v>214</v>
      </c>
      <c r="S4012" s="2" t="s">
        <v>9</v>
      </c>
      <c r="T4012">
        <v>4</v>
      </c>
      <c r="U4012" t="s">
        <v>28</v>
      </c>
      <c r="V4012" t="s">
        <v>28</v>
      </c>
      <c r="W4012">
        <v>18.899999999999999</v>
      </c>
      <c r="X4012">
        <v>2.0699999999999998</v>
      </c>
      <c r="Y4012">
        <f>2.336-X4012</f>
        <v>0.26600000000000001</v>
      </c>
      <c r="AA4012" s="6"/>
      <c r="AB4012" s="6"/>
    </row>
    <row r="4013" spans="1:28" x14ac:dyDescent="0.2">
      <c r="A4013" t="s">
        <v>517</v>
      </c>
      <c r="B4013">
        <v>2009</v>
      </c>
      <c r="C4013" t="s">
        <v>816</v>
      </c>
      <c r="D4013" t="s">
        <v>820</v>
      </c>
      <c r="E4013" t="s">
        <v>34</v>
      </c>
      <c r="F4013" t="s">
        <v>465</v>
      </c>
      <c r="G4013">
        <v>-39.75</v>
      </c>
      <c r="H4013">
        <v>-73.383332999999993</v>
      </c>
      <c r="I4013" t="s">
        <v>770</v>
      </c>
      <c r="J4013" s="2" t="s">
        <v>7</v>
      </c>
      <c r="K4013" t="s">
        <v>466</v>
      </c>
      <c r="L4013" t="s">
        <v>143</v>
      </c>
      <c r="M4013" t="s">
        <v>26</v>
      </c>
      <c r="N4013" t="s">
        <v>85</v>
      </c>
      <c r="O4013" s="6" t="s">
        <v>462</v>
      </c>
      <c r="P4013" t="s">
        <v>124</v>
      </c>
      <c r="Q4013">
        <v>14</v>
      </c>
      <c r="R4013" t="s">
        <v>213</v>
      </c>
      <c r="S4013" s="2" t="s">
        <v>7</v>
      </c>
      <c r="T4013">
        <v>4</v>
      </c>
      <c r="U4013" t="s">
        <v>28</v>
      </c>
      <c r="V4013" t="s">
        <v>28</v>
      </c>
      <c r="W4013">
        <v>15.5</v>
      </c>
      <c r="X4013">
        <v>1.07</v>
      </c>
      <c r="Y4013">
        <f>1.648-X4013</f>
        <v>0.57799999999999985</v>
      </c>
      <c r="AA4013" s="6"/>
      <c r="AB4013" s="6"/>
    </row>
    <row r="4014" spans="1:28" x14ac:dyDescent="0.2">
      <c r="A4014" t="s">
        <v>517</v>
      </c>
      <c r="B4014">
        <v>2009</v>
      </c>
      <c r="C4014" t="s">
        <v>816</v>
      </c>
      <c r="D4014" t="s">
        <v>820</v>
      </c>
      <c r="E4014" t="s">
        <v>34</v>
      </c>
      <c r="F4014" t="s">
        <v>465</v>
      </c>
      <c r="G4014">
        <v>-39.75</v>
      </c>
      <c r="H4014">
        <v>-73.383332999999993</v>
      </c>
      <c r="I4014" t="s">
        <v>770</v>
      </c>
      <c r="J4014" s="2" t="s">
        <v>14</v>
      </c>
      <c r="K4014" t="s">
        <v>466</v>
      </c>
      <c r="L4014" t="s">
        <v>143</v>
      </c>
      <c r="M4014" t="s">
        <v>26</v>
      </c>
      <c r="N4014" t="s">
        <v>85</v>
      </c>
      <c r="O4014" s="6" t="s">
        <v>462</v>
      </c>
      <c r="P4014" t="s">
        <v>124</v>
      </c>
      <c r="Q4014">
        <v>14</v>
      </c>
      <c r="R4014" t="s">
        <v>213</v>
      </c>
      <c r="S4014" s="2" t="s">
        <v>9</v>
      </c>
      <c r="T4014">
        <v>4</v>
      </c>
      <c r="U4014" t="s">
        <v>28</v>
      </c>
      <c r="V4014" t="s">
        <v>28</v>
      </c>
      <c r="W4014">
        <v>18.899999999999999</v>
      </c>
      <c r="X4014">
        <v>0.93</v>
      </c>
      <c r="Y4014">
        <f>1.336-X4014</f>
        <v>0.40600000000000003</v>
      </c>
      <c r="AA4014" s="6"/>
      <c r="AB4014" s="6"/>
    </row>
    <row r="4015" spans="1:28" x14ac:dyDescent="0.2">
      <c r="A4015" t="s">
        <v>519</v>
      </c>
      <c r="B4015">
        <v>2020</v>
      </c>
      <c r="C4015" t="s">
        <v>826</v>
      </c>
      <c r="D4015" t="s">
        <v>824</v>
      </c>
      <c r="E4015" t="s">
        <v>48</v>
      </c>
      <c r="F4015" t="s">
        <v>424</v>
      </c>
      <c r="G4015">
        <v>78.966667000000001</v>
      </c>
      <c r="H4015">
        <v>11.5</v>
      </c>
      <c r="J4015" s="2" t="s">
        <v>7</v>
      </c>
      <c r="K4015" t="s">
        <v>520</v>
      </c>
      <c r="L4015" t="s">
        <v>143</v>
      </c>
      <c r="M4015" t="s">
        <v>26</v>
      </c>
      <c r="N4015" t="s">
        <v>85</v>
      </c>
      <c r="O4015" t="s">
        <v>839</v>
      </c>
      <c r="P4015" t="s">
        <v>72</v>
      </c>
      <c r="Q4015">
        <v>4</v>
      </c>
      <c r="R4015" t="s">
        <v>214</v>
      </c>
      <c r="S4015" s="2" t="s">
        <v>7</v>
      </c>
      <c r="T4015">
        <v>3</v>
      </c>
      <c r="U4015" t="s">
        <v>28</v>
      </c>
      <c r="V4015" t="s">
        <v>28</v>
      </c>
      <c r="W4015">
        <v>8</v>
      </c>
      <c r="X4015">
        <v>39.950000000000003</v>
      </c>
      <c r="Y4015">
        <v>7.5999999999999943</v>
      </c>
      <c r="AA4015" s="6"/>
      <c r="AB4015" s="6"/>
    </row>
    <row r="4016" spans="1:28" x14ac:dyDescent="0.2">
      <c r="A4016" t="s">
        <v>519</v>
      </c>
      <c r="B4016">
        <v>2020</v>
      </c>
      <c r="C4016" t="s">
        <v>826</v>
      </c>
      <c r="D4016" t="s">
        <v>824</v>
      </c>
      <c r="E4016" t="s">
        <v>48</v>
      </c>
      <c r="F4016" t="s">
        <v>424</v>
      </c>
      <c r="G4016">
        <v>78.966667000000001</v>
      </c>
      <c r="H4016">
        <v>11.5</v>
      </c>
      <c r="J4016" s="2" t="s">
        <v>7</v>
      </c>
      <c r="K4016" t="s">
        <v>520</v>
      </c>
      <c r="L4016" t="s">
        <v>143</v>
      </c>
      <c r="M4016" t="s">
        <v>26</v>
      </c>
      <c r="N4016" t="s">
        <v>85</v>
      </c>
      <c r="O4016" t="s">
        <v>839</v>
      </c>
      <c r="P4016" t="s">
        <v>72</v>
      </c>
      <c r="Q4016">
        <v>7</v>
      </c>
      <c r="R4016" t="s">
        <v>214</v>
      </c>
      <c r="S4016" s="2" t="s">
        <v>7</v>
      </c>
      <c r="T4016">
        <v>3</v>
      </c>
      <c r="U4016" t="s">
        <v>28</v>
      </c>
      <c r="V4016" t="s">
        <v>28</v>
      </c>
      <c r="W4016">
        <v>8</v>
      </c>
      <c r="X4016">
        <v>39.714285714285715</v>
      </c>
      <c r="Y4016">
        <v>4.6714285714285699</v>
      </c>
      <c r="AA4016" s="6"/>
      <c r="AB4016" s="6"/>
    </row>
    <row r="4017" spans="1:28" x14ac:dyDescent="0.2">
      <c r="A4017" t="s">
        <v>519</v>
      </c>
      <c r="B4017">
        <v>2020</v>
      </c>
      <c r="C4017" t="s">
        <v>826</v>
      </c>
      <c r="D4017" t="s">
        <v>824</v>
      </c>
      <c r="E4017" t="s">
        <v>48</v>
      </c>
      <c r="F4017" t="s">
        <v>424</v>
      </c>
      <c r="G4017">
        <v>78.966667000000001</v>
      </c>
      <c r="H4017">
        <v>11.5</v>
      </c>
      <c r="J4017" s="2" t="s">
        <v>7</v>
      </c>
      <c r="K4017" t="s">
        <v>520</v>
      </c>
      <c r="L4017" t="s">
        <v>143</v>
      </c>
      <c r="M4017" t="s">
        <v>26</v>
      </c>
      <c r="N4017" t="s">
        <v>85</v>
      </c>
      <c r="O4017" t="s">
        <v>839</v>
      </c>
      <c r="P4017" t="s">
        <v>72</v>
      </c>
      <c r="Q4017">
        <v>11</v>
      </c>
      <c r="R4017" t="s">
        <v>214</v>
      </c>
      <c r="S4017" s="2" t="s">
        <v>7</v>
      </c>
      <c r="T4017">
        <v>3</v>
      </c>
      <c r="U4017" t="s">
        <v>28</v>
      </c>
      <c r="V4017" t="s">
        <v>28</v>
      </c>
      <c r="W4017">
        <v>8</v>
      </c>
      <c r="X4017">
        <v>40.427272727272729</v>
      </c>
      <c r="Y4017">
        <v>7.4636363636363603</v>
      </c>
      <c r="AA4017" s="6"/>
      <c r="AB4017" s="6"/>
    </row>
    <row r="4018" spans="1:28" x14ac:dyDescent="0.2">
      <c r="A4018" t="s">
        <v>519</v>
      </c>
      <c r="B4018">
        <v>2020</v>
      </c>
      <c r="C4018" t="s">
        <v>826</v>
      </c>
      <c r="D4018" t="s">
        <v>824</v>
      </c>
      <c r="E4018" t="s">
        <v>48</v>
      </c>
      <c r="F4018" t="s">
        <v>424</v>
      </c>
      <c r="G4018">
        <v>78.966667000000001</v>
      </c>
      <c r="H4018">
        <v>11.5</v>
      </c>
      <c r="J4018" s="2" t="s">
        <v>7</v>
      </c>
      <c r="K4018" t="s">
        <v>520</v>
      </c>
      <c r="L4018" t="s">
        <v>143</v>
      </c>
      <c r="M4018" t="s">
        <v>26</v>
      </c>
      <c r="N4018" t="s">
        <v>85</v>
      </c>
      <c r="O4018" t="s">
        <v>839</v>
      </c>
      <c r="P4018" t="s">
        <v>72</v>
      </c>
      <c r="Q4018">
        <v>14</v>
      </c>
      <c r="R4018" t="s">
        <v>214</v>
      </c>
      <c r="S4018" s="2" t="s">
        <v>7</v>
      </c>
      <c r="T4018">
        <v>3</v>
      </c>
      <c r="U4018" t="s">
        <v>28</v>
      </c>
      <c r="V4018" t="s">
        <v>28</v>
      </c>
      <c r="W4018">
        <v>8</v>
      </c>
      <c r="X4018">
        <v>33.928571428571431</v>
      </c>
      <c r="Y4018">
        <v>7.7214285714285733</v>
      </c>
      <c r="AA4018" s="6"/>
      <c r="AB4018" s="6"/>
    </row>
    <row r="4019" spans="1:28" x14ac:dyDescent="0.2">
      <c r="A4019" t="s">
        <v>519</v>
      </c>
      <c r="B4019">
        <v>2020</v>
      </c>
      <c r="C4019" t="s">
        <v>826</v>
      </c>
      <c r="D4019" t="s">
        <v>824</v>
      </c>
      <c r="E4019" t="s">
        <v>48</v>
      </c>
      <c r="F4019" t="s">
        <v>424</v>
      </c>
      <c r="G4019">
        <v>78.966667000000001</v>
      </c>
      <c r="H4019">
        <v>11.5</v>
      </c>
      <c r="J4019" s="2" t="s">
        <v>7</v>
      </c>
      <c r="K4019" t="s">
        <v>520</v>
      </c>
      <c r="L4019" t="s">
        <v>143</v>
      </c>
      <c r="M4019" t="s">
        <v>26</v>
      </c>
      <c r="N4019" t="s">
        <v>85</v>
      </c>
      <c r="O4019" t="s">
        <v>839</v>
      </c>
      <c r="P4019" t="s">
        <v>72</v>
      </c>
      <c r="Q4019">
        <v>18</v>
      </c>
      <c r="R4019" t="s">
        <v>213</v>
      </c>
      <c r="S4019" s="2" t="s">
        <v>7</v>
      </c>
      <c r="T4019">
        <v>3</v>
      </c>
      <c r="U4019" t="s">
        <v>28</v>
      </c>
      <c r="V4019" t="s">
        <v>28</v>
      </c>
      <c r="W4019">
        <v>8</v>
      </c>
      <c r="X4019">
        <v>40.588888888888889</v>
      </c>
      <c r="Y4019">
        <v>8.1277777777777747</v>
      </c>
      <c r="AA4019" s="6"/>
      <c r="AB4019" s="6"/>
    </row>
    <row r="4020" spans="1:28" x14ac:dyDescent="0.2">
      <c r="A4020" t="s">
        <v>519</v>
      </c>
      <c r="B4020">
        <v>2020</v>
      </c>
      <c r="C4020" t="s">
        <v>826</v>
      </c>
      <c r="D4020" t="s">
        <v>824</v>
      </c>
      <c r="E4020" t="s">
        <v>48</v>
      </c>
      <c r="F4020" t="s">
        <v>424</v>
      </c>
      <c r="G4020">
        <v>78.966667000000001</v>
      </c>
      <c r="H4020">
        <v>11.5</v>
      </c>
      <c r="J4020" s="2" t="s">
        <v>14</v>
      </c>
      <c r="K4020" t="s">
        <v>520</v>
      </c>
      <c r="L4020" t="s">
        <v>143</v>
      </c>
      <c r="M4020" t="s">
        <v>26</v>
      </c>
      <c r="N4020" t="s">
        <v>85</v>
      </c>
      <c r="O4020" t="s">
        <v>839</v>
      </c>
      <c r="P4020" t="s">
        <v>72</v>
      </c>
      <c r="Q4020">
        <v>4</v>
      </c>
      <c r="R4020" t="s">
        <v>214</v>
      </c>
      <c r="S4020" s="2" t="s">
        <v>9</v>
      </c>
      <c r="T4020">
        <v>3</v>
      </c>
      <c r="U4020" t="s">
        <v>28</v>
      </c>
      <c r="V4020" t="s">
        <v>28</v>
      </c>
      <c r="W4020">
        <v>15</v>
      </c>
      <c r="X4020">
        <v>51.15</v>
      </c>
      <c r="Y4020">
        <v>14.375000000000007</v>
      </c>
      <c r="AA4020" s="6"/>
      <c r="AB4020" s="6"/>
    </row>
    <row r="4021" spans="1:28" x14ac:dyDescent="0.2">
      <c r="A4021" t="s">
        <v>519</v>
      </c>
      <c r="B4021">
        <v>2020</v>
      </c>
      <c r="C4021" t="s">
        <v>826</v>
      </c>
      <c r="D4021" t="s">
        <v>824</v>
      </c>
      <c r="E4021" t="s">
        <v>48</v>
      </c>
      <c r="F4021" t="s">
        <v>424</v>
      </c>
      <c r="G4021">
        <v>78.966667000000001</v>
      </c>
      <c r="H4021">
        <v>11.5</v>
      </c>
      <c r="J4021" s="2" t="s">
        <v>14</v>
      </c>
      <c r="K4021" t="s">
        <v>520</v>
      </c>
      <c r="L4021" t="s">
        <v>143</v>
      </c>
      <c r="M4021" t="s">
        <v>26</v>
      </c>
      <c r="N4021" t="s">
        <v>85</v>
      </c>
      <c r="O4021" t="s">
        <v>839</v>
      </c>
      <c r="P4021" t="s">
        <v>72</v>
      </c>
      <c r="Q4021">
        <v>7</v>
      </c>
      <c r="R4021" t="s">
        <v>214</v>
      </c>
      <c r="S4021" s="2" t="s">
        <v>9</v>
      </c>
      <c r="T4021">
        <v>3</v>
      </c>
      <c r="U4021" t="s">
        <v>28</v>
      </c>
      <c r="V4021" t="s">
        <v>28</v>
      </c>
      <c r="W4021">
        <v>15</v>
      </c>
      <c r="X4021">
        <v>39.81428571428571</v>
      </c>
      <c r="Y4021">
        <v>9.6428571428571423</v>
      </c>
      <c r="AA4021" s="6"/>
      <c r="AB4021" s="6"/>
    </row>
    <row r="4022" spans="1:28" x14ac:dyDescent="0.2">
      <c r="A4022" t="s">
        <v>519</v>
      </c>
      <c r="B4022">
        <v>2020</v>
      </c>
      <c r="C4022" t="s">
        <v>826</v>
      </c>
      <c r="D4022" t="s">
        <v>824</v>
      </c>
      <c r="E4022" t="s">
        <v>48</v>
      </c>
      <c r="F4022" t="s">
        <v>424</v>
      </c>
      <c r="G4022">
        <v>78.966667000000001</v>
      </c>
      <c r="H4022">
        <v>11.5</v>
      </c>
      <c r="J4022" s="2" t="s">
        <v>14</v>
      </c>
      <c r="K4022" t="s">
        <v>520</v>
      </c>
      <c r="L4022" t="s">
        <v>143</v>
      </c>
      <c r="M4022" t="s">
        <v>26</v>
      </c>
      <c r="N4022" t="s">
        <v>85</v>
      </c>
      <c r="O4022" t="s">
        <v>839</v>
      </c>
      <c r="P4022" t="s">
        <v>72</v>
      </c>
      <c r="Q4022">
        <v>11</v>
      </c>
      <c r="R4022" t="s">
        <v>214</v>
      </c>
      <c r="S4022" s="2" t="s">
        <v>9</v>
      </c>
      <c r="T4022">
        <v>3</v>
      </c>
      <c r="U4022" t="s">
        <v>28</v>
      </c>
      <c r="V4022" t="s">
        <v>28</v>
      </c>
      <c r="W4022">
        <v>15</v>
      </c>
      <c r="X4022">
        <v>47.054545454545455</v>
      </c>
      <c r="Y4022">
        <v>15.890909090909087</v>
      </c>
      <c r="AA4022" s="6"/>
      <c r="AB4022" s="6"/>
    </row>
    <row r="4023" spans="1:28" x14ac:dyDescent="0.2">
      <c r="A4023" t="s">
        <v>519</v>
      </c>
      <c r="B4023">
        <v>2020</v>
      </c>
      <c r="C4023" t="s">
        <v>826</v>
      </c>
      <c r="D4023" t="s">
        <v>824</v>
      </c>
      <c r="E4023" t="s">
        <v>48</v>
      </c>
      <c r="F4023" t="s">
        <v>424</v>
      </c>
      <c r="G4023">
        <v>78.966667000000001</v>
      </c>
      <c r="H4023">
        <v>11.5</v>
      </c>
      <c r="J4023" s="2" t="s">
        <v>14</v>
      </c>
      <c r="K4023" t="s">
        <v>520</v>
      </c>
      <c r="L4023" t="s">
        <v>143</v>
      </c>
      <c r="M4023" t="s">
        <v>26</v>
      </c>
      <c r="N4023" t="s">
        <v>85</v>
      </c>
      <c r="O4023" t="s">
        <v>839</v>
      </c>
      <c r="P4023" t="s">
        <v>72</v>
      </c>
      <c r="Q4023">
        <v>14</v>
      </c>
      <c r="R4023" t="s">
        <v>214</v>
      </c>
      <c r="S4023" s="2" t="s">
        <v>9</v>
      </c>
      <c r="T4023">
        <v>3</v>
      </c>
      <c r="U4023" t="s">
        <v>28</v>
      </c>
      <c r="V4023" t="s">
        <v>28</v>
      </c>
      <c r="W4023">
        <v>15</v>
      </c>
      <c r="X4023">
        <v>44.557142857142857</v>
      </c>
      <c r="Y4023">
        <v>14.221428571428573</v>
      </c>
      <c r="AA4023" s="6"/>
      <c r="AB4023" s="6"/>
    </row>
    <row r="4024" spans="1:28" x14ac:dyDescent="0.2">
      <c r="A4024" t="s">
        <v>519</v>
      </c>
      <c r="B4024">
        <v>2020</v>
      </c>
      <c r="C4024" t="s">
        <v>826</v>
      </c>
      <c r="D4024" t="s">
        <v>824</v>
      </c>
      <c r="E4024" t="s">
        <v>48</v>
      </c>
      <c r="F4024" t="s">
        <v>424</v>
      </c>
      <c r="G4024">
        <v>78.966667000000001</v>
      </c>
      <c r="H4024">
        <v>11.5</v>
      </c>
      <c r="J4024" s="2" t="s">
        <v>14</v>
      </c>
      <c r="K4024" t="s">
        <v>520</v>
      </c>
      <c r="L4024" t="s">
        <v>143</v>
      </c>
      <c r="M4024" t="s">
        <v>26</v>
      </c>
      <c r="N4024" t="s">
        <v>85</v>
      </c>
      <c r="O4024" t="s">
        <v>839</v>
      </c>
      <c r="P4024" t="s">
        <v>72</v>
      </c>
      <c r="Q4024">
        <v>18</v>
      </c>
      <c r="R4024" t="s">
        <v>213</v>
      </c>
      <c r="S4024" s="2" t="s">
        <v>9</v>
      </c>
      <c r="T4024">
        <v>3</v>
      </c>
      <c r="U4024" t="s">
        <v>28</v>
      </c>
      <c r="V4024" t="s">
        <v>28</v>
      </c>
      <c r="W4024">
        <v>15</v>
      </c>
      <c r="X4024">
        <v>47.988888888888887</v>
      </c>
      <c r="Y4024">
        <v>16.772222222222226</v>
      </c>
      <c r="AA4024" s="6"/>
      <c r="AB4024" s="6"/>
    </row>
    <row r="4025" spans="1:28" x14ac:dyDescent="0.2">
      <c r="A4025" t="s">
        <v>519</v>
      </c>
      <c r="B4025">
        <v>2020</v>
      </c>
      <c r="C4025" t="s">
        <v>826</v>
      </c>
      <c r="D4025" t="s">
        <v>824</v>
      </c>
      <c r="E4025" t="s">
        <v>48</v>
      </c>
      <c r="F4025" t="s">
        <v>424</v>
      </c>
      <c r="G4025">
        <v>78.966667000000001</v>
      </c>
      <c r="H4025">
        <v>11.5</v>
      </c>
      <c r="J4025" s="2" t="s">
        <v>7</v>
      </c>
      <c r="K4025" t="s">
        <v>520</v>
      </c>
      <c r="L4025" t="s">
        <v>143</v>
      </c>
      <c r="M4025" t="s">
        <v>726</v>
      </c>
      <c r="N4025" t="s">
        <v>85</v>
      </c>
      <c r="O4025" s="6" t="s">
        <v>84</v>
      </c>
      <c r="Q4025">
        <v>4</v>
      </c>
      <c r="R4025" t="s">
        <v>214</v>
      </c>
      <c r="S4025" s="2" t="s">
        <v>7</v>
      </c>
      <c r="T4025">
        <v>5</v>
      </c>
      <c r="U4025" t="s">
        <v>28</v>
      </c>
      <c r="V4025" t="s">
        <v>28</v>
      </c>
      <c r="W4025">
        <v>8</v>
      </c>
      <c r="X4025">
        <v>0.47720000000000001</v>
      </c>
      <c r="Y4025">
        <f>0.4932-X4025</f>
        <v>1.6000000000000014E-2</v>
      </c>
      <c r="AA4025" s="6"/>
      <c r="AB4025" s="6"/>
    </row>
    <row r="4026" spans="1:28" x14ac:dyDescent="0.2">
      <c r="A4026" t="s">
        <v>519</v>
      </c>
      <c r="B4026">
        <v>2020</v>
      </c>
      <c r="C4026" t="s">
        <v>826</v>
      </c>
      <c r="D4026" t="s">
        <v>824</v>
      </c>
      <c r="E4026" t="s">
        <v>48</v>
      </c>
      <c r="F4026" t="s">
        <v>424</v>
      </c>
      <c r="G4026">
        <v>78.966667000000001</v>
      </c>
      <c r="H4026">
        <v>11.5</v>
      </c>
      <c r="J4026" s="2" t="s">
        <v>7</v>
      </c>
      <c r="K4026" t="s">
        <v>520</v>
      </c>
      <c r="L4026" t="s">
        <v>143</v>
      </c>
      <c r="M4026" t="s">
        <v>726</v>
      </c>
      <c r="N4026" t="s">
        <v>85</v>
      </c>
      <c r="O4026" s="6" t="s">
        <v>84</v>
      </c>
      <c r="Q4026">
        <v>7</v>
      </c>
      <c r="R4026" t="s">
        <v>214</v>
      </c>
      <c r="S4026" s="2" t="s">
        <v>7</v>
      </c>
      <c r="T4026">
        <v>5</v>
      </c>
      <c r="U4026" t="s">
        <v>28</v>
      </c>
      <c r="V4026" t="s">
        <v>28</v>
      </c>
      <c r="W4026">
        <v>8</v>
      </c>
      <c r="X4026">
        <v>0.5464</v>
      </c>
      <c r="Y4026">
        <f>0.558-X4026</f>
        <v>1.1600000000000055E-2</v>
      </c>
      <c r="AA4026" s="6"/>
      <c r="AB4026" s="6"/>
    </row>
    <row r="4027" spans="1:28" x14ac:dyDescent="0.2">
      <c r="A4027" t="s">
        <v>519</v>
      </c>
      <c r="B4027">
        <v>2020</v>
      </c>
      <c r="C4027" t="s">
        <v>826</v>
      </c>
      <c r="D4027" t="s">
        <v>824</v>
      </c>
      <c r="E4027" t="s">
        <v>48</v>
      </c>
      <c r="F4027" t="s">
        <v>424</v>
      </c>
      <c r="G4027">
        <v>78.966667000000001</v>
      </c>
      <c r="H4027">
        <v>11.5</v>
      </c>
      <c r="J4027" s="2" t="s">
        <v>7</v>
      </c>
      <c r="K4027" t="s">
        <v>520</v>
      </c>
      <c r="L4027" t="s">
        <v>143</v>
      </c>
      <c r="M4027" t="s">
        <v>726</v>
      </c>
      <c r="N4027" t="s">
        <v>85</v>
      </c>
      <c r="O4027" s="6" t="s">
        <v>84</v>
      </c>
      <c r="Q4027">
        <v>8</v>
      </c>
      <c r="R4027" t="s">
        <v>214</v>
      </c>
      <c r="S4027" s="2" t="s">
        <v>7</v>
      </c>
      <c r="T4027">
        <v>5</v>
      </c>
      <c r="U4027" t="s">
        <v>28</v>
      </c>
      <c r="V4027" t="s">
        <v>28</v>
      </c>
      <c r="W4027">
        <v>8</v>
      </c>
      <c r="X4027">
        <v>0.56200000000000006</v>
      </c>
      <c r="Y4027">
        <f>0.5812-X4027</f>
        <v>1.9199999999999995E-2</v>
      </c>
      <c r="AA4027" s="6"/>
      <c r="AB4027" s="6"/>
    </row>
    <row r="4028" spans="1:28" x14ac:dyDescent="0.2">
      <c r="A4028" t="s">
        <v>519</v>
      </c>
      <c r="B4028">
        <v>2020</v>
      </c>
      <c r="C4028" t="s">
        <v>826</v>
      </c>
      <c r="D4028" t="s">
        <v>824</v>
      </c>
      <c r="E4028" t="s">
        <v>48</v>
      </c>
      <c r="F4028" t="s">
        <v>424</v>
      </c>
      <c r="G4028">
        <v>78.966667000000001</v>
      </c>
      <c r="H4028">
        <v>11.5</v>
      </c>
      <c r="J4028" s="2" t="s">
        <v>7</v>
      </c>
      <c r="K4028" t="s">
        <v>520</v>
      </c>
      <c r="L4028" t="s">
        <v>143</v>
      </c>
      <c r="M4028" t="s">
        <v>726</v>
      </c>
      <c r="N4028" t="s">
        <v>85</v>
      </c>
      <c r="O4028" s="6" t="s">
        <v>84</v>
      </c>
      <c r="Q4028">
        <v>11</v>
      </c>
      <c r="R4028" t="s">
        <v>214</v>
      </c>
      <c r="S4028" s="2" t="s">
        <v>7</v>
      </c>
      <c r="T4028">
        <v>5</v>
      </c>
      <c r="U4028" t="s">
        <v>28</v>
      </c>
      <c r="V4028" t="s">
        <v>28</v>
      </c>
      <c r="W4028">
        <v>8</v>
      </c>
      <c r="X4028">
        <v>0.56100000000000005</v>
      </c>
      <c r="Y4028">
        <f>0.5704-X4028</f>
        <v>9.3999999999999639E-3</v>
      </c>
      <c r="AA4028" s="6"/>
      <c r="AB4028" s="6"/>
    </row>
    <row r="4029" spans="1:28" x14ac:dyDescent="0.2">
      <c r="A4029" t="s">
        <v>519</v>
      </c>
      <c r="B4029">
        <v>2020</v>
      </c>
      <c r="C4029" t="s">
        <v>826</v>
      </c>
      <c r="D4029" t="s">
        <v>824</v>
      </c>
      <c r="E4029" t="s">
        <v>48</v>
      </c>
      <c r="F4029" t="s">
        <v>424</v>
      </c>
      <c r="G4029">
        <v>78.966667000000001</v>
      </c>
      <c r="H4029">
        <v>11.5</v>
      </c>
      <c r="J4029" s="2" t="s">
        <v>7</v>
      </c>
      <c r="K4029" t="s">
        <v>520</v>
      </c>
      <c r="L4029" t="s">
        <v>143</v>
      </c>
      <c r="M4029" t="s">
        <v>726</v>
      </c>
      <c r="N4029" t="s">
        <v>85</v>
      </c>
      <c r="O4029" s="6" t="s">
        <v>84</v>
      </c>
      <c r="Q4029">
        <v>14</v>
      </c>
      <c r="R4029" t="s">
        <v>214</v>
      </c>
      <c r="S4029" s="2" t="s">
        <v>7</v>
      </c>
      <c r="T4029">
        <v>5</v>
      </c>
      <c r="U4029" t="s">
        <v>28</v>
      </c>
      <c r="V4029" t="s">
        <v>28</v>
      </c>
      <c r="W4029">
        <v>8</v>
      </c>
      <c r="X4029">
        <v>0.55730000000000002</v>
      </c>
      <c r="Y4029">
        <f>0.5637-X4029</f>
        <v>6.3999999999999613E-3</v>
      </c>
      <c r="AA4029" s="6"/>
      <c r="AB4029" s="6"/>
    </row>
    <row r="4030" spans="1:28" x14ac:dyDescent="0.2">
      <c r="A4030" t="s">
        <v>519</v>
      </c>
      <c r="B4030">
        <v>2020</v>
      </c>
      <c r="C4030" t="s">
        <v>826</v>
      </c>
      <c r="D4030" t="s">
        <v>824</v>
      </c>
      <c r="E4030" t="s">
        <v>48</v>
      </c>
      <c r="F4030" t="s">
        <v>424</v>
      </c>
      <c r="G4030">
        <v>78.966667000000001</v>
      </c>
      <c r="H4030">
        <v>11.5</v>
      </c>
      <c r="J4030" s="2" t="s">
        <v>7</v>
      </c>
      <c r="K4030" t="s">
        <v>520</v>
      </c>
      <c r="L4030" t="s">
        <v>143</v>
      </c>
      <c r="M4030" t="s">
        <v>726</v>
      </c>
      <c r="N4030" t="s">
        <v>85</v>
      </c>
      <c r="O4030" s="6" t="s">
        <v>84</v>
      </c>
      <c r="Q4030">
        <v>18</v>
      </c>
      <c r="R4030" t="s">
        <v>213</v>
      </c>
      <c r="S4030" s="2" t="s">
        <v>7</v>
      </c>
      <c r="T4030">
        <v>5</v>
      </c>
      <c r="U4030" t="s">
        <v>28</v>
      </c>
      <c r="V4030" t="s">
        <v>28</v>
      </c>
      <c r="W4030">
        <v>8</v>
      </c>
      <c r="X4030">
        <v>0.56369999999999998</v>
      </c>
      <c r="Y4030">
        <f>0.5704-X4030</f>
        <v>6.7000000000000393E-3</v>
      </c>
      <c r="AA4030" s="6"/>
      <c r="AB4030" s="6"/>
    </row>
    <row r="4031" spans="1:28" x14ac:dyDescent="0.2">
      <c r="A4031" t="s">
        <v>519</v>
      </c>
      <c r="B4031">
        <v>2020</v>
      </c>
      <c r="C4031" t="s">
        <v>826</v>
      </c>
      <c r="D4031" t="s">
        <v>824</v>
      </c>
      <c r="E4031" t="s">
        <v>48</v>
      </c>
      <c r="F4031" t="s">
        <v>424</v>
      </c>
      <c r="G4031">
        <v>78.966667000000001</v>
      </c>
      <c r="H4031">
        <v>11.5</v>
      </c>
      <c r="J4031" s="2" t="s">
        <v>14</v>
      </c>
      <c r="K4031" t="s">
        <v>520</v>
      </c>
      <c r="L4031" t="s">
        <v>143</v>
      </c>
      <c r="M4031" t="s">
        <v>726</v>
      </c>
      <c r="N4031" t="s">
        <v>85</v>
      </c>
      <c r="O4031" s="6" t="s">
        <v>84</v>
      </c>
      <c r="Q4031">
        <v>4</v>
      </c>
      <c r="R4031" t="s">
        <v>214</v>
      </c>
      <c r="S4031" s="2" t="s">
        <v>9</v>
      </c>
      <c r="T4031">
        <v>5</v>
      </c>
      <c r="U4031" t="s">
        <v>28</v>
      </c>
      <c r="V4031" t="s">
        <v>28</v>
      </c>
      <c r="W4031">
        <v>15</v>
      </c>
      <c r="X4031">
        <v>0.56340000000000001</v>
      </c>
      <c r="Y4031">
        <f>0.5754-X4031</f>
        <v>1.2000000000000011E-2</v>
      </c>
      <c r="AA4031" s="6"/>
      <c r="AB4031" s="6"/>
    </row>
    <row r="4032" spans="1:28" x14ac:dyDescent="0.2">
      <c r="A4032" t="s">
        <v>519</v>
      </c>
      <c r="B4032">
        <v>2020</v>
      </c>
      <c r="C4032" t="s">
        <v>826</v>
      </c>
      <c r="D4032" t="s">
        <v>824</v>
      </c>
      <c r="E4032" t="s">
        <v>48</v>
      </c>
      <c r="F4032" t="s">
        <v>424</v>
      </c>
      <c r="G4032">
        <v>78.966667000000001</v>
      </c>
      <c r="H4032">
        <v>11.5</v>
      </c>
      <c r="J4032" s="2" t="s">
        <v>14</v>
      </c>
      <c r="K4032" t="s">
        <v>520</v>
      </c>
      <c r="L4032" t="s">
        <v>143</v>
      </c>
      <c r="M4032" t="s">
        <v>726</v>
      </c>
      <c r="N4032" t="s">
        <v>85</v>
      </c>
      <c r="O4032" s="6" t="s">
        <v>84</v>
      </c>
      <c r="Q4032">
        <v>7</v>
      </c>
      <c r="R4032" t="s">
        <v>214</v>
      </c>
      <c r="S4032" s="2" t="s">
        <v>9</v>
      </c>
      <c r="T4032">
        <v>5</v>
      </c>
      <c r="U4032" t="s">
        <v>28</v>
      </c>
      <c r="V4032" t="s">
        <v>28</v>
      </c>
      <c r="W4032">
        <v>15</v>
      </c>
      <c r="X4032">
        <v>0.56310000000000004</v>
      </c>
      <c r="Y4032">
        <f>0.5795-X4032</f>
        <v>1.639999999999997E-2</v>
      </c>
      <c r="AA4032" s="6"/>
      <c r="AB4032" s="6"/>
    </row>
    <row r="4033" spans="1:28" x14ac:dyDescent="0.2">
      <c r="A4033" t="s">
        <v>519</v>
      </c>
      <c r="B4033">
        <v>2020</v>
      </c>
      <c r="C4033" t="s">
        <v>826</v>
      </c>
      <c r="D4033" t="s">
        <v>824</v>
      </c>
      <c r="E4033" t="s">
        <v>48</v>
      </c>
      <c r="F4033" t="s">
        <v>424</v>
      </c>
      <c r="G4033">
        <v>78.966667000000001</v>
      </c>
      <c r="H4033">
        <v>11.5</v>
      </c>
      <c r="J4033" s="2" t="s">
        <v>14</v>
      </c>
      <c r="K4033" t="s">
        <v>520</v>
      </c>
      <c r="L4033" t="s">
        <v>143</v>
      </c>
      <c r="M4033" t="s">
        <v>726</v>
      </c>
      <c r="N4033" t="s">
        <v>85</v>
      </c>
      <c r="O4033" s="6" t="s">
        <v>84</v>
      </c>
      <c r="Q4033">
        <v>8</v>
      </c>
      <c r="R4033" t="s">
        <v>214</v>
      </c>
      <c r="S4033" s="2" t="s">
        <v>9</v>
      </c>
      <c r="T4033">
        <v>5</v>
      </c>
      <c r="U4033" t="s">
        <v>28</v>
      </c>
      <c r="V4033" t="s">
        <v>28</v>
      </c>
      <c r="W4033">
        <v>15</v>
      </c>
      <c r="X4033">
        <v>0.57589999999999997</v>
      </c>
      <c r="Y4033">
        <f>0.5877-X4033</f>
        <v>1.1800000000000033E-2</v>
      </c>
      <c r="AA4033" s="6"/>
      <c r="AB4033" s="6"/>
    </row>
    <row r="4034" spans="1:28" x14ac:dyDescent="0.2">
      <c r="A4034" t="s">
        <v>519</v>
      </c>
      <c r="B4034">
        <v>2020</v>
      </c>
      <c r="C4034" t="s">
        <v>826</v>
      </c>
      <c r="D4034" t="s">
        <v>824</v>
      </c>
      <c r="E4034" t="s">
        <v>48</v>
      </c>
      <c r="F4034" t="s">
        <v>424</v>
      </c>
      <c r="G4034">
        <v>78.966667000000001</v>
      </c>
      <c r="H4034">
        <v>11.5</v>
      </c>
      <c r="J4034" s="2" t="s">
        <v>14</v>
      </c>
      <c r="K4034" t="s">
        <v>520</v>
      </c>
      <c r="L4034" t="s">
        <v>143</v>
      </c>
      <c r="M4034" t="s">
        <v>726</v>
      </c>
      <c r="N4034" t="s">
        <v>85</v>
      </c>
      <c r="O4034" s="6" t="s">
        <v>84</v>
      </c>
      <c r="Q4034">
        <v>11</v>
      </c>
      <c r="R4034" t="s">
        <v>214</v>
      </c>
      <c r="S4034" s="2" t="s">
        <v>9</v>
      </c>
      <c r="T4034">
        <v>5</v>
      </c>
      <c r="U4034" t="s">
        <v>28</v>
      </c>
      <c r="V4034" t="s">
        <v>28</v>
      </c>
      <c r="W4034">
        <v>15</v>
      </c>
      <c r="X4034">
        <v>0.58279999999999998</v>
      </c>
      <c r="Y4034">
        <f>0.6005-X4034</f>
        <v>1.7700000000000049E-2</v>
      </c>
      <c r="AA4034" s="6"/>
      <c r="AB4034" s="6"/>
    </row>
    <row r="4035" spans="1:28" x14ac:dyDescent="0.2">
      <c r="A4035" t="s">
        <v>519</v>
      </c>
      <c r="B4035">
        <v>2020</v>
      </c>
      <c r="C4035" t="s">
        <v>826</v>
      </c>
      <c r="D4035" t="s">
        <v>824</v>
      </c>
      <c r="E4035" t="s">
        <v>48</v>
      </c>
      <c r="F4035" t="s">
        <v>424</v>
      </c>
      <c r="G4035">
        <v>78.966667000000001</v>
      </c>
      <c r="H4035">
        <v>11.5</v>
      </c>
      <c r="J4035" s="2" t="s">
        <v>14</v>
      </c>
      <c r="K4035" t="s">
        <v>520</v>
      </c>
      <c r="L4035" t="s">
        <v>143</v>
      </c>
      <c r="M4035" t="s">
        <v>726</v>
      </c>
      <c r="N4035" t="s">
        <v>85</v>
      </c>
      <c r="O4035" s="6" t="s">
        <v>84</v>
      </c>
      <c r="Q4035">
        <v>14</v>
      </c>
      <c r="R4035" t="s">
        <v>214</v>
      </c>
      <c r="S4035" s="2" t="s">
        <v>9</v>
      </c>
      <c r="T4035">
        <v>5</v>
      </c>
      <c r="U4035" t="s">
        <v>28</v>
      </c>
      <c r="V4035" t="s">
        <v>28</v>
      </c>
      <c r="W4035">
        <v>15</v>
      </c>
      <c r="X4035">
        <v>0.52639999999999998</v>
      </c>
      <c r="Y4035">
        <f>0.5449-X4035</f>
        <v>1.8500000000000072E-2</v>
      </c>
      <c r="AA4035" s="6"/>
      <c r="AB4035" s="6"/>
    </row>
    <row r="4036" spans="1:28" x14ac:dyDescent="0.2">
      <c r="A4036" t="s">
        <v>519</v>
      </c>
      <c r="B4036">
        <v>2020</v>
      </c>
      <c r="C4036" t="s">
        <v>826</v>
      </c>
      <c r="D4036" t="s">
        <v>824</v>
      </c>
      <c r="E4036" t="s">
        <v>48</v>
      </c>
      <c r="F4036" t="s">
        <v>424</v>
      </c>
      <c r="G4036">
        <v>78.966667000000001</v>
      </c>
      <c r="H4036">
        <v>11.5</v>
      </c>
      <c r="J4036" s="2" t="s">
        <v>14</v>
      </c>
      <c r="K4036" t="s">
        <v>520</v>
      </c>
      <c r="L4036" t="s">
        <v>143</v>
      </c>
      <c r="M4036" t="s">
        <v>726</v>
      </c>
      <c r="N4036" t="s">
        <v>85</v>
      </c>
      <c r="O4036" s="6" t="s">
        <v>84</v>
      </c>
      <c r="Q4036">
        <v>18</v>
      </c>
      <c r="R4036" t="s">
        <v>213</v>
      </c>
      <c r="S4036" s="2" t="s">
        <v>9</v>
      </c>
      <c r="T4036">
        <v>5</v>
      </c>
      <c r="U4036" t="s">
        <v>28</v>
      </c>
      <c r="V4036" t="s">
        <v>28</v>
      </c>
      <c r="W4036">
        <v>15</v>
      </c>
      <c r="X4036">
        <v>0.58989999999999998</v>
      </c>
      <c r="Y4036">
        <f>0.6034-X4036</f>
        <v>1.3500000000000068E-2</v>
      </c>
      <c r="AA4036" s="6"/>
      <c r="AB4036" s="6"/>
    </row>
    <row r="4037" spans="1:28" x14ac:dyDescent="0.2">
      <c r="A4037" t="s">
        <v>519</v>
      </c>
      <c r="B4037">
        <v>2020</v>
      </c>
      <c r="C4037" t="s">
        <v>826</v>
      </c>
      <c r="D4037" t="s">
        <v>824</v>
      </c>
      <c r="E4037" t="s">
        <v>48</v>
      </c>
      <c r="F4037" t="s">
        <v>424</v>
      </c>
      <c r="G4037">
        <v>78.966667000000001</v>
      </c>
      <c r="H4037">
        <v>11.5</v>
      </c>
      <c r="J4037" s="2" t="s">
        <v>7</v>
      </c>
      <c r="K4037" t="s">
        <v>520</v>
      </c>
      <c r="L4037" t="s">
        <v>143</v>
      </c>
      <c r="M4037" t="s">
        <v>553</v>
      </c>
      <c r="N4037" t="s">
        <v>85</v>
      </c>
      <c r="O4037" s="6" t="s">
        <v>61</v>
      </c>
      <c r="P4037" t="s">
        <v>109</v>
      </c>
      <c r="Q4037">
        <v>8</v>
      </c>
      <c r="R4037" t="s">
        <v>214</v>
      </c>
      <c r="S4037" s="2" t="s">
        <v>7</v>
      </c>
      <c r="T4037">
        <v>5</v>
      </c>
      <c r="U4037" t="s">
        <v>28</v>
      </c>
      <c r="V4037" t="s">
        <v>28</v>
      </c>
      <c r="W4037">
        <v>8</v>
      </c>
      <c r="X4037">
        <v>3</v>
      </c>
      <c r="Y4037">
        <f>3.574-X4037</f>
        <v>0.57399999999999984</v>
      </c>
      <c r="AA4037" s="6"/>
      <c r="AB4037" s="6"/>
    </row>
    <row r="4038" spans="1:28" x14ac:dyDescent="0.2">
      <c r="A4038" t="s">
        <v>519</v>
      </c>
      <c r="B4038">
        <v>2020</v>
      </c>
      <c r="C4038" t="s">
        <v>826</v>
      </c>
      <c r="D4038" t="s">
        <v>824</v>
      </c>
      <c r="E4038" t="s">
        <v>48</v>
      </c>
      <c r="F4038" t="s">
        <v>424</v>
      </c>
      <c r="G4038">
        <v>78.966667000000001</v>
      </c>
      <c r="H4038">
        <v>11.5</v>
      </c>
      <c r="J4038" s="2" t="s">
        <v>14</v>
      </c>
      <c r="K4038" t="s">
        <v>520</v>
      </c>
      <c r="L4038" t="s">
        <v>143</v>
      </c>
      <c r="M4038" t="s">
        <v>553</v>
      </c>
      <c r="N4038" t="s">
        <v>85</v>
      </c>
      <c r="O4038" s="6" t="s">
        <v>61</v>
      </c>
      <c r="P4038" t="s">
        <v>109</v>
      </c>
      <c r="Q4038">
        <v>8</v>
      </c>
      <c r="R4038" t="s">
        <v>214</v>
      </c>
      <c r="S4038" s="2" t="s">
        <v>9</v>
      </c>
      <c r="T4038">
        <v>5</v>
      </c>
      <c r="U4038" t="s">
        <v>28</v>
      </c>
      <c r="V4038" t="s">
        <v>28</v>
      </c>
      <c r="W4038">
        <v>15</v>
      </c>
      <c r="X4038">
        <v>3.2</v>
      </c>
      <c r="Y4038">
        <f>3.561-X4038</f>
        <v>0.36099999999999977</v>
      </c>
      <c r="AA4038" s="6"/>
      <c r="AB4038" s="6"/>
    </row>
    <row r="4039" spans="1:28" x14ac:dyDescent="0.2">
      <c r="A4039" t="s">
        <v>519</v>
      </c>
      <c r="B4039">
        <v>2020</v>
      </c>
      <c r="C4039" t="s">
        <v>826</v>
      </c>
      <c r="D4039" t="s">
        <v>824</v>
      </c>
      <c r="E4039" t="s">
        <v>48</v>
      </c>
      <c r="F4039" t="s">
        <v>424</v>
      </c>
      <c r="G4039">
        <v>78.966667000000001</v>
      </c>
      <c r="H4039">
        <v>11.5</v>
      </c>
      <c r="J4039" s="2" t="s">
        <v>7</v>
      </c>
      <c r="K4039" t="s">
        <v>520</v>
      </c>
      <c r="L4039" t="s">
        <v>143</v>
      </c>
      <c r="M4039" t="s">
        <v>553</v>
      </c>
      <c r="N4039" t="s">
        <v>85</v>
      </c>
      <c r="O4039" s="6" t="s">
        <v>521</v>
      </c>
      <c r="P4039" t="s">
        <v>109</v>
      </c>
      <c r="Q4039">
        <v>8</v>
      </c>
      <c r="R4039" t="s">
        <v>214</v>
      </c>
      <c r="S4039" s="2" t="s">
        <v>7</v>
      </c>
      <c r="T4039">
        <v>5</v>
      </c>
      <c r="U4039" t="s">
        <v>28</v>
      </c>
      <c r="V4039" t="s">
        <v>28</v>
      </c>
      <c r="W4039">
        <v>8</v>
      </c>
      <c r="X4039">
        <v>2.8580000000000001</v>
      </c>
      <c r="Y4039">
        <f>3.31-X4039</f>
        <v>0.45199999999999996</v>
      </c>
      <c r="AA4039" s="6"/>
      <c r="AB4039" s="6"/>
    </row>
    <row r="4040" spans="1:28" x14ac:dyDescent="0.2">
      <c r="A4040" t="s">
        <v>519</v>
      </c>
      <c r="B4040">
        <v>2020</v>
      </c>
      <c r="C4040" t="s">
        <v>826</v>
      </c>
      <c r="D4040" t="s">
        <v>824</v>
      </c>
      <c r="E4040" t="s">
        <v>48</v>
      </c>
      <c r="F4040" t="s">
        <v>424</v>
      </c>
      <c r="G4040">
        <v>78.966667000000001</v>
      </c>
      <c r="H4040">
        <v>11.5</v>
      </c>
      <c r="J4040" s="2" t="s">
        <v>14</v>
      </c>
      <c r="K4040" t="s">
        <v>520</v>
      </c>
      <c r="L4040" t="s">
        <v>143</v>
      </c>
      <c r="M4040" t="s">
        <v>553</v>
      </c>
      <c r="N4040" t="s">
        <v>85</v>
      </c>
      <c r="O4040" s="6" t="s">
        <v>521</v>
      </c>
      <c r="P4040" t="s">
        <v>109</v>
      </c>
      <c r="Q4040">
        <v>8</v>
      </c>
      <c r="R4040" t="s">
        <v>214</v>
      </c>
      <c r="S4040" s="2" t="s">
        <v>9</v>
      </c>
      <c r="T4040">
        <v>5</v>
      </c>
      <c r="U4040" t="s">
        <v>28</v>
      </c>
      <c r="V4040" t="s">
        <v>28</v>
      </c>
      <c r="W4040">
        <v>15</v>
      </c>
      <c r="X4040">
        <v>3.1230000000000002</v>
      </c>
      <c r="Y4040">
        <f>3.361-X4040</f>
        <v>0.23799999999999999</v>
      </c>
      <c r="AA4040" s="6"/>
      <c r="AB4040" s="6"/>
    </row>
    <row r="4041" spans="1:28" x14ac:dyDescent="0.2">
      <c r="A4041" t="s">
        <v>519</v>
      </c>
      <c r="B4041">
        <v>2020</v>
      </c>
      <c r="C4041" t="s">
        <v>826</v>
      </c>
      <c r="D4041" t="s">
        <v>824</v>
      </c>
      <c r="E4041" t="s">
        <v>48</v>
      </c>
      <c r="F4041" t="s">
        <v>424</v>
      </c>
      <c r="G4041">
        <v>78.966667000000001</v>
      </c>
      <c r="H4041">
        <v>11.5</v>
      </c>
      <c r="J4041" s="2" t="s">
        <v>7</v>
      </c>
      <c r="K4041" t="s">
        <v>520</v>
      </c>
      <c r="L4041" t="s">
        <v>143</v>
      </c>
      <c r="M4041" t="s">
        <v>553</v>
      </c>
      <c r="N4041" t="s">
        <v>85</v>
      </c>
      <c r="O4041" s="6" t="s">
        <v>363</v>
      </c>
      <c r="P4041" t="s">
        <v>109</v>
      </c>
      <c r="Q4041">
        <v>8</v>
      </c>
      <c r="R4041" t="s">
        <v>214</v>
      </c>
      <c r="S4041" s="2" t="s">
        <v>7</v>
      </c>
      <c r="T4041">
        <v>5</v>
      </c>
      <c r="U4041" t="s">
        <v>28</v>
      </c>
      <c r="V4041" t="s">
        <v>28</v>
      </c>
      <c r="W4041">
        <v>8</v>
      </c>
      <c r="X4041">
        <v>0.1757</v>
      </c>
      <c r="Y4041">
        <f>0.1913-X4041</f>
        <v>1.5600000000000003E-2</v>
      </c>
      <c r="AA4041" s="6"/>
      <c r="AB4041" s="6"/>
    </row>
    <row r="4042" spans="1:28" x14ac:dyDescent="0.2">
      <c r="A4042" t="s">
        <v>519</v>
      </c>
      <c r="B4042">
        <v>2020</v>
      </c>
      <c r="C4042" t="s">
        <v>826</v>
      </c>
      <c r="D4042" t="s">
        <v>824</v>
      </c>
      <c r="E4042" t="s">
        <v>48</v>
      </c>
      <c r="F4042" t="s">
        <v>424</v>
      </c>
      <c r="G4042">
        <v>78.966667000000001</v>
      </c>
      <c r="H4042">
        <v>11.5</v>
      </c>
      <c r="J4042" s="2" t="s">
        <v>14</v>
      </c>
      <c r="K4042" t="s">
        <v>520</v>
      </c>
      <c r="L4042" t="s">
        <v>143</v>
      </c>
      <c r="M4042" t="s">
        <v>553</v>
      </c>
      <c r="N4042" t="s">
        <v>85</v>
      </c>
      <c r="O4042" s="6" t="s">
        <v>363</v>
      </c>
      <c r="P4042" t="s">
        <v>109</v>
      </c>
      <c r="Q4042">
        <v>8</v>
      </c>
      <c r="R4042" t="s">
        <v>214</v>
      </c>
      <c r="S4042" s="2" t="s">
        <v>9</v>
      </c>
      <c r="T4042">
        <v>5</v>
      </c>
      <c r="U4042" t="s">
        <v>28</v>
      </c>
      <c r="V4042" t="s">
        <v>28</v>
      </c>
      <c r="W4042">
        <v>15</v>
      </c>
      <c r="X4042">
        <v>0.23350000000000001</v>
      </c>
      <c r="Y4042">
        <f>0.2717-X4042</f>
        <v>3.8199999999999984E-2</v>
      </c>
      <c r="AA4042" s="6"/>
      <c r="AB4042" s="6"/>
    </row>
    <row r="4043" spans="1:28" x14ac:dyDescent="0.2">
      <c r="A4043" t="s">
        <v>519</v>
      </c>
      <c r="B4043">
        <v>2020</v>
      </c>
      <c r="C4043" t="s">
        <v>826</v>
      </c>
      <c r="D4043" t="s">
        <v>824</v>
      </c>
      <c r="E4043" t="s">
        <v>48</v>
      </c>
      <c r="F4043" t="s">
        <v>424</v>
      </c>
      <c r="G4043">
        <v>78.966667000000001</v>
      </c>
      <c r="H4043">
        <v>11.5</v>
      </c>
      <c r="J4043" s="2" t="s">
        <v>7</v>
      </c>
      <c r="K4043" t="s">
        <v>520</v>
      </c>
      <c r="L4043" t="s">
        <v>143</v>
      </c>
      <c r="M4043" t="s">
        <v>553</v>
      </c>
      <c r="N4043" t="s">
        <v>85</v>
      </c>
      <c r="O4043" s="6" t="s">
        <v>364</v>
      </c>
      <c r="Q4043">
        <v>8</v>
      </c>
      <c r="R4043" t="s">
        <v>214</v>
      </c>
      <c r="S4043" s="2" t="s">
        <v>7</v>
      </c>
      <c r="T4043">
        <v>5</v>
      </c>
      <c r="U4043" t="s">
        <v>28</v>
      </c>
      <c r="V4043" t="s">
        <v>28</v>
      </c>
      <c r="W4043">
        <v>8</v>
      </c>
      <c r="X4043">
        <v>2.341E-2</v>
      </c>
      <c r="Y4043">
        <f>0.04447-X4043</f>
        <v>2.1060000000000002E-2</v>
      </c>
      <c r="AA4043" s="6"/>
      <c r="AB4043" s="6"/>
    </row>
    <row r="4044" spans="1:28" x14ac:dyDescent="0.2">
      <c r="A4044" t="s">
        <v>519</v>
      </c>
      <c r="B4044">
        <v>2020</v>
      </c>
      <c r="C4044" t="s">
        <v>826</v>
      </c>
      <c r="D4044" t="s">
        <v>824</v>
      </c>
      <c r="E4044" t="s">
        <v>48</v>
      </c>
      <c r="F4044" t="s">
        <v>424</v>
      </c>
      <c r="G4044">
        <v>78.966667000000001</v>
      </c>
      <c r="H4044">
        <v>11.5</v>
      </c>
      <c r="J4044" s="2" t="s">
        <v>14</v>
      </c>
      <c r="K4044" t="s">
        <v>520</v>
      </c>
      <c r="L4044" t="s">
        <v>143</v>
      </c>
      <c r="M4044" t="s">
        <v>553</v>
      </c>
      <c r="N4044" t="s">
        <v>85</v>
      </c>
      <c r="O4044" s="6" t="s">
        <v>364</v>
      </c>
      <c r="Q4044">
        <v>8</v>
      </c>
      <c r="R4044" t="s">
        <v>214</v>
      </c>
      <c r="S4044" s="2" t="s">
        <v>9</v>
      </c>
      <c r="T4044">
        <v>5</v>
      </c>
      <c r="U4044" t="s">
        <v>28</v>
      </c>
      <c r="V4044" t="s">
        <v>28</v>
      </c>
      <c r="W4044">
        <v>15</v>
      </c>
      <c r="X4044">
        <v>2.9260000000000001E-2</v>
      </c>
      <c r="Y4044">
        <f>0.04155-X4044</f>
        <v>1.2289999999999995E-2</v>
      </c>
      <c r="AA4044" s="6"/>
      <c r="AB4044" s="6"/>
    </row>
    <row r="4045" spans="1:28" x14ac:dyDescent="0.2">
      <c r="A4045" t="s">
        <v>519</v>
      </c>
      <c r="B4045">
        <v>2020</v>
      </c>
      <c r="C4045" t="s">
        <v>826</v>
      </c>
      <c r="D4045" t="s">
        <v>824</v>
      </c>
      <c r="E4045" t="s">
        <v>48</v>
      </c>
      <c r="F4045" t="s">
        <v>424</v>
      </c>
      <c r="G4045">
        <v>78.966667000000001</v>
      </c>
      <c r="H4045">
        <v>11.5</v>
      </c>
      <c r="J4045" s="2" t="s">
        <v>7</v>
      </c>
      <c r="K4045" t="s">
        <v>520</v>
      </c>
      <c r="L4045" t="s">
        <v>143</v>
      </c>
      <c r="M4045" t="s">
        <v>553</v>
      </c>
      <c r="N4045" t="s">
        <v>85</v>
      </c>
      <c r="O4045" s="6" t="s">
        <v>61</v>
      </c>
      <c r="P4045" t="s">
        <v>109</v>
      </c>
      <c r="Q4045">
        <v>18</v>
      </c>
      <c r="R4045" t="s">
        <v>213</v>
      </c>
      <c r="S4045" s="2" t="s">
        <v>7</v>
      </c>
      <c r="T4045">
        <v>5</v>
      </c>
      <c r="U4045" t="s">
        <v>28</v>
      </c>
      <c r="V4045" t="s">
        <v>28</v>
      </c>
      <c r="W4045">
        <v>8</v>
      </c>
      <c r="X4045">
        <v>2.4649999999999999</v>
      </c>
      <c r="Y4045">
        <f>2.605-X4045</f>
        <v>0.14000000000000012</v>
      </c>
      <c r="AA4045" s="6"/>
      <c r="AB4045" s="6"/>
    </row>
    <row r="4046" spans="1:28" x14ac:dyDescent="0.2">
      <c r="A4046" t="s">
        <v>519</v>
      </c>
      <c r="B4046">
        <v>2020</v>
      </c>
      <c r="C4046" t="s">
        <v>826</v>
      </c>
      <c r="D4046" t="s">
        <v>824</v>
      </c>
      <c r="E4046" t="s">
        <v>48</v>
      </c>
      <c r="F4046" t="s">
        <v>424</v>
      </c>
      <c r="G4046">
        <v>78.966667000000001</v>
      </c>
      <c r="H4046">
        <v>11.5</v>
      </c>
      <c r="J4046" s="2" t="s">
        <v>14</v>
      </c>
      <c r="K4046" t="s">
        <v>520</v>
      </c>
      <c r="L4046" t="s">
        <v>143</v>
      </c>
      <c r="M4046" t="s">
        <v>553</v>
      </c>
      <c r="N4046" t="s">
        <v>85</v>
      </c>
      <c r="O4046" s="6" t="s">
        <v>61</v>
      </c>
      <c r="P4046" t="s">
        <v>109</v>
      </c>
      <c r="Q4046">
        <v>18</v>
      </c>
      <c r="R4046" t="s">
        <v>213</v>
      </c>
      <c r="S4046" s="2" t="s">
        <v>9</v>
      </c>
      <c r="T4046">
        <v>5</v>
      </c>
      <c r="U4046" t="s">
        <v>28</v>
      </c>
      <c r="V4046" t="s">
        <v>28</v>
      </c>
      <c r="W4046">
        <v>15</v>
      </c>
      <c r="X4046">
        <v>2.6120000000000001</v>
      </c>
      <c r="Y4046">
        <f>3.209-X4046</f>
        <v>0.59699999999999998</v>
      </c>
      <c r="AA4046" s="6"/>
      <c r="AB4046" s="6"/>
    </row>
    <row r="4047" spans="1:28" x14ac:dyDescent="0.2">
      <c r="A4047" t="s">
        <v>519</v>
      </c>
      <c r="B4047">
        <v>2020</v>
      </c>
      <c r="C4047" t="s">
        <v>826</v>
      </c>
      <c r="D4047" t="s">
        <v>824</v>
      </c>
      <c r="E4047" t="s">
        <v>48</v>
      </c>
      <c r="F4047" t="s">
        <v>424</v>
      </c>
      <c r="G4047">
        <v>78.966667000000001</v>
      </c>
      <c r="H4047">
        <v>11.5</v>
      </c>
      <c r="J4047" s="2" t="s">
        <v>7</v>
      </c>
      <c r="K4047" t="s">
        <v>520</v>
      </c>
      <c r="L4047" t="s">
        <v>143</v>
      </c>
      <c r="M4047" t="s">
        <v>553</v>
      </c>
      <c r="N4047" t="s">
        <v>85</v>
      </c>
      <c r="O4047" s="6" t="s">
        <v>521</v>
      </c>
      <c r="P4047" t="s">
        <v>109</v>
      </c>
      <c r="Q4047">
        <v>18</v>
      </c>
      <c r="R4047" t="s">
        <v>213</v>
      </c>
      <c r="S4047" s="2" t="s">
        <v>7</v>
      </c>
      <c r="T4047">
        <v>5</v>
      </c>
      <c r="U4047" t="s">
        <v>28</v>
      </c>
      <c r="V4047" t="s">
        <v>28</v>
      </c>
      <c r="W4047">
        <v>8</v>
      </c>
      <c r="X4047">
        <v>2.266</v>
      </c>
      <c r="Y4047">
        <f>2.414-X4047</f>
        <v>0.14800000000000013</v>
      </c>
      <c r="AA4047" s="6"/>
      <c r="AB4047" s="6"/>
    </row>
    <row r="4048" spans="1:28" x14ac:dyDescent="0.2">
      <c r="A4048" t="s">
        <v>519</v>
      </c>
      <c r="B4048">
        <v>2020</v>
      </c>
      <c r="C4048" t="s">
        <v>826</v>
      </c>
      <c r="D4048" t="s">
        <v>824</v>
      </c>
      <c r="E4048" t="s">
        <v>48</v>
      </c>
      <c r="F4048" t="s">
        <v>424</v>
      </c>
      <c r="G4048">
        <v>78.966667000000001</v>
      </c>
      <c r="H4048">
        <v>11.5</v>
      </c>
      <c r="J4048" s="2" t="s">
        <v>14</v>
      </c>
      <c r="K4048" t="s">
        <v>520</v>
      </c>
      <c r="L4048" t="s">
        <v>143</v>
      </c>
      <c r="M4048" t="s">
        <v>553</v>
      </c>
      <c r="N4048" t="s">
        <v>85</v>
      </c>
      <c r="O4048" s="6" t="s">
        <v>521</v>
      </c>
      <c r="P4048" t="s">
        <v>109</v>
      </c>
      <c r="Q4048">
        <v>18</v>
      </c>
      <c r="R4048" t="s">
        <v>213</v>
      </c>
      <c r="S4048" s="2" t="s">
        <v>9</v>
      </c>
      <c r="T4048">
        <v>5</v>
      </c>
      <c r="U4048" t="s">
        <v>28</v>
      </c>
      <c r="V4048" t="s">
        <v>28</v>
      </c>
      <c r="W4048">
        <v>15</v>
      </c>
      <c r="X4048">
        <v>2.5779999999999998</v>
      </c>
      <c r="Y4048">
        <f>3.141-X4048</f>
        <v>0.56300000000000017</v>
      </c>
      <c r="AA4048" s="6"/>
      <c r="AB4048" s="6"/>
    </row>
    <row r="4049" spans="1:28" x14ac:dyDescent="0.2">
      <c r="A4049" t="s">
        <v>519</v>
      </c>
      <c r="B4049">
        <v>2020</v>
      </c>
      <c r="C4049" t="s">
        <v>826</v>
      </c>
      <c r="D4049" t="s">
        <v>824</v>
      </c>
      <c r="E4049" t="s">
        <v>48</v>
      </c>
      <c r="F4049" t="s">
        <v>424</v>
      </c>
      <c r="G4049">
        <v>78.966667000000001</v>
      </c>
      <c r="H4049">
        <v>11.5</v>
      </c>
      <c r="J4049" s="2" t="s">
        <v>7</v>
      </c>
      <c r="K4049" t="s">
        <v>520</v>
      </c>
      <c r="L4049" t="s">
        <v>143</v>
      </c>
      <c r="M4049" t="s">
        <v>553</v>
      </c>
      <c r="N4049" t="s">
        <v>85</v>
      </c>
      <c r="O4049" s="6" t="s">
        <v>363</v>
      </c>
      <c r="P4049" t="s">
        <v>109</v>
      </c>
      <c r="Q4049">
        <v>18</v>
      </c>
      <c r="R4049" t="s">
        <v>213</v>
      </c>
      <c r="S4049" s="2" t="s">
        <v>7</v>
      </c>
      <c r="T4049">
        <v>5</v>
      </c>
      <c r="U4049" t="s">
        <v>28</v>
      </c>
      <c r="V4049" t="s">
        <v>28</v>
      </c>
      <c r="W4049">
        <v>8</v>
      </c>
      <c r="X4049">
        <v>0.23730000000000001</v>
      </c>
      <c r="Y4049">
        <f>0.275-X4049</f>
        <v>3.7700000000000011E-2</v>
      </c>
      <c r="AA4049" s="6"/>
      <c r="AB4049" s="6"/>
    </row>
    <row r="4050" spans="1:28" x14ac:dyDescent="0.2">
      <c r="A4050" t="s">
        <v>519</v>
      </c>
      <c r="B4050">
        <v>2020</v>
      </c>
      <c r="C4050" t="s">
        <v>826</v>
      </c>
      <c r="D4050" t="s">
        <v>824</v>
      </c>
      <c r="E4050" t="s">
        <v>48</v>
      </c>
      <c r="F4050" t="s">
        <v>424</v>
      </c>
      <c r="G4050">
        <v>78.966667000000001</v>
      </c>
      <c r="H4050">
        <v>11.5</v>
      </c>
      <c r="J4050" s="2" t="s">
        <v>14</v>
      </c>
      <c r="K4050" t="s">
        <v>520</v>
      </c>
      <c r="L4050" t="s">
        <v>143</v>
      </c>
      <c r="M4050" t="s">
        <v>553</v>
      </c>
      <c r="N4050" t="s">
        <v>85</v>
      </c>
      <c r="O4050" s="6" t="s">
        <v>363</v>
      </c>
      <c r="P4050" t="s">
        <v>109</v>
      </c>
      <c r="Q4050">
        <v>18</v>
      </c>
      <c r="R4050" t="s">
        <v>213</v>
      </c>
      <c r="S4050" s="2" t="s">
        <v>9</v>
      </c>
      <c r="T4050">
        <v>5</v>
      </c>
      <c r="U4050" t="s">
        <v>28</v>
      </c>
      <c r="V4050" t="s">
        <v>28</v>
      </c>
      <c r="W4050">
        <v>15</v>
      </c>
      <c r="X4050">
        <v>0.2419</v>
      </c>
      <c r="Y4050">
        <f>0.2965-X4050</f>
        <v>5.4599999999999982E-2</v>
      </c>
      <c r="AA4050" s="6"/>
      <c r="AB4050" s="6"/>
    </row>
    <row r="4051" spans="1:28" x14ac:dyDescent="0.2">
      <c r="A4051" t="s">
        <v>519</v>
      </c>
      <c r="B4051">
        <v>2020</v>
      </c>
      <c r="C4051" t="s">
        <v>826</v>
      </c>
      <c r="D4051" t="s">
        <v>824</v>
      </c>
      <c r="E4051" t="s">
        <v>48</v>
      </c>
      <c r="F4051" t="s">
        <v>424</v>
      </c>
      <c r="G4051">
        <v>78.966667000000001</v>
      </c>
      <c r="H4051">
        <v>11.5</v>
      </c>
      <c r="J4051" s="2" t="s">
        <v>7</v>
      </c>
      <c r="K4051" t="s">
        <v>520</v>
      </c>
      <c r="L4051" t="s">
        <v>143</v>
      </c>
      <c r="M4051" t="s">
        <v>553</v>
      </c>
      <c r="N4051" t="s">
        <v>85</v>
      </c>
      <c r="O4051" s="6" t="s">
        <v>364</v>
      </c>
      <c r="Q4051">
        <v>18</v>
      </c>
      <c r="R4051" t="s">
        <v>213</v>
      </c>
      <c r="S4051" s="2" t="s">
        <v>7</v>
      </c>
      <c r="T4051">
        <v>5</v>
      </c>
      <c r="U4051" t="s">
        <v>28</v>
      </c>
      <c r="V4051" t="s">
        <v>28</v>
      </c>
      <c r="W4051">
        <v>8</v>
      </c>
      <c r="X4051">
        <v>3.4290000000000001E-2</v>
      </c>
      <c r="Y4051">
        <f>0.04316-X4051</f>
        <v>8.8699999999999959E-3</v>
      </c>
      <c r="AA4051" s="6"/>
      <c r="AB4051" s="6"/>
    </row>
    <row r="4052" spans="1:28" x14ac:dyDescent="0.2">
      <c r="A4052" t="s">
        <v>519</v>
      </c>
      <c r="B4052">
        <v>2020</v>
      </c>
      <c r="C4052" t="s">
        <v>826</v>
      </c>
      <c r="D4052" t="s">
        <v>824</v>
      </c>
      <c r="E4052" t="s">
        <v>48</v>
      </c>
      <c r="F4052" t="s">
        <v>424</v>
      </c>
      <c r="G4052">
        <v>78.966667000000001</v>
      </c>
      <c r="H4052">
        <v>11.5</v>
      </c>
      <c r="J4052" s="2" t="s">
        <v>14</v>
      </c>
      <c r="K4052" t="s">
        <v>520</v>
      </c>
      <c r="L4052" t="s">
        <v>143</v>
      </c>
      <c r="M4052" t="s">
        <v>553</v>
      </c>
      <c r="N4052" t="s">
        <v>85</v>
      </c>
      <c r="O4052" s="6" t="s">
        <v>364</v>
      </c>
      <c r="Q4052">
        <v>18</v>
      </c>
      <c r="R4052" t="s">
        <v>213</v>
      </c>
      <c r="S4052" s="2" t="s">
        <v>9</v>
      </c>
      <c r="T4052">
        <v>5</v>
      </c>
      <c r="U4052" t="s">
        <v>28</v>
      </c>
      <c r="V4052" t="s">
        <v>28</v>
      </c>
      <c r="W4052">
        <v>15</v>
      </c>
      <c r="X4052">
        <v>2.2859999999999998E-2</v>
      </c>
      <c r="Y4052">
        <f>0.02659-X4052</f>
        <v>3.7300000000000007E-3</v>
      </c>
      <c r="AA4052" s="6"/>
      <c r="AB4052" s="6"/>
    </row>
    <row r="4053" spans="1:28" x14ac:dyDescent="0.2">
      <c r="A4053" t="s">
        <v>522</v>
      </c>
      <c r="B4053">
        <v>2016</v>
      </c>
      <c r="C4053" t="s">
        <v>807</v>
      </c>
      <c r="D4053" t="s">
        <v>808</v>
      </c>
      <c r="E4053" t="s">
        <v>205</v>
      </c>
      <c r="F4053" t="s">
        <v>531</v>
      </c>
      <c r="G4053">
        <v>79.011388890000006</v>
      </c>
      <c r="H4053">
        <v>12.170277779999999</v>
      </c>
      <c r="I4053" t="s">
        <v>764</v>
      </c>
      <c r="J4053" s="2" t="s">
        <v>7</v>
      </c>
      <c r="K4053" t="s">
        <v>523</v>
      </c>
      <c r="L4053" t="s">
        <v>143</v>
      </c>
      <c r="M4053" s="6" t="s">
        <v>664</v>
      </c>
      <c r="N4053" t="s">
        <v>85</v>
      </c>
      <c r="O4053" s="6" t="s">
        <v>846</v>
      </c>
      <c r="P4053" t="s">
        <v>524</v>
      </c>
      <c r="Q4053">
        <v>9</v>
      </c>
      <c r="R4053" t="s">
        <v>213</v>
      </c>
      <c r="S4053" s="2" t="s">
        <v>7</v>
      </c>
      <c r="T4053">
        <v>4</v>
      </c>
      <c r="U4053">
        <v>8.19</v>
      </c>
      <c r="V4053">
        <v>376</v>
      </c>
      <c r="W4053">
        <v>4</v>
      </c>
      <c r="X4053">
        <v>3.645</v>
      </c>
      <c r="Y4053">
        <f>5.878-X4053</f>
        <v>2.2330000000000001</v>
      </c>
      <c r="AA4053" s="6"/>
      <c r="AB4053" s="6"/>
    </row>
    <row r="4054" spans="1:28" x14ac:dyDescent="0.2">
      <c r="A4054" t="s">
        <v>522</v>
      </c>
      <c r="B4054">
        <v>2016</v>
      </c>
      <c r="C4054" t="s">
        <v>807</v>
      </c>
      <c r="D4054" t="s">
        <v>808</v>
      </c>
      <c r="E4054" t="s">
        <v>205</v>
      </c>
      <c r="F4054" t="s">
        <v>531</v>
      </c>
      <c r="G4054">
        <v>79.011388890000006</v>
      </c>
      <c r="H4054">
        <v>12.170277779999999</v>
      </c>
      <c r="I4054" t="s">
        <v>764</v>
      </c>
      <c r="J4054" s="2" t="s">
        <v>5</v>
      </c>
      <c r="K4054" t="s">
        <v>523</v>
      </c>
      <c r="L4054" t="s">
        <v>143</v>
      </c>
      <c r="M4054" s="6" t="s">
        <v>664</v>
      </c>
      <c r="N4054" t="s">
        <v>85</v>
      </c>
      <c r="O4054" s="6" t="s">
        <v>846</v>
      </c>
      <c r="P4054" t="s">
        <v>524</v>
      </c>
      <c r="Q4054">
        <v>9</v>
      </c>
      <c r="R4054" t="s">
        <v>213</v>
      </c>
      <c r="S4054" s="2" t="s">
        <v>9</v>
      </c>
      <c r="T4054">
        <v>4</v>
      </c>
      <c r="U4054">
        <v>7.07</v>
      </c>
      <c r="V4054">
        <v>1237</v>
      </c>
      <c r="W4054" t="s">
        <v>28</v>
      </c>
      <c r="X4054">
        <v>7.1950000000000003</v>
      </c>
      <c r="Y4054">
        <f>9.561-X4054</f>
        <v>2.3659999999999997</v>
      </c>
      <c r="AA4054" s="6"/>
      <c r="AB4054" s="6"/>
    </row>
    <row r="4055" spans="1:28" x14ac:dyDescent="0.2">
      <c r="A4055" t="s">
        <v>522</v>
      </c>
      <c r="B4055">
        <v>2016</v>
      </c>
      <c r="C4055" t="s">
        <v>807</v>
      </c>
      <c r="D4055" t="s">
        <v>808</v>
      </c>
      <c r="E4055" t="s">
        <v>205</v>
      </c>
      <c r="F4055" t="s">
        <v>531</v>
      </c>
      <c r="G4055">
        <v>79.011388890000006</v>
      </c>
      <c r="H4055">
        <v>12.170277779999999</v>
      </c>
      <c r="I4055" t="s">
        <v>764</v>
      </c>
      <c r="J4055" s="2" t="s">
        <v>14</v>
      </c>
      <c r="K4055" t="s">
        <v>523</v>
      </c>
      <c r="L4055" t="s">
        <v>143</v>
      </c>
      <c r="M4055" s="6" t="s">
        <v>664</v>
      </c>
      <c r="N4055" t="s">
        <v>85</v>
      </c>
      <c r="O4055" s="6" t="s">
        <v>846</v>
      </c>
      <c r="P4055" t="s">
        <v>524</v>
      </c>
      <c r="Q4055">
        <v>9</v>
      </c>
      <c r="R4055" t="s">
        <v>213</v>
      </c>
      <c r="S4055" s="2" t="s">
        <v>27</v>
      </c>
      <c r="T4055">
        <v>4</v>
      </c>
      <c r="U4055" t="s">
        <v>28</v>
      </c>
      <c r="V4055" t="s">
        <v>28</v>
      </c>
      <c r="W4055">
        <v>10</v>
      </c>
      <c r="X4055">
        <v>8.359</v>
      </c>
      <c r="Y4055">
        <f>9.084-X4055</f>
        <v>0.72499999999999964</v>
      </c>
      <c r="AA4055" s="6"/>
      <c r="AB4055" s="6"/>
    </row>
    <row r="4056" spans="1:28" x14ac:dyDescent="0.2">
      <c r="A4056" t="s">
        <v>522</v>
      </c>
      <c r="B4056">
        <v>2016</v>
      </c>
      <c r="C4056" t="s">
        <v>807</v>
      </c>
      <c r="D4056" t="s">
        <v>808</v>
      </c>
      <c r="E4056" t="s">
        <v>205</v>
      </c>
      <c r="F4056" t="s">
        <v>531</v>
      </c>
      <c r="G4056">
        <v>79.011388890000006</v>
      </c>
      <c r="H4056">
        <v>12.170277779999999</v>
      </c>
      <c r="I4056" t="s">
        <v>764</v>
      </c>
      <c r="J4056" s="2" t="s">
        <v>16</v>
      </c>
      <c r="K4056" t="s">
        <v>523</v>
      </c>
      <c r="L4056" t="s">
        <v>143</v>
      </c>
      <c r="M4056" s="6" t="s">
        <v>664</v>
      </c>
      <c r="N4056" t="s">
        <v>85</v>
      </c>
      <c r="O4056" s="6" t="s">
        <v>846</v>
      </c>
      <c r="P4056" t="s">
        <v>524</v>
      </c>
      <c r="Q4056">
        <v>9</v>
      </c>
      <c r="R4056" t="s">
        <v>213</v>
      </c>
      <c r="S4056" s="2" t="s">
        <v>13</v>
      </c>
      <c r="T4056">
        <v>4</v>
      </c>
      <c r="U4056">
        <v>7.81</v>
      </c>
      <c r="V4056">
        <v>1146</v>
      </c>
      <c r="W4056">
        <v>10</v>
      </c>
      <c r="X4056">
        <v>9.8659999999999997</v>
      </c>
      <c r="Y4056">
        <f>12.901-X4056</f>
        <v>3.0350000000000001</v>
      </c>
      <c r="AA4056" s="6"/>
      <c r="AB4056" s="6"/>
    </row>
    <row r="4057" spans="1:28" x14ac:dyDescent="0.2">
      <c r="A4057" t="s">
        <v>522</v>
      </c>
      <c r="B4057">
        <v>2016</v>
      </c>
      <c r="C4057" t="s">
        <v>807</v>
      </c>
      <c r="D4057" t="s">
        <v>808</v>
      </c>
      <c r="E4057" t="s">
        <v>205</v>
      </c>
      <c r="F4057" t="s">
        <v>531</v>
      </c>
      <c r="G4057">
        <v>79.011388890000006</v>
      </c>
      <c r="H4057">
        <v>12.170277779999999</v>
      </c>
      <c r="I4057" t="s">
        <v>764</v>
      </c>
      <c r="J4057" s="2" t="s">
        <v>7</v>
      </c>
      <c r="K4057" t="s">
        <v>523</v>
      </c>
      <c r="L4057" t="s">
        <v>143</v>
      </c>
      <c r="M4057" t="s">
        <v>26</v>
      </c>
      <c r="N4057" t="s">
        <v>85</v>
      </c>
      <c r="O4057" t="s">
        <v>839</v>
      </c>
      <c r="P4057" t="s">
        <v>72</v>
      </c>
      <c r="Q4057">
        <v>9</v>
      </c>
      <c r="R4057" t="s">
        <v>213</v>
      </c>
      <c r="S4057" s="2" t="s">
        <v>7</v>
      </c>
      <c r="T4057">
        <v>4</v>
      </c>
      <c r="U4057">
        <v>8.19</v>
      </c>
      <c r="V4057">
        <v>376</v>
      </c>
      <c r="W4057">
        <v>4</v>
      </c>
      <c r="X4057">
        <v>2.8759999999999999</v>
      </c>
      <c r="Y4057">
        <f>3.371-X4057</f>
        <v>0.49500000000000011</v>
      </c>
      <c r="AA4057" s="6"/>
      <c r="AB4057" s="6"/>
    </row>
    <row r="4058" spans="1:28" x14ac:dyDescent="0.2">
      <c r="A4058" t="s">
        <v>522</v>
      </c>
      <c r="B4058">
        <v>2016</v>
      </c>
      <c r="C4058" t="s">
        <v>807</v>
      </c>
      <c r="D4058" t="s">
        <v>808</v>
      </c>
      <c r="E4058" t="s">
        <v>205</v>
      </c>
      <c r="F4058" t="s">
        <v>531</v>
      </c>
      <c r="G4058">
        <v>79.011388890000006</v>
      </c>
      <c r="H4058">
        <v>12.170277779999999</v>
      </c>
      <c r="I4058" t="s">
        <v>764</v>
      </c>
      <c r="J4058" s="2" t="s">
        <v>5</v>
      </c>
      <c r="K4058" t="s">
        <v>523</v>
      </c>
      <c r="L4058" t="s">
        <v>143</v>
      </c>
      <c r="M4058" t="s">
        <v>26</v>
      </c>
      <c r="N4058" t="s">
        <v>85</v>
      </c>
      <c r="O4058" t="s">
        <v>839</v>
      </c>
      <c r="P4058" t="s">
        <v>72</v>
      </c>
      <c r="Q4058">
        <v>9</v>
      </c>
      <c r="R4058" t="s">
        <v>213</v>
      </c>
      <c r="S4058" s="2" t="s">
        <v>9</v>
      </c>
      <c r="T4058">
        <v>4</v>
      </c>
      <c r="U4058">
        <v>7.07</v>
      </c>
      <c r="V4058">
        <v>1237</v>
      </c>
      <c r="W4058" t="s">
        <v>28</v>
      </c>
      <c r="X4058">
        <v>3.99</v>
      </c>
      <c r="Y4058">
        <f>4.129-X4058</f>
        <v>0.13899999999999935</v>
      </c>
      <c r="AA4058" s="6"/>
      <c r="AB4058" s="6"/>
    </row>
    <row r="4059" spans="1:28" x14ac:dyDescent="0.2">
      <c r="A4059" t="s">
        <v>522</v>
      </c>
      <c r="B4059">
        <v>2016</v>
      </c>
      <c r="C4059" t="s">
        <v>807</v>
      </c>
      <c r="D4059" t="s">
        <v>808</v>
      </c>
      <c r="E4059" t="s">
        <v>205</v>
      </c>
      <c r="F4059" t="s">
        <v>531</v>
      </c>
      <c r="G4059">
        <v>79.011388890000006</v>
      </c>
      <c r="H4059">
        <v>12.170277779999999</v>
      </c>
      <c r="I4059" t="s">
        <v>764</v>
      </c>
      <c r="J4059" s="2" t="s">
        <v>14</v>
      </c>
      <c r="K4059" t="s">
        <v>523</v>
      </c>
      <c r="L4059" t="s">
        <v>143</v>
      </c>
      <c r="M4059" t="s">
        <v>26</v>
      </c>
      <c r="N4059" t="s">
        <v>85</v>
      </c>
      <c r="O4059" t="s">
        <v>839</v>
      </c>
      <c r="P4059" t="s">
        <v>72</v>
      </c>
      <c r="Q4059">
        <v>9</v>
      </c>
      <c r="R4059" t="s">
        <v>213</v>
      </c>
      <c r="S4059" s="2" t="s">
        <v>27</v>
      </c>
      <c r="T4059">
        <v>4</v>
      </c>
      <c r="U4059" t="s">
        <v>28</v>
      </c>
      <c r="V4059" t="s">
        <v>28</v>
      </c>
      <c r="W4059">
        <v>10</v>
      </c>
      <c r="X4059">
        <v>3.319</v>
      </c>
      <c r="Y4059">
        <f>4.019-X4059</f>
        <v>0.70000000000000018</v>
      </c>
      <c r="AA4059" s="6"/>
      <c r="AB4059" s="6"/>
    </row>
    <row r="4060" spans="1:28" x14ac:dyDescent="0.2">
      <c r="A4060" t="s">
        <v>522</v>
      </c>
      <c r="B4060">
        <v>2016</v>
      </c>
      <c r="C4060" t="s">
        <v>807</v>
      </c>
      <c r="D4060" t="s">
        <v>808</v>
      </c>
      <c r="E4060" t="s">
        <v>205</v>
      </c>
      <c r="F4060" t="s">
        <v>531</v>
      </c>
      <c r="G4060">
        <v>79.011388890000006</v>
      </c>
      <c r="H4060">
        <v>12.170277779999999</v>
      </c>
      <c r="I4060" t="s">
        <v>764</v>
      </c>
      <c r="J4060" s="2" t="s">
        <v>16</v>
      </c>
      <c r="K4060" t="s">
        <v>523</v>
      </c>
      <c r="L4060" t="s">
        <v>143</v>
      </c>
      <c r="M4060" t="s">
        <v>26</v>
      </c>
      <c r="N4060" t="s">
        <v>85</v>
      </c>
      <c r="O4060" t="s">
        <v>839</v>
      </c>
      <c r="P4060" t="s">
        <v>72</v>
      </c>
      <c r="Q4060">
        <v>9</v>
      </c>
      <c r="R4060" t="s">
        <v>213</v>
      </c>
      <c r="S4060" s="2" t="s">
        <v>13</v>
      </c>
      <c r="T4060">
        <v>4</v>
      </c>
      <c r="U4060">
        <v>7.81</v>
      </c>
      <c r="V4060">
        <v>1146</v>
      </c>
      <c r="W4060">
        <v>10</v>
      </c>
      <c r="X4060">
        <v>3.476</v>
      </c>
      <c r="Y4060">
        <f>3.729-X4060</f>
        <v>0.25300000000000011</v>
      </c>
      <c r="AA4060" s="6"/>
      <c r="AB4060" s="6"/>
    </row>
    <row r="4061" spans="1:28" x14ac:dyDescent="0.2">
      <c r="A4061" t="s">
        <v>522</v>
      </c>
      <c r="B4061">
        <v>2016</v>
      </c>
      <c r="C4061" t="s">
        <v>807</v>
      </c>
      <c r="D4061" t="s">
        <v>808</v>
      </c>
      <c r="E4061" t="s">
        <v>205</v>
      </c>
      <c r="F4061" t="s">
        <v>531</v>
      </c>
      <c r="G4061">
        <v>79.011388890000006</v>
      </c>
      <c r="H4061">
        <v>12.170277779999999</v>
      </c>
      <c r="I4061" t="s">
        <v>764</v>
      </c>
      <c r="J4061" s="2" t="s">
        <v>7</v>
      </c>
      <c r="K4061" t="s">
        <v>523</v>
      </c>
      <c r="L4061" t="s">
        <v>143</v>
      </c>
      <c r="M4061" t="s">
        <v>638</v>
      </c>
      <c r="N4061" t="s">
        <v>85</v>
      </c>
      <c r="O4061" s="6" t="s">
        <v>221</v>
      </c>
      <c r="P4061" t="s">
        <v>126</v>
      </c>
      <c r="Q4061">
        <v>9</v>
      </c>
      <c r="R4061" t="s">
        <v>213</v>
      </c>
      <c r="S4061" s="2" t="s">
        <v>7</v>
      </c>
      <c r="T4061">
        <v>4</v>
      </c>
      <c r="U4061">
        <v>8.19</v>
      </c>
      <c r="V4061">
        <v>376</v>
      </c>
      <c r="W4061">
        <v>4</v>
      </c>
      <c r="X4061">
        <v>35.6</v>
      </c>
      <c r="Y4061">
        <v>2.9</v>
      </c>
      <c r="AA4061" s="6"/>
      <c r="AB4061" s="6"/>
    </row>
    <row r="4062" spans="1:28" x14ac:dyDescent="0.2">
      <c r="A4062" t="s">
        <v>522</v>
      </c>
      <c r="B4062">
        <v>2016</v>
      </c>
      <c r="C4062" t="s">
        <v>807</v>
      </c>
      <c r="D4062" t="s">
        <v>808</v>
      </c>
      <c r="E4062" t="s">
        <v>205</v>
      </c>
      <c r="F4062" t="s">
        <v>531</v>
      </c>
      <c r="G4062">
        <v>79.011388890000006</v>
      </c>
      <c r="H4062">
        <v>12.170277779999999</v>
      </c>
      <c r="I4062" t="s">
        <v>764</v>
      </c>
      <c r="J4062" s="2" t="s">
        <v>5</v>
      </c>
      <c r="K4062" t="s">
        <v>523</v>
      </c>
      <c r="L4062" t="s">
        <v>143</v>
      </c>
      <c r="M4062" t="s">
        <v>638</v>
      </c>
      <c r="N4062" t="s">
        <v>85</v>
      </c>
      <c r="O4062" s="6" t="s">
        <v>221</v>
      </c>
      <c r="P4062" t="s">
        <v>126</v>
      </c>
      <c r="Q4062">
        <v>9</v>
      </c>
      <c r="R4062" t="s">
        <v>213</v>
      </c>
      <c r="S4062" s="2" t="s">
        <v>9</v>
      </c>
      <c r="T4062">
        <v>4</v>
      </c>
      <c r="U4062">
        <v>7.07</v>
      </c>
      <c r="V4062">
        <v>1237</v>
      </c>
      <c r="W4062" t="s">
        <v>28</v>
      </c>
      <c r="X4062">
        <v>34</v>
      </c>
      <c r="Y4062">
        <v>0.8</v>
      </c>
      <c r="AA4062" s="6"/>
      <c r="AB4062" s="6"/>
    </row>
    <row r="4063" spans="1:28" x14ac:dyDescent="0.2">
      <c r="A4063" t="s">
        <v>522</v>
      </c>
      <c r="B4063">
        <v>2016</v>
      </c>
      <c r="C4063" t="s">
        <v>807</v>
      </c>
      <c r="D4063" t="s">
        <v>808</v>
      </c>
      <c r="E4063" t="s">
        <v>205</v>
      </c>
      <c r="F4063" t="s">
        <v>531</v>
      </c>
      <c r="G4063">
        <v>79.011388890000006</v>
      </c>
      <c r="H4063">
        <v>12.170277779999999</v>
      </c>
      <c r="I4063" t="s">
        <v>764</v>
      </c>
      <c r="J4063" s="2" t="s">
        <v>14</v>
      </c>
      <c r="K4063" t="s">
        <v>523</v>
      </c>
      <c r="L4063" t="s">
        <v>143</v>
      </c>
      <c r="M4063" t="s">
        <v>638</v>
      </c>
      <c r="N4063" t="s">
        <v>85</v>
      </c>
      <c r="O4063" s="6" t="s">
        <v>221</v>
      </c>
      <c r="P4063" t="s">
        <v>126</v>
      </c>
      <c r="Q4063">
        <v>9</v>
      </c>
      <c r="R4063" t="s">
        <v>213</v>
      </c>
      <c r="S4063" s="2" t="s">
        <v>27</v>
      </c>
      <c r="T4063">
        <v>4</v>
      </c>
      <c r="U4063" t="s">
        <v>28</v>
      </c>
      <c r="V4063" t="s">
        <v>28</v>
      </c>
      <c r="W4063">
        <v>10</v>
      </c>
      <c r="X4063">
        <v>34.9</v>
      </c>
      <c r="Y4063">
        <v>1.8</v>
      </c>
      <c r="AA4063" s="6"/>
      <c r="AB4063" s="6"/>
    </row>
    <row r="4064" spans="1:28" x14ac:dyDescent="0.2">
      <c r="A4064" t="s">
        <v>522</v>
      </c>
      <c r="B4064">
        <v>2016</v>
      </c>
      <c r="C4064" t="s">
        <v>807</v>
      </c>
      <c r="D4064" t="s">
        <v>808</v>
      </c>
      <c r="E4064" t="s">
        <v>205</v>
      </c>
      <c r="F4064" t="s">
        <v>531</v>
      </c>
      <c r="G4064">
        <v>79.011388890000006</v>
      </c>
      <c r="H4064">
        <v>12.170277779999999</v>
      </c>
      <c r="I4064" t="s">
        <v>764</v>
      </c>
      <c r="J4064" s="2" t="s">
        <v>16</v>
      </c>
      <c r="K4064" t="s">
        <v>523</v>
      </c>
      <c r="L4064" t="s">
        <v>143</v>
      </c>
      <c r="M4064" t="s">
        <v>638</v>
      </c>
      <c r="N4064" t="s">
        <v>85</v>
      </c>
      <c r="O4064" s="6" t="s">
        <v>221</v>
      </c>
      <c r="P4064" t="s">
        <v>126</v>
      </c>
      <c r="Q4064">
        <v>9</v>
      </c>
      <c r="R4064" t="s">
        <v>213</v>
      </c>
      <c r="S4064" s="2" t="s">
        <v>13</v>
      </c>
      <c r="T4064">
        <v>4</v>
      </c>
      <c r="U4064">
        <v>7.81</v>
      </c>
      <c r="V4064">
        <v>1146</v>
      </c>
      <c r="W4064">
        <v>10</v>
      </c>
      <c r="X4064">
        <v>34</v>
      </c>
      <c r="Y4064">
        <v>0.9</v>
      </c>
      <c r="AA4064" s="6"/>
      <c r="AB4064" s="6"/>
    </row>
    <row r="4065" spans="1:28" x14ac:dyDescent="0.2">
      <c r="A4065" t="s">
        <v>522</v>
      </c>
      <c r="B4065">
        <v>2016</v>
      </c>
      <c r="C4065" t="s">
        <v>807</v>
      </c>
      <c r="D4065" t="s">
        <v>808</v>
      </c>
      <c r="E4065" t="s">
        <v>205</v>
      </c>
      <c r="F4065" t="s">
        <v>531</v>
      </c>
      <c r="G4065">
        <v>79.011388890000006</v>
      </c>
      <c r="H4065">
        <v>12.170277779999999</v>
      </c>
      <c r="I4065" t="s">
        <v>764</v>
      </c>
      <c r="J4065" s="2" t="s">
        <v>7</v>
      </c>
      <c r="K4065" t="s">
        <v>523</v>
      </c>
      <c r="L4065" t="s">
        <v>143</v>
      </c>
      <c r="M4065" t="s">
        <v>638</v>
      </c>
      <c r="N4065" t="s">
        <v>85</v>
      </c>
      <c r="O4065" s="6" t="s">
        <v>107</v>
      </c>
      <c r="P4065" t="s">
        <v>126</v>
      </c>
      <c r="Q4065">
        <v>9</v>
      </c>
      <c r="R4065" t="s">
        <v>213</v>
      </c>
      <c r="S4065" s="2" t="s">
        <v>7</v>
      </c>
      <c r="T4065">
        <v>4</v>
      </c>
      <c r="U4065">
        <v>8.19</v>
      </c>
      <c r="V4065">
        <v>376</v>
      </c>
      <c r="W4065">
        <v>4</v>
      </c>
      <c r="X4065">
        <v>1.59</v>
      </c>
      <c r="Y4065">
        <v>0.25</v>
      </c>
      <c r="AA4065" s="6"/>
      <c r="AB4065" s="6"/>
    </row>
    <row r="4066" spans="1:28" x14ac:dyDescent="0.2">
      <c r="A4066" t="s">
        <v>522</v>
      </c>
      <c r="B4066">
        <v>2016</v>
      </c>
      <c r="C4066" t="s">
        <v>807</v>
      </c>
      <c r="D4066" t="s">
        <v>808</v>
      </c>
      <c r="E4066" t="s">
        <v>205</v>
      </c>
      <c r="F4066" t="s">
        <v>531</v>
      </c>
      <c r="G4066">
        <v>79.011388890000006</v>
      </c>
      <c r="H4066">
        <v>12.170277779999999</v>
      </c>
      <c r="I4066" t="s">
        <v>764</v>
      </c>
      <c r="J4066" s="2" t="s">
        <v>5</v>
      </c>
      <c r="K4066" t="s">
        <v>523</v>
      </c>
      <c r="L4066" t="s">
        <v>143</v>
      </c>
      <c r="M4066" t="s">
        <v>638</v>
      </c>
      <c r="N4066" t="s">
        <v>85</v>
      </c>
      <c r="O4066" s="6" t="s">
        <v>107</v>
      </c>
      <c r="P4066" t="s">
        <v>126</v>
      </c>
      <c r="Q4066">
        <v>9</v>
      </c>
      <c r="R4066" t="s">
        <v>213</v>
      </c>
      <c r="S4066" s="2" t="s">
        <v>9</v>
      </c>
      <c r="T4066">
        <v>4</v>
      </c>
      <c r="U4066">
        <v>7.07</v>
      </c>
      <c r="V4066">
        <v>1237</v>
      </c>
      <c r="W4066" t="s">
        <v>28</v>
      </c>
      <c r="X4066">
        <v>1.48</v>
      </c>
      <c r="Y4066">
        <v>0.16</v>
      </c>
      <c r="AA4066" s="6"/>
      <c r="AB4066" s="6"/>
    </row>
    <row r="4067" spans="1:28" x14ac:dyDescent="0.2">
      <c r="A4067" t="s">
        <v>522</v>
      </c>
      <c r="B4067">
        <v>2016</v>
      </c>
      <c r="C4067" t="s">
        <v>807</v>
      </c>
      <c r="D4067" t="s">
        <v>808</v>
      </c>
      <c r="E4067" t="s">
        <v>205</v>
      </c>
      <c r="F4067" t="s">
        <v>531</v>
      </c>
      <c r="G4067">
        <v>79.011388890000006</v>
      </c>
      <c r="H4067">
        <v>12.170277779999999</v>
      </c>
      <c r="I4067" t="s">
        <v>764</v>
      </c>
      <c r="J4067" s="2" t="s">
        <v>14</v>
      </c>
      <c r="K4067" t="s">
        <v>523</v>
      </c>
      <c r="L4067" t="s">
        <v>143</v>
      </c>
      <c r="M4067" t="s">
        <v>638</v>
      </c>
      <c r="N4067" t="s">
        <v>85</v>
      </c>
      <c r="O4067" s="6" t="s">
        <v>107</v>
      </c>
      <c r="P4067" t="s">
        <v>126</v>
      </c>
      <c r="Q4067">
        <v>9</v>
      </c>
      <c r="R4067" t="s">
        <v>213</v>
      </c>
      <c r="S4067" s="2" t="s">
        <v>27</v>
      </c>
      <c r="T4067">
        <v>4</v>
      </c>
      <c r="U4067" t="s">
        <v>28</v>
      </c>
      <c r="V4067" t="s">
        <v>28</v>
      </c>
      <c r="W4067">
        <v>10</v>
      </c>
      <c r="X4067">
        <v>1.44</v>
      </c>
      <c r="Y4067">
        <v>0.09</v>
      </c>
      <c r="AA4067" s="6"/>
      <c r="AB4067" s="6"/>
    </row>
    <row r="4068" spans="1:28" x14ac:dyDescent="0.2">
      <c r="A4068" t="s">
        <v>522</v>
      </c>
      <c r="B4068">
        <v>2016</v>
      </c>
      <c r="C4068" t="s">
        <v>807</v>
      </c>
      <c r="D4068" t="s">
        <v>808</v>
      </c>
      <c r="E4068" t="s">
        <v>205</v>
      </c>
      <c r="F4068" t="s">
        <v>531</v>
      </c>
      <c r="G4068">
        <v>79.011388890000006</v>
      </c>
      <c r="H4068">
        <v>12.170277779999999</v>
      </c>
      <c r="I4068" t="s">
        <v>764</v>
      </c>
      <c r="J4068" s="2" t="s">
        <v>16</v>
      </c>
      <c r="K4068" t="s">
        <v>523</v>
      </c>
      <c r="L4068" t="s">
        <v>143</v>
      </c>
      <c r="M4068" t="s">
        <v>638</v>
      </c>
      <c r="N4068" t="s">
        <v>85</v>
      </c>
      <c r="O4068" s="6" t="s">
        <v>107</v>
      </c>
      <c r="P4068" t="s">
        <v>126</v>
      </c>
      <c r="Q4068">
        <v>9</v>
      </c>
      <c r="R4068" t="s">
        <v>213</v>
      </c>
      <c r="S4068" s="2" t="s">
        <v>13</v>
      </c>
      <c r="T4068">
        <v>4</v>
      </c>
      <c r="U4068">
        <v>7.81</v>
      </c>
      <c r="V4068">
        <v>1146</v>
      </c>
      <c r="W4068">
        <v>10</v>
      </c>
      <c r="X4068">
        <v>1.45</v>
      </c>
      <c r="Y4068">
        <v>0.17</v>
      </c>
      <c r="AA4068" s="6"/>
      <c r="AB4068" s="6"/>
    </row>
    <row r="4069" spans="1:28" x14ac:dyDescent="0.2">
      <c r="A4069" t="s">
        <v>522</v>
      </c>
      <c r="B4069">
        <v>2016</v>
      </c>
      <c r="C4069" t="s">
        <v>807</v>
      </c>
      <c r="D4069" t="s">
        <v>808</v>
      </c>
      <c r="E4069" t="s">
        <v>205</v>
      </c>
      <c r="F4069" t="s">
        <v>531</v>
      </c>
      <c r="G4069">
        <v>79.011388890000006</v>
      </c>
      <c r="H4069">
        <v>12.170277779999999</v>
      </c>
      <c r="I4069" t="s">
        <v>764</v>
      </c>
      <c r="J4069" s="2" t="s">
        <v>7</v>
      </c>
      <c r="K4069" t="s">
        <v>523</v>
      </c>
      <c r="L4069" t="s">
        <v>143</v>
      </c>
      <c r="M4069" t="s">
        <v>638</v>
      </c>
      <c r="N4069" t="s">
        <v>86</v>
      </c>
      <c r="O4069" s="6" t="s">
        <v>272</v>
      </c>
      <c r="P4069" t="s">
        <v>349</v>
      </c>
      <c r="Q4069">
        <v>9</v>
      </c>
      <c r="R4069" t="s">
        <v>213</v>
      </c>
      <c r="S4069" s="2" t="s">
        <v>7</v>
      </c>
      <c r="T4069">
        <v>4</v>
      </c>
      <c r="U4069">
        <v>8.19</v>
      </c>
      <c r="V4069">
        <v>376</v>
      </c>
      <c r="W4069">
        <v>4</v>
      </c>
      <c r="X4069">
        <v>26.6</v>
      </c>
      <c r="Y4069">
        <v>4.9000000000000004</v>
      </c>
      <c r="AA4069" s="6"/>
      <c r="AB4069" s="6"/>
    </row>
    <row r="4070" spans="1:28" x14ac:dyDescent="0.2">
      <c r="A4070" t="s">
        <v>522</v>
      </c>
      <c r="B4070">
        <v>2016</v>
      </c>
      <c r="C4070" t="s">
        <v>807</v>
      </c>
      <c r="D4070" t="s">
        <v>808</v>
      </c>
      <c r="E4070" t="s">
        <v>205</v>
      </c>
      <c r="F4070" t="s">
        <v>531</v>
      </c>
      <c r="G4070">
        <v>79.011388890000006</v>
      </c>
      <c r="H4070">
        <v>12.170277779999999</v>
      </c>
      <c r="I4070" t="s">
        <v>764</v>
      </c>
      <c r="J4070" s="2" t="s">
        <v>5</v>
      </c>
      <c r="K4070" t="s">
        <v>523</v>
      </c>
      <c r="L4070" t="s">
        <v>143</v>
      </c>
      <c r="M4070" t="s">
        <v>638</v>
      </c>
      <c r="N4070" t="s">
        <v>86</v>
      </c>
      <c r="O4070" s="6" t="s">
        <v>272</v>
      </c>
      <c r="P4070" t="s">
        <v>349</v>
      </c>
      <c r="Q4070">
        <v>9</v>
      </c>
      <c r="R4070" t="s">
        <v>213</v>
      </c>
      <c r="S4070" s="2" t="s">
        <v>9</v>
      </c>
      <c r="T4070">
        <v>4</v>
      </c>
      <c r="U4070">
        <v>7.07</v>
      </c>
      <c r="V4070">
        <v>1237</v>
      </c>
      <c r="W4070" t="s">
        <v>28</v>
      </c>
      <c r="X4070">
        <v>27</v>
      </c>
      <c r="Y4070">
        <v>2.7</v>
      </c>
      <c r="AA4070" s="6"/>
      <c r="AB4070" s="6"/>
    </row>
    <row r="4071" spans="1:28" x14ac:dyDescent="0.2">
      <c r="A4071" t="s">
        <v>522</v>
      </c>
      <c r="B4071">
        <v>2016</v>
      </c>
      <c r="C4071" t="s">
        <v>807</v>
      </c>
      <c r="D4071" t="s">
        <v>808</v>
      </c>
      <c r="E4071" t="s">
        <v>205</v>
      </c>
      <c r="F4071" t="s">
        <v>531</v>
      </c>
      <c r="G4071">
        <v>79.011388890000006</v>
      </c>
      <c r="H4071">
        <v>12.170277779999999</v>
      </c>
      <c r="I4071" t="s">
        <v>764</v>
      </c>
      <c r="J4071" s="2" t="s">
        <v>14</v>
      </c>
      <c r="K4071" t="s">
        <v>523</v>
      </c>
      <c r="L4071" t="s">
        <v>143</v>
      </c>
      <c r="M4071" t="s">
        <v>638</v>
      </c>
      <c r="N4071" t="s">
        <v>86</v>
      </c>
      <c r="O4071" s="6" t="s">
        <v>272</v>
      </c>
      <c r="P4071" t="s">
        <v>349</v>
      </c>
      <c r="Q4071">
        <v>9</v>
      </c>
      <c r="R4071" t="s">
        <v>213</v>
      </c>
      <c r="S4071" s="2" t="s">
        <v>27</v>
      </c>
      <c r="T4071">
        <v>4</v>
      </c>
      <c r="U4071" t="s">
        <v>28</v>
      </c>
      <c r="V4071" t="s">
        <v>28</v>
      </c>
      <c r="W4071">
        <v>10</v>
      </c>
      <c r="X4071">
        <v>28.2</v>
      </c>
      <c r="Y4071">
        <v>1.4</v>
      </c>
      <c r="AA4071" s="6"/>
      <c r="AB4071" s="6"/>
    </row>
    <row r="4072" spans="1:28" x14ac:dyDescent="0.2">
      <c r="A4072" t="s">
        <v>522</v>
      </c>
      <c r="B4072">
        <v>2016</v>
      </c>
      <c r="C4072" t="s">
        <v>807</v>
      </c>
      <c r="D4072" t="s">
        <v>808</v>
      </c>
      <c r="E4072" t="s">
        <v>205</v>
      </c>
      <c r="F4072" t="s">
        <v>531</v>
      </c>
      <c r="G4072">
        <v>79.011388890000006</v>
      </c>
      <c r="H4072">
        <v>12.170277779999999</v>
      </c>
      <c r="I4072" t="s">
        <v>764</v>
      </c>
      <c r="J4072" s="2" t="s">
        <v>16</v>
      </c>
      <c r="K4072" t="s">
        <v>523</v>
      </c>
      <c r="L4072" t="s">
        <v>143</v>
      </c>
      <c r="M4072" t="s">
        <v>638</v>
      </c>
      <c r="N4072" t="s">
        <v>86</v>
      </c>
      <c r="O4072" s="6" t="s">
        <v>272</v>
      </c>
      <c r="P4072" t="s">
        <v>349</v>
      </c>
      <c r="Q4072">
        <v>9</v>
      </c>
      <c r="R4072" t="s">
        <v>213</v>
      </c>
      <c r="S4072" s="2" t="s">
        <v>13</v>
      </c>
      <c r="T4072">
        <v>4</v>
      </c>
      <c r="U4072">
        <v>7.81</v>
      </c>
      <c r="V4072">
        <v>1146</v>
      </c>
      <c r="W4072">
        <v>10</v>
      </c>
      <c r="X4072">
        <v>27.7</v>
      </c>
      <c r="Y4072">
        <v>3.1</v>
      </c>
      <c r="AA4072" s="6"/>
      <c r="AB4072" s="6"/>
    </row>
    <row r="4073" spans="1:28" x14ac:dyDescent="0.2">
      <c r="A4073" t="s">
        <v>522</v>
      </c>
      <c r="B4073">
        <v>2016</v>
      </c>
      <c r="C4073" t="s">
        <v>807</v>
      </c>
      <c r="D4073" t="s">
        <v>808</v>
      </c>
      <c r="E4073" t="s">
        <v>205</v>
      </c>
      <c r="F4073" t="s">
        <v>531</v>
      </c>
      <c r="G4073">
        <v>79.011388890000006</v>
      </c>
      <c r="H4073">
        <v>12.170277779999999</v>
      </c>
      <c r="I4073" t="s">
        <v>764</v>
      </c>
      <c r="J4073" s="2" t="s">
        <v>7</v>
      </c>
      <c r="K4073" t="s">
        <v>523</v>
      </c>
      <c r="L4073" t="s">
        <v>143</v>
      </c>
      <c r="M4073" t="s">
        <v>638</v>
      </c>
      <c r="N4073" t="s">
        <v>85</v>
      </c>
      <c r="O4073" s="6" t="s">
        <v>348</v>
      </c>
      <c r="P4073" t="s">
        <v>147</v>
      </c>
      <c r="Q4073">
        <v>9</v>
      </c>
      <c r="R4073" t="s">
        <v>213</v>
      </c>
      <c r="S4073" s="2" t="s">
        <v>7</v>
      </c>
      <c r="T4073">
        <v>4</v>
      </c>
      <c r="U4073">
        <v>8.19</v>
      </c>
      <c r="V4073">
        <v>376</v>
      </c>
      <c r="W4073">
        <v>4</v>
      </c>
      <c r="X4073">
        <v>8.1999999999999993</v>
      </c>
      <c r="Y4073">
        <v>1.7</v>
      </c>
      <c r="AA4073" s="6"/>
      <c r="AB4073" s="6"/>
    </row>
    <row r="4074" spans="1:28" x14ac:dyDescent="0.2">
      <c r="A4074" t="s">
        <v>522</v>
      </c>
      <c r="B4074">
        <v>2016</v>
      </c>
      <c r="C4074" t="s">
        <v>807</v>
      </c>
      <c r="D4074" t="s">
        <v>808</v>
      </c>
      <c r="E4074" t="s">
        <v>205</v>
      </c>
      <c r="F4074" t="s">
        <v>531</v>
      </c>
      <c r="G4074">
        <v>79.011388890000006</v>
      </c>
      <c r="H4074">
        <v>12.170277779999999</v>
      </c>
      <c r="I4074" t="s">
        <v>764</v>
      </c>
      <c r="J4074" s="2" t="s">
        <v>5</v>
      </c>
      <c r="K4074" t="s">
        <v>523</v>
      </c>
      <c r="L4074" t="s">
        <v>143</v>
      </c>
      <c r="M4074" t="s">
        <v>638</v>
      </c>
      <c r="N4074" t="s">
        <v>85</v>
      </c>
      <c r="O4074" s="6" t="s">
        <v>348</v>
      </c>
      <c r="P4074" t="s">
        <v>147</v>
      </c>
      <c r="Q4074">
        <v>9</v>
      </c>
      <c r="R4074" t="s">
        <v>213</v>
      </c>
      <c r="S4074" s="2" t="s">
        <v>9</v>
      </c>
      <c r="T4074">
        <v>4</v>
      </c>
      <c r="U4074">
        <v>7.07</v>
      </c>
      <c r="V4074">
        <v>1237</v>
      </c>
      <c r="W4074" t="s">
        <v>28</v>
      </c>
      <c r="X4074">
        <v>14.5</v>
      </c>
      <c r="Y4074">
        <v>6.4</v>
      </c>
      <c r="AA4074" s="6"/>
      <c r="AB4074" s="6"/>
    </row>
    <row r="4075" spans="1:28" x14ac:dyDescent="0.2">
      <c r="A4075" t="s">
        <v>522</v>
      </c>
      <c r="B4075">
        <v>2016</v>
      </c>
      <c r="C4075" t="s">
        <v>807</v>
      </c>
      <c r="D4075" t="s">
        <v>808</v>
      </c>
      <c r="E4075" t="s">
        <v>205</v>
      </c>
      <c r="F4075" t="s">
        <v>531</v>
      </c>
      <c r="G4075">
        <v>79.011388890000006</v>
      </c>
      <c r="H4075">
        <v>12.170277779999999</v>
      </c>
      <c r="I4075" t="s">
        <v>764</v>
      </c>
      <c r="J4075" s="2" t="s">
        <v>14</v>
      </c>
      <c r="K4075" t="s">
        <v>523</v>
      </c>
      <c r="L4075" t="s">
        <v>143</v>
      </c>
      <c r="M4075" t="s">
        <v>638</v>
      </c>
      <c r="N4075" t="s">
        <v>85</v>
      </c>
      <c r="O4075" s="6" t="s">
        <v>348</v>
      </c>
      <c r="P4075" t="s">
        <v>147</v>
      </c>
      <c r="Q4075">
        <v>9</v>
      </c>
      <c r="R4075" t="s">
        <v>213</v>
      </c>
      <c r="S4075" s="2" t="s">
        <v>27</v>
      </c>
      <c r="T4075">
        <v>4</v>
      </c>
      <c r="U4075" t="s">
        <v>28</v>
      </c>
      <c r="V4075" t="s">
        <v>28</v>
      </c>
      <c r="W4075">
        <v>10</v>
      </c>
      <c r="X4075">
        <v>18.100000000000001</v>
      </c>
      <c r="Y4075">
        <v>8.5</v>
      </c>
      <c r="AA4075" s="6"/>
      <c r="AB4075" s="6"/>
    </row>
    <row r="4076" spans="1:28" x14ac:dyDescent="0.2">
      <c r="A4076" t="s">
        <v>522</v>
      </c>
      <c r="B4076">
        <v>2016</v>
      </c>
      <c r="C4076" t="s">
        <v>807</v>
      </c>
      <c r="D4076" t="s">
        <v>808</v>
      </c>
      <c r="E4076" t="s">
        <v>205</v>
      </c>
      <c r="F4076" t="s">
        <v>531</v>
      </c>
      <c r="G4076">
        <v>79.011388890000006</v>
      </c>
      <c r="H4076">
        <v>12.170277779999999</v>
      </c>
      <c r="I4076" t="s">
        <v>764</v>
      </c>
      <c r="J4076" s="2" t="s">
        <v>16</v>
      </c>
      <c r="K4076" t="s">
        <v>523</v>
      </c>
      <c r="L4076" t="s">
        <v>143</v>
      </c>
      <c r="M4076" t="s">
        <v>638</v>
      </c>
      <c r="N4076" t="s">
        <v>85</v>
      </c>
      <c r="O4076" s="6" t="s">
        <v>348</v>
      </c>
      <c r="P4076" t="s">
        <v>147</v>
      </c>
      <c r="Q4076">
        <v>9</v>
      </c>
      <c r="R4076" t="s">
        <v>213</v>
      </c>
      <c r="S4076" s="2" t="s">
        <v>13</v>
      </c>
      <c r="T4076">
        <v>4</v>
      </c>
      <c r="U4076">
        <v>7.81</v>
      </c>
      <c r="V4076">
        <v>1146</v>
      </c>
      <c r="W4076">
        <v>10</v>
      </c>
      <c r="X4076">
        <v>23.8</v>
      </c>
      <c r="Y4076">
        <v>7.2</v>
      </c>
      <c r="AA4076" s="6"/>
      <c r="AB4076" s="6"/>
    </row>
    <row r="4077" spans="1:28" x14ac:dyDescent="0.2">
      <c r="A4077" t="s">
        <v>522</v>
      </c>
      <c r="B4077">
        <v>2016</v>
      </c>
      <c r="C4077" t="s">
        <v>807</v>
      </c>
      <c r="D4077" t="s">
        <v>808</v>
      </c>
      <c r="E4077" t="s">
        <v>205</v>
      </c>
      <c r="F4077" t="s">
        <v>531</v>
      </c>
      <c r="G4077">
        <v>79.011388890000006</v>
      </c>
      <c r="H4077">
        <v>12.170277779999999</v>
      </c>
      <c r="I4077" t="s">
        <v>764</v>
      </c>
      <c r="J4077" s="2" t="s">
        <v>7</v>
      </c>
      <c r="K4077" t="s">
        <v>523</v>
      </c>
      <c r="L4077" t="s">
        <v>143</v>
      </c>
      <c r="M4077" t="s">
        <v>638</v>
      </c>
      <c r="N4077" t="s">
        <v>85</v>
      </c>
      <c r="O4077" s="6" t="s">
        <v>347</v>
      </c>
      <c r="P4077" t="s">
        <v>147</v>
      </c>
      <c r="Q4077">
        <v>9</v>
      </c>
      <c r="R4077" t="s">
        <v>213</v>
      </c>
      <c r="S4077" s="2" t="s">
        <v>7</v>
      </c>
      <c r="T4077">
        <v>4</v>
      </c>
      <c r="U4077">
        <v>8.19</v>
      </c>
      <c r="V4077">
        <v>376</v>
      </c>
      <c r="W4077">
        <v>4</v>
      </c>
      <c r="X4077">
        <v>20.5</v>
      </c>
      <c r="Y4077">
        <v>9.4</v>
      </c>
      <c r="AA4077" s="6"/>
      <c r="AB4077" s="6"/>
    </row>
    <row r="4078" spans="1:28" x14ac:dyDescent="0.2">
      <c r="A4078" t="s">
        <v>522</v>
      </c>
      <c r="B4078">
        <v>2016</v>
      </c>
      <c r="C4078" t="s">
        <v>807</v>
      </c>
      <c r="D4078" t="s">
        <v>808</v>
      </c>
      <c r="E4078" t="s">
        <v>205</v>
      </c>
      <c r="F4078" t="s">
        <v>531</v>
      </c>
      <c r="G4078">
        <v>79.011388890000006</v>
      </c>
      <c r="H4078">
        <v>12.170277779999999</v>
      </c>
      <c r="I4078" t="s">
        <v>764</v>
      </c>
      <c r="J4078" s="2" t="s">
        <v>5</v>
      </c>
      <c r="K4078" t="s">
        <v>523</v>
      </c>
      <c r="L4078" t="s">
        <v>143</v>
      </c>
      <c r="M4078" t="s">
        <v>638</v>
      </c>
      <c r="N4078" t="s">
        <v>85</v>
      </c>
      <c r="O4078" s="6" t="s">
        <v>347</v>
      </c>
      <c r="P4078" t="s">
        <v>147</v>
      </c>
      <c r="Q4078">
        <v>9</v>
      </c>
      <c r="R4078" t="s">
        <v>213</v>
      </c>
      <c r="S4078" s="2" t="s">
        <v>9</v>
      </c>
      <c r="T4078">
        <v>4</v>
      </c>
      <c r="U4078">
        <v>7.07</v>
      </c>
      <c r="V4078">
        <v>1237</v>
      </c>
      <c r="W4078" t="s">
        <v>28</v>
      </c>
      <c r="X4078">
        <v>22.9</v>
      </c>
      <c r="Y4078">
        <v>7.6</v>
      </c>
      <c r="AA4078" s="6"/>
      <c r="AB4078" s="6"/>
    </row>
    <row r="4079" spans="1:28" x14ac:dyDescent="0.2">
      <c r="A4079" t="s">
        <v>522</v>
      </c>
      <c r="B4079">
        <v>2016</v>
      </c>
      <c r="C4079" t="s">
        <v>807</v>
      </c>
      <c r="D4079" t="s">
        <v>808</v>
      </c>
      <c r="E4079" t="s">
        <v>205</v>
      </c>
      <c r="F4079" t="s">
        <v>531</v>
      </c>
      <c r="G4079">
        <v>79.011388890000006</v>
      </c>
      <c r="H4079">
        <v>12.170277779999999</v>
      </c>
      <c r="I4079" t="s">
        <v>764</v>
      </c>
      <c r="J4079" s="2" t="s">
        <v>14</v>
      </c>
      <c r="K4079" t="s">
        <v>523</v>
      </c>
      <c r="L4079" t="s">
        <v>143</v>
      </c>
      <c r="M4079" t="s">
        <v>638</v>
      </c>
      <c r="N4079" t="s">
        <v>85</v>
      </c>
      <c r="O4079" s="6" t="s">
        <v>347</v>
      </c>
      <c r="P4079" t="s">
        <v>147</v>
      </c>
      <c r="Q4079">
        <v>9</v>
      </c>
      <c r="R4079" t="s">
        <v>213</v>
      </c>
      <c r="S4079" s="2" t="s">
        <v>27</v>
      </c>
      <c r="T4079">
        <v>4</v>
      </c>
      <c r="U4079" t="s">
        <v>28</v>
      </c>
      <c r="V4079" t="s">
        <v>28</v>
      </c>
      <c r="W4079">
        <v>10</v>
      </c>
      <c r="X4079">
        <v>29.9</v>
      </c>
      <c r="Y4079">
        <v>5.2</v>
      </c>
      <c r="AA4079" s="6"/>
      <c r="AB4079" s="6"/>
    </row>
    <row r="4080" spans="1:28" x14ac:dyDescent="0.2">
      <c r="A4080" t="s">
        <v>522</v>
      </c>
      <c r="B4080">
        <v>2016</v>
      </c>
      <c r="C4080" t="s">
        <v>807</v>
      </c>
      <c r="D4080" t="s">
        <v>808</v>
      </c>
      <c r="E4080" t="s">
        <v>205</v>
      </c>
      <c r="F4080" t="s">
        <v>531</v>
      </c>
      <c r="G4080">
        <v>79.011388890000006</v>
      </c>
      <c r="H4080">
        <v>12.170277779999999</v>
      </c>
      <c r="I4080" t="s">
        <v>764</v>
      </c>
      <c r="J4080" s="2" t="s">
        <v>16</v>
      </c>
      <c r="K4080" t="s">
        <v>523</v>
      </c>
      <c r="L4080" t="s">
        <v>143</v>
      </c>
      <c r="M4080" t="s">
        <v>638</v>
      </c>
      <c r="N4080" t="s">
        <v>85</v>
      </c>
      <c r="O4080" s="6" t="s">
        <v>347</v>
      </c>
      <c r="P4080" t="s">
        <v>147</v>
      </c>
      <c r="Q4080">
        <v>9</v>
      </c>
      <c r="R4080" t="s">
        <v>213</v>
      </c>
      <c r="S4080" s="2" t="s">
        <v>13</v>
      </c>
      <c r="T4080">
        <v>4</v>
      </c>
      <c r="U4080">
        <v>7.81</v>
      </c>
      <c r="V4080">
        <v>1146</v>
      </c>
      <c r="W4080">
        <v>10</v>
      </c>
      <c r="X4080">
        <v>18.3</v>
      </c>
      <c r="Y4080">
        <v>1.4</v>
      </c>
      <c r="AA4080" s="6"/>
      <c r="AB4080" s="6"/>
    </row>
    <row r="4081" spans="1:29" x14ac:dyDescent="0.2">
      <c r="A4081" t="s">
        <v>522</v>
      </c>
      <c r="B4081">
        <v>2016</v>
      </c>
      <c r="C4081" t="s">
        <v>807</v>
      </c>
      <c r="D4081" t="s">
        <v>808</v>
      </c>
      <c r="E4081" t="s">
        <v>205</v>
      </c>
      <c r="F4081" t="s">
        <v>531</v>
      </c>
      <c r="G4081">
        <v>79.011388890000006</v>
      </c>
      <c r="H4081">
        <v>12.170277779999999</v>
      </c>
      <c r="I4081" t="s">
        <v>764</v>
      </c>
      <c r="J4081" s="2" t="s">
        <v>7</v>
      </c>
      <c r="K4081" t="s">
        <v>523</v>
      </c>
      <c r="L4081" t="s">
        <v>143</v>
      </c>
      <c r="M4081" t="s">
        <v>638</v>
      </c>
      <c r="N4081" t="s">
        <v>85</v>
      </c>
      <c r="O4081" s="6" t="s">
        <v>350</v>
      </c>
      <c r="P4081" t="s">
        <v>147</v>
      </c>
      <c r="Q4081">
        <v>9</v>
      </c>
      <c r="R4081" t="s">
        <v>213</v>
      </c>
      <c r="S4081" s="2" t="s">
        <v>7</v>
      </c>
      <c r="T4081">
        <v>4</v>
      </c>
      <c r="U4081">
        <v>8.19</v>
      </c>
      <c r="V4081">
        <v>376</v>
      </c>
      <c r="W4081">
        <v>4</v>
      </c>
      <c r="X4081">
        <v>7.51</v>
      </c>
      <c r="Y4081">
        <v>0.66</v>
      </c>
      <c r="AA4081" s="6"/>
      <c r="AB4081" s="6"/>
    </row>
    <row r="4082" spans="1:29" x14ac:dyDescent="0.2">
      <c r="A4082" t="s">
        <v>522</v>
      </c>
      <c r="B4082">
        <v>2016</v>
      </c>
      <c r="C4082" t="s">
        <v>807</v>
      </c>
      <c r="D4082" t="s">
        <v>808</v>
      </c>
      <c r="E4082" t="s">
        <v>205</v>
      </c>
      <c r="F4082" t="s">
        <v>531</v>
      </c>
      <c r="G4082">
        <v>79.011388890000006</v>
      </c>
      <c r="H4082">
        <v>12.170277779999999</v>
      </c>
      <c r="I4082" t="s">
        <v>764</v>
      </c>
      <c r="J4082" s="2" t="s">
        <v>5</v>
      </c>
      <c r="K4082" t="s">
        <v>523</v>
      </c>
      <c r="L4082" t="s">
        <v>143</v>
      </c>
      <c r="M4082" t="s">
        <v>638</v>
      </c>
      <c r="N4082" t="s">
        <v>85</v>
      </c>
      <c r="O4082" s="6" t="s">
        <v>350</v>
      </c>
      <c r="P4082" t="s">
        <v>147</v>
      </c>
      <c r="Q4082">
        <v>9</v>
      </c>
      <c r="R4082" t="s">
        <v>213</v>
      </c>
      <c r="S4082" s="2" t="s">
        <v>9</v>
      </c>
      <c r="T4082">
        <v>4</v>
      </c>
      <c r="U4082">
        <v>7.07</v>
      </c>
      <c r="V4082">
        <v>1237</v>
      </c>
      <c r="W4082" t="s">
        <v>28</v>
      </c>
      <c r="X4082">
        <v>9.3699999999999992</v>
      </c>
      <c r="Y4082">
        <v>0.85</v>
      </c>
      <c r="AA4082" s="6"/>
      <c r="AB4082" s="6"/>
    </row>
    <row r="4083" spans="1:29" x14ac:dyDescent="0.2">
      <c r="A4083" t="s">
        <v>522</v>
      </c>
      <c r="B4083">
        <v>2016</v>
      </c>
      <c r="C4083" t="s">
        <v>807</v>
      </c>
      <c r="D4083" t="s">
        <v>808</v>
      </c>
      <c r="E4083" t="s">
        <v>205</v>
      </c>
      <c r="F4083" t="s">
        <v>531</v>
      </c>
      <c r="G4083">
        <v>79.011388890000006</v>
      </c>
      <c r="H4083">
        <v>12.170277779999999</v>
      </c>
      <c r="I4083" t="s">
        <v>764</v>
      </c>
      <c r="J4083" s="2" t="s">
        <v>14</v>
      </c>
      <c r="K4083" t="s">
        <v>523</v>
      </c>
      <c r="L4083" t="s">
        <v>143</v>
      </c>
      <c r="M4083" t="s">
        <v>638</v>
      </c>
      <c r="N4083" t="s">
        <v>85</v>
      </c>
      <c r="O4083" s="6" t="s">
        <v>350</v>
      </c>
      <c r="P4083" t="s">
        <v>147</v>
      </c>
      <c r="Q4083">
        <v>9</v>
      </c>
      <c r="R4083" t="s">
        <v>213</v>
      </c>
      <c r="S4083" s="2" t="s">
        <v>27</v>
      </c>
      <c r="T4083">
        <v>4</v>
      </c>
      <c r="U4083" t="s">
        <v>28</v>
      </c>
      <c r="V4083" t="s">
        <v>28</v>
      </c>
      <c r="W4083">
        <v>10</v>
      </c>
      <c r="X4083">
        <v>9.73</v>
      </c>
      <c r="Y4083">
        <v>0.77</v>
      </c>
      <c r="AA4083" s="6"/>
      <c r="AB4083" s="6"/>
    </row>
    <row r="4084" spans="1:29" x14ac:dyDescent="0.2">
      <c r="A4084" t="s">
        <v>522</v>
      </c>
      <c r="B4084">
        <v>2016</v>
      </c>
      <c r="C4084" t="s">
        <v>807</v>
      </c>
      <c r="D4084" t="s">
        <v>808</v>
      </c>
      <c r="E4084" t="s">
        <v>205</v>
      </c>
      <c r="F4084" t="s">
        <v>531</v>
      </c>
      <c r="G4084">
        <v>79.011388890000006</v>
      </c>
      <c r="H4084">
        <v>12.170277779999999</v>
      </c>
      <c r="I4084" t="s">
        <v>764</v>
      </c>
      <c r="J4084" s="2" t="s">
        <v>16</v>
      </c>
      <c r="K4084" t="s">
        <v>523</v>
      </c>
      <c r="L4084" t="s">
        <v>143</v>
      </c>
      <c r="M4084" t="s">
        <v>638</v>
      </c>
      <c r="N4084" t="s">
        <v>85</v>
      </c>
      <c r="O4084" s="6" t="s">
        <v>350</v>
      </c>
      <c r="P4084" t="s">
        <v>147</v>
      </c>
      <c r="Q4084">
        <v>9</v>
      </c>
      <c r="R4084" t="s">
        <v>213</v>
      </c>
      <c r="S4084" s="2" t="s">
        <v>13</v>
      </c>
      <c r="T4084">
        <v>4</v>
      </c>
      <c r="U4084">
        <v>7.81</v>
      </c>
      <c r="V4084">
        <v>1146</v>
      </c>
      <c r="W4084">
        <v>10</v>
      </c>
      <c r="X4084">
        <v>10.210000000000001</v>
      </c>
      <c r="Y4084">
        <v>0.67</v>
      </c>
      <c r="AA4084" s="6"/>
      <c r="AB4084" s="6"/>
    </row>
    <row r="4085" spans="1:29" x14ac:dyDescent="0.2">
      <c r="A4085" t="s">
        <v>522</v>
      </c>
      <c r="B4085">
        <v>2016</v>
      </c>
      <c r="C4085" t="s">
        <v>807</v>
      </c>
      <c r="D4085" t="s">
        <v>808</v>
      </c>
      <c r="E4085" t="s">
        <v>205</v>
      </c>
      <c r="F4085" t="s">
        <v>531</v>
      </c>
      <c r="G4085">
        <v>79.011388890000006</v>
      </c>
      <c r="H4085">
        <v>12.170277779999999</v>
      </c>
      <c r="I4085" t="s">
        <v>764</v>
      </c>
      <c r="J4085" s="2" t="s">
        <v>7</v>
      </c>
      <c r="K4085" t="s">
        <v>523</v>
      </c>
      <c r="L4085" t="s">
        <v>143</v>
      </c>
      <c r="M4085" t="s">
        <v>553</v>
      </c>
      <c r="N4085" t="s">
        <v>85</v>
      </c>
      <c r="O4085" s="6" t="s">
        <v>61</v>
      </c>
      <c r="P4085" t="s">
        <v>147</v>
      </c>
      <c r="Q4085">
        <v>9</v>
      </c>
      <c r="R4085" t="s">
        <v>213</v>
      </c>
      <c r="S4085" s="2" t="s">
        <v>7</v>
      </c>
      <c r="T4085">
        <v>4</v>
      </c>
      <c r="U4085">
        <v>8.19</v>
      </c>
      <c r="V4085">
        <v>376</v>
      </c>
      <c r="W4085">
        <v>4</v>
      </c>
      <c r="X4085">
        <v>1.1200000000000001</v>
      </c>
      <c r="Y4085">
        <v>0.12</v>
      </c>
      <c r="AA4085" s="6"/>
      <c r="AB4085" s="6"/>
      <c r="AC4085" s="2"/>
    </row>
    <row r="4086" spans="1:29" x14ac:dyDescent="0.2">
      <c r="A4086" t="s">
        <v>522</v>
      </c>
      <c r="B4086">
        <v>2016</v>
      </c>
      <c r="C4086" t="s">
        <v>807</v>
      </c>
      <c r="D4086" t="s">
        <v>808</v>
      </c>
      <c r="E4086" t="s">
        <v>205</v>
      </c>
      <c r="F4086" t="s">
        <v>531</v>
      </c>
      <c r="G4086">
        <v>79.011388890000006</v>
      </c>
      <c r="H4086">
        <v>12.170277779999999</v>
      </c>
      <c r="I4086" t="s">
        <v>764</v>
      </c>
      <c r="J4086" s="2" t="s">
        <v>5</v>
      </c>
      <c r="K4086" t="s">
        <v>523</v>
      </c>
      <c r="L4086" t="s">
        <v>143</v>
      </c>
      <c r="M4086" t="s">
        <v>553</v>
      </c>
      <c r="N4086" t="s">
        <v>85</v>
      </c>
      <c r="O4086" s="6" t="s">
        <v>61</v>
      </c>
      <c r="P4086" t="s">
        <v>147</v>
      </c>
      <c r="Q4086">
        <v>9</v>
      </c>
      <c r="R4086" t="s">
        <v>213</v>
      </c>
      <c r="S4086" s="2" t="s">
        <v>9</v>
      </c>
      <c r="T4086">
        <v>4</v>
      </c>
      <c r="U4086">
        <v>7.07</v>
      </c>
      <c r="V4086">
        <v>1237</v>
      </c>
      <c r="W4086" t="s">
        <v>28</v>
      </c>
      <c r="X4086">
        <v>0.87</v>
      </c>
      <c r="Y4086">
        <v>0.19</v>
      </c>
      <c r="AA4086" s="6"/>
      <c r="AB4086" s="6"/>
    </row>
    <row r="4087" spans="1:29" x14ac:dyDescent="0.2">
      <c r="A4087" t="s">
        <v>522</v>
      </c>
      <c r="B4087">
        <v>2016</v>
      </c>
      <c r="C4087" t="s">
        <v>807</v>
      </c>
      <c r="D4087" t="s">
        <v>808</v>
      </c>
      <c r="E4087" t="s">
        <v>205</v>
      </c>
      <c r="F4087" t="s">
        <v>531</v>
      </c>
      <c r="G4087">
        <v>79.011388890000006</v>
      </c>
      <c r="H4087">
        <v>12.170277779999999</v>
      </c>
      <c r="I4087" t="s">
        <v>764</v>
      </c>
      <c r="J4087" s="2" t="s">
        <v>14</v>
      </c>
      <c r="K4087" t="s">
        <v>523</v>
      </c>
      <c r="L4087" t="s">
        <v>143</v>
      </c>
      <c r="M4087" t="s">
        <v>553</v>
      </c>
      <c r="N4087" t="s">
        <v>85</v>
      </c>
      <c r="O4087" s="6" t="s">
        <v>61</v>
      </c>
      <c r="P4087" t="s">
        <v>147</v>
      </c>
      <c r="Q4087">
        <v>9</v>
      </c>
      <c r="R4087" t="s">
        <v>213</v>
      </c>
      <c r="S4087" s="2" t="s">
        <v>27</v>
      </c>
      <c r="T4087">
        <v>4</v>
      </c>
      <c r="U4087" t="s">
        <v>28</v>
      </c>
      <c r="V4087" t="s">
        <v>28</v>
      </c>
      <c r="W4087">
        <v>10</v>
      </c>
      <c r="X4087">
        <v>0.91</v>
      </c>
      <c r="Y4087">
        <v>0.15</v>
      </c>
      <c r="AA4087" s="6"/>
      <c r="AB4087" s="6"/>
    </row>
    <row r="4088" spans="1:29" x14ac:dyDescent="0.2">
      <c r="A4088" t="s">
        <v>522</v>
      </c>
      <c r="B4088">
        <v>2016</v>
      </c>
      <c r="C4088" t="s">
        <v>807</v>
      </c>
      <c r="D4088" t="s">
        <v>808</v>
      </c>
      <c r="E4088" t="s">
        <v>205</v>
      </c>
      <c r="F4088" t="s">
        <v>531</v>
      </c>
      <c r="G4088">
        <v>79.011388890000006</v>
      </c>
      <c r="H4088">
        <v>12.170277779999999</v>
      </c>
      <c r="I4088" t="s">
        <v>764</v>
      </c>
      <c r="J4088" s="2" t="s">
        <v>16</v>
      </c>
      <c r="K4088" t="s">
        <v>523</v>
      </c>
      <c r="L4088" t="s">
        <v>143</v>
      </c>
      <c r="M4088" t="s">
        <v>553</v>
      </c>
      <c r="N4088" t="s">
        <v>85</v>
      </c>
      <c r="O4088" s="6" t="s">
        <v>61</v>
      </c>
      <c r="P4088" t="s">
        <v>147</v>
      </c>
      <c r="Q4088">
        <v>9</v>
      </c>
      <c r="R4088" t="s">
        <v>213</v>
      </c>
      <c r="S4088" s="2" t="s">
        <v>13</v>
      </c>
      <c r="T4088">
        <v>4</v>
      </c>
      <c r="U4088">
        <v>7.81</v>
      </c>
      <c r="V4088">
        <v>1146</v>
      </c>
      <c r="W4088">
        <v>10</v>
      </c>
      <c r="X4088">
        <v>0.86</v>
      </c>
      <c r="Y4088">
        <v>7.0000000000000007E-2</v>
      </c>
      <c r="AA4088" s="6"/>
      <c r="AB4088" s="6"/>
    </row>
    <row r="4089" spans="1:29" x14ac:dyDescent="0.2">
      <c r="A4089" t="s">
        <v>522</v>
      </c>
      <c r="B4089">
        <v>2016</v>
      </c>
      <c r="C4089" t="s">
        <v>807</v>
      </c>
      <c r="D4089" t="s">
        <v>808</v>
      </c>
      <c r="E4089" t="s">
        <v>205</v>
      </c>
      <c r="F4089" t="s">
        <v>531</v>
      </c>
      <c r="G4089">
        <v>79.011388890000006</v>
      </c>
      <c r="H4089">
        <v>12.170277779999999</v>
      </c>
      <c r="I4089" t="s">
        <v>764</v>
      </c>
      <c r="J4089" s="2" t="s">
        <v>7</v>
      </c>
      <c r="K4089" t="s">
        <v>523</v>
      </c>
      <c r="L4089" t="s">
        <v>143</v>
      </c>
      <c r="M4089" s="6" t="s">
        <v>664</v>
      </c>
      <c r="N4089" t="s">
        <v>85</v>
      </c>
      <c r="O4089" s="6" t="s">
        <v>254</v>
      </c>
      <c r="P4089" t="s">
        <v>78</v>
      </c>
      <c r="Q4089">
        <v>9</v>
      </c>
      <c r="R4089" t="s">
        <v>213</v>
      </c>
      <c r="S4089" s="2" t="s">
        <v>7</v>
      </c>
      <c r="T4089">
        <v>4</v>
      </c>
      <c r="U4089">
        <v>8.19</v>
      </c>
      <c r="V4089">
        <v>376</v>
      </c>
      <c r="W4089">
        <v>4</v>
      </c>
      <c r="X4089">
        <v>0.22900000000000001</v>
      </c>
      <c r="Y4089">
        <f>0.2696-X4089</f>
        <v>4.0599999999999997E-2</v>
      </c>
      <c r="AA4089" s="6"/>
      <c r="AB4089" s="6"/>
    </row>
    <row r="4090" spans="1:29" x14ac:dyDescent="0.2">
      <c r="A4090" t="s">
        <v>522</v>
      </c>
      <c r="B4090">
        <v>2016</v>
      </c>
      <c r="C4090" t="s">
        <v>807</v>
      </c>
      <c r="D4090" t="s">
        <v>808</v>
      </c>
      <c r="E4090" t="s">
        <v>205</v>
      </c>
      <c r="F4090" t="s">
        <v>531</v>
      </c>
      <c r="G4090">
        <v>79.011388890000006</v>
      </c>
      <c r="H4090">
        <v>12.170277779999999</v>
      </c>
      <c r="I4090" t="s">
        <v>764</v>
      </c>
      <c r="J4090" s="2" t="s">
        <v>5</v>
      </c>
      <c r="K4090" t="s">
        <v>523</v>
      </c>
      <c r="L4090" t="s">
        <v>143</v>
      </c>
      <c r="M4090" s="6" t="s">
        <v>664</v>
      </c>
      <c r="N4090" t="s">
        <v>85</v>
      </c>
      <c r="O4090" s="6" t="s">
        <v>254</v>
      </c>
      <c r="P4090" t="s">
        <v>78</v>
      </c>
      <c r="Q4090">
        <v>9</v>
      </c>
      <c r="R4090" t="s">
        <v>213</v>
      </c>
      <c r="S4090" s="2" t="s">
        <v>9</v>
      </c>
      <c r="T4090">
        <v>4</v>
      </c>
      <c r="U4090">
        <v>7.07</v>
      </c>
      <c r="V4090">
        <v>1237</v>
      </c>
      <c r="W4090" t="s">
        <v>28</v>
      </c>
      <c r="X4090">
        <v>0.3725</v>
      </c>
      <c r="Y4090">
        <f>0.4855-X4090</f>
        <v>0.11299999999999999</v>
      </c>
      <c r="AA4090" s="6"/>
      <c r="AB4090" s="6"/>
    </row>
    <row r="4091" spans="1:29" x14ac:dyDescent="0.2">
      <c r="A4091" t="s">
        <v>522</v>
      </c>
      <c r="B4091">
        <v>2016</v>
      </c>
      <c r="C4091" t="s">
        <v>807</v>
      </c>
      <c r="D4091" t="s">
        <v>808</v>
      </c>
      <c r="E4091" t="s">
        <v>205</v>
      </c>
      <c r="F4091" t="s">
        <v>531</v>
      </c>
      <c r="G4091">
        <v>79.011388890000006</v>
      </c>
      <c r="H4091">
        <v>12.170277779999999</v>
      </c>
      <c r="I4091" t="s">
        <v>764</v>
      </c>
      <c r="J4091" s="2" t="s">
        <v>14</v>
      </c>
      <c r="K4091" t="s">
        <v>523</v>
      </c>
      <c r="L4091" t="s">
        <v>143</v>
      </c>
      <c r="M4091" s="6" t="s">
        <v>664</v>
      </c>
      <c r="N4091" t="s">
        <v>85</v>
      </c>
      <c r="O4091" s="6" t="s">
        <v>254</v>
      </c>
      <c r="P4091" t="s">
        <v>78</v>
      </c>
      <c r="Q4091">
        <v>9</v>
      </c>
      <c r="R4091" t="s">
        <v>213</v>
      </c>
      <c r="S4091" s="2" t="s">
        <v>27</v>
      </c>
      <c r="T4091">
        <v>4</v>
      </c>
      <c r="U4091" t="s">
        <v>28</v>
      </c>
      <c r="V4091" t="s">
        <v>28</v>
      </c>
      <c r="W4091">
        <v>10</v>
      </c>
      <c r="X4091">
        <v>0.28260000000000002</v>
      </c>
      <c r="Y4091">
        <f>0.342-X4091</f>
        <v>5.9400000000000008E-2</v>
      </c>
      <c r="AA4091" s="6"/>
      <c r="AB4091" s="6"/>
    </row>
    <row r="4092" spans="1:29" x14ac:dyDescent="0.2">
      <c r="A4092" t="s">
        <v>522</v>
      </c>
      <c r="B4092">
        <v>2016</v>
      </c>
      <c r="C4092" t="s">
        <v>807</v>
      </c>
      <c r="D4092" t="s">
        <v>808</v>
      </c>
      <c r="E4092" t="s">
        <v>205</v>
      </c>
      <c r="F4092" t="s">
        <v>531</v>
      </c>
      <c r="G4092">
        <v>79.011388890000006</v>
      </c>
      <c r="H4092">
        <v>12.170277779999999</v>
      </c>
      <c r="I4092" t="s">
        <v>764</v>
      </c>
      <c r="J4092" s="2" t="s">
        <v>16</v>
      </c>
      <c r="K4092" t="s">
        <v>523</v>
      </c>
      <c r="L4092" t="s">
        <v>143</v>
      </c>
      <c r="M4092" s="6" t="s">
        <v>664</v>
      </c>
      <c r="N4092" t="s">
        <v>85</v>
      </c>
      <c r="O4092" s="6" t="s">
        <v>254</v>
      </c>
      <c r="P4092" t="s">
        <v>78</v>
      </c>
      <c r="Q4092">
        <v>9</v>
      </c>
      <c r="R4092" t="s">
        <v>213</v>
      </c>
      <c r="S4092" s="2" t="s">
        <v>13</v>
      </c>
      <c r="T4092">
        <v>4</v>
      </c>
      <c r="U4092">
        <v>7.81</v>
      </c>
      <c r="V4092">
        <v>1146</v>
      </c>
      <c r="W4092">
        <v>10</v>
      </c>
      <c r="X4092">
        <v>0.28699999999999998</v>
      </c>
      <c r="Y4092">
        <f>0.3609-X4092</f>
        <v>7.3900000000000021E-2</v>
      </c>
      <c r="AA4092" s="6"/>
      <c r="AB4092" s="6"/>
    </row>
    <row r="4093" spans="1:29" x14ac:dyDescent="0.2">
      <c r="A4093" t="s">
        <v>522</v>
      </c>
      <c r="B4093">
        <v>2016</v>
      </c>
      <c r="C4093" t="s">
        <v>807</v>
      </c>
      <c r="D4093" t="s">
        <v>808</v>
      </c>
      <c r="E4093" t="s">
        <v>205</v>
      </c>
      <c r="F4093" t="s">
        <v>531</v>
      </c>
      <c r="G4093">
        <v>79.011388890000006</v>
      </c>
      <c r="H4093">
        <v>12.170277779999999</v>
      </c>
      <c r="I4093" t="s">
        <v>764</v>
      </c>
      <c r="J4093" s="2" t="s">
        <v>7</v>
      </c>
      <c r="K4093" t="s">
        <v>523</v>
      </c>
      <c r="L4093" t="s">
        <v>143</v>
      </c>
      <c r="M4093" t="s">
        <v>726</v>
      </c>
      <c r="N4093" t="s">
        <v>85</v>
      </c>
      <c r="O4093" s="6" t="s">
        <v>84</v>
      </c>
      <c r="Q4093">
        <v>9</v>
      </c>
      <c r="R4093" t="s">
        <v>213</v>
      </c>
      <c r="S4093" s="2" t="s">
        <v>7</v>
      </c>
      <c r="T4093">
        <v>4</v>
      </c>
      <c r="U4093">
        <v>8.19</v>
      </c>
      <c r="V4093">
        <v>376</v>
      </c>
      <c r="W4093">
        <v>4</v>
      </c>
      <c r="X4093">
        <v>0.27</v>
      </c>
      <c r="Y4093">
        <v>0.03</v>
      </c>
      <c r="AA4093" s="6"/>
      <c r="AB4093" s="6"/>
    </row>
    <row r="4094" spans="1:29" x14ac:dyDescent="0.2">
      <c r="A4094" t="s">
        <v>522</v>
      </c>
      <c r="B4094">
        <v>2016</v>
      </c>
      <c r="C4094" t="s">
        <v>807</v>
      </c>
      <c r="D4094" t="s">
        <v>808</v>
      </c>
      <c r="E4094" t="s">
        <v>205</v>
      </c>
      <c r="F4094" t="s">
        <v>531</v>
      </c>
      <c r="G4094">
        <v>79.011388890000006</v>
      </c>
      <c r="H4094">
        <v>12.170277779999999</v>
      </c>
      <c r="I4094" t="s">
        <v>764</v>
      </c>
      <c r="J4094" s="2" t="s">
        <v>5</v>
      </c>
      <c r="K4094" t="s">
        <v>523</v>
      </c>
      <c r="L4094" t="s">
        <v>143</v>
      </c>
      <c r="M4094" t="s">
        <v>726</v>
      </c>
      <c r="N4094" t="s">
        <v>85</v>
      </c>
      <c r="O4094" s="6" t="s">
        <v>84</v>
      </c>
      <c r="Q4094">
        <v>9</v>
      </c>
      <c r="R4094" t="s">
        <v>213</v>
      </c>
      <c r="S4094" s="2" t="s">
        <v>9</v>
      </c>
      <c r="T4094">
        <v>4</v>
      </c>
      <c r="U4094">
        <v>7.07</v>
      </c>
      <c r="V4094">
        <v>1237</v>
      </c>
      <c r="W4094" t="s">
        <v>28</v>
      </c>
      <c r="X4094">
        <v>0.43</v>
      </c>
      <c r="Y4094">
        <v>0.08</v>
      </c>
      <c r="AA4094" s="6"/>
      <c r="AB4094" s="6"/>
    </row>
    <row r="4095" spans="1:29" x14ac:dyDescent="0.2">
      <c r="A4095" t="s">
        <v>522</v>
      </c>
      <c r="B4095">
        <v>2016</v>
      </c>
      <c r="C4095" t="s">
        <v>807</v>
      </c>
      <c r="D4095" t="s">
        <v>808</v>
      </c>
      <c r="E4095" t="s">
        <v>205</v>
      </c>
      <c r="F4095" t="s">
        <v>531</v>
      </c>
      <c r="G4095">
        <v>79.011388890000006</v>
      </c>
      <c r="H4095">
        <v>12.170277779999999</v>
      </c>
      <c r="I4095" t="s">
        <v>764</v>
      </c>
      <c r="J4095" s="2" t="s">
        <v>14</v>
      </c>
      <c r="K4095" t="s">
        <v>523</v>
      </c>
      <c r="L4095" t="s">
        <v>143</v>
      </c>
      <c r="M4095" t="s">
        <v>726</v>
      </c>
      <c r="N4095" t="s">
        <v>85</v>
      </c>
      <c r="O4095" s="6" t="s">
        <v>84</v>
      </c>
      <c r="Q4095">
        <v>9</v>
      </c>
      <c r="R4095" t="s">
        <v>213</v>
      </c>
      <c r="S4095" s="2" t="s">
        <v>27</v>
      </c>
      <c r="T4095">
        <v>4</v>
      </c>
      <c r="U4095" t="s">
        <v>28</v>
      </c>
      <c r="V4095" t="s">
        <v>28</v>
      </c>
      <c r="W4095">
        <v>10</v>
      </c>
      <c r="X4095">
        <v>0.2</v>
      </c>
      <c r="Y4095">
        <v>0.01</v>
      </c>
      <c r="AA4095" s="6"/>
      <c r="AB4095" s="6"/>
    </row>
    <row r="4096" spans="1:29" x14ac:dyDescent="0.2">
      <c r="A4096" t="s">
        <v>522</v>
      </c>
      <c r="B4096">
        <v>2016</v>
      </c>
      <c r="C4096" t="s">
        <v>807</v>
      </c>
      <c r="D4096" t="s">
        <v>808</v>
      </c>
      <c r="E4096" t="s">
        <v>205</v>
      </c>
      <c r="F4096" t="s">
        <v>531</v>
      </c>
      <c r="G4096">
        <v>79.011388890000006</v>
      </c>
      <c r="H4096">
        <v>12.170277779999999</v>
      </c>
      <c r="I4096" t="s">
        <v>764</v>
      </c>
      <c r="J4096" s="2" t="s">
        <v>16</v>
      </c>
      <c r="K4096" t="s">
        <v>523</v>
      </c>
      <c r="L4096" t="s">
        <v>143</v>
      </c>
      <c r="M4096" t="s">
        <v>726</v>
      </c>
      <c r="N4096" t="s">
        <v>85</v>
      </c>
      <c r="O4096" s="6" t="s">
        <v>84</v>
      </c>
      <c r="Q4096">
        <v>9</v>
      </c>
      <c r="R4096" t="s">
        <v>213</v>
      </c>
      <c r="S4096" s="2" t="s">
        <v>13</v>
      </c>
      <c r="T4096">
        <v>4</v>
      </c>
      <c r="U4096">
        <v>7.81</v>
      </c>
      <c r="V4096">
        <v>1146</v>
      </c>
      <c r="W4096">
        <v>10</v>
      </c>
      <c r="X4096">
        <v>0.27</v>
      </c>
      <c r="Y4096">
        <v>0.03</v>
      </c>
      <c r="AA4096" s="6"/>
      <c r="AB4096" s="6"/>
    </row>
    <row r="4097" spans="1:28" x14ac:dyDescent="0.2">
      <c r="A4097" t="s">
        <v>522</v>
      </c>
      <c r="B4097">
        <v>2016</v>
      </c>
      <c r="C4097" t="s">
        <v>807</v>
      </c>
      <c r="D4097" t="s">
        <v>808</v>
      </c>
      <c r="E4097" t="s">
        <v>205</v>
      </c>
      <c r="F4097" t="s">
        <v>531</v>
      </c>
      <c r="G4097">
        <v>79.011388890000006</v>
      </c>
      <c r="H4097">
        <v>12.170277779999999</v>
      </c>
      <c r="I4097" t="s">
        <v>764</v>
      </c>
      <c r="J4097" s="2" t="s">
        <v>7</v>
      </c>
      <c r="K4097" t="s">
        <v>523</v>
      </c>
      <c r="L4097" t="s">
        <v>143</v>
      </c>
      <c r="M4097" t="s">
        <v>726</v>
      </c>
      <c r="N4097" t="s">
        <v>85</v>
      </c>
      <c r="O4097" s="6" t="s">
        <v>196</v>
      </c>
      <c r="P4097" t="s">
        <v>83</v>
      </c>
      <c r="Q4097">
        <v>9</v>
      </c>
      <c r="R4097" t="s">
        <v>213</v>
      </c>
      <c r="S4097" s="2" t="s">
        <v>7</v>
      </c>
      <c r="T4097">
        <v>4</v>
      </c>
      <c r="U4097">
        <v>8.19</v>
      </c>
      <c r="V4097">
        <v>376</v>
      </c>
      <c r="W4097">
        <v>4</v>
      </c>
      <c r="X4097">
        <v>352</v>
      </c>
      <c r="Y4097">
        <v>12</v>
      </c>
      <c r="AA4097" s="6"/>
      <c r="AB4097" s="6"/>
    </row>
    <row r="4098" spans="1:28" x14ac:dyDescent="0.2">
      <c r="A4098" t="s">
        <v>522</v>
      </c>
      <c r="B4098">
        <v>2016</v>
      </c>
      <c r="C4098" t="s">
        <v>807</v>
      </c>
      <c r="D4098" t="s">
        <v>808</v>
      </c>
      <c r="E4098" t="s">
        <v>205</v>
      </c>
      <c r="F4098" t="s">
        <v>531</v>
      </c>
      <c r="G4098">
        <v>79.011388890000006</v>
      </c>
      <c r="H4098">
        <v>12.170277779999999</v>
      </c>
      <c r="I4098" t="s">
        <v>764</v>
      </c>
      <c r="J4098" s="2" t="s">
        <v>5</v>
      </c>
      <c r="K4098" t="s">
        <v>523</v>
      </c>
      <c r="L4098" t="s">
        <v>143</v>
      </c>
      <c r="M4098" t="s">
        <v>726</v>
      </c>
      <c r="N4098" t="s">
        <v>85</v>
      </c>
      <c r="O4098" s="6" t="s">
        <v>196</v>
      </c>
      <c r="P4098" t="s">
        <v>83</v>
      </c>
      <c r="Q4098">
        <v>9</v>
      </c>
      <c r="R4098" t="s">
        <v>213</v>
      </c>
      <c r="S4098" s="2" t="s">
        <v>9</v>
      </c>
      <c r="T4098">
        <v>4</v>
      </c>
      <c r="U4098">
        <v>7.07</v>
      </c>
      <c r="V4098">
        <v>1237</v>
      </c>
      <c r="W4098" t="s">
        <v>28</v>
      </c>
      <c r="X4098">
        <v>147</v>
      </c>
      <c r="Y4098">
        <v>8</v>
      </c>
      <c r="AA4098" s="6"/>
      <c r="AB4098" s="6"/>
    </row>
    <row r="4099" spans="1:28" x14ac:dyDescent="0.2">
      <c r="A4099" t="s">
        <v>522</v>
      </c>
      <c r="B4099">
        <v>2016</v>
      </c>
      <c r="C4099" t="s">
        <v>807</v>
      </c>
      <c r="D4099" t="s">
        <v>808</v>
      </c>
      <c r="E4099" t="s">
        <v>205</v>
      </c>
      <c r="F4099" t="s">
        <v>531</v>
      </c>
      <c r="G4099">
        <v>79.011388890000006</v>
      </c>
      <c r="H4099">
        <v>12.170277779999999</v>
      </c>
      <c r="I4099" t="s">
        <v>764</v>
      </c>
      <c r="J4099" s="2" t="s">
        <v>14</v>
      </c>
      <c r="K4099" t="s">
        <v>523</v>
      </c>
      <c r="L4099" t="s">
        <v>143</v>
      </c>
      <c r="M4099" t="s">
        <v>726</v>
      </c>
      <c r="N4099" t="s">
        <v>85</v>
      </c>
      <c r="O4099" s="6" t="s">
        <v>196</v>
      </c>
      <c r="P4099" t="s">
        <v>83</v>
      </c>
      <c r="Q4099">
        <v>9</v>
      </c>
      <c r="R4099" t="s">
        <v>213</v>
      </c>
      <c r="S4099" s="2" t="s">
        <v>27</v>
      </c>
      <c r="T4099">
        <v>4</v>
      </c>
      <c r="U4099" t="s">
        <v>28</v>
      </c>
      <c r="V4099" t="s">
        <v>28</v>
      </c>
      <c r="W4099">
        <v>10</v>
      </c>
      <c r="X4099">
        <v>356</v>
      </c>
      <c r="Y4099">
        <v>43</v>
      </c>
      <c r="AA4099" s="6"/>
      <c r="AB4099" s="6"/>
    </row>
    <row r="4100" spans="1:28" x14ac:dyDescent="0.2">
      <c r="A4100" t="s">
        <v>522</v>
      </c>
      <c r="B4100">
        <v>2016</v>
      </c>
      <c r="C4100" t="s">
        <v>807</v>
      </c>
      <c r="D4100" t="s">
        <v>808</v>
      </c>
      <c r="E4100" t="s">
        <v>205</v>
      </c>
      <c r="F4100" t="s">
        <v>531</v>
      </c>
      <c r="G4100">
        <v>79.011388890000006</v>
      </c>
      <c r="H4100">
        <v>12.170277779999999</v>
      </c>
      <c r="I4100" t="s">
        <v>764</v>
      </c>
      <c r="J4100" s="2" t="s">
        <v>16</v>
      </c>
      <c r="K4100" t="s">
        <v>523</v>
      </c>
      <c r="L4100" t="s">
        <v>143</v>
      </c>
      <c r="M4100" t="s">
        <v>726</v>
      </c>
      <c r="N4100" t="s">
        <v>85</v>
      </c>
      <c r="O4100" s="6" t="s">
        <v>196</v>
      </c>
      <c r="P4100" t="s">
        <v>83</v>
      </c>
      <c r="Q4100">
        <v>9</v>
      </c>
      <c r="R4100" t="s">
        <v>213</v>
      </c>
      <c r="S4100" s="2" t="s">
        <v>13</v>
      </c>
      <c r="T4100">
        <v>4</v>
      </c>
      <c r="U4100">
        <v>7.81</v>
      </c>
      <c r="V4100">
        <v>1146</v>
      </c>
      <c r="W4100">
        <v>10</v>
      </c>
      <c r="X4100">
        <v>326</v>
      </c>
      <c r="Y4100">
        <v>43</v>
      </c>
      <c r="AA4100" s="6"/>
      <c r="AB4100" s="6"/>
    </row>
    <row r="4101" spans="1:28" x14ac:dyDescent="0.2">
      <c r="A4101" t="s">
        <v>522</v>
      </c>
      <c r="B4101">
        <v>2016</v>
      </c>
      <c r="C4101" t="s">
        <v>807</v>
      </c>
      <c r="D4101" t="s">
        <v>808</v>
      </c>
      <c r="E4101" t="s">
        <v>205</v>
      </c>
      <c r="F4101" t="s">
        <v>531</v>
      </c>
      <c r="G4101">
        <v>79.011388890000006</v>
      </c>
      <c r="H4101">
        <v>12.170277779999999</v>
      </c>
      <c r="I4101" t="s">
        <v>764</v>
      </c>
      <c r="J4101" s="2" t="s">
        <v>7</v>
      </c>
      <c r="K4101" t="s">
        <v>523</v>
      </c>
      <c r="L4101" t="s">
        <v>143</v>
      </c>
      <c r="M4101" t="s">
        <v>726</v>
      </c>
      <c r="N4101" t="s">
        <v>85</v>
      </c>
      <c r="O4101" s="6" t="s">
        <v>58</v>
      </c>
      <c r="P4101" t="s">
        <v>525</v>
      </c>
      <c r="Q4101">
        <v>9</v>
      </c>
      <c r="R4101" t="s">
        <v>213</v>
      </c>
      <c r="S4101" s="2" t="s">
        <v>7</v>
      </c>
      <c r="T4101">
        <v>4</v>
      </c>
      <c r="U4101">
        <v>8.19</v>
      </c>
      <c r="V4101">
        <v>376</v>
      </c>
      <c r="W4101">
        <v>4</v>
      </c>
      <c r="X4101">
        <f>1/7.3</f>
        <v>0.13698630136986301</v>
      </c>
      <c r="Y4101">
        <f>(0.1/7.3)*X4101</f>
        <v>1.8765246762994933E-3</v>
      </c>
      <c r="AA4101" s="6"/>
      <c r="AB4101" s="6"/>
    </row>
    <row r="4102" spans="1:28" x14ac:dyDescent="0.2">
      <c r="A4102" t="s">
        <v>522</v>
      </c>
      <c r="B4102">
        <v>2016</v>
      </c>
      <c r="C4102" t="s">
        <v>807</v>
      </c>
      <c r="D4102" t="s">
        <v>808</v>
      </c>
      <c r="E4102" t="s">
        <v>205</v>
      </c>
      <c r="F4102" t="s">
        <v>531</v>
      </c>
      <c r="G4102">
        <v>79.011388890000006</v>
      </c>
      <c r="H4102">
        <v>12.170277779999999</v>
      </c>
      <c r="I4102" t="s">
        <v>764</v>
      </c>
      <c r="J4102" s="2" t="s">
        <v>5</v>
      </c>
      <c r="K4102" t="s">
        <v>523</v>
      </c>
      <c r="L4102" t="s">
        <v>143</v>
      </c>
      <c r="M4102" t="s">
        <v>726</v>
      </c>
      <c r="N4102" t="s">
        <v>85</v>
      </c>
      <c r="O4102" s="6" t="s">
        <v>58</v>
      </c>
      <c r="P4102" t="s">
        <v>525</v>
      </c>
      <c r="Q4102">
        <v>9</v>
      </c>
      <c r="R4102" t="s">
        <v>213</v>
      </c>
      <c r="S4102" s="2" t="s">
        <v>9</v>
      </c>
      <c r="T4102">
        <v>4</v>
      </c>
      <c r="U4102">
        <v>7.07</v>
      </c>
      <c r="V4102">
        <v>1237</v>
      </c>
      <c r="W4102" t="s">
        <v>28</v>
      </c>
      <c r="X4102">
        <f>1/3.8</f>
        <v>0.26315789473684209</v>
      </c>
      <c r="Y4102">
        <f>(0.8/3.8)*X4102</f>
        <v>5.5401662049861494E-2</v>
      </c>
      <c r="AA4102" s="6"/>
      <c r="AB4102" s="6"/>
    </row>
    <row r="4103" spans="1:28" x14ac:dyDescent="0.2">
      <c r="A4103" t="s">
        <v>522</v>
      </c>
      <c r="B4103">
        <v>2016</v>
      </c>
      <c r="C4103" t="s">
        <v>807</v>
      </c>
      <c r="D4103" t="s">
        <v>808</v>
      </c>
      <c r="E4103" t="s">
        <v>205</v>
      </c>
      <c r="F4103" t="s">
        <v>531</v>
      </c>
      <c r="G4103">
        <v>79.011388890000006</v>
      </c>
      <c r="H4103">
        <v>12.170277779999999</v>
      </c>
      <c r="I4103" t="s">
        <v>764</v>
      </c>
      <c r="J4103" s="2" t="s">
        <v>14</v>
      </c>
      <c r="K4103" t="s">
        <v>523</v>
      </c>
      <c r="L4103" t="s">
        <v>143</v>
      </c>
      <c r="M4103" t="s">
        <v>726</v>
      </c>
      <c r="N4103" t="s">
        <v>85</v>
      </c>
      <c r="O4103" s="6" t="s">
        <v>58</v>
      </c>
      <c r="P4103" t="s">
        <v>525</v>
      </c>
      <c r="Q4103">
        <v>9</v>
      </c>
      <c r="R4103" t="s">
        <v>213</v>
      </c>
      <c r="S4103" s="2" t="s">
        <v>27</v>
      </c>
      <c r="T4103">
        <v>4</v>
      </c>
      <c r="U4103" t="s">
        <v>28</v>
      </c>
      <c r="V4103" t="s">
        <v>28</v>
      </c>
      <c r="W4103">
        <v>10</v>
      </c>
      <c r="X4103">
        <f>1/9</f>
        <v>0.1111111111111111</v>
      </c>
      <c r="Y4103">
        <f>(1.9/9)*X4103</f>
        <v>2.3456790123456788E-2</v>
      </c>
      <c r="AA4103" s="6"/>
      <c r="AB4103" s="6"/>
    </row>
    <row r="4104" spans="1:28" x14ac:dyDescent="0.2">
      <c r="A4104" t="s">
        <v>522</v>
      </c>
      <c r="B4104">
        <v>2016</v>
      </c>
      <c r="C4104" t="s">
        <v>807</v>
      </c>
      <c r="D4104" t="s">
        <v>808</v>
      </c>
      <c r="E4104" t="s">
        <v>205</v>
      </c>
      <c r="F4104" t="s">
        <v>531</v>
      </c>
      <c r="G4104">
        <v>79.011388890000006</v>
      </c>
      <c r="H4104">
        <v>12.170277779999999</v>
      </c>
      <c r="I4104" t="s">
        <v>764</v>
      </c>
      <c r="J4104" s="2" t="s">
        <v>16</v>
      </c>
      <c r="K4104" t="s">
        <v>523</v>
      </c>
      <c r="L4104" t="s">
        <v>143</v>
      </c>
      <c r="M4104" t="s">
        <v>726</v>
      </c>
      <c r="N4104" t="s">
        <v>85</v>
      </c>
      <c r="O4104" s="6" t="s">
        <v>58</v>
      </c>
      <c r="P4104" t="s">
        <v>525</v>
      </c>
      <c r="Q4104">
        <v>9</v>
      </c>
      <c r="R4104" t="s">
        <v>213</v>
      </c>
      <c r="S4104" s="2" t="s">
        <v>13</v>
      </c>
      <c r="T4104">
        <v>4</v>
      </c>
      <c r="U4104">
        <v>7.81</v>
      </c>
      <c r="V4104">
        <v>1146</v>
      </c>
      <c r="W4104">
        <v>10</v>
      </c>
      <c r="X4104">
        <f>1/5.4</f>
        <v>0.18518518518518517</v>
      </c>
      <c r="Y4104">
        <f>(1/5.4)*X4104</f>
        <v>3.4293552812071325E-2</v>
      </c>
      <c r="AA4104" s="6"/>
      <c r="AB4104" s="6"/>
    </row>
    <row r="4105" spans="1:28" x14ac:dyDescent="0.2">
      <c r="A4105" t="s">
        <v>522</v>
      </c>
      <c r="B4105">
        <v>2016</v>
      </c>
      <c r="C4105" t="s">
        <v>807</v>
      </c>
      <c r="D4105" t="s">
        <v>808</v>
      </c>
      <c r="E4105" t="s">
        <v>205</v>
      </c>
      <c r="F4105" t="s">
        <v>531</v>
      </c>
      <c r="G4105">
        <v>79.011388890000006</v>
      </c>
      <c r="H4105">
        <v>12.170277779999999</v>
      </c>
      <c r="I4105" t="s">
        <v>764</v>
      </c>
      <c r="J4105" s="2" t="s">
        <v>7</v>
      </c>
      <c r="K4105" t="s">
        <v>523</v>
      </c>
      <c r="L4105" t="s">
        <v>143</v>
      </c>
      <c r="M4105" t="s">
        <v>726</v>
      </c>
      <c r="N4105" t="s">
        <v>85</v>
      </c>
      <c r="O4105" s="6" t="s">
        <v>835</v>
      </c>
      <c r="P4105" t="s">
        <v>83</v>
      </c>
      <c r="Q4105">
        <v>9</v>
      </c>
      <c r="R4105" t="s">
        <v>213</v>
      </c>
      <c r="S4105" s="2" t="s">
        <v>7</v>
      </c>
      <c r="T4105">
        <v>4</v>
      </c>
      <c r="U4105">
        <v>8.19</v>
      </c>
      <c r="V4105">
        <v>376</v>
      </c>
      <c r="W4105">
        <v>4</v>
      </c>
      <c r="X4105">
        <v>6.32</v>
      </c>
      <c r="Y4105">
        <v>1.57</v>
      </c>
      <c r="AA4105" s="6"/>
      <c r="AB4105" s="6"/>
    </row>
    <row r="4106" spans="1:28" x14ac:dyDescent="0.2">
      <c r="A4106" t="s">
        <v>522</v>
      </c>
      <c r="B4106">
        <v>2016</v>
      </c>
      <c r="C4106" t="s">
        <v>807</v>
      </c>
      <c r="D4106" t="s">
        <v>808</v>
      </c>
      <c r="E4106" t="s">
        <v>205</v>
      </c>
      <c r="F4106" t="s">
        <v>531</v>
      </c>
      <c r="G4106">
        <v>79.011388890000006</v>
      </c>
      <c r="H4106">
        <v>12.170277779999999</v>
      </c>
      <c r="I4106" t="s">
        <v>764</v>
      </c>
      <c r="J4106" s="2" t="s">
        <v>5</v>
      </c>
      <c r="K4106" t="s">
        <v>523</v>
      </c>
      <c r="L4106" t="s">
        <v>143</v>
      </c>
      <c r="M4106" t="s">
        <v>726</v>
      </c>
      <c r="N4106" t="s">
        <v>85</v>
      </c>
      <c r="O4106" s="6" t="s">
        <v>835</v>
      </c>
      <c r="P4106" t="s">
        <v>83</v>
      </c>
      <c r="Q4106">
        <v>9</v>
      </c>
      <c r="R4106" t="s">
        <v>213</v>
      </c>
      <c r="S4106" s="2" t="s">
        <v>9</v>
      </c>
      <c r="T4106">
        <v>4</v>
      </c>
      <c r="U4106">
        <v>7.07</v>
      </c>
      <c r="V4106">
        <v>1237</v>
      </c>
      <c r="W4106" t="s">
        <v>28</v>
      </c>
      <c r="X4106">
        <v>9.64</v>
      </c>
      <c r="Y4106">
        <v>2.21</v>
      </c>
      <c r="AA4106" s="6"/>
      <c r="AB4106" s="6"/>
    </row>
    <row r="4107" spans="1:28" x14ac:dyDescent="0.2">
      <c r="A4107" t="s">
        <v>522</v>
      </c>
      <c r="B4107">
        <v>2016</v>
      </c>
      <c r="C4107" t="s">
        <v>807</v>
      </c>
      <c r="D4107" t="s">
        <v>808</v>
      </c>
      <c r="E4107" t="s">
        <v>205</v>
      </c>
      <c r="F4107" t="s">
        <v>531</v>
      </c>
      <c r="G4107">
        <v>79.011388890000006</v>
      </c>
      <c r="H4107">
        <v>12.170277779999999</v>
      </c>
      <c r="I4107" t="s">
        <v>764</v>
      </c>
      <c r="J4107" s="2" t="s">
        <v>14</v>
      </c>
      <c r="K4107" t="s">
        <v>523</v>
      </c>
      <c r="L4107" t="s">
        <v>143</v>
      </c>
      <c r="M4107" t="s">
        <v>726</v>
      </c>
      <c r="N4107" t="s">
        <v>85</v>
      </c>
      <c r="O4107" s="6" t="s">
        <v>835</v>
      </c>
      <c r="P4107" t="s">
        <v>83</v>
      </c>
      <c r="Q4107">
        <v>9</v>
      </c>
      <c r="R4107" t="s">
        <v>213</v>
      </c>
      <c r="S4107" s="2" t="s">
        <v>27</v>
      </c>
      <c r="T4107">
        <v>4</v>
      </c>
      <c r="U4107" t="s">
        <v>28</v>
      </c>
      <c r="V4107" t="s">
        <v>28</v>
      </c>
      <c r="W4107">
        <v>10</v>
      </c>
      <c r="X4107">
        <v>7.64</v>
      </c>
      <c r="Y4107">
        <v>1.54</v>
      </c>
      <c r="AA4107" s="6"/>
      <c r="AB4107" s="6"/>
    </row>
    <row r="4108" spans="1:28" x14ac:dyDescent="0.2">
      <c r="A4108" t="s">
        <v>522</v>
      </c>
      <c r="B4108">
        <v>2016</v>
      </c>
      <c r="C4108" t="s">
        <v>807</v>
      </c>
      <c r="D4108" t="s">
        <v>808</v>
      </c>
      <c r="E4108" t="s">
        <v>205</v>
      </c>
      <c r="F4108" t="s">
        <v>531</v>
      </c>
      <c r="G4108">
        <v>79.011388890000006</v>
      </c>
      <c r="H4108">
        <v>12.170277779999999</v>
      </c>
      <c r="I4108" t="s">
        <v>764</v>
      </c>
      <c r="J4108" s="2" t="s">
        <v>16</v>
      </c>
      <c r="K4108" t="s">
        <v>523</v>
      </c>
      <c r="L4108" t="s">
        <v>143</v>
      </c>
      <c r="M4108" t="s">
        <v>726</v>
      </c>
      <c r="N4108" t="s">
        <v>85</v>
      </c>
      <c r="O4108" s="6" t="s">
        <v>835</v>
      </c>
      <c r="P4108" t="s">
        <v>83</v>
      </c>
      <c r="Q4108">
        <v>9</v>
      </c>
      <c r="R4108" t="s">
        <v>213</v>
      </c>
      <c r="S4108" s="2" t="s">
        <v>13</v>
      </c>
      <c r="T4108">
        <v>4</v>
      </c>
      <c r="U4108">
        <v>7.81</v>
      </c>
      <c r="V4108">
        <v>1146</v>
      </c>
      <c r="W4108">
        <v>10</v>
      </c>
      <c r="X4108">
        <v>6.86</v>
      </c>
      <c r="Y4108">
        <v>1.38</v>
      </c>
      <c r="AA4108" s="6"/>
      <c r="AB4108" s="6"/>
    </row>
    <row r="4109" spans="1:28" x14ac:dyDescent="0.2">
      <c r="A4109" t="s">
        <v>526</v>
      </c>
      <c r="B4109">
        <v>2004</v>
      </c>
      <c r="C4109" t="s">
        <v>807</v>
      </c>
      <c r="D4109" t="s">
        <v>825</v>
      </c>
      <c r="E4109" t="s">
        <v>35</v>
      </c>
      <c r="F4109" t="s">
        <v>527</v>
      </c>
      <c r="G4109">
        <v>36.613652999999999</v>
      </c>
      <c r="H4109">
        <v>-121.874709</v>
      </c>
      <c r="I4109" t="s">
        <v>772</v>
      </c>
      <c r="J4109" s="2" t="s">
        <v>7</v>
      </c>
      <c r="K4109" t="s">
        <v>528</v>
      </c>
      <c r="L4109" t="s">
        <v>143</v>
      </c>
      <c r="M4109" t="s">
        <v>12</v>
      </c>
      <c r="N4109" t="s">
        <v>85</v>
      </c>
      <c r="O4109" s="6" t="s">
        <v>141</v>
      </c>
      <c r="P4109" t="s">
        <v>381</v>
      </c>
      <c r="Q4109">
        <v>37</v>
      </c>
      <c r="R4109" t="s">
        <v>213</v>
      </c>
      <c r="S4109" s="2" t="s">
        <v>7</v>
      </c>
      <c r="T4109">
        <v>5</v>
      </c>
      <c r="U4109" t="s">
        <v>28</v>
      </c>
      <c r="V4109" t="s">
        <v>28</v>
      </c>
      <c r="W4109">
        <v>13</v>
      </c>
      <c r="X4109">
        <v>25.06</v>
      </c>
      <c r="Y4109" s="6">
        <f t="shared" ref="Y4109:Y4131" si="77">Z4109*SQRT(T4109)</f>
        <v>4.5168573145495747</v>
      </c>
      <c r="Z4109">
        <f>27.08-X4109</f>
        <v>2.0199999999999996</v>
      </c>
      <c r="AA4109" s="6"/>
      <c r="AB4109" s="6"/>
    </row>
    <row r="4110" spans="1:28" x14ac:dyDescent="0.2">
      <c r="A4110" t="s">
        <v>526</v>
      </c>
      <c r="B4110">
        <v>2004</v>
      </c>
      <c r="C4110" t="s">
        <v>807</v>
      </c>
      <c r="D4110" t="s">
        <v>825</v>
      </c>
      <c r="E4110" t="s">
        <v>35</v>
      </c>
      <c r="F4110" t="s">
        <v>527</v>
      </c>
      <c r="G4110">
        <v>36.613652999999999</v>
      </c>
      <c r="H4110">
        <v>-121.874709</v>
      </c>
      <c r="I4110" t="s">
        <v>772</v>
      </c>
      <c r="J4110" s="2" t="s">
        <v>14</v>
      </c>
      <c r="K4110" t="s">
        <v>528</v>
      </c>
      <c r="L4110" t="s">
        <v>143</v>
      </c>
      <c r="M4110" t="s">
        <v>12</v>
      </c>
      <c r="N4110" t="s">
        <v>85</v>
      </c>
      <c r="O4110" s="6" t="s">
        <v>141</v>
      </c>
      <c r="P4110" t="s">
        <v>381</v>
      </c>
      <c r="Q4110">
        <v>37</v>
      </c>
      <c r="R4110" t="s">
        <v>213</v>
      </c>
      <c r="S4110" s="2" t="s">
        <v>9</v>
      </c>
      <c r="T4110">
        <v>5</v>
      </c>
      <c r="U4110" t="s">
        <v>28</v>
      </c>
      <c r="V4110" t="s">
        <v>28</v>
      </c>
      <c r="W4110">
        <v>17</v>
      </c>
      <c r="X4110">
        <v>17.88</v>
      </c>
      <c r="Y4110" s="6">
        <f t="shared" si="77"/>
        <v>8.0274840392242446</v>
      </c>
      <c r="Z4110">
        <f>21.47-X4110</f>
        <v>3.59</v>
      </c>
      <c r="AA4110" s="6"/>
      <c r="AB4110" s="6"/>
    </row>
    <row r="4111" spans="1:28" x14ac:dyDescent="0.2">
      <c r="A4111" t="s">
        <v>526</v>
      </c>
      <c r="B4111">
        <v>2004</v>
      </c>
      <c r="C4111" t="s">
        <v>807</v>
      </c>
      <c r="D4111" t="s">
        <v>825</v>
      </c>
      <c r="E4111" t="s">
        <v>35</v>
      </c>
      <c r="F4111" t="s">
        <v>527</v>
      </c>
      <c r="G4111">
        <v>36.613652999999999</v>
      </c>
      <c r="H4111">
        <v>-121.874709</v>
      </c>
      <c r="I4111" t="s">
        <v>772</v>
      </c>
      <c r="J4111" s="2" t="s">
        <v>14</v>
      </c>
      <c r="K4111" t="s">
        <v>528</v>
      </c>
      <c r="L4111" t="s">
        <v>143</v>
      </c>
      <c r="M4111" t="s">
        <v>12</v>
      </c>
      <c r="N4111" t="s">
        <v>85</v>
      </c>
      <c r="O4111" s="6" t="s">
        <v>141</v>
      </c>
      <c r="P4111" t="s">
        <v>381</v>
      </c>
      <c r="Q4111">
        <v>37</v>
      </c>
      <c r="R4111" t="s">
        <v>213</v>
      </c>
      <c r="S4111" s="2" t="s">
        <v>27</v>
      </c>
      <c r="T4111">
        <v>5</v>
      </c>
      <c r="U4111" t="s">
        <v>28</v>
      </c>
      <c r="V4111" t="s">
        <v>28</v>
      </c>
      <c r="W4111">
        <v>21</v>
      </c>
      <c r="X4111">
        <v>8.6199999999999992</v>
      </c>
      <c r="Y4111" s="6">
        <f t="shared" si="77"/>
        <v>8.8101078313491747</v>
      </c>
      <c r="Z4111">
        <f>12.56-X4111</f>
        <v>3.9400000000000013</v>
      </c>
      <c r="AA4111" s="6"/>
      <c r="AB4111" s="6"/>
    </row>
    <row r="4112" spans="1:28" x14ac:dyDescent="0.2">
      <c r="A4112" t="s">
        <v>526</v>
      </c>
      <c r="B4112">
        <v>2004</v>
      </c>
      <c r="C4112" t="s">
        <v>807</v>
      </c>
      <c r="D4112" t="s">
        <v>825</v>
      </c>
      <c r="E4112" t="s">
        <v>35</v>
      </c>
      <c r="F4112" t="s">
        <v>226</v>
      </c>
      <c r="G4112">
        <v>34.388651000000003</v>
      </c>
      <c r="H4112">
        <v>-119.68222299999999</v>
      </c>
      <c r="I4112" t="s">
        <v>772</v>
      </c>
      <c r="J4112" s="2" t="s">
        <v>7</v>
      </c>
      <c r="K4112" t="s">
        <v>528</v>
      </c>
      <c r="L4112" t="s">
        <v>143</v>
      </c>
      <c r="M4112" t="s">
        <v>12</v>
      </c>
      <c r="N4112" t="s">
        <v>85</v>
      </c>
      <c r="O4112" s="6" t="s">
        <v>141</v>
      </c>
      <c r="P4112" t="s">
        <v>381</v>
      </c>
      <c r="Q4112">
        <v>37</v>
      </c>
      <c r="R4112" t="s">
        <v>213</v>
      </c>
      <c r="S4112" s="2" t="s">
        <v>7</v>
      </c>
      <c r="T4112">
        <v>5</v>
      </c>
      <c r="U4112" t="s">
        <v>28</v>
      </c>
      <c r="V4112" t="s">
        <v>28</v>
      </c>
      <c r="W4112">
        <v>17</v>
      </c>
      <c r="X4112">
        <v>1.3009999999999999</v>
      </c>
      <c r="Y4112" s="6">
        <f t="shared" si="77"/>
        <v>1.2946833589723783</v>
      </c>
      <c r="Z4112">
        <f>1.88-X4112</f>
        <v>0.57899999999999996</v>
      </c>
      <c r="AA4112" s="6"/>
      <c r="AB4112" s="6"/>
    </row>
    <row r="4113" spans="1:28" x14ac:dyDescent="0.2">
      <c r="A4113" t="s">
        <v>526</v>
      </c>
      <c r="B4113">
        <v>2004</v>
      </c>
      <c r="C4113" t="s">
        <v>807</v>
      </c>
      <c r="D4113" t="s">
        <v>825</v>
      </c>
      <c r="E4113" t="s">
        <v>35</v>
      </c>
      <c r="F4113" t="s">
        <v>226</v>
      </c>
      <c r="G4113">
        <v>34.388651000000003</v>
      </c>
      <c r="H4113">
        <v>-119.68222299999999</v>
      </c>
      <c r="I4113" t="s">
        <v>772</v>
      </c>
      <c r="J4113" s="2" t="s">
        <v>14</v>
      </c>
      <c r="K4113" t="s">
        <v>528</v>
      </c>
      <c r="L4113" t="s">
        <v>143</v>
      </c>
      <c r="M4113" t="s">
        <v>12</v>
      </c>
      <c r="N4113" t="s">
        <v>85</v>
      </c>
      <c r="O4113" s="6" t="s">
        <v>141</v>
      </c>
      <c r="P4113" t="s">
        <v>381</v>
      </c>
      <c r="Q4113">
        <v>37</v>
      </c>
      <c r="R4113" t="s">
        <v>213</v>
      </c>
      <c r="S4113" s="2" t="s">
        <v>27</v>
      </c>
      <c r="T4113">
        <v>5</v>
      </c>
      <c r="U4113" t="s">
        <v>28</v>
      </c>
      <c r="V4113" t="s">
        <v>28</v>
      </c>
      <c r="W4113">
        <v>21</v>
      </c>
      <c r="X4113">
        <v>0.48199999999999998</v>
      </c>
      <c r="Y4113" s="6">
        <f t="shared" si="77"/>
        <v>0.32422985673746957</v>
      </c>
      <c r="Z4113">
        <f>0.627-X4113</f>
        <v>0.14500000000000002</v>
      </c>
      <c r="AA4113" s="6"/>
      <c r="AB4113" s="6"/>
    </row>
    <row r="4114" spans="1:28" x14ac:dyDescent="0.2">
      <c r="A4114" t="s">
        <v>526</v>
      </c>
      <c r="B4114">
        <v>2004</v>
      </c>
      <c r="C4114" t="s">
        <v>807</v>
      </c>
      <c r="D4114" t="s">
        <v>825</v>
      </c>
      <c r="E4114" t="s">
        <v>35</v>
      </c>
      <c r="F4114" t="s">
        <v>527</v>
      </c>
      <c r="G4114">
        <v>36.613652999999999</v>
      </c>
      <c r="H4114">
        <v>-121.874709</v>
      </c>
      <c r="I4114" t="s">
        <v>772</v>
      </c>
      <c r="J4114" s="2" t="s">
        <v>7</v>
      </c>
      <c r="K4114" t="s">
        <v>41</v>
      </c>
      <c r="L4114" t="s">
        <v>3</v>
      </c>
      <c r="M4114" t="s">
        <v>12</v>
      </c>
      <c r="N4114" t="s">
        <v>85</v>
      </c>
      <c r="O4114" s="6" t="s">
        <v>141</v>
      </c>
      <c r="P4114" t="s">
        <v>529</v>
      </c>
      <c r="Q4114">
        <v>5</v>
      </c>
      <c r="R4114" t="s">
        <v>213</v>
      </c>
      <c r="S4114" s="2" t="s">
        <v>7</v>
      </c>
      <c r="T4114">
        <v>5</v>
      </c>
      <c r="U4114" t="s">
        <v>28</v>
      </c>
      <c r="V4114" t="s">
        <v>28</v>
      </c>
      <c r="W4114">
        <v>13</v>
      </c>
      <c r="X4114">
        <v>2.4910000000000001</v>
      </c>
      <c r="Y4114" s="6">
        <f t="shared" si="77"/>
        <v>0.22584286572747872</v>
      </c>
      <c r="Z4114">
        <f>2.592-X4114</f>
        <v>0.10099999999999998</v>
      </c>
      <c r="AA4114" s="6"/>
      <c r="AB4114" s="6"/>
    </row>
    <row r="4115" spans="1:28" x14ac:dyDescent="0.2">
      <c r="A4115" t="s">
        <v>526</v>
      </c>
      <c r="B4115">
        <v>2004</v>
      </c>
      <c r="C4115" t="s">
        <v>807</v>
      </c>
      <c r="D4115" t="s">
        <v>825</v>
      </c>
      <c r="E4115" t="s">
        <v>35</v>
      </c>
      <c r="F4115" t="s">
        <v>527</v>
      </c>
      <c r="G4115">
        <v>36.613652999999999</v>
      </c>
      <c r="H4115">
        <v>-121.874709</v>
      </c>
      <c r="I4115" t="s">
        <v>772</v>
      </c>
      <c r="J4115" s="2" t="s">
        <v>14</v>
      </c>
      <c r="K4115" t="s">
        <v>41</v>
      </c>
      <c r="L4115" t="s">
        <v>3</v>
      </c>
      <c r="M4115" t="s">
        <v>12</v>
      </c>
      <c r="N4115" t="s">
        <v>85</v>
      </c>
      <c r="O4115" s="6" t="s">
        <v>141</v>
      </c>
      <c r="P4115" t="s">
        <v>529</v>
      </c>
      <c r="Q4115">
        <v>5</v>
      </c>
      <c r="R4115" t="s">
        <v>213</v>
      </c>
      <c r="S4115" s="2" t="s">
        <v>9</v>
      </c>
      <c r="T4115">
        <v>5</v>
      </c>
      <c r="U4115" t="s">
        <v>28</v>
      </c>
      <c r="V4115" t="s">
        <v>28</v>
      </c>
      <c r="W4115">
        <v>17</v>
      </c>
      <c r="X4115">
        <v>2.1360000000000001</v>
      </c>
      <c r="Y4115" s="6">
        <f t="shared" si="77"/>
        <v>0.16546903033498409</v>
      </c>
      <c r="Z4115">
        <f>2.21-X4115</f>
        <v>7.3999999999999844E-2</v>
      </c>
      <c r="AA4115" s="6"/>
      <c r="AB4115" s="6"/>
    </row>
    <row r="4116" spans="1:28" x14ac:dyDescent="0.2">
      <c r="A4116" t="s">
        <v>526</v>
      </c>
      <c r="B4116">
        <v>2004</v>
      </c>
      <c r="C4116" t="s">
        <v>807</v>
      </c>
      <c r="D4116" t="s">
        <v>825</v>
      </c>
      <c r="E4116" t="s">
        <v>35</v>
      </c>
      <c r="F4116" t="s">
        <v>527</v>
      </c>
      <c r="G4116">
        <v>36.613652999999999</v>
      </c>
      <c r="H4116">
        <v>-121.874709</v>
      </c>
      <c r="I4116" t="s">
        <v>772</v>
      </c>
      <c r="J4116" s="2" t="s">
        <v>14</v>
      </c>
      <c r="K4116" t="s">
        <v>41</v>
      </c>
      <c r="L4116" t="s">
        <v>3</v>
      </c>
      <c r="M4116" t="s">
        <v>12</v>
      </c>
      <c r="N4116" t="s">
        <v>85</v>
      </c>
      <c r="O4116" s="6" t="s">
        <v>141</v>
      </c>
      <c r="P4116" t="s">
        <v>529</v>
      </c>
      <c r="Q4116">
        <v>5</v>
      </c>
      <c r="R4116" t="s">
        <v>213</v>
      </c>
      <c r="S4116" s="2" t="s">
        <v>27</v>
      </c>
      <c r="T4116">
        <v>5</v>
      </c>
      <c r="U4116" t="s">
        <v>28</v>
      </c>
      <c r="V4116" t="s">
        <v>28</v>
      </c>
      <c r="W4116">
        <v>21</v>
      </c>
      <c r="X4116">
        <v>1.8149999999999999</v>
      </c>
      <c r="Y4116" s="6">
        <f t="shared" si="77"/>
        <v>0.20795432190748039</v>
      </c>
      <c r="Z4116">
        <f>1.908-X4116</f>
        <v>9.2999999999999972E-2</v>
      </c>
      <c r="AA4116" s="6"/>
      <c r="AB4116" s="6"/>
    </row>
    <row r="4117" spans="1:28" x14ac:dyDescent="0.2">
      <c r="A4117" t="s">
        <v>526</v>
      </c>
      <c r="B4117">
        <v>2004</v>
      </c>
      <c r="C4117" t="s">
        <v>807</v>
      </c>
      <c r="D4117" t="s">
        <v>825</v>
      </c>
      <c r="E4117" t="s">
        <v>35</v>
      </c>
      <c r="F4117" t="s">
        <v>527</v>
      </c>
      <c r="G4117">
        <v>36.613652999999999</v>
      </c>
      <c r="H4117">
        <v>-121.874709</v>
      </c>
      <c r="I4117" t="s">
        <v>772</v>
      </c>
      <c r="J4117" s="2" t="s">
        <v>7</v>
      </c>
      <c r="K4117" t="s">
        <v>41</v>
      </c>
      <c r="L4117" t="s">
        <v>3</v>
      </c>
      <c r="M4117" t="s">
        <v>12</v>
      </c>
      <c r="N4117" t="s">
        <v>85</v>
      </c>
      <c r="O4117" s="6" t="s">
        <v>141</v>
      </c>
      <c r="P4117" t="s">
        <v>529</v>
      </c>
      <c r="Q4117">
        <v>13</v>
      </c>
      <c r="R4117" t="s">
        <v>213</v>
      </c>
      <c r="S4117" s="2" t="s">
        <v>7</v>
      </c>
      <c r="T4117">
        <v>5</v>
      </c>
      <c r="U4117" t="s">
        <v>28</v>
      </c>
      <c r="V4117" t="s">
        <v>28</v>
      </c>
      <c r="W4117">
        <v>13</v>
      </c>
      <c r="X4117">
        <v>1.9690000000000001</v>
      </c>
      <c r="Y4117" s="6">
        <f t="shared" si="77"/>
        <v>1.0934372409973974</v>
      </c>
      <c r="Z4117">
        <f>2.458-X4117</f>
        <v>0.4890000000000001</v>
      </c>
      <c r="AA4117" s="6"/>
      <c r="AB4117" s="6"/>
    </row>
    <row r="4118" spans="1:28" x14ac:dyDescent="0.2">
      <c r="A4118" t="s">
        <v>526</v>
      </c>
      <c r="B4118">
        <v>2004</v>
      </c>
      <c r="C4118" t="s">
        <v>807</v>
      </c>
      <c r="D4118" t="s">
        <v>825</v>
      </c>
      <c r="E4118" t="s">
        <v>35</v>
      </c>
      <c r="F4118" t="s">
        <v>527</v>
      </c>
      <c r="G4118">
        <v>36.613652999999999</v>
      </c>
      <c r="H4118">
        <v>-121.874709</v>
      </c>
      <c r="I4118" t="s">
        <v>772</v>
      </c>
      <c r="J4118" s="2" t="s">
        <v>14</v>
      </c>
      <c r="K4118" t="s">
        <v>41</v>
      </c>
      <c r="L4118" t="s">
        <v>3</v>
      </c>
      <c r="M4118" t="s">
        <v>12</v>
      </c>
      <c r="N4118" t="s">
        <v>85</v>
      </c>
      <c r="O4118" s="6" t="s">
        <v>141</v>
      </c>
      <c r="P4118" t="s">
        <v>529</v>
      </c>
      <c r="Q4118">
        <v>13</v>
      </c>
      <c r="R4118" t="s">
        <v>213</v>
      </c>
      <c r="S4118" s="2" t="s">
        <v>9</v>
      </c>
      <c r="T4118">
        <v>5</v>
      </c>
      <c r="U4118" t="s">
        <v>28</v>
      </c>
      <c r="V4118" t="s">
        <v>28</v>
      </c>
      <c r="W4118">
        <v>17</v>
      </c>
      <c r="X4118">
        <v>1.587</v>
      </c>
      <c r="Y4118" s="6">
        <f t="shared" si="77"/>
        <v>1.1381586005473934</v>
      </c>
      <c r="Z4118">
        <f>2.096-X4118</f>
        <v>0.50900000000000012</v>
      </c>
      <c r="AA4118" s="6"/>
      <c r="AB4118" s="6"/>
    </row>
    <row r="4119" spans="1:28" x14ac:dyDescent="0.2">
      <c r="A4119" t="s">
        <v>526</v>
      </c>
      <c r="B4119">
        <v>2004</v>
      </c>
      <c r="C4119" t="s">
        <v>807</v>
      </c>
      <c r="D4119" t="s">
        <v>825</v>
      </c>
      <c r="E4119" t="s">
        <v>35</v>
      </c>
      <c r="F4119" t="s">
        <v>527</v>
      </c>
      <c r="G4119">
        <v>36.613652999999999</v>
      </c>
      <c r="H4119">
        <v>-121.874709</v>
      </c>
      <c r="I4119" t="s">
        <v>772</v>
      </c>
      <c r="J4119" s="2" t="s">
        <v>14</v>
      </c>
      <c r="K4119" t="s">
        <v>41</v>
      </c>
      <c r="L4119" t="s">
        <v>3</v>
      </c>
      <c r="M4119" t="s">
        <v>12</v>
      </c>
      <c r="N4119" t="s">
        <v>85</v>
      </c>
      <c r="O4119" s="6" t="s">
        <v>141</v>
      </c>
      <c r="P4119" t="s">
        <v>529</v>
      </c>
      <c r="Q4119">
        <v>13</v>
      </c>
      <c r="R4119" t="s">
        <v>213</v>
      </c>
      <c r="S4119" s="2" t="s">
        <v>27</v>
      </c>
      <c r="T4119">
        <v>5</v>
      </c>
      <c r="U4119" t="s">
        <v>28</v>
      </c>
      <c r="V4119" t="s">
        <v>28</v>
      </c>
      <c r="W4119">
        <v>21</v>
      </c>
      <c r="X4119">
        <v>1.1180000000000001</v>
      </c>
      <c r="Y4119" s="6">
        <f t="shared" si="77"/>
        <v>0.12074767078498826</v>
      </c>
      <c r="Z4119">
        <f>1.172-X4119</f>
        <v>5.3999999999999826E-2</v>
      </c>
      <c r="AA4119" s="6"/>
      <c r="AB4119" s="6"/>
    </row>
    <row r="4120" spans="1:28" x14ac:dyDescent="0.2">
      <c r="A4120" t="s">
        <v>526</v>
      </c>
      <c r="B4120">
        <v>2004</v>
      </c>
      <c r="C4120" t="s">
        <v>807</v>
      </c>
      <c r="D4120" t="s">
        <v>825</v>
      </c>
      <c r="E4120" t="s">
        <v>35</v>
      </c>
      <c r="F4120" t="s">
        <v>527</v>
      </c>
      <c r="G4120">
        <v>36.613652999999999</v>
      </c>
      <c r="H4120">
        <v>-121.874709</v>
      </c>
      <c r="I4120" t="s">
        <v>772</v>
      </c>
      <c r="J4120" s="2" t="s">
        <v>7</v>
      </c>
      <c r="K4120" t="s">
        <v>41</v>
      </c>
      <c r="L4120" t="s">
        <v>3</v>
      </c>
      <c r="M4120" t="s">
        <v>12</v>
      </c>
      <c r="N4120" t="s">
        <v>85</v>
      </c>
      <c r="O4120" s="6" t="s">
        <v>141</v>
      </c>
      <c r="P4120" t="s">
        <v>529</v>
      </c>
      <c r="Q4120">
        <v>20</v>
      </c>
      <c r="R4120" t="s">
        <v>213</v>
      </c>
      <c r="S4120" s="2" t="s">
        <v>7</v>
      </c>
      <c r="T4120">
        <v>5</v>
      </c>
      <c r="U4120" t="s">
        <v>28</v>
      </c>
      <c r="V4120" t="s">
        <v>28</v>
      </c>
      <c r="W4120">
        <v>13</v>
      </c>
      <c r="X4120">
        <v>0.83699999999999997</v>
      </c>
      <c r="Y4120" s="6">
        <f t="shared" si="77"/>
        <v>1.1225061247048944</v>
      </c>
      <c r="Z4120">
        <f>1.339-X4120</f>
        <v>0.502</v>
      </c>
      <c r="AA4120" s="6"/>
      <c r="AB4120" s="6"/>
    </row>
    <row r="4121" spans="1:28" x14ac:dyDescent="0.2">
      <c r="A4121" t="s">
        <v>526</v>
      </c>
      <c r="B4121">
        <v>2004</v>
      </c>
      <c r="C4121" t="s">
        <v>807</v>
      </c>
      <c r="D4121" t="s">
        <v>825</v>
      </c>
      <c r="E4121" t="s">
        <v>35</v>
      </c>
      <c r="F4121" t="s">
        <v>527</v>
      </c>
      <c r="G4121">
        <v>36.613652999999999</v>
      </c>
      <c r="H4121">
        <v>-121.874709</v>
      </c>
      <c r="I4121" t="s">
        <v>772</v>
      </c>
      <c r="J4121" s="2" t="s">
        <v>14</v>
      </c>
      <c r="K4121" t="s">
        <v>41</v>
      </c>
      <c r="L4121" t="s">
        <v>3</v>
      </c>
      <c r="M4121" t="s">
        <v>12</v>
      </c>
      <c r="N4121" t="s">
        <v>85</v>
      </c>
      <c r="O4121" s="6" t="s">
        <v>141</v>
      </c>
      <c r="P4121" t="s">
        <v>529</v>
      </c>
      <c r="Q4121">
        <v>20</v>
      </c>
      <c r="R4121" t="s">
        <v>213</v>
      </c>
      <c r="S4121" s="2" t="s">
        <v>9</v>
      </c>
      <c r="T4121">
        <v>5</v>
      </c>
      <c r="U4121" t="s">
        <v>28</v>
      </c>
      <c r="V4121" t="s">
        <v>28</v>
      </c>
      <c r="W4121">
        <v>17</v>
      </c>
      <c r="X4121">
        <v>0.17399999999999999</v>
      </c>
      <c r="Y4121" s="6">
        <f t="shared" si="77"/>
        <v>8.9442719099991616E-2</v>
      </c>
      <c r="Z4121">
        <f>0.214-X4121</f>
        <v>4.0000000000000008E-2</v>
      </c>
      <c r="AA4121" s="6"/>
      <c r="AB4121" s="6"/>
    </row>
    <row r="4122" spans="1:28" x14ac:dyDescent="0.2">
      <c r="A4122" t="s">
        <v>526</v>
      </c>
      <c r="B4122">
        <v>2004</v>
      </c>
      <c r="C4122" t="s">
        <v>807</v>
      </c>
      <c r="D4122" t="s">
        <v>825</v>
      </c>
      <c r="E4122" t="s">
        <v>35</v>
      </c>
      <c r="F4122" t="s">
        <v>527</v>
      </c>
      <c r="G4122">
        <v>36.613652999999999</v>
      </c>
      <c r="H4122">
        <v>-121.874709</v>
      </c>
      <c r="I4122" t="s">
        <v>772</v>
      </c>
      <c r="J4122" s="2" t="s">
        <v>14</v>
      </c>
      <c r="K4122" t="s">
        <v>41</v>
      </c>
      <c r="L4122" t="s">
        <v>3</v>
      </c>
      <c r="M4122" t="s">
        <v>12</v>
      </c>
      <c r="N4122" t="s">
        <v>85</v>
      </c>
      <c r="O4122" s="6" t="s">
        <v>141</v>
      </c>
      <c r="P4122" t="s">
        <v>529</v>
      </c>
      <c r="Q4122">
        <v>20</v>
      </c>
      <c r="R4122" t="s">
        <v>213</v>
      </c>
      <c r="S4122" s="2" t="s">
        <v>27</v>
      </c>
      <c r="T4122">
        <v>5</v>
      </c>
      <c r="U4122" t="s">
        <v>28</v>
      </c>
      <c r="V4122" t="s">
        <v>28</v>
      </c>
      <c r="W4122">
        <v>21</v>
      </c>
      <c r="X4122">
        <v>6.7000000000000004E-2</v>
      </c>
      <c r="Y4122" s="6">
        <f t="shared" si="77"/>
        <v>2.9068883707497262E-2</v>
      </c>
      <c r="Z4122">
        <f>0.08-X4122</f>
        <v>1.2999999999999998E-2</v>
      </c>
      <c r="AA4122" s="6"/>
      <c r="AB4122" s="6"/>
    </row>
    <row r="4123" spans="1:28" x14ac:dyDescent="0.2">
      <c r="A4123" t="s">
        <v>526</v>
      </c>
      <c r="B4123">
        <v>2004</v>
      </c>
      <c r="C4123" t="s">
        <v>807</v>
      </c>
      <c r="D4123" t="s">
        <v>825</v>
      </c>
      <c r="E4123" t="s">
        <v>35</v>
      </c>
      <c r="F4123" t="s">
        <v>527</v>
      </c>
      <c r="G4123">
        <v>36.613652999999999</v>
      </c>
      <c r="H4123">
        <v>-121.874709</v>
      </c>
      <c r="I4123" t="s">
        <v>772</v>
      </c>
      <c r="J4123" s="2" t="s">
        <v>7</v>
      </c>
      <c r="K4123" t="s">
        <v>41</v>
      </c>
      <c r="L4123" t="s">
        <v>3</v>
      </c>
      <c r="M4123" t="s">
        <v>12</v>
      </c>
      <c r="N4123" t="s">
        <v>85</v>
      </c>
      <c r="O4123" s="6" t="s">
        <v>141</v>
      </c>
      <c r="P4123" t="s">
        <v>529</v>
      </c>
      <c r="Q4123">
        <v>8</v>
      </c>
      <c r="R4123" t="s">
        <v>213</v>
      </c>
      <c r="S4123" s="2" t="s">
        <v>7</v>
      </c>
      <c r="T4123">
        <v>5</v>
      </c>
      <c r="U4123" t="s">
        <v>28</v>
      </c>
      <c r="V4123" t="s">
        <v>28</v>
      </c>
      <c r="W4123">
        <v>13</v>
      </c>
      <c r="X4123">
        <v>1.804</v>
      </c>
      <c r="Y4123" s="6">
        <f t="shared" si="77"/>
        <v>0.13192801067248747</v>
      </c>
      <c r="Z4123">
        <f>1.863-X4123</f>
        <v>5.8999999999999941E-2</v>
      </c>
      <c r="AA4123" s="6"/>
      <c r="AB4123" s="6"/>
    </row>
    <row r="4124" spans="1:28" x14ac:dyDescent="0.2">
      <c r="A4124" t="s">
        <v>526</v>
      </c>
      <c r="B4124">
        <v>2004</v>
      </c>
      <c r="C4124" t="s">
        <v>807</v>
      </c>
      <c r="D4124" t="s">
        <v>825</v>
      </c>
      <c r="E4124" t="s">
        <v>35</v>
      </c>
      <c r="F4124" t="s">
        <v>527</v>
      </c>
      <c r="G4124">
        <v>36.613652999999999</v>
      </c>
      <c r="H4124">
        <v>-121.874709</v>
      </c>
      <c r="I4124" t="s">
        <v>772</v>
      </c>
      <c r="J4124" s="2" t="s">
        <v>14</v>
      </c>
      <c r="K4124" t="s">
        <v>41</v>
      </c>
      <c r="L4124" t="s">
        <v>3</v>
      </c>
      <c r="M4124" t="s">
        <v>12</v>
      </c>
      <c r="N4124" t="s">
        <v>85</v>
      </c>
      <c r="O4124" s="6" t="s">
        <v>141</v>
      </c>
      <c r="P4124" t="s">
        <v>529</v>
      </c>
      <c r="Q4124">
        <v>8</v>
      </c>
      <c r="R4124" t="s">
        <v>213</v>
      </c>
      <c r="S4124" s="2" t="s">
        <v>9</v>
      </c>
      <c r="T4124">
        <v>5</v>
      </c>
      <c r="U4124" t="s">
        <v>28</v>
      </c>
      <c r="V4124" t="s">
        <v>28</v>
      </c>
      <c r="W4124">
        <v>17</v>
      </c>
      <c r="X4124">
        <v>1.996</v>
      </c>
      <c r="Y4124" s="6">
        <f t="shared" si="77"/>
        <v>0.30857738089497078</v>
      </c>
      <c r="Z4124">
        <f>2.134-X4124</f>
        <v>0.1379999999999999</v>
      </c>
      <c r="AA4124" s="6"/>
      <c r="AB4124" s="6"/>
    </row>
    <row r="4125" spans="1:28" x14ac:dyDescent="0.2">
      <c r="A4125" t="s">
        <v>526</v>
      </c>
      <c r="B4125">
        <v>2004</v>
      </c>
      <c r="C4125" t="s">
        <v>807</v>
      </c>
      <c r="D4125" t="s">
        <v>825</v>
      </c>
      <c r="E4125" t="s">
        <v>35</v>
      </c>
      <c r="F4125" t="s">
        <v>527</v>
      </c>
      <c r="G4125">
        <v>36.613652999999999</v>
      </c>
      <c r="H4125">
        <v>-121.874709</v>
      </c>
      <c r="I4125" t="s">
        <v>772</v>
      </c>
      <c r="J4125" s="2" t="s">
        <v>14</v>
      </c>
      <c r="K4125" t="s">
        <v>41</v>
      </c>
      <c r="L4125" t="s">
        <v>3</v>
      </c>
      <c r="M4125" t="s">
        <v>12</v>
      </c>
      <c r="N4125" t="s">
        <v>85</v>
      </c>
      <c r="O4125" s="6" t="s">
        <v>141</v>
      </c>
      <c r="P4125" t="s">
        <v>529</v>
      </c>
      <c r="Q4125">
        <v>8</v>
      </c>
      <c r="R4125" t="s">
        <v>213</v>
      </c>
      <c r="S4125" s="2" t="s">
        <v>27</v>
      </c>
      <c r="T4125">
        <v>5</v>
      </c>
      <c r="U4125" t="s">
        <v>28</v>
      </c>
      <c r="V4125" t="s">
        <v>28</v>
      </c>
      <c r="W4125">
        <v>21</v>
      </c>
      <c r="X4125">
        <v>1.5660000000000001</v>
      </c>
      <c r="Y4125" s="6">
        <f t="shared" si="77"/>
        <v>0.36895121628746541</v>
      </c>
      <c r="Z4125">
        <f>1.731-X4125</f>
        <v>0.16500000000000004</v>
      </c>
      <c r="AA4125" s="6"/>
      <c r="AB4125" s="6"/>
    </row>
    <row r="4126" spans="1:28" x14ac:dyDescent="0.2">
      <c r="A4126" t="s">
        <v>526</v>
      </c>
      <c r="B4126">
        <v>2004</v>
      </c>
      <c r="C4126" t="s">
        <v>807</v>
      </c>
      <c r="D4126" t="s">
        <v>825</v>
      </c>
      <c r="E4126" t="s">
        <v>35</v>
      </c>
      <c r="F4126" t="s">
        <v>527</v>
      </c>
      <c r="G4126">
        <v>36.613652999999999</v>
      </c>
      <c r="H4126">
        <v>-121.874709</v>
      </c>
      <c r="I4126" t="s">
        <v>772</v>
      </c>
      <c r="J4126" s="2" t="s">
        <v>7</v>
      </c>
      <c r="K4126" t="s">
        <v>41</v>
      </c>
      <c r="L4126" t="s">
        <v>3</v>
      </c>
      <c r="M4126" t="s">
        <v>12</v>
      </c>
      <c r="N4126" t="s">
        <v>85</v>
      </c>
      <c r="O4126" s="6" t="s">
        <v>141</v>
      </c>
      <c r="P4126" t="s">
        <v>529</v>
      </c>
      <c r="Q4126">
        <v>15</v>
      </c>
      <c r="R4126" t="s">
        <v>213</v>
      </c>
      <c r="S4126" s="2" t="s">
        <v>7</v>
      </c>
      <c r="T4126">
        <v>5</v>
      </c>
      <c r="U4126" t="s">
        <v>28</v>
      </c>
      <c r="V4126" t="s">
        <v>28</v>
      </c>
      <c r="W4126">
        <v>13</v>
      </c>
      <c r="X4126">
        <v>0.41599999999999998</v>
      </c>
      <c r="Y4126" s="6">
        <f t="shared" si="77"/>
        <v>0.28174456516497365</v>
      </c>
      <c r="Z4126">
        <f>0.542-X4126</f>
        <v>0.12600000000000006</v>
      </c>
      <c r="AA4126" s="6"/>
      <c r="AB4126" s="6"/>
    </row>
    <row r="4127" spans="1:28" x14ac:dyDescent="0.2">
      <c r="A4127" t="s">
        <v>526</v>
      </c>
      <c r="B4127">
        <v>2004</v>
      </c>
      <c r="C4127" t="s">
        <v>807</v>
      </c>
      <c r="D4127" t="s">
        <v>825</v>
      </c>
      <c r="E4127" t="s">
        <v>35</v>
      </c>
      <c r="F4127" t="s">
        <v>527</v>
      </c>
      <c r="G4127">
        <v>36.613652999999999</v>
      </c>
      <c r="H4127">
        <v>-121.874709</v>
      </c>
      <c r="I4127" t="s">
        <v>772</v>
      </c>
      <c r="J4127" s="2" t="s">
        <v>14</v>
      </c>
      <c r="K4127" t="s">
        <v>41</v>
      </c>
      <c r="L4127" t="s">
        <v>3</v>
      </c>
      <c r="M4127" t="s">
        <v>12</v>
      </c>
      <c r="N4127" t="s">
        <v>85</v>
      </c>
      <c r="O4127" s="6" t="s">
        <v>141</v>
      </c>
      <c r="P4127" t="s">
        <v>529</v>
      </c>
      <c r="Q4127">
        <v>15</v>
      </c>
      <c r="R4127" t="s">
        <v>213</v>
      </c>
      <c r="S4127" s="2" t="s">
        <v>9</v>
      </c>
      <c r="T4127">
        <v>5</v>
      </c>
      <c r="U4127" t="s">
        <v>28</v>
      </c>
      <c r="V4127" t="s">
        <v>28</v>
      </c>
      <c r="W4127">
        <v>17</v>
      </c>
      <c r="X4127">
        <v>0.106</v>
      </c>
      <c r="Y4127" s="6">
        <f t="shared" si="77"/>
        <v>0.11851160280748887</v>
      </c>
      <c r="Z4127">
        <f>0.159-X4127</f>
        <v>5.3000000000000005E-2</v>
      </c>
      <c r="AA4127" s="6"/>
      <c r="AB4127" s="6"/>
    </row>
    <row r="4128" spans="1:28" x14ac:dyDescent="0.2">
      <c r="A4128" t="s">
        <v>526</v>
      </c>
      <c r="B4128">
        <v>2004</v>
      </c>
      <c r="C4128" t="s">
        <v>807</v>
      </c>
      <c r="D4128" t="s">
        <v>825</v>
      </c>
      <c r="E4128" t="s">
        <v>35</v>
      </c>
      <c r="F4128" t="s">
        <v>527</v>
      </c>
      <c r="G4128">
        <v>36.613652999999999</v>
      </c>
      <c r="H4128">
        <v>-121.874709</v>
      </c>
      <c r="I4128" t="s">
        <v>772</v>
      </c>
      <c r="J4128" s="2" t="s">
        <v>14</v>
      </c>
      <c r="K4128" t="s">
        <v>41</v>
      </c>
      <c r="L4128" t="s">
        <v>3</v>
      </c>
      <c r="M4128" t="s">
        <v>12</v>
      </c>
      <c r="N4128" t="s">
        <v>85</v>
      </c>
      <c r="O4128" s="6" t="s">
        <v>141</v>
      </c>
      <c r="P4128" t="s">
        <v>529</v>
      </c>
      <c r="Q4128">
        <v>15</v>
      </c>
      <c r="R4128" t="s">
        <v>213</v>
      </c>
      <c r="S4128" s="2" t="s">
        <v>27</v>
      </c>
      <c r="T4128">
        <v>5</v>
      </c>
      <c r="U4128" t="s">
        <v>28</v>
      </c>
      <c r="V4128" t="s">
        <v>28</v>
      </c>
      <c r="W4128">
        <v>21</v>
      </c>
      <c r="X4128">
        <v>0.11899999999999999</v>
      </c>
      <c r="Y4128" s="6">
        <f t="shared" si="77"/>
        <v>0.11851160280748885</v>
      </c>
      <c r="Z4128">
        <f>0.172-X4128</f>
        <v>5.2999999999999992E-2</v>
      </c>
      <c r="AA4128" s="6"/>
      <c r="AB4128" s="6"/>
    </row>
    <row r="4129" spans="1:28" x14ac:dyDescent="0.2">
      <c r="A4129" t="s">
        <v>526</v>
      </c>
      <c r="B4129">
        <v>2004</v>
      </c>
      <c r="C4129" t="s">
        <v>807</v>
      </c>
      <c r="D4129" t="s">
        <v>825</v>
      </c>
      <c r="E4129" t="s">
        <v>35</v>
      </c>
      <c r="F4129" t="s">
        <v>527</v>
      </c>
      <c r="G4129">
        <v>36.613652999999999</v>
      </c>
      <c r="H4129">
        <v>-121.874709</v>
      </c>
      <c r="I4129" t="s">
        <v>772</v>
      </c>
      <c r="J4129" s="2" t="s">
        <v>7</v>
      </c>
      <c r="K4129" t="s">
        <v>41</v>
      </c>
      <c r="L4129" t="s">
        <v>3</v>
      </c>
      <c r="M4129" t="s">
        <v>12</v>
      </c>
      <c r="N4129" t="s">
        <v>85</v>
      </c>
      <c r="O4129" s="6" t="s">
        <v>141</v>
      </c>
      <c r="P4129" t="s">
        <v>529</v>
      </c>
      <c r="Q4129">
        <v>22</v>
      </c>
      <c r="R4129" t="s">
        <v>213</v>
      </c>
      <c r="S4129" s="2" t="s">
        <v>7</v>
      </c>
      <c r="T4129">
        <v>5</v>
      </c>
      <c r="U4129" t="s">
        <v>28</v>
      </c>
      <c r="V4129" t="s">
        <v>28</v>
      </c>
      <c r="W4129">
        <v>13</v>
      </c>
      <c r="X4129">
        <v>0.377</v>
      </c>
      <c r="Y4129" s="6">
        <f t="shared" si="77"/>
        <v>0.20571825392998061</v>
      </c>
      <c r="Z4129">
        <f>0.469-X4129</f>
        <v>9.1999999999999971E-2</v>
      </c>
      <c r="AA4129" s="6"/>
      <c r="AB4129" s="6"/>
    </row>
    <row r="4130" spans="1:28" x14ac:dyDescent="0.2">
      <c r="A4130" t="s">
        <v>526</v>
      </c>
      <c r="B4130">
        <v>2004</v>
      </c>
      <c r="C4130" t="s">
        <v>807</v>
      </c>
      <c r="D4130" t="s">
        <v>825</v>
      </c>
      <c r="E4130" t="s">
        <v>35</v>
      </c>
      <c r="F4130" t="s">
        <v>527</v>
      </c>
      <c r="G4130">
        <v>36.613652999999999</v>
      </c>
      <c r="H4130">
        <v>-121.874709</v>
      </c>
      <c r="I4130" t="s">
        <v>772</v>
      </c>
      <c r="J4130" s="2" t="s">
        <v>14</v>
      </c>
      <c r="K4130" t="s">
        <v>41</v>
      </c>
      <c r="L4130" t="s">
        <v>3</v>
      </c>
      <c r="M4130" t="s">
        <v>12</v>
      </c>
      <c r="N4130" t="s">
        <v>85</v>
      </c>
      <c r="O4130" s="6" t="s">
        <v>141</v>
      </c>
      <c r="P4130" t="s">
        <v>529</v>
      </c>
      <c r="Q4130">
        <v>22</v>
      </c>
      <c r="R4130" t="s">
        <v>213</v>
      </c>
      <c r="S4130" s="2" t="s">
        <v>9</v>
      </c>
      <c r="T4130">
        <v>5</v>
      </c>
      <c r="U4130" t="s">
        <v>28</v>
      </c>
      <c r="V4130" t="s">
        <v>28</v>
      </c>
      <c r="W4130">
        <v>17</v>
      </c>
      <c r="X4130">
        <v>0.17799999999999999</v>
      </c>
      <c r="Y4130" s="6">
        <f t="shared" si="77"/>
        <v>0.1185116028074889</v>
      </c>
      <c r="Z4130">
        <f>0.231-X4130</f>
        <v>5.3000000000000019E-2</v>
      </c>
      <c r="AA4130" s="6"/>
      <c r="AB4130" s="6"/>
    </row>
    <row r="4131" spans="1:28" x14ac:dyDescent="0.2">
      <c r="A4131" t="s">
        <v>526</v>
      </c>
      <c r="B4131">
        <v>2004</v>
      </c>
      <c r="C4131" t="s">
        <v>807</v>
      </c>
      <c r="D4131" t="s">
        <v>825</v>
      </c>
      <c r="E4131" t="s">
        <v>35</v>
      </c>
      <c r="F4131" t="s">
        <v>527</v>
      </c>
      <c r="G4131">
        <v>36.613652999999999</v>
      </c>
      <c r="H4131">
        <v>-121.874709</v>
      </c>
      <c r="I4131" t="s">
        <v>772</v>
      </c>
      <c r="J4131" s="2" t="s">
        <v>14</v>
      </c>
      <c r="K4131" t="s">
        <v>41</v>
      </c>
      <c r="L4131" t="s">
        <v>3</v>
      </c>
      <c r="M4131" t="s">
        <v>12</v>
      </c>
      <c r="N4131" t="s">
        <v>85</v>
      </c>
      <c r="O4131" s="6" t="s">
        <v>141</v>
      </c>
      <c r="P4131" t="s">
        <v>529</v>
      </c>
      <c r="Q4131">
        <v>22</v>
      </c>
      <c r="R4131" t="s">
        <v>213</v>
      </c>
      <c r="S4131" s="2" t="s">
        <v>27</v>
      </c>
      <c r="T4131">
        <v>5</v>
      </c>
      <c r="U4131" t="s">
        <v>28</v>
      </c>
      <c r="V4131" t="s">
        <v>28</v>
      </c>
      <c r="W4131">
        <v>21</v>
      </c>
      <c r="X4131">
        <v>0.106</v>
      </c>
      <c r="Y4131" s="6">
        <f t="shared" si="77"/>
        <v>0.11851160280748887</v>
      </c>
      <c r="Z4131">
        <f>0.159-X4131</f>
        <v>5.3000000000000005E-2</v>
      </c>
      <c r="AA4131" s="6"/>
      <c r="AB4131" s="6"/>
    </row>
    <row r="4132" spans="1:28" x14ac:dyDescent="0.2">
      <c r="A4132" t="s">
        <v>530</v>
      </c>
      <c r="B4132">
        <v>2016</v>
      </c>
      <c r="C4132" t="s">
        <v>807</v>
      </c>
      <c r="D4132" t="s">
        <v>808</v>
      </c>
      <c r="E4132" t="s">
        <v>205</v>
      </c>
      <c r="F4132" t="s">
        <v>531</v>
      </c>
      <c r="G4132">
        <v>78.985100000000003</v>
      </c>
      <c r="H4132">
        <v>11.9659</v>
      </c>
      <c r="I4132" t="s">
        <v>771</v>
      </c>
      <c r="J4132" s="2" t="s">
        <v>7</v>
      </c>
      <c r="K4132" t="s">
        <v>300</v>
      </c>
      <c r="L4132" t="s">
        <v>300</v>
      </c>
      <c r="M4132" t="s">
        <v>727</v>
      </c>
      <c r="N4132" t="s">
        <v>85</v>
      </c>
      <c r="O4132" s="6" t="s">
        <v>71</v>
      </c>
      <c r="P4132" t="s">
        <v>70</v>
      </c>
      <c r="Q4132">
        <v>5</v>
      </c>
      <c r="R4132" t="s">
        <v>213</v>
      </c>
      <c r="S4132" s="2" t="s">
        <v>7</v>
      </c>
      <c r="T4132">
        <v>5</v>
      </c>
      <c r="U4132" t="s">
        <v>28</v>
      </c>
      <c r="V4132" t="s">
        <v>28</v>
      </c>
      <c r="W4132">
        <v>5</v>
      </c>
      <c r="X4132" s="3"/>
      <c r="Y4132" s="3"/>
      <c r="Z4132" s="3"/>
    </row>
    <row r="4133" spans="1:28" x14ac:dyDescent="0.2">
      <c r="A4133" t="s">
        <v>530</v>
      </c>
      <c r="B4133">
        <v>2016</v>
      </c>
      <c r="C4133" t="s">
        <v>807</v>
      </c>
      <c r="D4133" t="s">
        <v>808</v>
      </c>
      <c r="E4133" t="s">
        <v>205</v>
      </c>
      <c r="F4133" t="s">
        <v>531</v>
      </c>
      <c r="G4133">
        <v>78.985100000000003</v>
      </c>
      <c r="H4133">
        <v>11.9659</v>
      </c>
      <c r="I4133" t="s">
        <v>771</v>
      </c>
      <c r="J4133" s="2" t="s">
        <v>14</v>
      </c>
      <c r="K4133" t="s">
        <v>300</v>
      </c>
      <c r="L4133" t="s">
        <v>300</v>
      </c>
      <c r="M4133" t="s">
        <v>727</v>
      </c>
      <c r="N4133" t="s">
        <v>85</v>
      </c>
      <c r="O4133" s="6" t="s">
        <v>71</v>
      </c>
      <c r="P4133" t="s">
        <v>70</v>
      </c>
      <c r="Q4133">
        <v>5</v>
      </c>
      <c r="R4133" t="s">
        <v>213</v>
      </c>
      <c r="S4133" s="2" t="s">
        <v>9</v>
      </c>
      <c r="T4133">
        <v>5</v>
      </c>
      <c r="U4133" t="s">
        <v>28</v>
      </c>
      <c r="V4133" t="s">
        <v>28</v>
      </c>
      <c r="W4133">
        <v>9</v>
      </c>
      <c r="X4133" s="3"/>
      <c r="Y4133" s="3"/>
      <c r="Z4133" s="3"/>
    </row>
    <row r="4134" spans="1:28" x14ac:dyDescent="0.2">
      <c r="A4134" t="s">
        <v>530</v>
      </c>
      <c r="B4134">
        <v>2016</v>
      </c>
      <c r="C4134" t="s">
        <v>826</v>
      </c>
      <c r="D4134" t="s">
        <v>824</v>
      </c>
      <c r="E4134" t="s">
        <v>48</v>
      </c>
      <c r="F4134" t="s">
        <v>531</v>
      </c>
      <c r="G4134">
        <v>78.985100000000003</v>
      </c>
      <c r="H4134">
        <v>11.9659</v>
      </c>
      <c r="I4134" t="s">
        <v>771</v>
      </c>
      <c r="J4134" s="2" t="s">
        <v>7</v>
      </c>
      <c r="K4134" t="s">
        <v>300</v>
      </c>
      <c r="L4134" t="s">
        <v>300</v>
      </c>
      <c r="M4134" t="s">
        <v>727</v>
      </c>
      <c r="N4134" t="s">
        <v>85</v>
      </c>
      <c r="O4134" s="6" t="s">
        <v>71</v>
      </c>
      <c r="P4134" t="s">
        <v>70</v>
      </c>
      <c r="Q4134">
        <v>5</v>
      </c>
      <c r="R4134" t="s">
        <v>213</v>
      </c>
      <c r="S4134" s="2" t="s">
        <v>7</v>
      </c>
      <c r="T4134">
        <v>5</v>
      </c>
      <c r="U4134" t="s">
        <v>28</v>
      </c>
      <c r="V4134" t="s">
        <v>28</v>
      </c>
      <c r="W4134">
        <v>5</v>
      </c>
      <c r="X4134" s="3"/>
      <c r="Y4134" s="3"/>
      <c r="Z4134" s="3"/>
    </row>
    <row r="4135" spans="1:28" x14ac:dyDescent="0.2">
      <c r="A4135" t="s">
        <v>530</v>
      </c>
      <c r="B4135">
        <v>2016</v>
      </c>
      <c r="C4135" t="s">
        <v>826</v>
      </c>
      <c r="D4135" t="s">
        <v>824</v>
      </c>
      <c r="E4135" t="s">
        <v>48</v>
      </c>
      <c r="F4135" t="s">
        <v>531</v>
      </c>
      <c r="G4135">
        <v>78.985100000000003</v>
      </c>
      <c r="H4135">
        <v>11.9659</v>
      </c>
      <c r="I4135" t="s">
        <v>771</v>
      </c>
      <c r="J4135" s="2" t="s">
        <v>14</v>
      </c>
      <c r="K4135" t="s">
        <v>300</v>
      </c>
      <c r="L4135" t="s">
        <v>300</v>
      </c>
      <c r="M4135" t="s">
        <v>727</v>
      </c>
      <c r="N4135" t="s">
        <v>85</v>
      </c>
      <c r="O4135" s="6" t="s">
        <v>71</v>
      </c>
      <c r="P4135" t="s">
        <v>70</v>
      </c>
      <c r="Q4135">
        <v>5</v>
      </c>
      <c r="R4135" t="s">
        <v>213</v>
      </c>
      <c r="S4135" s="2" t="s">
        <v>9</v>
      </c>
      <c r="T4135">
        <v>5</v>
      </c>
      <c r="U4135" t="s">
        <v>28</v>
      </c>
      <c r="V4135" t="s">
        <v>28</v>
      </c>
      <c r="W4135">
        <v>9</v>
      </c>
      <c r="X4135" s="3"/>
      <c r="Y4135" s="3"/>
      <c r="Z4135" s="3"/>
    </row>
    <row r="4136" spans="1:28" x14ac:dyDescent="0.2">
      <c r="A4136" t="s">
        <v>530</v>
      </c>
      <c r="B4136">
        <v>2016</v>
      </c>
      <c r="C4136" t="s">
        <v>816</v>
      </c>
      <c r="D4136" t="s">
        <v>817</v>
      </c>
      <c r="E4136" t="s">
        <v>31</v>
      </c>
      <c r="F4136" t="s">
        <v>531</v>
      </c>
      <c r="G4136">
        <v>78.985100000000003</v>
      </c>
      <c r="H4136">
        <v>11.9659</v>
      </c>
      <c r="I4136" t="s">
        <v>766</v>
      </c>
      <c r="J4136" s="2" t="s">
        <v>7</v>
      </c>
      <c r="K4136" t="s">
        <v>300</v>
      </c>
      <c r="L4136" t="s">
        <v>300</v>
      </c>
      <c r="M4136" t="s">
        <v>727</v>
      </c>
      <c r="N4136" t="s">
        <v>85</v>
      </c>
      <c r="O4136" s="6" t="s">
        <v>71</v>
      </c>
      <c r="P4136" t="s">
        <v>70</v>
      </c>
      <c r="Q4136">
        <v>5</v>
      </c>
      <c r="R4136" t="s">
        <v>213</v>
      </c>
      <c r="S4136" s="2" t="s">
        <v>7</v>
      </c>
      <c r="T4136">
        <v>5</v>
      </c>
      <c r="U4136" t="s">
        <v>28</v>
      </c>
      <c r="V4136" t="s">
        <v>28</v>
      </c>
      <c r="W4136">
        <v>4</v>
      </c>
      <c r="X4136" s="3"/>
      <c r="Y4136" s="3"/>
      <c r="Z4136" s="3"/>
    </row>
    <row r="4137" spans="1:28" x14ac:dyDescent="0.2">
      <c r="A4137" t="s">
        <v>530</v>
      </c>
      <c r="B4137">
        <v>2016</v>
      </c>
      <c r="C4137" t="s">
        <v>816</v>
      </c>
      <c r="D4137" t="s">
        <v>817</v>
      </c>
      <c r="E4137" t="s">
        <v>31</v>
      </c>
      <c r="F4137" t="s">
        <v>531</v>
      </c>
      <c r="G4137">
        <v>78.985100000000003</v>
      </c>
      <c r="H4137">
        <v>11.9659</v>
      </c>
      <c r="I4137" t="s">
        <v>766</v>
      </c>
      <c r="J4137" s="2" t="s">
        <v>14</v>
      </c>
      <c r="K4137" t="s">
        <v>300</v>
      </c>
      <c r="L4137" t="s">
        <v>300</v>
      </c>
      <c r="M4137" t="s">
        <v>727</v>
      </c>
      <c r="N4137" t="s">
        <v>85</v>
      </c>
      <c r="O4137" s="6" t="s">
        <v>71</v>
      </c>
      <c r="P4137" t="s">
        <v>70</v>
      </c>
      <c r="Q4137">
        <v>5</v>
      </c>
      <c r="R4137" t="s">
        <v>213</v>
      </c>
      <c r="S4137" s="2" t="s">
        <v>9</v>
      </c>
      <c r="T4137">
        <v>5</v>
      </c>
      <c r="U4137" t="s">
        <v>28</v>
      </c>
      <c r="V4137" t="s">
        <v>28</v>
      </c>
      <c r="W4137">
        <v>9</v>
      </c>
      <c r="X4137" s="3"/>
      <c r="Y4137" s="3"/>
      <c r="Z4137" s="3"/>
    </row>
    <row r="4138" spans="1:28" x14ac:dyDescent="0.2">
      <c r="A4138" t="s">
        <v>530</v>
      </c>
      <c r="B4138">
        <v>2016</v>
      </c>
      <c r="C4138" t="s">
        <v>807</v>
      </c>
      <c r="D4138" t="s">
        <v>808</v>
      </c>
      <c r="E4138" t="s">
        <v>205</v>
      </c>
      <c r="F4138" t="s">
        <v>531</v>
      </c>
      <c r="G4138">
        <v>78.985100000000003</v>
      </c>
      <c r="H4138">
        <v>11.9659</v>
      </c>
      <c r="I4138" t="s">
        <v>771</v>
      </c>
      <c r="J4138" s="2" t="s">
        <v>7</v>
      </c>
      <c r="K4138" t="s">
        <v>143</v>
      </c>
      <c r="L4138" t="s">
        <v>143</v>
      </c>
      <c r="M4138" t="s">
        <v>12</v>
      </c>
      <c r="N4138" t="s">
        <v>85</v>
      </c>
      <c r="O4138" s="6" t="s">
        <v>141</v>
      </c>
      <c r="P4138" t="s">
        <v>381</v>
      </c>
      <c r="Q4138">
        <v>14</v>
      </c>
      <c r="R4138" t="s">
        <v>213</v>
      </c>
      <c r="S4138" s="2" t="s">
        <v>7</v>
      </c>
      <c r="T4138">
        <v>5</v>
      </c>
      <c r="U4138" t="s">
        <v>28</v>
      </c>
      <c r="V4138" t="s">
        <v>28</v>
      </c>
      <c r="W4138">
        <v>5</v>
      </c>
      <c r="X4138" s="3"/>
      <c r="Y4138" s="3"/>
      <c r="Z4138" s="3"/>
    </row>
    <row r="4139" spans="1:28" x14ac:dyDescent="0.2">
      <c r="A4139" t="s">
        <v>530</v>
      </c>
      <c r="B4139">
        <v>2016</v>
      </c>
      <c r="C4139" t="s">
        <v>807</v>
      </c>
      <c r="D4139" t="s">
        <v>808</v>
      </c>
      <c r="E4139" t="s">
        <v>205</v>
      </c>
      <c r="F4139" t="s">
        <v>531</v>
      </c>
      <c r="G4139">
        <v>78.985100000000003</v>
      </c>
      <c r="H4139">
        <v>11.9659</v>
      </c>
      <c r="I4139" t="s">
        <v>771</v>
      </c>
      <c r="J4139" s="2" t="s">
        <v>14</v>
      </c>
      <c r="K4139" t="s">
        <v>143</v>
      </c>
      <c r="L4139" t="s">
        <v>143</v>
      </c>
      <c r="M4139" t="s">
        <v>12</v>
      </c>
      <c r="N4139" t="s">
        <v>85</v>
      </c>
      <c r="O4139" s="6" t="s">
        <v>141</v>
      </c>
      <c r="P4139" t="s">
        <v>381</v>
      </c>
      <c r="Q4139">
        <v>14</v>
      </c>
      <c r="R4139" t="s">
        <v>213</v>
      </c>
      <c r="S4139" s="2" t="s">
        <v>9</v>
      </c>
      <c r="T4139">
        <v>5</v>
      </c>
      <c r="U4139" t="s">
        <v>28</v>
      </c>
      <c r="V4139" t="s">
        <v>28</v>
      </c>
      <c r="W4139">
        <v>9</v>
      </c>
      <c r="X4139" s="3"/>
      <c r="Y4139" s="3"/>
      <c r="Z4139" s="3"/>
    </row>
    <row r="4140" spans="1:28" x14ac:dyDescent="0.2">
      <c r="A4140" t="s">
        <v>530</v>
      </c>
      <c r="B4140">
        <v>2016</v>
      </c>
      <c r="C4140" t="s">
        <v>826</v>
      </c>
      <c r="D4140" t="s">
        <v>824</v>
      </c>
      <c r="E4140" t="s">
        <v>48</v>
      </c>
      <c r="F4140" t="s">
        <v>531</v>
      </c>
      <c r="G4140">
        <v>78.985100000000003</v>
      </c>
      <c r="H4140">
        <v>11.9659</v>
      </c>
      <c r="I4140" t="s">
        <v>771</v>
      </c>
      <c r="J4140" s="2" t="s">
        <v>7</v>
      </c>
      <c r="K4140" t="s">
        <v>143</v>
      </c>
      <c r="L4140" t="s">
        <v>143</v>
      </c>
      <c r="M4140" t="s">
        <v>12</v>
      </c>
      <c r="N4140" t="s">
        <v>85</v>
      </c>
      <c r="O4140" s="6" t="s">
        <v>141</v>
      </c>
      <c r="P4140" t="s">
        <v>381</v>
      </c>
      <c r="Q4140">
        <v>14</v>
      </c>
      <c r="R4140" t="s">
        <v>213</v>
      </c>
      <c r="S4140" s="2" t="s">
        <v>7</v>
      </c>
      <c r="T4140">
        <v>5</v>
      </c>
      <c r="U4140" t="s">
        <v>28</v>
      </c>
      <c r="V4140" t="s">
        <v>28</v>
      </c>
      <c r="W4140">
        <v>5</v>
      </c>
      <c r="X4140" s="3"/>
      <c r="Y4140" s="3"/>
      <c r="Z4140" s="3"/>
    </row>
    <row r="4141" spans="1:28" x14ac:dyDescent="0.2">
      <c r="A4141" t="s">
        <v>530</v>
      </c>
      <c r="B4141">
        <v>2016</v>
      </c>
      <c r="C4141" t="s">
        <v>826</v>
      </c>
      <c r="D4141" t="s">
        <v>824</v>
      </c>
      <c r="E4141" t="s">
        <v>48</v>
      </c>
      <c r="F4141" t="s">
        <v>531</v>
      </c>
      <c r="G4141">
        <v>78.985100000000003</v>
      </c>
      <c r="H4141">
        <v>11.9659</v>
      </c>
      <c r="I4141" t="s">
        <v>771</v>
      </c>
      <c r="J4141" s="2" t="s">
        <v>14</v>
      </c>
      <c r="K4141" t="s">
        <v>143</v>
      </c>
      <c r="L4141" t="s">
        <v>143</v>
      </c>
      <c r="M4141" t="s">
        <v>12</v>
      </c>
      <c r="N4141" t="s">
        <v>85</v>
      </c>
      <c r="O4141" s="6" t="s">
        <v>141</v>
      </c>
      <c r="P4141" t="s">
        <v>381</v>
      </c>
      <c r="Q4141">
        <v>14</v>
      </c>
      <c r="R4141" t="s">
        <v>213</v>
      </c>
      <c r="S4141" s="2" t="s">
        <v>9</v>
      </c>
      <c r="T4141">
        <v>5</v>
      </c>
      <c r="U4141" t="s">
        <v>28</v>
      </c>
      <c r="V4141" t="s">
        <v>28</v>
      </c>
      <c r="W4141">
        <v>9</v>
      </c>
      <c r="X4141" s="3"/>
      <c r="Y4141" s="3"/>
      <c r="Z4141" s="3"/>
    </row>
    <row r="4142" spans="1:28" x14ac:dyDescent="0.2">
      <c r="A4142" t="s">
        <v>530</v>
      </c>
      <c r="B4142">
        <v>2016</v>
      </c>
      <c r="C4142" t="s">
        <v>816</v>
      </c>
      <c r="D4142" t="s">
        <v>817</v>
      </c>
      <c r="E4142" t="s">
        <v>31</v>
      </c>
      <c r="F4142" t="s">
        <v>531</v>
      </c>
      <c r="G4142">
        <v>78.985100000000003</v>
      </c>
      <c r="H4142">
        <v>11.9659</v>
      </c>
      <c r="I4142" t="s">
        <v>766</v>
      </c>
      <c r="J4142" s="2" t="s">
        <v>7</v>
      </c>
      <c r="K4142" t="s">
        <v>143</v>
      </c>
      <c r="L4142" t="s">
        <v>143</v>
      </c>
      <c r="M4142" t="s">
        <v>12</v>
      </c>
      <c r="N4142" t="s">
        <v>85</v>
      </c>
      <c r="O4142" s="6" t="s">
        <v>141</v>
      </c>
      <c r="P4142" t="s">
        <v>381</v>
      </c>
      <c r="Q4142">
        <v>14</v>
      </c>
      <c r="R4142" t="s">
        <v>213</v>
      </c>
      <c r="S4142" s="2" t="s">
        <v>7</v>
      </c>
      <c r="T4142">
        <v>5</v>
      </c>
      <c r="U4142" t="s">
        <v>28</v>
      </c>
      <c r="V4142" t="s">
        <v>28</v>
      </c>
      <c r="W4142">
        <v>4</v>
      </c>
      <c r="X4142" s="3"/>
      <c r="Y4142" s="3"/>
      <c r="Z4142" s="3"/>
    </row>
    <row r="4143" spans="1:28" x14ac:dyDescent="0.2">
      <c r="A4143" t="s">
        <v>530</v>
      </c>
      <c r="B4143">
        <v>2016</v>
      </c>
      <c r="C4143" t="s">
        <v>816</v>
      </c>
      <c r="D4143" t="s">
        <v>817</v>
      </c>
      <c r="E4143" t="s">
        <v>31</v>
      </c>
      <c r="F4143" t="s">
        <v>531</v>
      </c>
      <c r="G4143">
        <v>78.985100000000003</v>
      </c>
      <c r="H4143">
        <v>11.9659</v>
      </c>
      <c r="I4143" t="s">
        <v>766</v>
      </c>
      <c r="J4143" s="2" t="s">
        <v>14</v>
      </c>
      <c r="K4143" t="s">
        <v>143</v>
      </c>
      <c r="L4143" t="s">
        <v>143</v>
      </c>
      <c r="M4143" t="s">
        <v>12</v>
      </c>
      <c r="N4143" t="s">
        <v>85</v>
      </c>
      <c r="O4143" s="6" t="s">
        <v>141</v>
      </c>
      <c r="P4143" t="s">
        <v>381</v>
      </c>
      <c r="Q4143">
        <v>14</v>
      </c>
      <c r="R4143" t="s">
        <v>213</v>
      </c>
      <c r="S4143" s="2" t="s">
        <v>9</v>
      </c>
      <c r="T4143">
        <v>5</v>
      </c>
      <c r="U4143" t="s">
        <v>28</v>
      </c>
      <c r="V4143" t="s">
        <v>28</v>
      </c>
      <c r="W4143">
        <v>9</v>
      </c>
      <c r="X4143" s="3"/>
      <c r="Y4143" s="3"/>
      <c r="Z4143" s="3"/>
    </row>
    <row r="4144" spans="1:28" x14ac:dyDescent="0.2">
      <c r="A4144" t="s">
        <v>533</v>
      </c>
      <c r="B4144">
        <v>2021</v>
      </c>
      <c r="C4144" t="s">
        <v>826</v>
      </c>
      <c r="D4144" t="s">
        <v>824</v>
      </c>
      <c r="E4144" t="s">
        <v>114</v>
      </c>
      <c r="F4144" t="s">
        <v>534</v>
      </c>
      <c r="G4144">
        <v>31.067989000000001</v>
      </c>
      <c r="H4144">
        <v>122.002571</v>
      </c>
      <c r="J4144" s="2" t="s">
        <v>7</v>
      </c>
      <c r="K4144" t="s">
        <v>3</v>
      </c>
      <c r="L4144" t="s">
        <v>3</v>
      </c>
      <c r="M4144" s="6" t="s">
        <v>664</v>
      </c>
      <c r="N4144" t="s">
        <v>85</v>
      </c>
      <c r="O4144" s="6" t="s">
        <v>846</v>
      </c>
      <c r="P4144" t="s">
        <v>524</v>
      </c>
      <c r="Q4144">
        <f>2/24</f>
        <v>8.3333333333333329E-2</v>
      </c>
      <c r="R4144" t="s">
        <v>213</v>
      </c>
      <c r="S4144" s="2" t="s">
        <v>7</v>
      </c>
      <c r="T4144">
        <v>3</v>
      </c>
      <c r="U4144">
        <v>8.5</v>
      </c>
      <c r="V4144" t="s">
        <v>28</v>
      </c>
      <c r="W4144" t="s">
        <v>28</v>
      </c>
      <c r="X4144">
        <v>33.89</v>
      </c>
      <c r="Y4144">
        <f>36.95-X4144</f>
        <v>3.0600000000000023</v>
      </c>
      <c r="AA4144" s="6"/>
      <c r="AB4144" s="6"/>
    </row>
    <row r="4145" spans="1:28" x14ac:dyDescent="0.2">
      <c r="A4145" t="s">
        <v>533</v>
      </c>
      <c r="B4145">
        <v>2021</v>
      </c>
      <c r="C4145" t="s">
        <v>826</v>
      </c>
      <c r="D4145" t="s">
        <v>824</v>
      </c>
      <c r="E4145" t="s">
        <v>114</v>
      </c>
      <c r="F4145" t="s">
        <v>534</v>
      </c>
      <c r="G4145">
        <v>31.067989000000001</v>
      </c>
      <c r="H4145">
        <v>122.002571</v>
      </c>
      <c r="J4145" s="2" t="s">
        <v>7</v>
      </c>
      <c r="K4145" t="s">
        <v>3</v>
      </c>
      <c r="L4145" t="s">
        <v>3</v>
      </c>
      <c r="M4145" s="6" t="s">
        <v>664</v>
      </c>
      <c r="N4145" t="s">
        <v>86</v>
      </c>
      <c r="O4145" s="6" t="s">
        <v>847</v>
      </c>
      <c r="P4145" t="s">
        <v>524</v>
      </c>
      <c r="Q4145">
        <f t="shared" ref="Q4145:Q4149" si="78">2/24</f>
        <v>8.3333333333333329E-2</v>
      </c>
      <c r="R4145" t="s">
        <v>213</v>
      </c>
      <c r="S4145" s="2" t="s">
        <v>7</v>
      </c>
      <c r="T4145">
        <v>3</v>
      </c>
      <c r="U4145">
        <v>8.5</v>
      </c>
      <c r="V4145" t="s">
        <v>28</v>
      </c>
      <c r="W4145" t="s">
        <v>28</v>
      </c>
      <c r="X4145">
        <v>36.74</v>
      </c>
      <c r="Y4145">
        <f>42.74-X4145</f>
        <v>6</v>
      </c>
      <c r="AA4145" s="6"/>
      <c r="AB4145" s="6"/>
    </row>
    <row r="4146" spans="1:28" x14ac:dyDescent="0.2">
      <c r="A4146" t="s">
        <v>533</v>
      </c>
      <c r="B4146">
        <v>2021</v>
      </c>
      <c r="C4146" t="s">
        <v>826</v>
      </c>
      <c r="D4146" t="s">
        <v>824</v>
      </c>
      <c r="E4146" t="s">
        <v>114</v>
      </c>
      <c r="F4146" t="s">
        <v>534</v>
      </c>
      <c r="G4146">
        <v>31.067989000000001</v>
      </c>
      <c r="H4146">
        <v>122.002571</v>
      </c>
      <c r="J4146" s="2" t="s">
        <v>7</v>
      </c>
      <c r="K4146" t="s">
        <v>3</v>
      </c>
      <c r="L4146" t="s">
        <v>3</v>
      </c>
      <c r="M4146" s="6" t="s">
        <v>664</v>
      </c>
      <c r="N4146" t="s">
        <v>86</v>
      </c>
      <c r="O4146" s="6" t="s">
        <v>848</v>
      </c>
      <c r="P4146" t="s">
        <v>524</v>
      </c>
      <c r="Q4146">
        <f t="shared" si="78"/>
        <v>8.3333333333333329E-2</v>
      </c>
      <c r="R4146" t="s">
        <v>213</v>
      </c>
      <c r="S4146" s="2" t="s">
        <v>7</v>
      </c>
      <c r="T4146">
        <v>3</v>
      </c>
      <c r="U4146">
        <v>8.5</v>
      </c>
      <c r="V4146" t="s">
        <v>28</v>
      </c>
      <c r="W4146" t="s">
        <v>28</v>
      </c>
      <c r="X4146">
        <v>70.739999999999995</v>
      </c>
      <c r="Y4146">
        <f>73.47-X4146</f>
        <v>2.730000000000004</v>
      </c>
      <c r="AA4146" s="6"/>
      <c r="AB4146" s="6"/>
    </row>
    <row r="4147" spans="1:28" x14ac:dyDescent="0.2">
      <c r="A4147" t="s">
        <v>533</v>
      </c>
      <c r="B4147">
        <v>2021</v>
      </c>
      <c r="C4147" t="s">
        <v>826</v>
      </c>
      <c r="D4147" t="s">
        <v>824</v>
      </c>
      <c r="E4147" t="s">
        <v>114</v>
      </c>
      <c r="F4147" t="s">
        <v>534</v>
      </c>
      <c r="G4147">
        <v>31.067989000000001</v>
      </c>
      <c r="H4147">
        <v>122.002571</v>
      </c>
      <c r="J4147" s="2" t="s">
        <v>5</v>
      </c>
      <c r="K4147" t="s">
        <v>3</v>
      </c>
      <c r="L4147" t="s">
        <v>3</v>
      </c>
      <c r="M4147" s="6" t="s">
        <v>664</v>
      </c>
      <c r="N4147" t="s">
        <v>85</v>
      </c>
      <c r="O4147" s="6" t="s">
        <v>846</v>
      </c>
      <c r="P4147" t="s">
        <v>524</v>
      </c>
      <c r="Q4147">
        <f t="shared" si="78"/>
        <v>8.3333333333333329E-2</v>
      </c>
      <c r="R4147" t="s">
        <v>213</v>
      </c>
      <c r="S4147" s="2" t="s">
        <v>9</v>
      </c>
      <c r="T4147">
        <v>3</v>
      </c>
      <c r="U4147">
        <v>6.18</v>
      </c>
      <c r="V4147" t="s">
        <v>28</v>
      </c>
      <c r="W4147" t="s">
        <v>28</v>
      </c>
      <c r="X4147">
        <v>27.58</v>
      </c>
      <c r="Y4147">
        <f>30.74-X4147</f>
        <v>3.16</v>
      </c>
      <c r="AA4147" s="6"/>
      <c r="AB4147" s="6"/>
    </row>
    <row r="4148" spans="1:28" x14ac:dyDescent="0.2">
      <c r="A4148" t="s">
        <v>533</v>
      </c>
      <c r="B4148">
        <v>2021</v>
      </c>
      <c r="C4148" t="s">
        <v>826</v>
      </c>
      <c r="D4148" t="s">
        <v>824</v>
      </c>
      <c r="E4148" t="s">
        <v>114</v>
      </c>
      <c r="F4148" t="s">
        <v>534</v>
      </c>
      <c r="G4148">
        <v>31.067989000000001</v>
      </c>
      <c r="H4148">
        <v>122.002571</v>
      </c>
      <c r="J4148" s="2" t="s">
        <v>5</v>
      </c>
      <c r="K4148" t="s">
        <v>3</v>
      </c>
      <c r="L4148" t="s">
        <v>3</v>
      </c>
      <c r="M4148" s="6" t="s">
        <v>664</v>
      </c>
      <c r="N4148" t="s">
        <v>86</v>
      </c>
      <c r="O4148" s="6" t="s">
        <v>847</v>
      </c>
      <c r="P4148" t="s">
        <v>524</v>
      </c>
      <c r="Q4148">
        <f t="shared" si="78"/>
        <v>8.3333333333333329E-2</v>
      </c>
      <c r="R4148" t="s">
        <v>213</v>
      </c>
      <c r="S4148" s="2" t="s">
        <v>9</v>
      </c>
      <c r="T4148">
        <v>3</v>
      </c>
      <c r="U4148">
        <v>6.18</v>
      </c>
      <c r="V4148" t="s">
        <v>28</v>
      </c>
      <c r="W4148" t="s">
        <v>28</v>
      </c>
      <c r="X4148">
        <v>48.84</v>
      </c>
      <c r="Y4148">
        <f>54.74-X4148</f>
        <v>5.8999999999999986</v>
      </c>
      <c r="AA4148" s="6"/>
      <c r="AB4148" s="6"/>
    </row>
    <row r="4149" spans="1:28" x14ac:dyDescent="0.2">
      <c r="A4149" t="s">
        <v>533</v>
      </c>
      <c r="B4149">
        <v>2021</v>
      </c>
      <c r="C4149" t="s">
        <v>826</v>
      </c>
      <c r="D4149" t="s">
        <v>824</v>
      </c>
      <c r="E4149" t="s">
        <v>114</v>
      </c>
      <c r="F4149" t="s">
        <v>534</v>
      </c>
      <c r="G4149">
        <v>31.067989000000001</v>
      </c>
      <c r="H4149">
        <v>122.002571</v>
      </c>
      <c r="J4149" s="2" t="s">
        <v>5</v>
      </c>
      <c r="K4149" t="s">
        <v>3</v>
      </c>
      <c r="L4149" t="s">
        <v>3</v>
      </c>
      <c r="M4149" s="6" t="s">
        <v>664</v>
      </c>
      <c r="N4149" t="s">
        <v>86</v>
      </c>
      <c r="O4149" s="6" t="s">
        <v>848</v>
      </c>
      <c r="P4149" t="s">
        <v>524</v>
      </c>
      <c r="Q4149">
        <f t="shared" si="78"/>
        <v>8.3333333333333329E-2</v>
      </c>
      <c r="R4149" t="s">
        <v>213</v>
      </c>
      <c r="S4149" s="2" t="s">
        <v>9</v>
      </c>
      <c r="T4149">
        <v>3</v>
      </c>
      <c r="U4149">
        <v>6.18</v>
      </c>
      <c r="V4149" t="s">
        <v>28</v>
      </c>
      <c r="W4149" t="s">
        <v>28</v>
      </c>
      <c r="X4149">
        <v>76.53</v>
      </c>
      <c r="Y4149">
        <f>79.37-X4149</f>
        <v>2.8400000000000034</v>
      </c>
      <c r="AA4149" s="6"/>
      <c r="AB4149" s="6"/>
    </row>
    <row r="4150" spans="1:28" x14ac:dyDescent="0.2">
      <c r="A4150" t="s">
        <v>535</v>
      </c>
      <c r="B4150">
        <v>2017</v>
      </c>
      <c r="C4150" t="s">
        <v>816</v>
      </c>
      <c r="D4150" t="s">
        <v>820</v>
      </c>
      <c r="E4150" t="s">
        <v>34</v>
      </c>
      <c r="F4150" t="s">
        <v>536</v>
      </c>
      <c r="G4150">
        <v>-45.783332999999999</v>
      </c>
      <c r="H4150">
        <v>170.716667</v>
      </c>
      <c r="I4150" t="s">
        <v>764</v>
      </c>
      <c r="J4150" s="2" t="s">
        <v>7</v>
      </c>
      <c r="K4150" t="s">
        <v>144</v>
      </c>
      <c r="L4150" t="s">
        <v>144</v>
      </c>
      <c r="M4150" t="s">
        <v>73</v>
      </c>
      <c r="N4150" t="s">
        <v>85</v>
      </c>
      <c r="O4150" s="6" t="s">
        <v>842</v>
      </c>
      <c r="P4150" t="s">
        <v>537</v>
      </c>
      <c r="Q4150">
        <f t="shared" ref="Q4150:Q4159" si="79">1.25/24</f>
        <v>5.2083333333333336E-2</v>
      </c>
      <c r="R4150" t="s">
        <v>213</v>
      </c>
      <c r="S4150" s="2" t="s">
        <v>7</v>
      </c>
      <c r="T4150">
        <v>5</v>
      </c>
      <c r="U4150">
        <v>8</v>
      </c>
      <c r="V4150">
        <v>425.85</v>
      </c>
      <c r="W4150" t="s">
        <v>28</v>
      </c>
      <c r="X4150">
        <v>0.123</v>
      </c>
      <c r="Y4150" s="6">
        <f t="shared" ref="Y4150:Y4181" si="80">Z4150*SQRT(T4150)</f>
        <v>4.2485291572496003E-2</v>
      </c>
      <c r="Z4150">
        <v>1.9E-2</v>
      </c>
      <c r="AA4150" s="6"/>
      <c r="AB4150" s="6"/>
    </row>
    <row r="4151" spans="1:28" x14ac:dyDescent="0.2">
      <c r="A4151" t="s">
        <v>535</v>
      </c>
      <c r="B4151">
        <v>2017</v>
      </c>
      <c r="C4151" t="s">
        <v>816</v>
      </c>
      <c r="D4151" t="s">
        <v>820</v>
      </c>
      <c r="E4151" t="s">
        <v>34</v>
      </c>
      <c r="F4151" t="s">
        <v>536</v>
      </c>
      <c r="G4151">
        <v>-45.783332999999999</v>
      </c>
      <c r="H4151">
        <v>170.716667</v>
      </c>
      <c r="I4151" t="s">
        <v>764</v>
      </c>
      <c r="J4151" s="2" t="s">
        <v>5</v>
      </c>
      <c r="K4151" t="s">
        <v>144</v>
      </c>
      <c r="L4151" t="s">
        <v>144</v>
      </c>
      <c r="M4151" t="s">
        <v>73</v>
      </c>
      <c r="N4151" t="s">
        <v>85</v>
      </c>
      <c r="O4151" s="6" t="s">
        <v>842</v>
      </c>
      <c r="P4151" t="s">
        <v>537</v>
      </c>
      <c r="Q4151">
        <f t="shared" si="79"/>
        <v>5.2083333333333336E-2</v>
      </c>
      <c r="R4151" t="s">
        <v>213</v>
      </c>
      <c r="S4151" s="2" t="s">
        <v>9</v>
      </c>
      <c r="T4151">
        <v>5</v>
      </c>
      <c r="U4151">
        <v>7.65</v>
      </c>
      <c r="V4151">
        <v>858.95</v>
      </c>
      <c r="W4151" t="s">
        <v>28</v>
      </c>
      <c r="X4151">
        <v>0.17</v>
      </c>
      <c r="Y4151" s="6">
        <f t="shared" si="80"/>
        <v>1.1180339887498949E-2</v>
      </c>
      <c r="Z4151">
        <v>5.0000000000000001E-3</v>
      </c>
      <c r="AA4151" s="6"/>
      <c r="AB4151" s="6"/>
    </row>
    <row r="4152" spans="1:28" x14ac:dyDescent="0.2">
      <c r="A4152" t="s">
        <v>535</v>
      </c>
      <c r="B4152">
        <v>2017</v>
      </c>
      <c r="C4152" t="s">
        <v>816</v>
      </c>
      <c r="D4152" t="s">
        <v>820</v>
      </c>
      <c r="E4152" t="s">
        <v>34</v>
      </c>
      <c r="F4152" t="s">
        <v>536</v>
      </c>
      <c r="G4152">
        <v>-45.783332999999999</v>
      </c>
      <c r="H4152">
        <v>170.716667</v>
      </c>
      <c r="I4152" t="s">
        <v>764</v>
      </c>
      <c r="J4152" s="2" t="s">
        <v>5</v>
      </c>
      <c r="K4152" t="s">
        <v>144</v>
      </c>
      <c r="L4152" t="s">
        <v>144</v>
      </c>
      <c r="M4152" s="6" t="s">
        <v>73</v>
      </c>
      <c r="N4152" t="s">
        <v>85</v>
      </c>
      <c r="O4152" s="6" t="s">
        <v>434</v>
      </c>
      <c r="P4152" t="s">
        <v>78</v>
      </c>
      <c r="Q4152">
        <f t="shared" si="79"/>
        <v>5.2083333333333336E-2</v>
      </c>
      <c r="R4152" t="s">
        <v>213</v>
      </c>
      <c r="S4152" s="2" t="s">
        <v>9</v>
      </c>
      <c r="T4152">
        <v>5</v>
      </c>
      <c r="U4152">
        <v>7.65</v>
      </c>
      <c r="V4152">
        <v>858.95</v>
      </c>
      <c r="W4152" t="s">
        <v>28</v>
      </c>
      <c r="X4152">
        <v>2.0350000000000001</v>
      </c>
      <c r="Y4152" s="6">
        <f t="shared" si="80"/>
        <v>0.87653864717991736</v>
      </c>
      <c r="Z4152">
        <f>2.427-X4152</f>
        <v>0.3919999999999999</v>
      </c>
      <c r="AA4152" s="6"/>
      <c r="AB4152" s="6"/>
    </row>
    <row r="4153" spans="1:28" x14ac:dyDescent="0.2">
      <c r="A4153" t="s">
        <v>535</v>
      </c>
      <c r="B4153">
        <v>2017</v>
      </c>
      <c r="C4153" t="s">
        <v>816</v>
      </c>
      <c r="D4153" t="s">
        <v>820</v>
      </c>
      <c r="E4153" t="s">
        <v>34</v>
      </c>
      <c r="F4153" t="s">
        <v>536</v>
      </c>
      <c r="G4153">
        <v>-45.783332999999999</v>
      </c>
      <c r="H4153">
        <v>170.716667</v>
      </c>
      <c r="I4153" t="s">
        <v>764</v>
      </c>
      <c r="J4153" s="2" t="s">
        <v>7</v>
      </c>
      <c r="K4153" t="s">
        <v>144</v>
      </c>
      <c r="L4153" t="s">
        <v>144</v>
      </c>
      <c r="M4153" s="6" t="s">
        <v>73</v>
      </c>
      <c r="N4153" t="s">
        <v>85</v>
      </c>
      <c r="O4153" s="6" t="s">
        <v>434</v>
      </c>
      <c r="P4153" t="s">
        <v>78</v>
      </c>
      <c r="Q4153">
        <f t="shared" si="79"/>
        <v>5.2083333333333336E-2</v>
      </c>
      <c r="R4153" t="s">
        <v>213</v>
      </c>
      <c r="S4153" s="2" t="s">
        <v>7</v>
      </c>
      <c r="T4153">
        <v>5</v>
      </c>
      <c r="U4153">
        <v>8</v>
      </c>
      <c r="V4153">
        <v>425.85</v>
      </c>
      <c r="W4153" t="s">
        <v>28</v>
      </c>
      <c r="X4153">
        <v>2.9649999999999999</v>
      </c>
      <c r="Y4153" s="6">
        <f t="shared" si="80"/>
        <v>1.2969194269498783</v>
      </c>
      <c r="Z4153">
        <f>3.545-X4153</f>
        <v>0.58000000000000007</v>
      </c>
      <c r="AA4153" s="6"/>
      <c r="AB4153" s="6"/>
    </row>
    <row r="4154" spans="1:28" x14ac:dyDescent="0.2">
      <c r="A4154" t="s">
        <v>535</v>
      </c>
      <c r="B4154">
        <v>2017</v>
      </c>
      <c r="C4154" t="s">
        <v>816</v>
      </c>
      <c r="D4154" t="s">
        <v>820</v>
      </c>
      <c r="E4154" t="s">
        <v>34</v>
      </c>
      <c r="F4154" t="s">
        <v>536</v>
      </c>
      <c r="G4154">
        <v>-45.783332999999999</v>
      </c>
      <c r="H4154">
        <v>170.716667</v>
      </c>
      <c r="I4154" t="s">
        <v>764</v>
      </c>
      <c r="J4154" s="2" t="s">
        <v>5</v>
      </c>
      <c r="K4154" t="s">
        <v>144</v>
      </c>
      <c r="L4154" t="s">
        <v>144</v>
      </c>
      <c r="M4154" t="s">
        <v>73</v>
      </c>
      <c r="N4154" t="s">
        <v>85</v>
      </c>
      <c r="O4154" s="6" t="s">
        <v>538</v>
      </c>
      <c r="P4154" t="s">
        <v>78</v>
      </c>
      <c r="Q4154">
        <f t="shared" si="79"/>
        <v>5.2083333333333336E-2</v>
      </c>
      <c r="R4154" t="s">
        <v>213</v>
      </c>
      <c r="S4154" s="2" t="s">
        <v>9</v>
      </c>
      <c r="T4154">
        <v>5</v>
      </c>
      <c r="U4154">
        <v>7.65</v>
      </c>
      <c r="V4154">
        <v>858.95</v>
      </c>
      <c r="W4154" t="s">
        <v>28</v>
      </c>
      <c r="X4154">
        <v>29.57</v>
      </c>
      <c r="Y4154" s="6">
        <f t="shared" si="80"/>
        <v>27.593078842347399</v>
      </c>
      <c r="Z4154">
        <f>41.91-X4154</f>
        <v>12.339999999999996</v>
      </c>
      <c r="AA4154" s="6"/>
      <c r="AB4154" s="6"/>
    </row>
    <row r="4155" spans="1:28" x14ac:dyDescent="0.2">
      <c r="A4155" t="s">
        <v>535</v>
      </c>
      <c r="B4155">
        <v>2017</v>
      </c>
      <c r="C4155" t="s">
        <v>816</v>
      </c>
      <c r="D4155" t="s">
        <v>820</v>
      </c>
      <c r="E4155" t="s">
        <v>34</v>
      </c>
      <c r="F4155" t="s">
        <v>536</v>
      </c>
      <c r="G4155">
        <v>-45.783332999999999</v>
      </c>
      <c r="H4155">
        <v>170.716667</v>
      </c>
      <c r="I4155" t="s">
        <v>764</v>
      </c>
      <c r="J4155" s="2" t="s">
        <v>7</v>
      </c>
      <c r="K4155" t="s">
        <v>144</v>
      </c>
      <c r="L4155" t="s">
        <v>144</v>
      </c>
      <c r="M4155" t="s">
        <v>73</v>
      </c>
      <c r="N4155" t="s">
        <v>85</v>
      </c>
      <c r="O4155" s="6" t="s">
        <v>538</v>
      </c>
      <c r="P4155" t="s">
        <v>78</v>
      </c>
      <c r="Q4155">
        <f t="shared" si="79"/>
        <v>5.2083333333333336E-2</v>
      </c>
      <c r="R4155" t="s">
        <v>213</v>
      </c>
      <c r="S4155" s="2" t="s">
        <v>7</v>
      </c>
      <c r="T4155">
        <v>5</v>
      </c>
      <c r="U4155">
        <v>8</v>
      </c>
      <c r="V4155">
        <v>425.85</v>
      </c>
      <c r="W4155" t="s">
        <v>28</v>
      </c>
      <c r="X4155">
        <v>27.37</v>
      </c>
      <c r="Y4155" s="6">
        <f t="shared" si="80"/>
        <v>6.5516791740743834</v>
      </c>
      <c r="Z4155">
        <f>30.3-X4155</f>
        <v>2.9299999999999997</v>
      </c>
      <c r="AA4155" s="6"/>
      <c r="AB4155" s="6"/>
    </row>
    <row r="4156" spans="1:28" x14ac:dyDescent="0.2">
      <c r="A4156" t="s">
        <v>535</v>
      </c>
      <c r="B4156">
        <v>2017</v>
      </c>
      <c r="C4156" t="s">
        <v>816</v>
      </c>
      <c r="D4156" t="s">
        <v>820</v>
      </c>
      <c r="E4156" t="s">
        <v>34</v>
      </c>
      <c r="F4156" t="s">
        <v>536</v>
      </c>
      <c r="G4156">
        <v>-45.783332999999999</v>
      </c>
      <c r="H4156">
        <v>170.716667</v>
      </c>
      <c r="I4156" t="s">
        <v>764</v>
      </c>
      <c r="J4156" s="2" t="s">
        <v>5</v>
      </c>
      <c r="K4156" t="s">
        <v>144</v>
      </c>
      <c r="L4156" t="s">
        <v>144</v>
      </c>
      <c r="M4156" t="s">
        <v>73</v>
      </c>
      <c r="N4156" t="s">
        <v>85</v>
      </c>
      <c r="O4156" s="6" t="s">
        <v>503</v>
      </c>
      <c r="P4156" t="s">
        <v>78</v>
      </c>
      <c r="Q4156">
        <f t="shared" si="79"/>
        <v>5.2083333333333336E-2</v>
      </c>
      <c r="R4156" t="s">
        <v>213</v>
      </c>
      <c r="S4156" s="2" t="s">
        <v>9</v>
      </c>
      <c r="T4156">
        <v>5</v>
      </c>
      <c r="U4156">
        <v>7.65</v>
      </c>
      <c r="V4156">
        <v>858.95</v>
      </c>
      <c r="W4156" t="s">
        <v>28</v>
      </c>
      <c r="X4156">
        <v>5.9930000000000003</v>
      </c>
      <c r="Y4156" s="6">
        <f t="shared" si="80"/>
        <v>1.625621419642346</v>
      </c>
      <c r="Z4156">
        <f>6.72-X4156</f>
        <v>0.72699999999999942</v>
      </c>
      <c r="AA4156" s="6"/>
      <c r="AB4156" s="6"/>
    </row>
    <row r="4157" spans="1:28" x14ac:dyDescent="0.2">
      <c r="A4157" t="s">
        <v>535</v>
      </c>
      <c r="B4157">
        <v>2017</v>
      </c>
      <c r="C4157" t="s">
        <v>816</v>
      </c>
      <c r="D4157" t="s">
        <v>820</v>
      </c>
      <c r="E4157" t="s">
        <v>34</v>
      </c>
      <c r="F4157" t="s">
        <v>536</v>
      </c>
      <c r="G4157">
        <v>-45.783332999999999</v>
      </c>
      <c r="H4157">
        <v>170.716667</v>
      </c>
      <c r="I4157" t="s">
        <v>764</v>
      </c>
      <c r="J4157" s="2" t="s">
        <v>7</v>
      </c>
      <c r="K4157" t="s">
        <v>144</v>
      </c>
      <c r="L4157" t="s">
        <v>144</v>
      </c>
      <c r="M4157" t="s">
        <v>73</v>
      </c>
      <c r="N4157" t="s">
        <v>85</v>
      </c>
      <c r="O4157" s="6" t="s">
        <v>503</v>
      </c>
      <c r="P4157" t="s">
        <v>78</v>
      </c>
      <c r="Q4157">
        <f t="shared" si="79"/>
        <v>5.2083333333333336E-2</v>
      </c>
      <c r="R4157" t="s">
        <v>213</v>
      </c>
      <c r="S4157" s="2" t="s">
        <v>7</v>
      </c>
      <c r="T4157">
        <v>5</v>
      </c>
      <c r="U4157">
        <v>8</v>
      </c>
      <c r="V4157">
        <v>425.85</v>
      </c>
      <c r="W4157" t="s">
        <v>28</v>
      </c>
      <c r="X4157">
        <v>2.0390000000000001</v>
      </c>
      <c r="Y4157" s="6">
        <f t="shared" si="80"/>
        <v>0.27727242920997319</v>
      </c>
      <c r="Z4157">
        <f>2.163-X4157</f>
        <v>0.12399999999999967</v>
      </c>
      <c r="AA4157" s="6"/>
      <c r="AB4157" s="6"/>
    </row>
    <row r="4158" spans="1:28" x14ac:dyDescent="0.2">
      <c r="A4158" t="s">
        <v>535</v>
      </c>
      <c r="B4158">
        <v>2017</v>
      </c>
      <c r="C4158" t="s">
        <v>816</v>
      </c>
      <c r="D4158" t="s">
        <v>820</v>
      </c>
      <c r="E4158" t="s">
        <v>34</v>
      </c>
      <c r="F4158" t="s">
        <v>536</v>
      </c>
      <c r="G4158">
        <v>-45.783332999999999</v>
      </c>
      <c r="H4158">
        <v>170.716667</v>
      </c>
      <c r="I4158" t="s">
        <v>764</v>
      </c>
      <c r="J4158" s="2" t="s">
        <v>5</v>
      </c>
      <c r="K4158" t="s">
        <v>144</v>
      </c>
      <c r="L4158" t="s">
        <v>144</v>
      </c>
      <c r="M4158" t="s">
        <v>73</v>
      </c>
      <c r="N4158" t="s">
        <v>85</v>
      </c>
      <c r="O4158" s="6" t="s">
        <v>539</v>
      </c>
      <c r="P4158" t="s">
        <v>540</v>
      </c>
      <c r="Q4158">
        <f t="shared" si="79"/>
        <v>5.2083333333333336E-2</v>
      </c>
      <c r="R4158" t="s">
        <v>213</v>
      </c>
      <c r="S4158" s="2" t="s">
        <v>9</v>
      </c>
      <c r="T4158">
        <v>5</v>
      </c>
      <c r="U4158">
        <v>7.65</v>
      </c>
      <c r="V4158">
        <v>858.95</v>
      </c>
      <c r="W4158" t="s">
        <v>28</v>
      </c>
      <c r="X4158">
        <v>2230</v>
      </c>
      <c r="Y4158" s="6">
        <f t="shared" si="80"/>
        <v>42.48529157249601</v>
      </c>
      <c r="Z4158">
        <f>2249-X4158</f>
        <v>19</v>
      </c>
      <c r="AA4158" s="6"/>
      <c r="AB4158" s="6"/>
    </row>
    <row r="4159" spans="1:28" x14ac:dyDescent="0.2">
      <c r="A4159" t="s">
        <v>535</v>
      </c>
      <c r="B4159">
        <v>2017</v>
      </c>
      <c r="C4159" t="s">
        <v>816</v>
      </c>
      <c r="D4159" t="s">
        <v>820</v>
      </c>
      <c r="E4159" t="s">
        <v>34</v>
      </c>
      <c r="F4159" t="s">
        <v>536</v>
      </c>
      <c r="G4159">
        <v>-45.783332999999999</v>
      </c>
      <c r="H4159">
        <v>170.716667</v>
      </c>
      <c r="I4159" t="s">
        <v>764</v>
      </c>
      <c r="J4159" s="2" t="s">
        <v>7</v>
      </c>
      <c r="K4159" t="s">
        <v>144</v>
      </c>
      <c r="L4159" t="s">
        <v>144</v>
      </c>
      <c r="M4159" t="s">
        <v>73</v>
      </c>
      <c r="N4159" t="s">
        <v>85</v>
      </c>
      <c r="O4159" s="6" t="s">
        <v>539</v>
      </c>
      <c r="P4159" t="s">
        <v>540</v>
      </c>
      <c r="Q4159">
        <f t="shared" si="79"/>
        <v>5.2083333333333336E-2</v>
      </c>
      <c r="R4159" t="s">
        <v>213</v>
      </c>
      <c r="S4159" s="2" t="s">
        <v>7</v>
      </c>
      <c r="T4159">
        <v>5</v>
      </c>
      <c r="U4159">
        <v>8</v>
      </c>
      <c r="V4159">
        <v>425.85</v>
      </c>
      <c r="W4159" t="s">
        <v>28</v>
      </c>
      <c r="X4159">
        <v>2222</v>
      </c>
      <c r="Y4159" s="6">
        <f t="shared" si="80"/>
        <v>40.249223594996216</v>
      </c>
      <c r="Z4159">
        <f>2240-X4159</f>
        <v>18</v>
      </c>
      <c r="AA4159" s="6"/>
      <c r="AB4159" s="6"/>
    </row>
    <row r="4160" spans="1:28" x14ac:dyDescent="0.2">
      <c r="A4160" t="s">
        <v>541</v>
      </c>
      <c r="B4160">
        <v>2019</v>
      </c>
      <c r="C4160" t="s">
        <v>826</v>
      </c>
      <c r="D4160" t="s">
        <v>824</v>
      </c>
      <c r="E4160" t="s">
        <v>114</v>
      </c>
      <c r="F4160" t="s">
        <v>392</v>
      </c>
      <c r="G4160">
        <v>37.016666999999998</v>
      </c>
      <c r="H4160">
        <v>122.4</v>
      </c>
      <c r="I4160" t="s">
        <v>769</v>
      </c>
      <c r="J4160" s="2" t="s">
        <v>7</v>
      </c>
      <c r="K4160" t="s">
        <v>542</v>
      </c>
      <c r="L4160" t="s">
        <v>143</v>
      </c>
      <c r="M4160" t="s">
        <v>637</v>
      </c>
      <c r="N4160" t="s">
        <v>85</v>
      </c>
      <c r="O4160" s="6" t="s">
        <v>543</v>
      </c>
      <c r="P4160" t="s">
        <v>147</v>
      </c>
      <c r="Q4160">
        <v>5</v>
      </c>
      <c r="R4160" t="s">
        <v>213</v>
      </c>
      <c r="S4160" s="2" t="s">
        <v>7</v>
      </c>
      <c r="T4160">
        <v>3</v>
      </c>
      <c r="U4160">
        <v>8.06</v>
      </c>
      <c r="V4160">
        <v>400</v>
      </c>
      <c r="W4160">
        <v>10</v>
      </c>
      <c r="X4160">
        <v>5.6</v>
      </c>
      <c r="Y4160" s="6">
        <f t="shared" si="80"/>
        <v>0.48670627692685547</v>
      </c>
      <c r="Z4160">
        <f>5.881-X4160</f>
        <v>0.28100000000000058</v>
      </c>
      <c r="AA4160" s="6"/>
      <c r="AB4160" s="6"/>
    </row>
    <row r="4161" spans="1:28" x14ac:dyDescent="0.2">
      <c r="A4161" t="s">
        <v>541</v>
      </c>
      <c r="B4161">
        <v>2019</v>
      </c>
      <c r="C4161" t="s">
        <v>826</v>
      </c>
      <c r="D4161" t="s">
        <v>824</v>
      </c>
      <c r="E4161" t="s">
        <v>114</v>
      </c>
      <c r="F4161" t="s">
        <v>392</v>
      </c>
      <c r="G4161">
        <v>37.016666999999998</v>
      </c>
      <c r="H4161">
        <v>122.4</v>
      </c>
      <c r="I4161" t="s">
        <v>769</v>
      </c>
      <c r="J4161" s="2" t="s">
        <v>14</v>
      </c>
      <c r="K4161" t="s">
        <v>542</v>
      </c>
      <c r="L4161" t="s">
        <v>143</v>
      </c>
      <c r="M4161" t="s">
        <v>637</v>
      </c>
      <c r="N4161" t="s">
        <v>85</v>
      </c>
      <c r="O4161" s="6" t="s">
        <v>543</v>
      </c>
      <c r="P4161" t="s">
        <v>147</v>
      </c>
      <c r="Q4161">
        <v>5</v>
      </c>
      <c r="R4161" t="s">
        <v>213</v>
      </c>
      <c r="S4161" s="2" t="s">
        <v>9</v>
      </c>
      <c r="T4161">
        <v>3</v>
      </c>
      <c r="U4161" t="s">
        <v>28</v>
      </c>
      <c r="V4161" t="s">
        <v>28</v>
      </c>
      <c r="W4161">
        <v>15</v>
      </c>
      <c r="X4161">
        <v>7.774</v>
      </c>
      <c r="Y4161" s="6">
        <f t="shared" si="80"/>
        <v>0.9526279441628821</v>
      </c>
      <c r="Z4161">
        <f>8.324-X4161</f>
        <v>0.54999999999999982</v>
      </c>
      <c r="AA4161" s="6"/>
      <c r="AB4161" s="6"/>
    </row>
    <row r="4162" spans="1:28" x14ac:dyDescent="0.2">
      <c r="A4162" t="s">
        <v>541</v>
      </c>
      <c r="B4162">
        <v>2019</v>
      </c>
      <c r="C4162" t="s">
        <v>826</v>
      </c>
      <c r="D4162" t="s">
        <v>824</v>
      </c>
      <c r="E4162" t="s">
        <v>114</v>
      </c>
      <c r="F4162" t="s">
        <v>392</v>
      </c>
      <c r="G4162">
        <v>37.016666999999998</v>
      </c>
      <c r="H4162">
        <v>122.4</v>
      </c>
      <c r="I4162" t="s">
        <v>769</v>
      </c>
      <c r="J4162" s="2" t="s">
        <v>14</v>
      </c>
      <c r="K4162" t="s">
        <v>542</v>
      </c>
      <c r="L4162" t="s">
        <v>143</v>
      </c>
      <c r="M4162" t="s">
        <v>637</v>
      </c>
      <c r="N4162" t="s">
        <v>85</v>
      </c>
      <c r="O4162" s="6" t="s">
        <v>543</v>
      </c>
      <c r="P4162" t="s">
        <v>147</v>
      </c>
      <c r="Q4162">
        <v>5</v>
      </c>
      <c r="R4162" t="s">
        <v>213</v>
      </c>
      <c r="S4162" s="2" t="s">
        <v>27</v>
      </c>
      <c r="T4162">
        <v>3</v>
      </c>
      <c r="U4162" t="s">
        <v>28</v>
      </c>
      <c r="V4162" t="s">
        <v>28</v>
      </c>
      <c r="W4162">
        <v>20</v>
      </c>
      <c r="X4162">
        <v>7.6760000000000002</v>
      </c>
      <c r="Y4162" s="6">
        <f t="shared" si="80"/>
        <v>0.31869734859267368</v>
      </c>
      <c r="Z4162">
        <f>7.86-X4162</f>
        <v>0.18400000000000016</v>
      </c>
      <c r="AA4162" s="6"/>
      <c r="AB4162" s="6"/>
    </row>
    <row r="4163" spans="1:28" x14ac:dyDescent="0.2">
      <c r="A4163" t="s">
        <v>541</v>
      </c>
      <c r="B4163">
        <v>2019</v>
      </c>
      <c r="C4163" t="s">
        <v>826</v>
      </c>
      <c r="D4163" t="s">
        <v>824</v>
      </c>
      <c r="E4163" t="s">
        <v>114</v>
      </c>
      <c r="F4163" t="s">
        <v>392</v>
      </c>
      <c r="G4163">
        <v>37.016666999999998</v>
      </c>
      <c r="H4163">
        <v>122.4</v>
      </c>
      <c r="I4163" t="s">
        <v>769</v>
      </c>
      <c r="J4163" s="2" t="s">
        <v>5</v>
      </c>
      <c r="K4163" t="s">
        <v>542</v>
      </c>
      <c r="L4163" t="s">
        <v>143</v>
      </c>
      <c r="M4163" t="s">
        <v>637</v>
      </c>
      <c r="N4163" t="s">
        <v>85</v>
      </c>
      <c r="O4163" s="6" t="s">
        <v>543</v>
      </c>
      <c r="P4163" t="s">
        <v>147</v>
      </c>
      <c r="Q4163">
        <v>5</v>
      </c>
      <c r="R4163" t="s">
        <v>213</v>
      </c>
      <c r="S4163" s="2" t="s">
        <v>13</v>
      </c>
      <c r="T4163">
        <v>3</v>
      </c>
      <c r="U4163">
        <v>7.93</v>
      </c>
      <c r="V4163">
        <v>700</v>
      </c>
      <c r="W4163" t="s">
        <v>28</v>
      </c>
      <c r="X4163">
        <v>7.7249999999999996</v>
      </c>
      <c r="Y4163" s="6">
        <f t="shared" si="80"/>
        <v>0.95262794416288366</v>
      </c>
      <c r="Z4163">
        <f>8.275-X4163</f>
        <v>0.55000000000000071</v>
      </c>
      <c r="AA4163" s="6"/>
      <c r="AB4163" s="6"/>
    </row>
    <row r="4164" spans="1:28" x14ac:dyDescent="0.2">
      <c r="A4164" t="s">
        <v>541</v>
      </c>
      <c r="B4164">
        <v>2019</v>
      </c>
      <c r="C4164" t="s">
        <v>826</v>
      </c>
      <c r="D4164" t="s">
        <v>824</v>
      </c>
      <c r="E4164" t="s">
        <v>114</v>
      </c>
      <c r="F4164" t="s">
        <v>392</v>
      </c>
      <c r="G4164">
        <v>37.016666999999998</v>
      </c>
      <c r="H4164">
        <v>122.4</v>
      </c>
      <c r="I4164" t="s">
        <v>769</v>
      </c>
      <c r="J4164" s="2" t="s">
        <v>16</v>
      </c>
      <c r="K4164" t="s">
        <v>542</v>
      </c>
      <c r="L4164" t="s">
        <v>143</v>
      </c>
      <c r="M4164" t="s">
        <v>637</v>
      </c>
      <c r="N4164" t="s">
        <v>85</v>
      </c>
      <c r="O4164" s="6" t="s">
        <v>543</v>
      </c>
      <c r="P4164" t="s">
        <v>147</v>
      </c>
      <c r="Q4164">
        <v>5</v>
      </c>
      <c r="R4164" t="s">
        <v>213</v>
      </c>
      <c r="S4164" s="2" t="s">
        <v>15</v>
      </c>
      <c r="T4164">
        <v>3</v>
      </c>
      <c r="U4164">
        <v>7.89</v>
      </c>
      <c r="V4164">
        <v>700</v>
      </c>
      <c r="W4164">
        <v>15</v>
      </c>
      <c r="X4164">
        <v>8.1769999999999996</v>
      </c>
      <c r="Y4164" s="6">
        <f t="shared" si="80"/>
        <v>0.48670627692685547</v>
      </c>
      <c r="Z4164">
        <f>8.458-X4164</f>
        <v>0.28100000000000058</v>
      </c>
      <c r="AA4164" s="6"/>
      <c r="AB4164" s="6"/>
    </row>
    <row r="4165" spans="1:28" x14ac:dyDescent="0.2">
      <c r="A4165" t="s">
        <v>541</v>
      </c>
      <c r="B4165">
        <v>2019</v>
      </c>
      <c r="C4165" t="s">
        <v>826</v>
      </c>
      <c r="D4165" t="s">
        <v>824</v>
      </c>
      <c r="E4165" t="s">
        <v>114</v>
      </c>
      <c r="F4165" t="s">
        <v>392</v>
      </c>
      <c r="G4165">
        <v>37.016666999999998</v>
      </c>
      <c r="H4165">
        <v>122.4</v>
      </c>
      <c r="I4165" t="s">
        <v>769</v>
      </c>
      <c r="J4165" s="2" t="s">
        <v>16</v>
      </c>
      <c r="K4165" t="s">
        <v>542</v>
      </c>
      <c r="L4165" t="s">
        <v>143</v>
      </c>
      <c r="M4165" t="s">
        <v>637</v>
      </c>
      <c r="N4165" t="s">
        <v>85</v>
      </c>
      <c r="O4165" s="6" t="s">
        <v>543</v>
      </c>
      <c r="P4165" t="s">
        <v>147</v>
      </c>
      <c r="Q4165">
        <v>5</v>
      </c>
      <c r="R4165" t="s">
        <v>213</v>
      </c>
      <c r="S4165" s="2" t="s">
        <v>37</v>
      </c>
      <c r="T4165">
        <v>3</v>
      </c>
      <c r="U4165">
        <v>7.89</v>
      </c>
      <c r="V4165">
        <v>700</v>
      </c>
      <c r="W4165">
        <v>20</v>
      </c>
      <c r="X4165">
        <v>8.1039999999999992</v>
      </c>
      <c r="Y4165" s="6">
        <f t="shared" si="80"/>
        <v>0.46592166723602818</v>
      </c>
      <c r="Z4165">
        <f>8.373-X4165</f>
        <v>0.26900000000000013</v>
      </c>
      <c r="AA4165" s="6"/>
      <c r="AB4165" s="6"/>
    </row>
    <row r="4166" spans="1:28" x14ac:dyDescent="0.2">
      <c r="A4166" t="s">
        <v>541</v>
      </c>
      <c r="B4166">
        <v>2019</v>
      </c>
      <c r="C4166" t="s">
        <v>826</v>
      </c>
      <c r="D4166" t="s">
        <v>824</v>
      </c>
      <c r="E4166" t="s">
        <v>114</v>
      </c>
      <c r="F4166" t="s">
        <v>392</v>
      </c>
      <c r="G4166">
        <v>37.016666999999998</v>
      </c>
      <c r="H4166">
        <v>122.4</v>
      </c>
      <c r="I4166" t="s">
        <v>769</v>
      </c>
      <c r="J4166" s="2" t="s">
        <v>5</v>
      </c>
      <c r="K4166" t="s">
        <v>542</v>
      </c>
      <c r="L4166" t="s">
        <v>143</v>
      </c>
      <c r="M4166" t="s">
        <v>637</v>
      </c>
      <c r="N4166" t="s">
        <v>85</v>
      </c>
      <c r="O4166" s="6" t="s">
        <v>543</v>
      </c>
      <c r="P4166" t="s">
        <v>147</v>
      </c>
      <c r="Q4166">
        <v>5</v>
      </c>
      <c r="R4166" t="s">
        <v>213</v>
      </c>
      <c r="S4166" s="2" t="s">
        <v>116</v>
      </c>
      <c r="T4166">
        <v>3</v>
      </c>
      <c r="U4166">
        <v>7.8</v>
      </c>
      <c r="V4166">
        <v>1000</v>
      </c>
      <c r="W4166" t="s">
        <v>28</v>
      </c>
      <c r="X4166">
        <v>8.0060000000000002</v>
      </c>
      <c r="Y4166" s="6">
        <f t="shared" si="80"/>
        <v>0.78288696502113242</v>
      </c>
      <c r="Z4166">
        <f>8.458-X4166</f>
        <v>0.45199999999999996</v>
      </c>
      <c r="AA4166" s="6"/>
      <c r="AB4166" s="6"/>
    </row>
    <row r="4167" spans="1:28" x14ac:dyDescent="0.2">
      <c r="A4167" t="s">
        <v>541</v>
      </c>
      <c r="B4167">
        <v>2019</v>
      </c>
      <c r="C4167" t="s">
        <v>826</v>
      </c>
      <c r="D4167" t="s">
        <v>824</v>
      </c>
      <c r="E4167" t="s">
        <v>114</v>
      </c>
      <c r="F4167" t="s">
        <v>392</v>
      </c>
      <c r="G4167">
        <v>37.016666999999998</v>
      </c>
      <c r="H4167">
        <v>122.4</v>
      </c>
      <c r="I4167" t="s">
        <v>769</v>
      </c>
      <c r="J4167" s="2" t="s">
        <v>16</v>
      </c>
      <c r="K4167" t="s">
        <v>542</v>
      </c>
      <c r="L4167" t="s">
        <v>143</v>
      </c>
      <c r="M4167" t="s">
        <v>637</v>
      </c>
      <c r="N4167" t="s">
        <v>85</v>
      </c>
      <c r="O4167" s="6" t="s">
        <v>543</v>
      </c>
      <c r="P4167" t="s">
        <v>147</v>
      </c>
      <c r="Q4167">
        <v>5</v>
      </c>
      <c r="R4167" t="s">
        <v>213</v>
      </c>
      <c r="S4167" s="2" t="s">
        <v>117</v>
      </c>
      <c r="T4167">
        <v>3</v>
      </c>
      <c r="U4167">
        <v>7.82</v>
      </c>
      <c r="V4167">
        <v>1000</v>
      </c>
      <c r="W4167">
        <v>15</v>
      </c>
      <c r="X4167">
        <v>8.8849999999999998</v>
      </c>
      <c r="Y4167" s="6">
        <f t="shared" si="80"/>
        <v>0.2753960784034527</v>
      </c>
      <c r="Z4167">
        <f>9.044-X4167</f>
        <v>0.1590000000000007</v>
      </c>
      <c r="AA4167" s="6"/>
      <c r="AB4167" s="6"/>
    </row>
    <row r="4168" spans="1:28" x14ac:dyDescent="0.2">
      <c r="A4168" t="s">
        <v>541</v>
      </c>
      <c r="B4168">
        <v>2019</v>
      </c>
      <c r="C4168" t="s">
        <v>826</v>
      </c>
      <c r="D4168" t="s">
        <v>824</v>
      </c>
      <c r="E4168" t="s">
        <v>114</v>
      </c>
      <c r="F4168" t="s">
        <v>392</v>
      </c>
      <c r="G4168">
        <v>37.016666999999998</v>
      </c>
      <c r="H4168">
        <v>122.4</v>
      </c>
      <c r="I4168" t="s">
        <v>769</v>
      </c>
      <c r="J4168" s="2" t="s">
        <v>16</v>
      </c>
      <c r="K4168" t="s">
        <v>542</v>
      </c>
      <c r="L4168" t="s">
        <v>143</v>
      </c>
      <c r="M4168" t="s">
        <v>637</v>
      </c>
      <c r="N4168" t="s">
        <v>85</v>
      </c>
      <c r="O4168" s="6" t="s">
        <v>543</v>
      </c>
      <c r="P4168" t="s">
        <v>147</v>
      </c>
      <c r="Q4168">
        <v>5</v>
      </c>
      <c r="R4168" t="s">
        <v>213</v>
      </c>
      <c r="S4168" s="2" t="s">
        <v>118</v>
      </c>
      <c r="T4168">
        <v>3</v>
      </c>
      <c r="U4168">
        <v>7.82</v>
      </c>
      <c r="V4168">
        <v>1000</v>
      </c>
      <c r="W4168">
        <v>20</v>
      </c>
      <c r="X4168">
        <v>8.58</v>
      </c>
      <c r="Y4168" s="6">
        <f t="shared" si="80"/>
        <v>0.57157676649772959</v>
      </c>
      <c r="Z4168">
        <f>8.91-X4168</f>
        <v>0.33000000000000007</v>
      </c>
      <c r="AA4168" s="6"/>
      <c r="AB4168" s="6"/>
    </row>
    <row r="4169" spans="1:28" x14ac:dyDescent="0.2">
      <c r="A4169" t="s">
        <v>541</v>
      </c>
      <c r="B4169">
        <v>2019</v>
      </c>
      <c r="C4169" t="s">
        <v>826</v>
      </c>
      <c r="D4169" t="s">
        <v>824</v>
      </c>
      <c r="E4169" t="s">
        <v>114</v>
      </c>
      <c r="F4169" t="s">
        <v>392</v>
      </c>
      <c r="G4169">
        <v>37.016666999999998</v>
      </c>
      <c r="H4169">
        <v>122.4</v>
      </c>
      <c r="I4169" t="s">
        <v>769</v>
      </c>
      <c r="J4169" s="2" t="s">
        <v>5</v>
      </c>
      <c r="K4169" t="s">
        <v>542</v>
      </c>
      <c r="L4169" t="s">
        <v>143</v>
      </c>
      <c r="M4169" t="s">
        <v>637</v>
      </c>
      <c r="N4169" t="s">
        <v>85</v>
      </c>
      <c r="O4169" s="6" t="s">
        <v>543</v>
      </c>
      <c r="P4169" t="s">
        <v>147</v>
      </c>
      <c r="Q4169">
        <v>5</v>
      </c>
      <c r="R4169" t="s">
        <v>213</v>
      </c>
      <c r="S4169" s="2" t="s">
        <v>177</v>
      </c>
      <c r="T4169">
        <v>3</v>
      </c>
      <c r="U4169">
        <v>7.62</v>
      </c>
      <c r="V4169">
        <v>1500</v>
      </c>
      <c r="W4169" t="s">
        <v>28</v>
      </c>
      <c r="X4169">
        <v>6.87</v>
      </c>
      <c r="Y4169" s="6">
        <f t="shared" si="80"/>
        <v>0.25461146871262536</v>
      </c>
      <c r="Z4169">
        <f>7.017-X4169</f>
        <v>0.14700000000000024</v>
      </c>
      <c r="AA4169" s="6"/>
      <c r="AB4169" s="6"/>
    </row>
    <row r="4170" spans="1:28" x14ac:dyDescent="0.2">
      <c r="A4170" t="s">
        <v>541</v>
      </c>
      <c r="B4170">
        <v>2019</v>
      </c>
      <c r="C4170" t="s">
        <v>826</v>
      </c>
      <c r="D4170" t="s">
        <v>824</v>
      </c>
      <c r="E4170" t="s">
        <v>114</v>
      </c>
      <c r="F4170" t="s">
        <v>392</v>
      </c>
      <c r="G4170">
        <v>37.016666999999998</v>
      </c>
      <c r="H4170">
        <v>122.4</v>
      </c>
      <c r="I4170" t="s">
        <v>769</v>
      </c>
      <c r="J4170" s="2" t="s">
        <v>16</v>
      </c>
      <c r="K4170" t="s">
        <v>542</v>
      </c>
      <c r="L4170" t="s">
        <v>143</v>
      </c>
      <c r="M4170" t="s">
        <v>637</v>
      </c>
      <c r="N4170" t="s">
        <v>85</v>
      </c>
      <c r="O4170" s="6" t="s">
        <v>543</v>
      </c>
      <c r="P4170" t="s">
        <v>147</v>
      </c>
      <c r="Q4170">
        <v>5</v>
      </c>
      <c r="R4170" t="s">
        <v>213</v>
      </c>
      <c r="S4170" s="2" t="s">
        <v>178</v>
      </c>
      <c r="T4170">
        <v>3</v>
      </c>
      <c r="U4170">
        <v>7.62</v>
      </c>
      <c r="V4170">
        <v>1500</v>
      </c>
      <c r="W4170">
        <v>15</v>
      </c>
      <c r="X4170">
        <v>8.1649999999999991</v>
      </c>
      <c r="Y4170" s="6">
        <f t="shared" si="80"/>
        <v>0.23209480821423015</v>
      </c>
      <c r="Z4170">
        <f>8.299-X4170</f>
        <v>0.13400000000000034</v>
      </c>
      <c r="AA4170" s="6"/>
      <c r="AB4170" s="6"/>
    </row>
    <row r="4171" spans="1:28" x14ac:dyDescent="0.2">
      <c r="A4171" t="s">
        <v>541</v>
      </c>
      <c r="B4171">
        <v>2019</v>
      </c>
      <c r="C4171" t="s">
        <v>826</v>
      </c>
      <c r="D4171" t="s">
        <v>824</v>
      </c>
      <c r="E4171" t="s">
        <v>114</v>
      </c>
      <c r="F4171" t="s">
        <v>392</v>
      </c>
      <c r="G4171">
        <v>37.016666999999998</v>
      </c>
      <c r="H4171">
        <v>122.4</v>
      </c>
      <c r="I4171" t="s">
        <v>769</v>
      </c>
      <c r="J4171" s="2" t="s">
        <v>16</v>
      </c>
      <c r="K4171" t="s">
        <v>542</v>
      </c>
      <c r="L4171" t="s">
        <v>143</v>
      </c>
      <c r="M4171" t="s">
        <v>637</v>
      </c>
      <c r="N4171" t="s">
        <v>85</v>
      </c>
      <c r="O4171" s="6" t="s">
        <v>543</v>
      </c>
      <c r="P4171" t="s">
        <v>147</v>
      </c>
      <c r="Q4171">
        <v>5</v>
      </c>
      <c r="R4171" t="s">
        <v>213</v>
      </c>
      <c r="S4171" s="2" t="s">
        <v>179</v>
      </c>
      <c r="T4171">
        <v>3</v>
      </c>
      <c r="U4171">
        <v>7.66</v>
      </c>
      <c r="V4171">
        <v>1500</v>
      </c>
      <c r="W4171">
        <v>20</v>
      </c>
      <c r="X4171">
        <v>7.4080000000000004</v>
      </c>
      <c r="Y4171" s="6">
        <f t="shared" si="80"/>
        <v>0.31696529778510424</v>
      </c>
      <c r="Z4171">
        <f>7.591-X4171</f>
        <v>0.18299999999999983</v>
      </c>
      <c r="AA4171" s="6"/>
      <c r="AB4171" s="6"/>
    </row>
    <row r="4172" spans="1:28" x14ac:dyDescent="0.2">
      <c r="A4172" t="s">
        <v>541</v>
      </c>
      <c r="B4172">
        <v>2019</v>
      </c>
      <c r="C4172" t="s">
        <v>826</v>
      </c>
      <c r="D4172" t="s">
        <v>824</v>
      </c>
      <c r="E4172" t="s">
        <v>114</v>
      </c>
      <c r="F4172" t="s">
        <v>392</v>
      </c>
      <c r="G4172">
        <v>37.016666999999998</v>
      </c>
      <c r="H4172">
        <v>122.4</v>
      </c>
      <c r="I4172" t="s">
        <v>769</v>
      </c>
      <c r="J4172" s="2" t="s">
        <v>5</v>
      </c>
      <c r="K4172" t="s">
        <v>542</v>
      </c>
      <c r="L4172" t="s">
        <v>143</v>
      </c>
      <c r="M4172" t="s">
        <v>637</v>
      </c>
      <c r="N4172" t="s">
        <v>85</v>
      </c>
      <c r="O4172" s="6" t="s">
        <v>543</v>
      </c>
      <c r="P4172" t="s">
        <v>147</v>
      </c>
      <c r="Q4172">
        <v>5</v>
      </c>
      <c r="R4172" t="s">
        <v>213</v>
      </c>
      <c r="S4172" s="2" t="s">
        <v>180</v>
      </c>
      <c r="T4172">
        <v>3</v>
      </c>
      <c r="U4172">
        <v>7.53</v>
      </c>
      <c r="V4172">
        <v>2000</v>
      </c>
      <c r="W4172" t="s">
        <v>28</v>
      </c>
      <c r="X4172">
        <v>6.4429999999999996</v>
      </c>
      <c r="Y4172" s="6">
        <f t="shared" si="80"/>
        <v>0.73958569483191139</v>
      </c>
      <c r="Z4172">
        <f>6.87-X4172</f>
        <v>0.42700000000000049</v>
      </c>
      <c r="AA4172" s="6"/>
      <c r="AB4172" s="6"/>
    </row>
    <row r="4173" spans="1:28" x14ac:dyDescent="0.2">
      <c r="A4173" t="s">
        <v>541</v>
      </c>
      <c r="B4173">
        <v>2019</v>
      </c>
      <c r="C4173" t="s">
        <v>826</v>
      </c>
      <c r="D4173" t="s">
        <v>824</v>
      </c>
      <c r="E4173" t="s">
        <v>114</v>
      </c>
      <c r="F4173" t="s">
        <v>392</v>
      </c>
      <c r="G4173">
        <v>37.016666999999998</v>
      </c>
      <c r="H4173">
        <v>122.4</v>
      </c>
      <c r="I4173" t="s">
        <v>769</v>
      </c>
      <c r="J4173" s="2" t="s">
        <v>16</v>
      </c>
      <c r="K4173" t="s">
        <v>542</v>
      </c>
      <c r="L4173" t="s">
        <v>143</v>
      </c>
      <c r="M4173" t="s">
        <v>637</v>
      </c>
      <c r="N4173" t="s">
        <v>85</v>
      </c>
      <c r="O4173" s="6" t="s">
        <v>543</v>
      </c>
      <c r="P4173" t="s">
        <v>147</v>
      </c>
      <c r="Q4173">
        <v>5</v>
      </c>
      <c r="R4173" t="s">
        <v>213</v>
      </c>
      <c r="S4173" s="2" t="s">
        <v>181</v>
      </c>
      <c r="T4173">
        <v>3</v>
      </c>
      <c r="U4173">
        <v>7.52</v>
      </c>
      <c r="V4173">
        <v>2000</v>
      </c>
      <c r="W4173">
        <v>15</v>
      </c>
      <c r="X4173">
        <v>6.2110000000000003</v>
      </c>
      <c r="Y4173" s="6">
        <f t="shared" si="80"/>
        <v>0.54906010599933286</v>
      </c>
      <c r="Z4173">
        <f>6.528-X4173</f>
        <v>0.31699999999999928</v>
      </c>
      <c r="AA4173" s="6"/>
      <c r="AB4173" s="6"/>
    </row>
    <row r="4174" spans="1:28" x14ac:dyDescent="0.2">
      <c r="A4174" t="s">
        <v>541</v>
      </c>
      <c r="B4174">
        <v>2019</v>
      </c>
      <c r="C4174" t="s">
        <v>826</v>
      </c>
      <c r="D4174" t="s">
        <v>824</v>
      </c>
      <c r="E4174" t="s">
        <v>114</v>
      </c>
      <c r="F4174" t="s">
        <v>392</v>
      </c>
      <c r="G4174">
        <v>37.016666999999998</v>
      </c>
      <c r="H4174">
        <v>122.4</v>
      </c>
      <c r="I4174" t="s">
        <v>769</v>
      </c>
      <c r="J4174" s="2" t="s">
        <v>16</v>
      </c>
      <c r="K4174" t="s">
        <v>542</v>
      </c>
      <c r="L4174" t="s">
        <v>143</v>
      </c>
      <c r="M4174" t="s">
        <v>637</v>
      </c>
      <c r="N4174" t="s">
        <v>85</v>
      </c>
      <c r="O4174" s="6" t="s">
        <v>543</v>
      </c>
      <c r="P4174" t="s">
        <v>147</v>
      </c>
      <c r="Q4174">
        <v>5</v>
      </c>
      <c r="R4174" t="s">
        <v>213</v>
      </c>
      <c r="S4174" s="2" t="s">
        <v>182</v>
      </c>
      <c r="T4174">
        <v>3</v>
      </c>
      <c r="U4174">
        <v>7.54</v>
      </c>
      <c r="V4174">
        <v>2000</v>
      </c>
      <c r="W4174">
        <v>20</v>
      </c>
      <c r="X4174">
        <v>6.0519999999999996</v>
      </c>
      <c r="Y4174" s="6">
        <f t="shared" si="80"/>
        <v>0.10565509926170295</v>
      </c>
      <c r="Z4174">
        <f>6.113-X4174</f>
        <v>6.1000000000000831E-2</v>
      </c>
      <c r="AA4174" s="6"/>
      <c r="AB4174" s="6"/>
    </row>
    <row r="4175" spans="1:28" x14ac:dyDescent="0.2">
      <c r="A4175" t="s">
        <v>541</v>
      </c>
      <c r="B4175">
        <v>2019</v>
      </c>
      <c r="C4175" t="s">
        <v>826</v>
      </c>
      <c r="D4175" t="s">
        <v>824</v>
      </c>
      <c r="E4175" t="s">
        <v>114</v>
      </c>
      <c r="F4175" t="s">
        <v>392</v>
      </c>
      <c r="G4175">
        <v>37.016666999999998</v>
      </c>
      <c r="H4175">
        <v>122.4</v>
      </c>
      <c r="I4175" t="s">
        <v>769</v>
      </c>
      <c r="J4175" s="2" t="s">
        <v>14</v>
      </c>
      <c r="K4175" t="s">
        <v>542</v>
      </c>
      <c r="L4175" t="s">
        <v>143</v>
      </c>
      <c r="M4175" t="s">
        <v>637</v>
      </c>
      <c r="N4175" t="s">
        <v>85</v>
      </c>
      <c r="O4175" s="6" t="s">
        <v>543</v>
      </c>
      <c r="P4175" t="s">
        <v>147</v>
      </c>
      <c r="Q4175">
        <v>5</v>
      </c>
      <c r="R4175" t="s">
        <v>213</v>
      </c>
      <c r="S4175" s="2" t="s">
        <v>183</v>
      </c>
      <c r="T4175">
        <v>3</v>
      </c>
      <c r="U4175" t="s">
        <v>28</v>
      </c>
      <c r="V4175" t="s">
        <v>28</v>
      </c>
      <c r="W4175">
        <v>23</v>
      </c>
      <c r="X4175">
        <v>7.774</v>
      </c>
      <c r="Y4175" s="6">
        <f t="shared" si="80"/>
        <v>0.55079215680690385</v>
      </c>
      <c r="Z4175">
        <f>8.092-X4175</f>
        <v>0.3180000000000005</v>
      </c>
      <c r="AA4175" s="6"/>
      <c r="AB4175" s="6"/>
    </row>
    <row r="4176" spans="1:28" x14ac:dyDescent="0.2">
      <c r="A4176" t="s">
        <v>541</v>
      </c>
      <c r="B4176">
        <v>2019</v>
      </c>
      <c r="C4176" t="s">
        <v>826</v>
      </c>
      <c r="D4176" t="s">
        <v>824</v>
      </c>
      <c r="E4176" t="s">
        <v>114</v>
      </c>
      <c r="F4176" t="s">
        <v>392</v>
      </c>
      <c r="G4176">
        <v>37.016666999999998</v>
      </c>
      <c r="H4176">
        <v>122.4</v>
      </c>
      <c r="I4176" t="s">
        <v>769</v>
      </c>
      <c r="J4176" s="2" t="s">
        <v>7</v>
      </c>
      <c r="K4176" t="s">
        <v>542</v>
      </c>
      <c r="L4176" t="s">
        <v>143</v>
      </c>
      <c r="M4176" t="s">
        <v>637</v>
      </c>
      <c r="N4176" t="s">
        <v>86</v>
      </c>
      <c r="O4176" s="6" t="s">
        <v>544</v>
      </c>
      <c r="P4176" t="s">
        <v>67</v>
      </c>
      <c r="Q4176">
        <f>3/24</f>
        <v>0.125</v>
      </c>
      <c r="R4176" t="s">
        <v>213</v>
      </c>
      <c r="S4176" s="2" t="s">
        <v>7</v>
      </c>
      <c r="T4176">
        <v>3</v>
      </c>
      <c r="U4176">
        <v>8.06</v>
      </c>
      <c r="V4176">
        <v>400</v>
      </c>
      <c r="W4176">
        <v>10</v>
      </c>
      <c r="X4176">
        <v>5.6230000000000002</v>
      </c>
      <c r="Y4176" s="6">
        <f t="shared" si="80"/>
        <v>1.3561957823264299</v>
      </c>
      <c r="Z4176">
        <f>6.406-X4176</f>
        <v>0.78299999999999947</v>
      </c>
      <c r="AA4176" s="6"/>
      <c r="AB4176" s="6"/>
    </row>
    <row r="4177" spans="1:28" x14ac:dyDescent="0.2">
      <c r="A4177" t="s">
        <v>541</v>
      </c>
      <c r="B4177">
        <v>2019</v>
      </c>
      <c r="C4177" t="s">
        <v>826</v>
      </c>
      <c r="D4177" t="s">
        <v>824</v>
      </c>
      <c r="E4177" t="s">
        <v>114</v>
      </c>
      <c r="F4177" t="s">
        <v>392</v>
      </c>
      <c r="G4177">
        <v>37.016666999999998</v>
      </c>
      <c r="H4177">
        <v>122.4</v>
      </c>
      <c r="I4177" t="s">
        <v>769</v>
      </c>
      <c r="J4177" s="2" t="s">
        <v>5</v>
      </c>
      <c r="K4177" t="s">
        <v>542</v>
      </c>
      <c r="L4177" t="s">
        <v>143</v>
      </c>
      <c r="M4177" t="s">
        <v>637</v>
      </c>
      <c r="N4177" t="s">
        <v>86</v>
      </c>
      <c r="O4177" s="6" t="s">
        <v>544</v>
      </c>
      <c r="P4177" t="s">
        <v>67</v>
      </c>
      <c r="Q4177">
        <f t="shared" ref="Q4177:Q4179" si="81">3/24</f>
        <v>0.125</v>
      </c>
      <c r="R4177" t="s">
        <v>213</v>
      </c>
      <c r="S4177" s="2" t="s">
        <v>13</v>
      </c>
      <c r="T4177">
        <v>3</v>
      </c>
      <c r="U4177">
        <v>7.93</v>
      </c>
      <c r="V4177">
        <v>700</v>
      </c>
      <c r="W4177" t="s">
        <v>28</v>
      </c>
      <c r="X4177">
        <v>5.55</v>
      </c>
      <c r="Y4177" s="6">
        <f t="shared" si="80"/>
        <v>1.2280240225663348</v>
      </c>
      <c r="Z4177">
        <f>6.259-X4177</f>
        <v>0.70900000000000052</v>
      </c>
      <c r="AA4177" s="6"/>
      <c r="AB4177" s="6"/>
    </row>
    <row r="4178" spans="1:28" x14ac:dyDescent="0.2">
      <c r="A4178" t="s">
        <v>541</v>
      </c>
      <c r="B4178">
        <v>2019</v>
      </c>
      <c r="C4178" t="s">
        <v>826</v>
      </c>
      <c r="D4178" t="s">
        <v>824</v>
      </c>
      <c r="E4178" t="s">
        <v>114</v>
      </c>
      <c r="F4178" t="s">
        <v>392</v>
      </c>
      <c r="G4178">
        <v>37.016666999999998</v>
      </c>
      <c r="H4178">
        <v>122.4</v>
      </c>
      <c r="I4178" t="s">
        <v>769</v>
      </c>
      <c r="J4178" s="2" t="s">
        <v>5</v>
      </c>
      <c r="K4178" t="s">
        <v>542</v>
      </c>
      <c r="L4178" t="s">
        <v>143</v>
      </c>
      <c r="M4178" t="s">
        <v>637</v>
      </c>
      <c r="N4178" t="s">
        <v>86</v>
      </c>
      <c r="O4178" s="6" t="s">
        <v>544</v>
      </c>
      <c r="P4178" t="s">
        <v>67</v>
      </c>
      <c r="Q4178">
        <f t="shared" si="81"/>
        <v>0.125</v>
      </c>
      <c r="R4178" t="s">
        <v>213</v>
      </c>
      <c r="S4178" s="2" t="s">
        <v>116</v>
      </c>
      <c r="T4178">
        <v>3</v>
      </c>
      <c r="U4178">
        <v>7.8</v>
      </c>
      <c r="V4178">
        <v>1000</v>
      </c>
      <c r="W4178" t="s">
        <v>28</v>
      </c>
      <c r="X4178">
        <v>6.5279999999999996</v>
      </c>
      <c r="Y4178" s="6">
        <f t="shared" si="80"/>
        <v>0.80540362551952915</v>
      </c>
      <c r="Z4178">
        <f>6.993-X4178</f>
        <v>0.46500000000000075</v>
      </c>
      <c r="AA4178" s="6"/>
      <c r="AB4178" s="6"/>
    </row>
    <row r="4179" spans="1:28" x14ac:dyDescent="0.2">
      <c r="A4179" t="s">
        <v>541</v>
      </c>
      <c r="B4179">
        <v>2019</v>
      </c>
      <c r="C4179" t="s">
        <v>826</v>
      </c>
      <c r="D4179" t="s">
        <v>824</v>
      </c>
      <c r="E4179" t="s">
        <v>114</v>
      </c>
      <c r="F4179" t="s">
        <v>392</v>
      </c>
      <c r="G4179">
        <v>37.016666999999998</v>
      </c>
      <c r="H4179">
        <v>122.4</v>
      </c>
      <c r="I4179" t="s">
        <v>769</v>
      </c>
      <c r="J4179" s="2" t="s">
        <v>5</v>
      </c>
      <c r="K4179" t="s">
        <v>542</v>
      </c>
      <c r="L4179" t="s">
        <v>143</v>
      </c>
      <c r="M4179" t="s">
        <v>637</v>
      </c>
      <c r="N4179" t="s">
        <v>86</v>
      </c>
      <c r="O4179" s="6" t="s">
        <v>544</v>
      </c>
      <c r="P4179" t="s">
        <v>67</v>
      </c>
      <c r="Q4179">
        <f t="shared" si="81"/>
        <v>0.125</v>
      </c>
      <c r="R4179" t="s">
        <v>213</v>
      </c>
      <c r="S4179" s="2" t="s">
        <v>177</v>
      </c>
      <c r="T4179">
        <v>3</v>
      </c>
      <c r="U4179">
        <v>7.62</v>
      </c>
      <c r="V4179">
        <v>1500</v>
      </c>
      <c r="W4179" t="s">
        <v>28</v>
      </c>
      <c r="X4179">
        <v>7.9710000000000001</v>
      </c>
      <c r="Y4179" s="6">
        <f t="shared" si="80"/>
        <v>2.2863070659909184</v>
      </c>
      <c r="Z4179">
        <f>9.291-X4179</f>
        <v>1.3200000000000003</v>
      </c>
      <c r="AA4179" s="6"/>
      <c r="AB4179" s="6"/>
    </row>
    <row r="4180" spans="1:28" x14ac:dyDescent="0.2">
      <c r="A4180" t="s">
        <v>541</v>
      </c>
      <c r="B4180">
        <v>2019</v>
      </c>
      <c r="C4180" t="s">
        <v>826</v>
      </c>
      <c r="D4180" t="s">
        <v>824</v>
      </c>
      <c r="E4180" t="s">
        <v>114</v>
      </c>
      <c r="F4180" t="s">
        <v>392</v>
      </c>
      <c r="G4180">
        <v>37.016666999999998</v>
      </c>
      <c r="H4180">
        <v>122.4</v>
      </c>
      <c r="I4180" t="s">
        <v>769</v>
      </c>
      <c r="J4180" s="2" t="s">
        <v>5</v>
      </c>
      <c r="K4180" t="s">
        <v>542</v>
      </c>
      <c r="L4180" t="s">
        <v>143</v>
      </c>
      <c r="M4180" t="s">
        <v>637</v>
      </c>
      <c r="N4180" t="s">
        <v>86</v>
      </c>
      <c r="O4180" s="6" t="s">
        <v>544</v>
      </c>
      <c r="P4180" t="s">
        <v>67</v>
      </c>
      <c r="Q4180">
        <f>3/24</f>
        <v>0.125</v>
      </c>
      <c r="R4180" t="s">
        <v>213</v>
      </c>
      <c r="S4180" s="2" t="s">
        <v>180</v>
      </c>
      <c r="T4180">
        <v>3</v>
      </c>
      <c r="U4180">
        <v>7.53</v>
      </c>
      <c r="V4180">
        <v>2000</v>
      </c>
      <c r="W4180" t="s">
        <v>28</v>
      </c>
      <c r="X4180">
        <v>4.1079999999999997</v>
      </c>
      <c r="Y4180" s="6">
        <f t="shared" si="80"/>
        <v>0.42262039704680721</v>
      </c>
      <c r="Z4180">
        <f>4.352-X4180</f>
        <v>0.24400000000000066</v>
      </c>
      <c r="AA4180" s="6"/>
      <c r="AB4180" s="6"/>
    </row>
    <row r="4181" spans="1:28" x14ac:dyDescent="0.2">
      <c r="A4181" t="s">
        <v>541</v>
      </c>
      <c r="B4181">
        <v>2019</v>
      </c>
      <c r="C4181" t="s">
        <v>826</v>
      </c>
      <c r="D4181" t="s">
        <v>824</v>
      </c>
      <c r="E4181" t="s">
        <v>114</v>
      </c>
      <c r="F4181" t="s">
        <v>392</v>
      </c>
      <c r="G4181">
        <v>37.016666999999998</v>
      </c>
      <c r="H4181">
        <v>122.4</v>
      </c>
      <c r="I4181" t="s">
        <v>769</v>
      </c>
      <c r="J4181" s="2" t="s">
        <v>7</v>
      </c>
      <c r="K4181" t="s">
        <v>542</v>
      </c>
      <c r="L4181" t="s">
        <v>143</v>
      </c>
      <c r="M4181" t="s">
        <v>637</v>
      </c>
      <c r="N4181" t="s">
        <v>86</v>
      </c>
      <c r="O4181" s="6" t="s">
        <v>544</v>
      </c>
      <c r="P4181" t="s">
        <v>67</v>
      </c>
      <c r="Q4181">
        <v>7</v>
      </c>
      <c r="R4181" t="s">
        <v>213</v>
      </c>
      <c r="S4181" s="2" t="s">
        <v>7</v>
      </c>
      <c r="T4181">
        <v>3</v>
      </c>
      <c r="U4181">
        <v>8.06</v>
      </c>
      <c r="V4181">
        <v>400</v>
      </c>
      <c r="W4181">
        <v>10</v>
      </c>
      <c r="X4181">
        <v>5.5750000000000002</v>
      </c>
      <c r="Y4181" s="6">
        <f t="shared" si="80"/>
        <v>0.38105117766515256</v>
      </c>
      <c r="Z4181">
        <f>5.795-X4181</f>
        <v>0.21999999999999975</v>
      </c>
      <c r="AA4181" s="6"/>
      <c r="AB4181" s="6"/>
    </row>
    <row r="4182" spans="1:28" x14ac:dyDescent="0.2">
      <c r="A4182" t="s">
        <v>541</v>
      </c>
      <c r="B4182">
        <v>2019</v>
      </c>
      <c r="C4182" t="s">
        <v>826</v>
      </c>
      <c r="D4182" t="s">
        <v>824</v>
      </c>
      <c r="E4182" t="s">
        <v>114</v>
      </c>
      <c r="F4182" t="s">
        <v>392</v>
      </c>
      <c r="G4182">
        <v>37.016666999999998</v>
      </c>
      <c r="H4182">
        <v>122.4</v>
      </c>
      <c r="I4182" t="s">
        <v>769</v>
      </c>
      <c r="J4182" s="2" t="s">
        <v>7</v>
      </c>
      <c r="K4182" t="s">
        <v>542</v>
      </c>
      <c r="L4182" t="s">
        <v>143</v>
      </c>
      <c r="M4182" t="s">
        <v>637</v>
      </c>
      <c r="N4182" t="s">
        <v>86</v>
      </c>
      <c r="O4182" s="6" t="s">
        <v>544</v>
      </c>
      <c r="P4182" t="s">
        <v>67</v>
      </c>
      <c r="Q4182">
        <v>30</v>
      </c>
      <c r="R4182" t="s">
        <v>213</v>
      </c>
      <c r="S4182" s="2" t="s">
        <v>7</v>
      </c>
      <c r="T4182">
        <v>3</v>
      </c>
      <c r="U4182">
        <v>8.06</v>
      </c>
      <c r="V4182">
        <v>400</v>
      </c>
      <c r="W4182">
        <v>10</v>
      </c>
      <c r="X4182">
        <v>5.5990000000000002</v>
      </c>
      <c r="Y4182" s="6">
        <f t="shared" ref="Y4182:Y4213" si="82">Z4182*SQRT(T4182)</f>
        <v>0.21131019852340283</v>
      </c>
      <c r="Z4182">
        <f>5.721-X4182</f>
        <v>0.12199999999999989</v>
      </c>
      <c r="AA4182" s="6"/>
      <c r="AB4182" s="6"/>
    </row>
    <row r="4183" spans="1:28" x14ac:dyDescent="0.2">
      <c r="A4183" t="s">
        <v>541</v>
      </c>
      <c r="B4183">
        <v>2019</v>
      </c>
      <c r="C4183" t="s">
        <v>826</v>
      </c>
      <c r="D4183" t="s">
        <v>824</v>
      </c>
      <c r="E4183" t="s">
        <v>114</v>
      </c>
      <c r="F4183" t="s">
        <v>392</v>
      </c>
      <c r="G4183">
        <v>37.016666999999998</v>
      </c>
      <c r="H4183">
        <v>122.4</v>
      </c>
      <c r="I4183" t="s">
        <v>769</v>
      </c>
      <c r="J4183" s="2" t="s">
        <v>5</v>
      </c>
      <c r="K4183" t="s">
        <v>542</v>
      </c>
      <c r="L4183" t="s">
        <v>143</v>
      </c>
      <c r="M4183" t="s">
        <v>637</v>
      </c>
      <c r="N4183" t="s">
        <v>86</v>
      </c>
      <c r="O4183" s="6" t="s">
        <v>544</v>
      </c>
      <c r="P4183" t="s">
        <v>67</v>
      </c>
      <c r="Q4183">
        <v>7</v>
      </c>
      <c r="R4183" t="s">
        <v>213</v>
      </c>
      <c r="S4183" s="2" t="s">
        <v>116</v>
      </c>
      <c r="T4183">
        <v>3</v>
      </c>
      <c r="U4183">
        <v>7.8</v>
      </c>
      <c r="V4183">
        <v>1000</v>
      </c>
      <c r="W4183" t="s">
        <v>28</v>
      </c>
      <c r="X4183">
        <v>5.77</v>
      </c>
      <c r="Y4183" s="6">
        <f t="shared" si="82"/>
        <v>0.29618068809427844</v>
      </c>
      <c r="Z4183">
        <f>5.941-X4183</f>
        <v>0.17100000000000026</v>
      </c>
      <c r="AA4183" s="6"/>
      <c r="AB4183" s="6"/>
    </row>
    <row r="4184" spans="1:28" x14ac:dyDescent="0.2">
      <c r="A4184" t="s">
        <v>541</v>
      </c>
      <c r="B4184">
        <v>2019</v>
      </c>
      <c r="C4184" t="s">
        <v>826</v>
      </c>
      <c r="D4184" t="s">
        <v>824</v>
      </c>
      <c r="E4184" t="s">
        <v>114</v>
      </c>
      <c r="F4184" t="s">
        <v>392</v>
      </c>
      <c r="G4184">
        <v>37.016666999999998</v>
      </c>
      <c r="H4184">
        <v>122.4</v>
      </c>
      <c r="I4184" t="s">
        <v>769</v>
      </c>
      <c r="J4184" s="2" t="s">
        <v>5</v>
      </c>
      <c r="K4184" t="s">
        <v>542</v>
      </c>
      <c r="L4184" t="s">
        <v>143</v>
      </c>
      <c r="M4184" t="s">
        <v>637</v>
      </c>
      <c r="N4184" t="s">
        <v>86</v>
      </c>
      <c r="O4184" s="6" t="s">
        <v>544</v>
      </c>
      <c r="P4184" t="s">
        <v>67</v>
      </c>
      <c r="Q4184">
        <v>30</v>
      </c>
      <c r="R4184" t="s">
        <v>213</v>
      </c>
      <c r="S4184" s="2" t="s">
        <v>116</v>
      </c>
      <c r="T4184">
        <v>3</v>
      </c>
      <c r="U4184">
        <v>7.8</v>
      </c>
      <c r="V4184">
        <v>1000</v>
      </c>
      <c r="W4184" t="s">
        <v>28</v>
      </c>
      <c r="X4184">
        <v>6.65</v>
      </c>
      <c r="Y4184" s="6">
        <f t="shared" si="82"/>
        <v>8.4870489570874091E-2</v>
      </c>
      <c r="Z4184">
        <f>6.699-X4184</f>
        <v>4.8999999999999488E-2</v>
      </c>
      <c r="AA4184" s="6"/>
      <c r="AB4184" s="6"/>
    </row>
    <row r="4185" spans="1:28" x14ac:dyDescent="0.2">
      <c r="A4185" t="s">
        <v>541</v>
      </c>
      <c r="B4185">
        <v>2019</v>
      </c>
      <c r="C4185" t="s">
        <v>826</v>
      </c>
      <c r="D4185" t="s">
        <v>824</v>
      </c>
      <c r="E4185" t="s">
        <v>114</v>
      </c>
      <c r="F4185" t="s">
        <v>392</v>
      </c>
      <c r="G4185">
        <v>37.016666999999998</v>
      </c>
      <c r="H4185">
        <v>122.4</v>
      </c>
      <c r="I4185" t="s">
        <v>545</v>
      </c>
      <c r="J4185" s="2" t="s">
        <v>7</v>
      </c>
      <c r="K4185" t="s">
        <v>144</v>
      </c>
      <c r="L4185" t="s">
        <v>144</v>
      </c>
      <c r="M4185" t="s">
        <v>26</v>
      </c>
      <c r="N4185" t="s">
        <v>85</v>
      </c>
      <c r="O4185" t="s">
        <v>839</v>
      </c>
      <c r="Q4185">
        <v>30</v>
      </c>
      <c r="R4185" t="s">
        <v>214</v>
      </c>
      <c r="S4185" s="2" t="s">
        <v>7</v>
      </c>
      <c r="T4185">
        <v>30</v>
      </c>
      <c r="U4185">
        <v>8.1</v>
      </c>
      <c r="V4185">
        <v>400</v>
      </c>
      <c r="W4185" t="s">
        <v>28</v>
      </c>
      <c r="X4185">
        <v>4.17</v>
      </c>
      <c r="Y4185" s="6">
        <f t="shared" si="82"/>
        <v>0</v>
      </c>
      <c r="Z4185">
        <v>0</v>
      </c>
      <c r="AA4185" s="6"/>
      <c r="AB4185" s="6"/>
    </row>
    <row r="4186" spans="1:28" x14ac:dyDescent="0.2">
      <c r="A4186" t="s">
        <v>541</v>
      </c>
      <c r="B4186">
        <v>2019</v>
      </c>
      <c r="C4186" t="s">
        <v>826</v>
      </c>
      <c r="D4186" t="s">
        <v>824</v>
      </c>
      <c r="E4186" t="s">
        <v>114</v>
      </c>
      <c r="F4186" t="s">
        <v>392</v>
      </c>
      <c r="G4186">
        <v>37.016666999999998</v>
      </c>
      <c r="H4186">
        <v>122.4</v>
      </c>
      <c r="I4186" t="s">
        <v>545</v>
      </c>
      <c r="J4186" s="2" t="s">
        <v>5</v>
      </c>
      <c r="K4186" t="s">
        <v>144</v>
      </c>
      <c r="L4186" t="s">
        <v>144</v>
      </c>
      <c r="M4186" t="s">
        <v>26</v>
      </c>
      <c r="N4186" t="s">
        <v>85</v>
      </c>
      <c r="O4186" t="s">
        <v>839</v>
      </c>
      <c r="Q4186">
        <v>30</v>
      </c>
      <c r="R4186" t="s">
        <v>214</v>
      </c>
      <c r="S4186" s="2" t="s">
        <v>9</v>
      </c>
      <c r="T4186">
        <v>30</v>
      </c>
      <c r="U4186">
        <v>7.8</v>
      </c>
      <c r="V4186">
        <v>1000</v>
      </c>
      <c r="W4186" t="s">
        <v>28</v>
      </c>
      <c r="X4186">
        <v>5.98</v>
      </c>
      <c r="Y4186" s="6">
        <f t="shared" si="82"/>
        <v>1.4788509052639462</v>
      </c>
      <c r="Z4186">
        <f>6.25-X4186</f>
        <v>0.26999999999999957</v>
      </c>
      <c r="AA4186" s="6"/>
      <c r="AB4186" s="6"/>
    </row>
    <row r="4187" spans="1:28" x14ac:dyDescent="0.2">
      <c r="A4187" t="s">
        <v>541</v>
      </c>
      <c r="B4187">
        <v>2019</v>
      </c>
      <c r="C4187" t="s">
        <v>826</v>
      </c>
      <c r="D4187" t="s">
        <v>824</v>
      </c>
      <c r="E4187" t="s">
        <v>114</v>
      </c>
      <c r="F4187" t="s">
        <v>392</v>
      </c>
      <c r="G4187">
        <v>37.016666999999998</v>
      </c>
      <c r="H4187">
        <v>122.4</v>
      </c>
      <c r="I4187" t="s">
        <v>545</v>
      </c>
      <c r="J4187" s="2" t="s">
        <v>7</v>
      </c>
      <c r="K4187" t="s">
        <v>144</v>
      </c>
      <c r="L4187" t="s">
        <v>144</v>
      </c>
      <c r="M4187" t="s">
        <v>26</v>
      </c>
      <c r="N4187" t="s">
        <v>85</v>
      </c>
      <c r="O4187" t="s">
        <v>839</v>
      </c>
      <c r="Q4187">
        <v>60</v>
      </c>
      <c r="R4187" t="s">
        <v>214</v>
      </c>
      <c r="S4187" s="2" t="s">
        <v>7</v>
      </c>
      <c r="T4187">
        <v>30</v>
      </c>
      <c r="U4187">
        <v>8.1</v>
      </c>
      <c r="V4187">
        <v>400</v>
      </c>
      <c r="W4187" t="s">
        <v>28</v>
      </c>
      <c r="X4187">
        <v>19.850000000000001</v>
      </c>
      <c r="Y4187" s="6">
        <f t="shared" si="82"/>
        <v>4.436552715791839</v>
      </c>
      <c r="Z4187">
        <f>20.66-X4187</f>
        <v>0.80999999999999872</v>
      </c>
      <c r="AA4187" s="6"/>
      <c r="AB4187" s="6"/>
    </row>
    <row r="4188" spans="1:28" x14ac:dyDescent="0.2">
      <c r="A4188" t="s">
        <v>541</v>
      </c>
      <c r="B4188">
        <v>2019</v>
      </c>
      <c r="C4188" t="s">
        <v>826</v>
      </c>
      <c r="D4188" t="s">
        <v>824</v>
      </c>
      <c r="E4188" t="s">
        <v>114</v>
      </c>
      <c r="F4188" t="s">
        <v>392</v>
      </c>
      <c r="G4188">
        <v>37.016666999999998</v>
      </c>
      <c r="H4188">
        <v>122.4</v>
      </c>
      <c r="I4188" t="s">
        <v>545</v>
      </c>
      <c r="J4188" s="2" t="s">
        <v>5</v>
      </c>
      <c r="K4188" t="s">
        <v>144</v>
      </c>
      <c r="L4188" t="s">
        <v>144</v>
      </c>
      <c r="M4188" t="s">
        <v>26</v>
      </c>
      <c r="N4188" t="s">
        <v>85</v>
      </c>
      <c r="O4188" t="s">
        <v>839</v>
      </c>
      <c r="Q4188">
        <v>60</v>
      </c>
      <c r="R4188" t="s">
        <v>214</v>
      </c>
      <c r="S4188" s="2" t="s">
        <v>9</v>
      </c>
      <c r="T4188">
        <v>30</v>
      </c>
      <c r="U4188">
        <v>7.8</v>
      </c>
      <c r="V4188">
        <v>1000</v>
      </c>
      <c r="W4188" t="s">
        <v>28</v>
      </c>
      <c r="X4188">
        <v>28.28</v>
      </c>
      <c r="Y4188" s="6">
        <f t="shared" si="82"/>
        <v>3.9436024140371897</v>
      </c>
      <c r="Z4188">
        <f>29-X4188</f>
        <v>0.71999999999999886</v>
      </c>
      <c r="AA4188" s="6"/>
      <c r="AB4188" s="6"/>
    </row>
    <row r="4189" spans="1:28" x14ac:dyDescent="0.2">
      <c r="A4189" t="s">
        <v>541</v>
      </c>
      <c r="B4189">
        <v>2019</v>
      </c>
      <c r="C4189" t="s">
        <v>826</v>
      </c>
      <c r="D4189" t="s">
        <v>824</v>
      </c>
      <c r="E4189" t="s">
        <v>114</v>
      </c>
      <c r="F4189" t="s">
        <v>392</v>
      </c>
      <c r="G4189">
        <v>37.016666999999998</v>
      </c>
      <c r="H4189">
        <v>122.4</v>
      </c>
      <c r="I4189" t="s">
        <v>545</v>
      </c>
      <c r="J4189" s="2" t="s">
        <v>7</v>
      </c>
      <c r="K4189" t="s">
        <v>144</v>
      </c>
      <c r="L4189" t="s">
        <v>144</v>
      </c>
      <c r="M4189" t="s">
        <v>26</v>
      </c>
      <c r="N4189" t="s">
        <v>85</v>
      </c>
      <c r="O4189" t="s">
        <v>839</v>
      </c>
      <c r="Q4189">
        <v>90</v>
      </c>
      <c r="R4189" t="s">
        <v>213</v>
      </c>
      <c r="S4189" s="2" t="s">
        <v>7</v>
      </c>
      <c r="T4189">
        <v>30</v>
      </c>
      <c r="U4189">
        <v>8.1</v>
      </c>
      <c r="V4189">
        <v>400</v>
      </c>
      <c r="W4189" t="s">
        <v>28</v>
      </c>
      <c r="X4189">
        <v>26.83</v>
      </c>
      <c r="Y4189" s="6">
        <f t="shared" si="82"/>
        <v>7.4490267820702751</v>
      </c>
      <c r="Z4189">
        <f>28.19-X4189</f>
        <v>1.360000000000003</v>
      </c>
      <c r="AA4189" s="6"/>
      <c r="AB4189" s="6"/>
    </row>
    <row r="4190" spans="1:28" x14ac:dyDescent="0.2">
      <c r="A4190" t="s">
        <v>541</v>
      </c>
      <c r="B4190">
        <v>2019</v>
      </c>
      <c r="C4190" t="s">
        <v>826</v>
      </c>
      <c r="D4190" t="s">
        <v>824</v>
      </c>
      <c r="E4190" t="s">
        <v>114</v>
      </c>
      <c r="F4190" t="s">
        <v>392</v>
      </c>
      <c r="G4190">
        <v>37.016666999999998</v>
      </c>
      <c r="H4190">
        <v>122.4</v>
      </c>
      <c r="I4190" t="s">
        <v>545</v>
      </c>
      <c r="J4190" s="2" t="s">
        <v>5</v>
      </c>
      <c r="K4190" t="s">
        <v>144</v>
      </c>
      <c r="L4190" t="s">
        <v>144</v>
      </c>
      <c r="M4190" t="s">
        <v>26</v>
      </c>
      <c r="N4190" t="s">
        <v>85</v>
      </c>
      <c r="O4190" t="s">
        <v>839</v>
      </c>
      <c r="Q4190">
        <v>90</v>
      </c>
      <c r="R4190" t="s">
        <v>213</v>
      </c>
      <c r="S4190" s="2" t="s">
        <v>9</v>
      </c>
      <c r="T4190">
        <v>30</v>
      </c>
      <c r="U4190">
        <v>7.8</v>
      </c>
      <c r="V4190">
        <v>1000</v>
      </c>
      <c r="W4190" t="s">
        <v>28</v>
      </c>
      <c r="X4190">
        <v>39.700000000000003</v>
      </c>
      <c r="Y4190" s="6">
        <f t="shared" si="82"/>
        <v>6.4631261785609588</v>
      </c>
      <c r="Z4190">
        <f>40.88-X4190</f>
        <v>1.1799999999999997</v>
      </c>
      <c r="AA4190" s="6"/>
      <c r="AB4190" s="6"/>
    </row>
    <row r="4191" spans="1:28" x14ac:dyDescent="0.2">
      <c r="A4191" t="s">
        <v>541</v>
      </c>
      <c r="B4191">
        <v>2019</v>
      </c>
      <c r="C4191" t="s">
        <v>807</v>
      </c>
      <c r="D4191" t="s">
        <v>825</v>
      </c>
      <c r="E4191" t="s">
        <v>35</v>
      </c>
      <c r="F4191" t="s">
        <v>392</v>
      </c>
      <c r="G4191">
        <v>37.016666999999998</v>
      </c>
      <c r="H4191">
        <v>122.4</v>
      </c>
      <c r="I4191" t="s">
        <v>545</v>
      </c>
      <c r="J4191" s="2" t="s">
        <v>7</v>
      </c>
      <c r="K4191" t="s">
        <v>144</v>
      </c>
      <c r="L4191" t="s">
        <v>144</v>
      </c>
      <c r="M4191" t="s">
        <v>26</v>
      </c>
      <c r="N4191" t="s">
        <v>85</v>
      </c>
      <c r="O4191" t="s">
        <v>839</v>
      </c>
      <c r="Q4191">
        <v>30</v>
      </c>
      <c r="R4191" t="s">
        <v>214</v>
      </c>
      <c r="S4191" s="2" t="s">
        <v>7</v>
      </c>
      <c r="T4191">
        <v>30</v>
      </c>
      <c r="U4191">
        <v>8.1</v>
      </c>
      <c r="V4191">
        <v>400</v>
      </c>
      <c r="W4191" t="s">
        <v>28</v>
      </c>
      <c r="X4191">
        <v>4.53</v>
      </c>
      <c r="Y4191" s="6">
        <f t="shared" si="82"/>
        <v>0</v>
      </c>
      <c r="Z4191">
        <f>4.53-X4191</f>
        <v>0</v>
      </c>
      <c r="AA4191" s="6"/>
      <c r="AB4191" s="6"/>
    </row>
    <row r="4192" spans="1:28" x14ac:dyDescent="0.2">
      <c r="A4192" t="s">
        <v>541</v>
      </c>
      <c r="B4192">
        <v>2019</v>
      </c>
      <c r="C4192" t="s">
        <v>807</v>
      </c>
      <c r="D4192" t="s">
        <v>825</v>
      </c>
      <c r="E4192" t="s">
        <v>35</v>
      </c>
      <c r="F4192" t="s">
        <v>392</v>
      </c>
      <c r="G4192">
        <v>37.016666999999998</v>
      </c>
      <c r="H4192">
        <v>122.4</v>
      </c>
      <c r="I4192" t="s">
        <v>545</v>
      </c>
      <c r="J4192" s="2" t="s">
        <v>5</v>
      </c>
      <c r="K4192" t="s">
        <v>144</v>
      </c>
      <c r="L4192" t="s">
        <v>144</v>
      </c>
      <c r="M4192" t="s">
        <v>26</v>
      </c>
      <c r="N4192" t="s">
        <v>85</v>
      </c>
      <c r="O4192" t="s">
        <v>839</v>
      </c>
      <c r="Q4192">
        <v>30</v>
      </c>
      <c r="R4192" t="s">
        <v>214</v>
      </c>
      <c r="S4192" s="2" t="s">
        <v>9</v>
      </c>
      <c r="T4192">
        <v>30</v>
      </c>
      <c r="U4192">
        <v>7.8</v>
      </c>
      <c r="V4192">
        <v>1000</v>
      </c>
      <c r="W4192" t="s">
        <v>28</v>
      </c>
      <c r="X4192">
        <v>6.44</v>
      </c>
      <c r="Y4192" s="6">
        <f t="shared" si="82"/>
        <v>0</v>
      </c>
      <c r="Z4192">
        <f>6.44-X4192</f>
        <v>0</v>
      </c>
      <c r="AA4192" s="6"/>
      <c r="AB4192" s="6"/>
    </row>
    <row r="4193" spans="1:28" x14ac:dyDescent="0.2">
      <c r="A4193" t="s">
        <v>541</v>
      </c>
      <c r="B4193">
        <v>2019</v>
      </c>
      <c r="C4193" t="s">
        <v>807</v>
      </c>
      <c r="D4193" t="s">
        <v>825</v>
      </c>
      <c r="E4193" t="s">
        <v>35</v>
      </c>
      <c r="F4193" t="s">
        <v>392</v>
      </c>
      <c r="G4193">
        <v>37.016666999999998</v>
      </c>
      <c r="H4193">
        <v>122.4</v>
      </c>
      <c r="I4193" t="s">
        <v>545</v>
      </c>
      <c r="J4193" s="2" t="s">
        <v>7</v>
      </c>
      <c r="K4193" t="s">
        <v>144</v>
      </c>
      <c r="L4193" t="s">
        <v>144</v>
      </c>
      <c r="M4193" t="s">
        <v>26</v>
      </c>
      <c r="N4193" t="s">
        <v>85</v>
      </c>
      <c r="O4193" t="s">
        <v>839</v>
      </c>
      <c r="Q4193">
        <v>60</v>
      </c>
      <c r="R4193" t="s">
        <v>213</v>
      </c>
      <c r="S4193" s="2" t="s">
        <v>7</v>
      </c>
      <c r="T4193">
        <v>30</v>
      </c>
      <c r="U4193">
        <v>8.1</v>
      </c>
      <c r="V4193">
        <v>400</v>
      </c>
      <c r="W4193" t="s">
        <v>28</v>
      </c>
      <c r="X4193">
        <v>23.93</v>
      </c>
      <c r="Y4193" s="6">
        <f t="shared" si="82"/>
        <v>3.4506521122825413</v>
      </c>
      <c r="Z4193">
        <f>24.56-X4193</f>
        <v>0.62999999999999901</v>
      </c>
      <c r="AA4193" s="6"/>
      <c r="AB4193" s="6"/>
    </row>
    <row r="4194" spans="1:28" x14ac:dyDescent="0.2">
      <c r="A4194" t="s">
        <v>541</v>
      </c>
      <c r="B4194">
        <v>2019</v>
      </c>
      <c r="C4194" t="s">
        <v>807</v>
      </c>
      <c r="D4194" t="s">
        <v>825</v>
      </c>
      <c r="E4194" t="s">
        <v>35</v>
      </c>
      <c r="F4194" t="s">
        <v>392</v>
      </c>
      <c r="G4194">
        <v>37.016666999999998</v>
      </c>
      <c r="H4194">
        <v>122.4</v>
      </c>
      <c r="I4194" t="s">
        <v>545</v>
      </c>
      <c r="J4194" s="2" t="s">
        <v>5</v>
      </c>
      <c r="K4194" t="s">
        <v>144</v>
      </c>
      <c r="L4194" t="s">
        <v>144</v>
      </c>
      <c r="M4194" t="s">
        <v>26</v>
      </c>
      <c r="N4194" t="s">
        <v>85</v>
      </c>
      <c r="O4194" t="s">
        <v>839</v>
      </c>
      <c r="Q4194">
        <v>60</v>
      </c>
      <c r="R4194" t="s">
        <v>213</v>
      </c>
      <c r="S4194" s="2" t="s">
        <v>9</v>
      </c>
      <c r="T4194">
        <v>30</v>
      </c>
      <c r="U4194">
        <v>7.8</v>
      </c>
      <c r="V4194">
        <v>1000</v>
      </c>
      <c r="W4194" t="s">
        <v>28</v>
      </c>
      <c r="X4194">
        <v>35.26</v>
      </c>
      <c r="Y4194" s="6">
        <f t="shared" si="82"/>
        <v>4.4365527157918576</v>
      </c>
      <c r="Z4194">
        <f>36.07-X4194</f>
        <v>0.81000000000000227</v>
      </c>
      <c r="AA4194" s="6"/>
      <c r="AB4194" s="6"/>
    </row>
    <row r="4195" spans="1:28" x14ac:dyDescent="0.2">
      <c r="A4195" t="s">
        <v>541</v>
      </c>
      <c r="B4195">
        <v>2019</v>
      </c>
      <c r="C4195" t="s">
        <v>816</v>
      </c>
      <c r="D4195" t="s">
        <v>820</v>
      </c>
      <c r="E4195" t="s">
        <v>34</v>
      </c>
      <c r="F4195" t="s">
        <v>392</v>
      </c>
      <c r="G4195">
        <v>37.016666999999998</v>
      </c>
      <c r="H4195">
        <v>122.4</v>
      </c>
      <c r="I4195" t="s">
        <v>545</v>
      </c>
      <c r="J4195" s="2" t="s">
        <v>7</v>
      </c>
      <c r="K4195" t="s">
        <v>144</v>
      </c>
      <c r="L4195" t="s">
        <v>144</v>
      </c>
      <c r="M4195" t="s">
        <v>26</v>
      </c>
      <c r="N4195" t="s">
        <v>85</v>
      </c>
      <c r="O4195" t="s">
        <v>839</v>
      </c>
      <c r="Q4195">
        <v>20</v>
      </c>
      <c r="R4195" t="s">
        <v>214</v>
      </c>
      <c r="S4195" s="2" t="s">
        <v>7</v>
      </c>
      <c r="T4195">
        <v>30</v>
      </c>
      <c r="U4195">
        <v>8.1</v>
      </c>
      <c r="V4195">
        <v>400</v>
      </c>
      <c r="W4195" t="s">
        <v>28</v>
      </c>
      <c r="X4195">
        <v>16.5</v>
      </c>
      <c r="Y4195" s="6">
        <f t="shared" si="82"/>
        <v>2.4647515087732437</v>
      </c>
      <c r="Z4195">
        <f>16.95-X4195</f>
        <v>0.44999999999999929</v>
      </c>
      <c r="AA4195" s="6"/>
      <c r="AB4195" s="6"/>
    </row>
    <row r="4196" spans="1:28" x14ac:dyDescent="0.2">
      <c r="A4196" t="s">
        <v>541</v>
      </c>
      <c r="B4196">
        <v>2019</v>
      </c>
      <c r="C4196" t="s">
        <v>816</v>
      </c>
      <c r="D4196" t="s">
        <v>820</v>
      </c>
      <c r="E4196" t="s">
        <v>34</v>
      </c>
      <c r="F4196" t="s">
        <v>392</v>
      </c>
      <c r="G4196">
        <v>37.016666999999998</v>
      </c>
      <c r="H4196">
        <v>122.4</v>
      </c>
      <c r="I4196" t="s">
        <v>545</v>
      </c>
      <c r="J4196" s="2" t="s">
        <v>5</v>
      </c>
      <c r="K4196" t="s">
        <v>144</v>
      </c>
      <c r="L4196" t="s">
        <v>144</v>
      </c>
      <c r="M4196" t="s">
        <v>26</v>
      </c>
      <c r="N4196" t="s">
        <v>85</v>
      </c>
      <c r="O4196" t="s">
        <v>839</v>
      </c>
      <c r="Q4196">
        <v>20</v>
      </c>
      <c r="R4196" t="s">
        <v>214</v>
      </c>
      <c r="S4196" s="2" t="s">
        <v>9</v>
      </c>
      <c r="T4196">
        <v>30</v>
      </c>
      <c r="U4196">
        <v>7.8</v>
      </c>
      <c r="V4196">
        <v>1000</v>
      </c>
      <c r="W4196" t="s">
        <v>28</v>
      </c>
      <c r="X4196">
        <v>23.84</v>
      </c>
      <c r="Y4196" s="6">
        <f t="shared" si="82"/>
        <v>3.4506521122825413</v>
      </c>
      <c r="Z4196">
        <f>24.47-X4196</f>
        <v>0.62999999999999901</v>
      </c>
      <c r="AA4196" s="6"/>
      <c r="AB4196" s="6"/>
    </row>
    <row r="4197" spans="1:28" x14ac:dyDescent="0.2">
      <c r="A4197" t="s">
        <v>541</v>
      </c>
      <c r="B4197">
        <v>2019</v>
      </c>
      <c r="C4197" t="s">
        <v>816</v>
      </c>
      <c r="D4197" t="s">
        <v>820</v>
      </c>
      <c r="E4197" t="s">
        <v>34</v>
      </c>
      <c r="F4197" t="s">
        <v>392</v>
      </c>
      <c r="G4197">
        <v>37.016666999999998</v>
      </c>
      <c r="H4197">
        <v>122.4</v>
      </c>
      <c r="I4197" t="s">
        <v>545</v>
      </c>
      <c r="J4197" s="2" t="s">
        <v>7</v>
      </c>
      <c r="K4197" t="s">
        <v>144</v>
      </c>
      <c r="L4197" t="s">
        <v>144</v>
      </c>
      <c r="M4197" t="s">
        <v>26</v>
      </c>
      <c r="N4197" t="s">
        <v>85</v>
      </c>
      <c r="O4197" t="s">
        <v>839</v>
      </c>
      <c r="Q4197">
        <v>40</v>
      </c>
      <c r="R4197" t="s">
        <v>213</v>
      </c>
      <c r="S4197" s="2" t="s">
        <v>7</v>
      </c>
      <c r="T4197">
        <v>30</v>
      </c>
      <c r="U4197">
        <v>8.1</v>
      </c>
      <c r="V4197">
        <v>400</v>
      </c>
      <c r="W4197" t="s">
        <v>28</v>
      </c>
      <c r="X4197">
        <v>27.01</v>
      </c>
      <c r="Y4197" s="6">
        <f t="shared" si="82"/>
        <v>3.4506521122825413</v>
      </c>
      <c r="Z4197">
        <f>27.64-X4197</f>
        <v>0.62999999999999901</v>
      </c>
      <c r="AA4197" s="6"/>
      <c r="AB4197" s="6"/>
    </row>
    <row r="4198" spans="1:28" x14ac:dyDescent="0.2">
      <c r="A4198" t="s">
        <v>541</v>
      </c>
      <c r="B4198">
        <v>2019</v>
      </c>
      <c r="C4198" t="s">
        <v>816</v>
      </c>
      <c r="D4198" t="s">
        <v>820</v>
      </c>
      <c r="E4198" t="s">
        <v>34</v>
      </c>
      <c r="F4198" t="s">
        <v>392</v>
      </c>
      <c r="G4198">
        <v>37.016666999999998</v>
      </c>
      <c r="H4198">
        <v>122.4</v>
      </c>
      <c r="I4198" t="s">
        <v>545</v>
      </c>
      <c r="J4198" s="2" t="s">
        <v>5</v>
      </c>
      <c r="K4198" t="s">
        <v>144</v>
      </c>
      <c r="L4198" t="s">
        <v>144</v>
      </c>
      <c r="M4198" t="s">
        <v>26</v>
      </c>
      <c r="N4198" t="s">
        <v>85</v>
      </c>
      <c r="O4198" t="s">
        <v>839</v>
      </c>
      <c r="Q4198">
        <v>40</v>
      </c>
      <c r="R4198" t="s">
        <v>213</v>
      </c>
      <c r="S4198" s="2" t="s">
        <v>9</v>
      </c>
      <c r="T4198">
        <v>30</v>
      </c>
      <c r="U4198">
        <v>7.8</v>
      </c>
      <c r="V4198">
        <v>1000</v>
      </c>
      <c r="W4198" t="s">
        <v>28</v>
      </c>
      <c r="X4198">
        <v>47.04</v>
      </c>
      <c r="Y4198" s="6">
        <f t="shared" si="82"/>
        <v>5.9701758768063291</v>
      </c>
      <c r="Z4198">
        <f>48.13-X4198</f>
        <v>1.0900000000000034</v>
      </c>
      <c r="AA4198" s="6"/>
      <c r="AB4198" s="6"/>
    </row>
    <row r="4199" spans="1:28" x14ac:dyDescent="0.2">
      <c r="A4199" t="s">
        <v>541</v>
      </c>
      <c r="B4199">
        <v>2019</v>
      </c>
      <c r="C4199" t="s">
        <v>826</v>
      </c>
      <c r="D4199" t="s">
        <v>824</v>
      </c>
      <c r="E4199" t="s">
        <v>114</v>
      </c>
      <c r="F4199" t="s">
        <v>392</v>
      </c>
      <c r="G4199">
        <v>37.016666999999998</v>
      </c>
      <c r="H4199">
        <v>122.4</v>
      </c>
      <c r="I4199" t="s">
        <v>545</v>
      </c>
      <c r="J4199" s="2" t="s">
        <v>7</v>
      </c>
      <c r="K4199" t="s">
        <v>144</v>
      </c>
      <c r="L4199" t="s">
        <v>144</v>
      </c>
      <c r="M4199" t="s">
        <v>637</v>
      </c>
      <c r="N4199" t="s">
        <v>85</v>
      </c>
      <c r="O4199" s="6" t="s">
        <v>543</v>
      </c>
      <c r="Q4199">
        <v>30</v>
      </c>
      <c r="R4199" t="s">
        <v>214</v>
      </c>
      <c r="S4199" s="2" t="s">
        <v>7</v>
      </c>
      <c r="T4199">
        <v>18</v>
      </c>
      <c r="U4199">
        <v>8.1</v>
      </c>
      <c r="V4199">
        <v>400</v>
      </c>
      <c r="W4199" t="s">
        <v>28</v>
      </c>
      <c r="X4199">
        <v>0.29289999999999999</v>
      </c>
      <c r="Y4199" s="6">
        <f t="shared" si="82"/>
        <v>4.030508652763324E-2</v>
      </c>
      <c r="Z4199">
        <f>0.3024-X4199</f>
        <v>9.5000000000000084E-3</v>
      </c>
      <c r="AA4199" s="6"/>
      <c r="AB4199" s="6"/>
    </row>
    <row r="4200" spans="1:28" x14ac:dyDescent="0.2">
      <c r="A4200" t="s">
        <v>541</v>
      </c>
      <c r="B4200">
        <v>2019</v>
      </c>
      <c r="C4200" t="s">
        <v>826</v>
      </c>
      <c r="D4200" t="s">
        <v>824</v>
      </c>
      <c r="E4200" t="s">
        <v>114</v>
      </c>
      <c r="F4200" t="s">
        <v>392</v>
      </c>
      <c r="G4200">
        <v>37.016666999999998</v>
      </c>
      <c r="H4200">
        <v>122.4</v>
      </c>
      <c r="I4200" t="s">
        <v>545</v>
      </c>
      <c r="J4200" s="2" t="s">
        <v>5</v>
      </c>
      <c r="K4200" t="s">
        <v>144</v>
      </c>
      <c r="L4200" t="s">
        <v>144</v>
      </c>
      <c r="M4200" t="s">
        <v>637</v>
      </c>
      <c r="N4200" t="s">
        <v>85</v>
      </c>
      <c r="O4200" s="6" t="s">
        <v>543</v>
      </c>
      <c r="Q4200">
        <v>30</v>
      </c>
      <c r="R4200" t="s">
        <v>214</v>
      </c>
      <c r="S4200" s="2" t="s">
        <v>9</v>
      </c>
      <c r="T4200">
        <v>18</v>
      </c>
      <c r="U4200">
        <v>7.8</v>
      </c>
      <c r="V4200">
        <v>1000</v>
      </c>
      <c r="W4200" t="s">
        <v>28</v>
      </c>
      <c r="X4200">
        <v>0.3458</v>
      </c>
      <c r="Y4200" s="6">
        <f t="shared" si="82"/>
        <v>5.6427121138686399E-2</v>
      </c>
      <c r="Z4200">
        <f>0.3591-X4200</f>
        <v>1.3299999999999979E-2</v>
      </c>
      <c r="AA4200" s="6"/>
      <c r="AB4200" s="6"/>
    </row>
    <row r="4201" spans="1:28" x14ac:dyDescent="0.2">
      <c r="A4201" t="s">
        <v>541</v>
      </c>
      <c r="B4201">
        <v>2019</v>
      </c>
      <c r="C4201" t="s">
        <v>826</v>
      </c>
      <c r="D4201" t="s">
        <v>824</v>
      </c>
      <c r="E4201" t="s">
        <v>114</v>
      </c>
      <c r="F4201" t="s">
        <v>392</v>
      </c>
      <c r="G4201">
        <v>37.016666999999998</v>
      </c>
      <c r="H4201">
        <v>122.4</v>
      </c>
      <c r="I4201" t="s">
        <v>545</v>
      </c>
      <c r="J4201" s="2" t="s">
        <v>7</v>
      </c>
      <c r="K4201" t="s">
        <v>144</v>
      </c>
      <c r="L4201" t="s">
        <v>144</v>
      </c>
      <c r="M4201" t="s">
        <v>637</v>
      </c>
      <c r="N4201" t="s">
        <v>85</v>
      </c>
      <c r="O4201" s="6" t="s">
        <v>543</v>
      </c>
      <c r="Q4201">
        <v>60</v>
      </c>
      <c r="R4201" t="s">
        <v>214</v>
      </c>
      <c r="S4201" s="2" t="s">
        <v>7</v>
      </c>
      <c r="T4201">
        <v>18</v>
      </c>
      <c r="U4201">
        <v>8.1</v>
      </c>
      <c r="V4201">
        <v>400</v>
      </c>
      <c r="W4201" t="s">
        <v>28</v>
      </c>
      <c r="X4201">
        <v>0.1663</v>
      </c>
      <c r="Y4201" s="6">
        <f t="shared" si="82"/>
        <v>3.2244069222106549E-2</v>
      </c>
      <c r="Z4201">
        <f>0.1739-X4201</f>
        <v>7.5999999999999956E-3</v>
      </c>
      <c r="AA4201" s="6"/>
      <c r="AB4201" s="6"/>
    </row>
    <row r="4202" spans="1:28" x14ac:dyDescent="0.2">
      <c r="A4202" t="s">
        <v>541</v>
      </c>
      <c r="B4202">
        <v>2019</v>
      </c>
      <c r="C4202" t="s">
        <v>826</v>
      </c>
      <c r="D4202" t="s">
        <v>824</v>
      </c>
      <c r="E4202" t="s">
        <v>114</v>
      </c>
      <c r="F4202" t="s">
        <v>392</v>
      </c>
      <c r="G4202">
        <v>37.016666999999998</v>
      </c>
      <c r="H4202">
        <v>122.4</v>
      </c>
      <c r="I4202" t="s">
        <v>545</v>
      </c>
      <c r="J4202" s="2" t="s">
        <v>5</v>
      </c>
      <c r="K4202" t="s">
        <v>144</v>
      </c>
      <c r="L4202" t="s">
        <v>144</v>
      </c>
      <c r="M4202" t="s">
        <v>637</v>
      </c>
      <c r="N4202" t="s">
        <v>85</v>
      </c>
      <c r="O4202" s="6" t="s">
        <v>543</v>
      </c>
      <c r="Q4202">
        <v>60</v>
      </c>
      <c r="R4202" t="s">
        <v>214</v>
      </c>
      <c r="S4202" s="2" t="s">
        <v>9</v>
      </c>
      <c r="T4202">
        <v>18</v>
      </c>
      <c r="U4202">
        <v>7.8</v>
      </c>
      <c r="V4202">
        <v>1000</v>
      </c>
      <c r="W4202" t="s">
        <v>28</v>
      </c>
      <c r="X4202">
        <v>0.32500000000000001</v>
      </c>
      <c r="Y4202" s="6">
        <f t="shared" si="82"/>
        <v>5.6427121138686399E-2</v>
      </c>
      <c r="Z4202">
        <f>0.3383-X4202</f>
        <v>1.3299999999999979E-2</v>
      </c>
      <c r="AA4202" s="6"/>
      <c r="AB4202" s="6"/>
    </row>
    <row r="4203" spans="1:28" x14ac:dyDescent="0.2">
      <c r="A4203" t="s">
        <v>541</v>
      </c>
      <c r="B4203">
        <v>2019</v>
      </c>
      <c r="C4203" t="s">
        <v>826</v>
      </c>
      <c r="D4203" t="s">
        <v>824</v>
      </c>
      <c r="E4203" t="s">
        <v>114</v>
      </c>
      <c r="F4203" t="s">
        <v>392</v>
      </c>
      <c r="G4203">
        <v>37.016666999999998</v>
      </c>
      <c r="H4203">
        <v>122.4</v>
      </c>
      <c r="I4203" t="s">
        <v>545</v>
      </c>
      <c r="J4203" s="2" t="s">
        <v>7</v>
      </c>
      <c r="K4203" t="s">
        <v>144</v>
      </c>
      <c r="L4203" t="s">
        <v>144</v>
      </c>
      <c r="M4203" t="s">
        <v>637</v>
      </c>
      <c r="N4203" t="s">
        <v>85</v>
      </c>
      <c r="O4203" s="6" t="s">
        <v>543</v>
      </c>
      <c r="Q4203">
        <v>90</v>
      </c>
      <c r="R4203" t="s">
        <v>213</v>
      </c>
      <c r="S4203" s="2" t="s">
        <v>7</v>
      </c>
      <c r="T4203">
        <v>18</v>
      </c>
      <c r="U4203">
        <v>8.1</v>
      </c>
      <c r="V4203">
        <v>400</v>
      </c>
      <c r="W4203" t="s">
        <v>28</v>
      </c>
      <c r="X4203">
        <v>0.1474</v>
      </c>
      <c r="Y4203" s="6">
        <f t="shared" si="82"/>
        <v>4.030508652763324E-2</v>
      </c>
      <c r="Z4203">
        <f>0.1569-X4203</f>
        <v>9.5000000000000084E-3</v>
      </c>
      <c r="AA4203" s="6"/>
      <c r="AB4203" s="6"/>
    </row>
    <row r="4204" spans="1:28" x14ac:dyDescent="0.2">
      <c r="A4204" t="s">
        <v>541</v>
      </c>
      <c r="B4204">
        <v>2019</v>
      </c>
      <c r="C4204" t="s">
        <v>826</v>
      </c>
      <c r="D4204" t="s">
        <v>824</v>
      </c>
      <c r="E4204" t="s">
        <v>114</v>
      </c>
      <c r="F4204" t="s">
        <v>392</v>
      </c>
      <c r="G4204">
        <v>37.016666999999998</v>
      </c>
      <c r="H4204">
        <v>122.4</v>
      </c>
      <c r="I4204" t="s">
        <v>545</v>
      </c>
      <c r="J4204" s="2" t="s">
        <v>5</v>
      </c>
      <c r="K4204" t="s">
        <v>144</v>
      </c>
      <c r="L4204" t="s">
        <v>144</v>
      </c>
      <c r="M4204" t="s">
        <v>637</v>
      </c>
      <c r="N4204" t="s">
        <v>85</v>
      </c>
      <c r="O4204" s="6" t="s">
        <v>543</v>
      </c>
      <c r="Q4204">
        <v>90</v>
      </c>
      <c r="R4204" t="s">
        <v>213</v>
      </c>
      <c r="S4204" s="2" t="s">
        <v>9</v>
      </c>
      <c r="T4204">
        <v>18</v>
      </c>
      <c r="U4204">
        <v>7.8</v>
      </c>
      <c r="V4204">
        <v>1000</v>
      </c>
      <c r="W4204" t="s">
        <v>28</v>
      </c>
      <c r="X4204">
        <v>0.26079999999999998</v>
      </c>
      <c r="Y4204" s="6">
        <f t="shared" si="82"/>
        <v>3.1819805153394665E-2</v>
      </c>
      <c r="Z4204">
        <f>0.2683-X4204</f>
        <v>7.5000000000000067E-3</v>
      </c>
      <c r="AA4204" s="6"/>
      <c r="AB4204" s="6"/>
    </row>
    <row r="4205" spans="1:28" x14ac:dyDescent="0.2">
      <c r="A4205" t="s">
        <v>541</v>
      </c>
      <c r="B4205">
        <v>2019</v>
      </c>
      <c r="C4205" t="s">
        <v>807</v>
      </c>
      <c r="D4205" t="s">
        <v>825</v>
      </c>
      <c r="E4205" t="s">
        <v>35</v>
      </c>
      <c r="F4205" t="s">
        <v>392</v>
      </c>
      <c r="G4205">
        <v>37.016666999999998</v>
      </c>
      <c r="H4205">
        <v>122.4</v>
      </c>
      <c r="I4205" t="s">
        <v>545</v>
      </c>
      <c r="J4205" s="2" t="s">
        <v>7</v>
      </c>
      <c r="K4205" t="s">
        <v>144</v>
      </c>
      <c r="L4205" t="s">
        <v>144</v>
      </c>
      <c r="M4205" t="s">
        <v>637</v>
      </c>
      <c r="N4205" t="s">
        <v>85</v>
      </c>
      <c r="O4205" s="6" t="s">
        <v>543</v>
      </c>
      <c r="Q4205">
        <v>30</v>
      </c>
      <c r="R4205" t="s">
        <v>214</v>
      </c>
      <c r="S4205" s="2" t="s">
        <v>7</v>
      </c>
      <c r="T4205">
        <v>18</v>
      </c>
      <c r="U4205">
        <v>8.1</v>
      </c>
      <c r="V4205">
        <v>400</v>
      </c>
      <c r="W4205" t="s">
        <v>28</v>
      </c>
      <c r="X4205">
        <v>0.50270000000000004</v>
      </c>
      <c r="Y4205" s="6">
        <f t="shared" si="82"/>
        <v>0.11200571413994903</v>
      </c>
      <c r="Z4205">
        <f>0.5291-X4205</f>
        <v>2.6399999999999979E-2</v>
      </c>
      <c r="AA4205" s="6"/>
      <c r="AB4205" s="6"/>
    </row>
    <row r="4206" spans="1:28" x14ac:dyDescent="0.2">
      <c r="A4206" t="s">
        <v>541</v>
      </c>
      <c r="B4206">
        <v>2019</v>
      </c>
      <c r="C4206" t="s">
        <v>807</v>
      </c>
      <c r="D4206" t="s">
        <v>825</v>
      </c>
      <c r="E4206" t="s">
        <v>35</v>
      </c>
      <c r="F4206" t="s">
        <v>392</v>
      </c>
      <c r="G4206">
        <v>37.016666999999998</v>
      </c>
      <c r="H4206">
        <v>122.4</v>
      </c>
      <c r="I4206" t="s">
        <v>545</v>
      </c>
      <c r="J4206" s="2" t="s">
        <v>5</v>
      </c>
      <c r="K4206" t="s">
        <v>144</v>
      </c>
      <c r="L4206" t="s">
        <v>144</v>
      </c>
      <c r="M4206" t="s">
        <v>637</v>
      </c>
      <c r="N4206" t="s">
        <v>85</v>
      </c>
      <c r="O4206" s="6" t="s">
        <v>543</v>
      </c>
      <c r="Q4206">
        <v>30</v>
      </c>
      <c r="R4206" t="s">
        <v>214</v>
      </c>
      <c r="S4206" s="2" t="s">
        <v>9</v>
      </c>
      <c r="T4206">
        <v>18</v>
      </c>
      <c r="U4206">
        <v>7.8</v>
      </c>
      <c r="V4206">
        <v>1000</v>
      </c>
      <c r="W4206" t="s">
        <v>28</v>
      </c>
      <c r="X4206">
        <v>0.68030000000000002</v>
      </c>
      <c r="Y4206" s="6">
        <f t="shared" si="82"/>
        <v>0.11242997820866091</v>
      </c>
      <c r="Z4206">
        <f>0.7068-X4206</f>
        <v>2.6499999999999968E-2</v>
      </c>
      <c r="AA4206" s="6"/>
      <c r="AB4206" s="6"/>
    </row>
    <row r="4207" spans="1:28" x14ac:dyDescent="0.2">
      <c r="A4207" t="s">
        <v>541</v>
      </c>
      <c r="B4207">
        <v>2019</v>
      </c>
      <c r="C4207" t="s">
        <v>807</v>
      </c>
      <c r="D4207" t="s">
        <v>825</v>
      </c>
      <c r="E4207" t="s">
        <v>35</v>
      </c>
      <c r="F4207" t="s">
        <v>392</v>
      </c>
      <c r="G4207">
        <v>37.016666999999998</v>
      </c>
      <c r="H4207">
        <v>122.4</v>
      </c>
      <c r="I4207" t="s">
        <v>545</v>
      </c>
      <c r="J4207" s="2" t="s">
        <v>7</v>
      </c>
      <c r="K4207" t="s">
        <v>144</v>
      </c>
      <c r="L4207" t="s">
        <v>144</v>
      </c>
      <c r="M4207" t="s">
        <v>637</v>
      </c>
      <c r="N4207" t="s">
        <v>85</v>
      </c>
      <c r="O4207" s="6" t="s">
        <v>543</v>
      </c>
      <c r="Q4207">
        <v>60</v>
      </c>
      <c r="R4207" t="s">
        <v>213</v>
      </c>
      <c r="S4207" s="2" t="s">
        <v>7</v>
      </c>
      <c r="T4207">
        <v>18</v>
      </c>
      <c r="U4207">
        <v>8.1</v>
      </c>
      <c r="V4207">
        <v>400</v>
      </c>
      <c r="W4207" t="s">
        <v>28</v>
      </c>
      <c r="X4207">
        <v>0.41760000000000003</v>
      </c>
      <c r="Y4207" s="6">
        <f t="shared" si="82"/>
        <v>5.6427121138686399E-2</v>
      </c>
      <c r="Z4207">
        <f>0.4309-X4207</f>
        <v>1.3299999999999979E-2</v>
      </c>
      <c r="AA4207" s="6"/>
      <c r="AB4207" s="6"/>
    </row>
    <row r="4208" spans="1:28" x14ac:dyDescent="0.2">
      <c r="A4208" t="s">
        <v>541</v>
      </c>
      <c r="B4208">
        <v>2019</v>
      </c>
      <c r="C4208" t="s">
        <v>807</v>
      </c>
      <c r="D4208" t="s">
        <v>825</v>
      </c>
      <c r="E4208" t="s">
        <v>35</v>
      </c>
      <c r="F4208" t="s">
        <v>392</v>
      </c>
      <c r="G4208">
        <v>37.016666999999998</v>
      </c>
      <c r="H4208">
        <v>122.4</v>
      </c>
      <c r="I4208" t="s">
        <v>545</v>
      </c>
      <c r="J4208" s="2" t="s">
        <v>5</v>
      </c>
      <c r="K4208" t="s">
        <v>144</v>
      </c>
      <c r="L4208" t="s">
        <v>144</v>
      </c>
      <c r="M4208" t="s">
        <v>637</v>
      </c>
      <c r="N4208" t="s">
        <v>85</v>
      </c>
      <c r="O4208" s="6" t="s">
        <v>543</v>
      </c>
      <c r="Q4208">
        <v>60</v>
      </c>
      <c r="R4208" t="s">
        <v>213</v>
      </c>
      <c r="S4208" s="2" t="s">
        <v>9</v>
      </c>
      <c r="T4208">
        <v>18</v>
      </c>
      <c r="U4208">
        <v>7.8</v>
      </c>
      <c r="V4208">
        <v>1000</v>
      </c>
      <c r="W4208" t="s">
        <v>28</v>
      </c>
      <c r="X4208">
        <v>0.54610000000000003</v>
      </c>
      <c r="Y4208" s="6">
        <f t="shared" si="82"/>
        <v>8.8246926292080821E-2</v>
      </c>
      <c r="Z4208">
        <f>0.5669-X4208</f>
        <v>2.079999999999993E-2</v>
      </c>
      <c r="AA4208" s="6"/>
      <c r="AB4208" s="6"/>
    </row>
    <row r="4209" spans="1:28" x14ac:dyDescent="0.2">
      <c r="A4209" t="s">
        <v>541</v>
      </c>
      <c r="B4209">
        <v>2019</v>
      </c>
      <c r="C4209" t="s">
        <v>816</v>
      </c>
      <c r="D4209" t="s">
        <v>820</v>
      </c>
      <c r="E4209" t="s">
        <v>34</v>
      </c>
      <c r="F4209" t="s">
        <v>392</v>
      </c>
      <c r="G4209">
        <v>37.016666999999998</v>
      </c>
      <c r="H4209">
        <v>122.4</v>
      </c>
      <c r="I4209" t="s">
        <v>545</v>
      </c>
      <c r="J4209" s="2" t="s">
        <v>7</v>
      </c>
      <c r="K4209" t="s">
        <v>144</v>
      </c>
      <c r="L4209" t="s">
        <v>144</v>
      </c>
      <c r="M4209" t="s">
        <v>637</v>
      </c>
      <c r="N4209" t="s">
        <v>85</v>
      </c>
      <c r="O4209" s="6" t="s">
        <v>543</v>
      </c>
      <c r="Q4209">
        <v>20</v>
      </c>
      <c r="R4209" t="s">
        <v>214</v>
      </c>
      <c r="S4209" s="2" t="s">
        <v>7</v>
      </c>
      <c r="T4209">
        <v>18</v>
      </c>
      <c r="U4209">
        <v>8.1</v>
      </c>
      <c r="V4209">
        <v>400</v>
      </c>
      <c r="W4209" t="s">
        <v>28</v>
      </c>
      <c r="X4209">
        <v>0.54610000000000003</v>
      </c>
      <c r="Y4209" s="6">
        <f t="shared" si="82"/>
        <v>0.10436896090313422</v>
      </c>
      <c r="Z4209">
        <f>0.5707-X4209</f>
        <v>2.4599999999999955E-2</v>
      </c>
      <c r="AA4209" s="6"/>
      <c r="AB4209" s="6"/>
    </row>
    <row r="4210" spans="1:28" x14ac:dyDescent="0.2">
      <c r="A4210" t="s">
        <v>541</v>
      </c>
      <c r="B4210">
        <v>2019</v>
      </c>
      <c r="C4210" t="s">
        <v>816</v>
      </c>
      <c r="D4210" t="s">
        <v>820</v>
      </c>
      <c r="E4210" t="s">
        <v>34</v>
      </c>
      <c r="F4210" t="s">
        <v>392</v>
      </c>
      <c r="G4210">
        <v>37.016666999999998</v>
      </c>
      <c r="H4210">
        <v>122.4</v>
      </c>
      <c r="I4210" t="s">
        <v>545</v>
      </c>
      <c r="J4210" s="2" t="s">
        <v>5</v>
      </c>
      <c r="K4210" t="s">
        <v>144</v>
      </c>
      <c r="L4210" t="s">
        <v>144</v>
      </c>
      <c r="M4210" t="s">
        <v>637</v>
      </c>
      <c r="N4210" t="s">
        <v>85</v>
      </c>
      <c r="O4210" s="6" t="s">
        <v>543</v>
      </c>
      <c r="Q4210">
        <v>20</v>
      </c>
      <c r="R4210" t="s">
        <v>214</v>
      </c>
      <c r="S4210" s="2" t="s">
        <v>9</v>
      </c>
      <c r="T4210">
        <v>18</v>
      </c>
      <c r="U4210">
        <v>7.8</v>
      </c>
      <c r="V4210">
        <v>1000</v>
      </c>
      <c r="W4210" t="s">
        <v>28</v>
      </c>
      <c r="X4210">
        <v>0.74460000000000004</v>
      </c>
      <c r="Y4210" s="6">
        <f t="shared" si="82"/>
        <v>0.15231080066758204</v>
      </c>
      <c r="Z4210">
        <f>0.7805-X4210</f>
        <v>3.5899999999999932E-2</v>
      </c>
      <c r="AA4210" s="6"/>
      <c r="AB4210" s="6"/>
    </row>
    <row r="4211" spans="1:28" x14ac:dyDescent="0.2">
      <c r="A4211" t="s">
        <v>541</v>
      </c>
      <c r="B4211">
        <v>2019</v>
      </c>
      <c r="C4211" t="s">
        <v>816</v>
      </c>
      <c r="D4211" t="s">
        <v>820</v>
      </c>
      <c r="E4211" t="s">
        <v>34</v>
      </c>
      <c r="F4211" t="s">
        <v>392</v>
      </c>
      <c r="G4211">
        <v>37.016666999999998</v>
      </c>
      <c r="H4211">
        <v>122.4</v>
      </c>
      <c r="I4211" t="s">
        <v>545</v>
      </c>
      <c r="J4211" s="2" t="s">
        <v>7</v>
      </c>
      <c r="K4211" t="s">
        <v>144</v>
      </c>
      <c r="L4211" t="s">
        <v>144</v>
      </c>
      <c r="M4211" t="s">
        <v>637</v>
      </c>
      <c r="N4211" t="s">
        <v>85</v>
      </c>
      <c r="O4211" s="6" t="s">
        <v>543</v>
      </c>
      <c r="Q4211">
        <v>40</v>
      </c>
      <c r="R4211" t="s">
        <v>213</v>
      </c>
      <c r="S4211" s="2" t="s">
        <v>7</v>
      </c>
      <c r="T4211">
        <v>18</v>
      </c>
      <c r="U4211">
        <v>8.1</v>
      </c>
      <c r="V4211">
        <v>400</v>
      </c>
      <c r="W4211" t="s">
        <v>28</v>
      </c>
      <c r="X4211">
        <v>0.36849999999999999</v>
      </c>
      <c r="Y4211" s="6">
        <f t="shared" si="82"/>
        <v>3.2244069222106549E-2</v>
      </c>
      <c r="Z4211">
        <f>0.3761-X4211</f>
        <v>7.5999999999999956E-3</v>
      </c>
      <c r="AA4211" s="6"/>
      <c r="AB4211" s="6"/>
    </row>
    <row r="4212" spans="1:28" x14ac:dyDescent="0.2">
      <c r="A4212" t="s">
        <v>541</v>
      </c>
      <c r="B4212">
        <v>2019</v>
      </c>
      <c r="C4212" t="s">
        <v>816</v>
      </c>
      <c r="D4212" t="s">
        <v>820</v>
      </c>
      <c r="E4212" t="s">
        <v>34</v>
      </c>
      <c r="F4212" t="s">
        <v>392</v>
      </c>
      <c r="G4212">
        <v>37.016666999999998</v>
      </c>
      <c r="H4212">
        <v>122.4</v>
      </c>
      <c r="I4212" t="s">
        <v>545</v>
      </c>
      <c r="J4212" s="2" t="s">
        <v>5</v>
      </c>
      <c r="K4212" t="s">
        <v>144</v>
      </c>
      <c r="L4212" t="s">
        <v>144</v>
      </c>
      <c r="M4212" t="s">
        <v>637</v>
      </c>
      <c r="N4212" t="s">
        <v>85</v>
      </c>
      <c r="O4212" s="6" t="s">
        <v>543</v>
      </c>
      <c r="Q4212">
        <v>40</v>
      </c>
      <c r="R4212" t="s">
        <v>213</v>
      </c>
      <c r="S4212" s="2" t="s">
        <v>9</v>
      </c>
      <c r="T4212">
        <v>18</v>
      </c>
      <c r="U4212">
        <v>7.8</v>
      </c>
      <c r="V4212">
        <v>1000</v>
      </c>
      <c r="W4212" t="s">
        <v>28</v>
      </c>
      <c r="X4212">
        <v>0.50649999999999995</v>
      </c>
      <c r="Y4212" s="6">
        <f t="shared" si="82"/>
        <v>3.9880822458921592E-2</v>
      </c>
      <c r="Z4212">
        <f>0.5159-X4212</f>
        <v>9.400000000000075E-3</v>
      </c>
      <c r="AA4212" s="6"/>
      <c r="AB4212" s="6"/>
    </row>
    <row r="4213" spans="1:28" x14ac:dyDescent="0.2">
      <c r="A4213" t="s">
        <v>541</v>
      </c>
      <c r="B4213">
        <v>2019</v>
      </c>
      <c r="C4213" t="s">
        <v>826</v>
      </c>
      <c r="D4213" t="s">
        <v>824</v>
      </c>
      <c r="E4213" t="s">
        <v>114</v>
      </c>
      <c r="F4213" t="s">
        <v>392</v>
      </c>
      <c r="G4213">
        <v>37.016666999999998</v>
      </c>
      <c r="H4213">
        <v>122.4</v>
      </c>
      <c r="I4213" t="s">
        <v>93</v>
      </c>
      <c r="J4213" s="2" t="s">
        <v>7</v>
      </c>
      <c r="K4213" t="s">
        <v>542</v>
      </c>
      <c r="L4213" t="s">
        <v>143</v>
      </c>
      <c r="M4213" t="s">
        <v>726</v>
      </c>
      <c r="N4213" t="s">
        <v>85</v>
      </c>
      <c r="O4213" s="6" t="s">
        <v>84</v>
      </c>
      <c r="Q4213" t="s">
        <v>28</v>
      </c>
      <c r="R4213" t="s">
        <v>213</v>
      </c>
      <c r="S4213" s="2" t="s">
        <v>7</v>
      </c>
      <c r="T4213">
        <v>3</v>
      </c>
      <c r="U4213">
        <v>8.06</v>
      </c>
      <c r="V4213">
        <v>400</v>
      </c>
      <c r="W4213">
        <v>10</v>
      </c>
      <c r="X4213">
        <v>0.5927</v>
      </c>
      <c r="Y4213" s="6">
        <f t="shared" si="82"/>
        <v>1.2643970895252757E-2</v>
      </c>
      <c r="Z4213">
        <f>0.6-X4213</f>
        <v>7.2999999999999732E-3</v>
      </c>
      <c r="AA4213" s="6"/>
      <c r="AB4213" s="6"/>
    </row>
    <row r="4214" spans="1:28" x14ac:dyDescent="0.2">
      <c r="A4214" t="s">
        <v>541</v>
      </c>
      <c r="B4214">
        <v>2019</v>
      </c>
      <c r="C4214" t="s">
        <v>826</v>
      </c>
      <c r="D4214" t="s">
        <v>824</v>
      </c>
      <c r="E4214" t="s">
        <v>114</v>
      </c>
      <c r="F4214" t="s">
        <v>392</v>
      </c>
      <c r="G4214">
        <v>37.016666999999998</v>
      </c>
      <c r="H4214">
        <v>122.4</v>
      </c>
      <c r="I4214" t="s">
        <v>93</v>
      </c>
      <c r="J4214" s="2" t="s">
        <v>14</v>
      </c>
      <c r="K4214" t="s">
        <v>542</v>
      </c>
      <c r="L4214" t="s">
        <v>143</v>
      </c>
      <c r="M4214" t="s">
        <v>726</v>
      </c>
      <c r="N4214" t="s">
        <v>85</v>
      </c>
      <c r="O4214" s="6" t="s">
        <v>84</v>
      </c>
      <c r="Q4214" t="s">
        <v>28</v>
      </c>
      <c r="R4214" t="s">
        <v>213</v>
      </c>
      <c r="S4214" s="2" t="s">
        <v>9</v>
      </c>
      <c r="T4214">
        <v>3</v>
      </c>
      <c r="U4214" t="s">
        <v>28</v>
      </c>
      <c r="V4214" t="s">
        <v>28</v>
      </c>
      <c r="W4214">
        <v>15</v>
      </c>
      <c r="X4214">
        <v>0.62680000000000002</v>
      </c>
      <c r="Y4214" s="6">
        <f t="shared" ref="Y4214:Y4228" si="83">Z4214*SQRT(T4214)</f>
        <v>3.6026656797432527E-2</v>
      </c>
      <c r="Z4214">
        <f>0.6476-X4214</f>
        <v>2.079999999999993E-2</v>
      </c>
      <c r="AA4214" s="6"/>
      <c r="AB4214" s="6"/>
    </row>
    <row r="4215" spans="1:28" x14ac:dyDescent="0.2">
      <c r="A4215" t="s">
        <v>541</v>
      </c>
      <c r="B4215">
        <v>2019</v>
      </c>
      <c r="C4215" t="s">
        <v>826</v>
      </c>
      <c r="D4215" t="s">
        <v>824</v>
      </c>
      <c r="E4215" t="s">
        <v>114</v>
      </c>
      <c r="F4215" t="s">
        <v>392</v>
      </c>
      <c r="G4215">
        <v>37.016666999999998</v>
      </c>
      <c r="H4215">
        <v>122.4</v>
      </c>
      <c r="I4215" t="s">
        <v>93</v>
      </c>
      <c r="J4215" s="2" t="s">
        <v>14</v>
      </c>
      <c r="K4215" t="s">
        <v>542</v>
      </c>
      <c r="L4215" t="s">
        <v>143</v>
      </c>
      <c r="M4215" t="s">
        <v>726</v>
      </c>
      <c r="N4215" t="s">
        <v>85</v>
      </c>
      <c r="O4215" s="6" t="s">
        <v>84</v>
      </c>
      <c r="Q4215" t="s">
        <v>28</v>
      </c>
      <c r="R4215" t="s">
        <v>213</v>
      </c>
      <c r="S4215" s="2" t="s">
        <v>27</v>
      </c>
      <c r="T4215">
        <v>3</v>
      </c>
      <c r="U4215" t="s">
        <v>28</v>
      </c>
      <c r="V4215" t="s">
        <v>28</v>
      </c>
      <c r="W4215">
        <v>20</v>
      </c>
      <c r="X4215">
        <v>0.59630000000000005</v>
      </c>
      <c r="Y4215" s="6">
        <f t="shared" si="83"/>
        <v>4.6592166723602668E-2</v>
      </c>
      <c r="Z4215">
        <f>0.6232-X4215</f>
        <v>2.6899999999999924E-2</v>
      </c>
      <c r="AA4215" s="6"/>
      <c r="AB4215" s="6"/>
    </row>
    <row r="4216" spans="1:28" x14ac:dyDescent="0.2">
      <c r="A4216" t="s">
        <v>541</v>
      </c>
      <c r="B4216">
        <v>2019</v>
      </c>
      <c r="C4216" t="s">
        <v>826</v>
      </c>
      <c r="D4216" t="s">
        <v>824</v>
      </c>
      <c r="E4216" t="s">
        <v>114</v>
      </c>
      <c r="F4216" t="s">
        <v>392</v>
      </c>
      <c r="G4216">
        <v>37.016666999999998</v>
      </c>
      <c r="H4216">
        <v>122.4</v>
      </c>
      <c r="I4216" t="s">
        <v>93</v>
      </c>
      <c r="J4216" s="2" t="s">
        <v>14</v>
      </c>
      <c r="K4216" t="s">
        <v>542</v>
      </c>
      <c r="L4216" t="s">
        <v>143</v>
      </c>
      <c r="M4216" t="s">
        <v>726</v>
      </c>
      <c r="N4216" t="s">
        <v>85</v>
      </c>
      <c r="O4216" s="6" t="s">
        <v>84</v>
      </c>
      <c r="Q4216" t="s">
        <v>28</v>
      </c>
      <c r="R4216" t="s">
        <v>213</v>
      </c>
      <c r="S4216" s="2" t="s">
        <v>183</v>
      </c>
      <c r="T4216">
        <v>3</v>
      </c>
      <c r="U4216" t="s">
        <v>28</v>
      </c>
      <c r="V4216" t="s">
        <v>28</v>
      </c>
      <c r="W4216">
        <v>23</v>
      </c>
      <c r="X4216">
        <v>0.4793</v>
      </c>
      <c r="Y4216" s="6">
        <f t="shared" si="83"/>
        <v>4.8497422611928506E-2</v>
      </c>
      <c r="Z4216">
        <f>0.5073-X4216</f>
        <v>2.7999999999999969E-2</v>
      </c>
      <c r="AA4216" s="6"/>
      <c r="AB4216" s="6"/>
    </row>
    <row r="4217" spans="1:28" x14ac:dyDescent="0.2">
      <c r="A4217" t="s">
        <v>541</v>
      </c>
      <c r="B4217">
        <v>2019</v>
      </c>
      <c r="C4217" t="s">
        <v>826</v>
      </c>
      <c r="D4217" t="s">
        <v>824</v>
      </c>
      <c r="E4217" t="s">
        <v>114</v>
      </c>
      <c r="F4217" t="s">
        <v>392</v>
      </c>
      <c r="G4217">
        <v>37.016666999999998</v>
      </c>
      <c r="H4217">
        <v>122.4</v>
      </c>
      <c r="I4217" t="s">
        <v>93</v>
      </c>
      <c r="J4217" s="2" t="s">
        <v>5</v>
      </c>
      <c r="K4217" t="s">
        <v>542</v>
      </c>
      <c r="L4217" t="s">
        <v>143</v>
      </c>
      <c r="M4217" t="s">
        <v>726</v>
      </c>
      <c r="N4217" t="s">
        <v>85</v>
      </c>
      <c r="O4217" s="6" t="s">
        <v>84</v>
      </c>
      <c r="Q4217" t="s">
        <v>28</v>
      </c>
      <c r="R4217" t="s">
        <v>213</v>
      </c>
      <c r="S4217" s="2" t="s">
        <v>13</v>
      </c>
      <c r="T4217">
        <v>3</v>
      </c>
      <c r="U4217">
        <v>7.93</v>
      </c>
      <c r="V4217">
        <v>700</v>
      </c>
      <c r="W4217" t="s">
        <v>28</v>
      </c>
      <c r="X4217">
        <v>0.5988</v>
      </c>
      <c r="Y4217" s="6">
        <f t="shared" si="83"/>
        <v>5.4906010599933323E-2</v>
      </c>
      <c r="Z4217">
        <f>0.6305-X4217</f>
        <v>3.169999999999995E-2</v>
      </c>
      <c r="AA4217" s="6"/>
      <c r="AB4217" s="6"/>
    </row>
    <row r="4218" spans="1:28" x14ac:dyDescent="0.2">
      <c r="A4218" t="s">
        <v>541</v>
      </c>
      <c r="B4218">
        <v>2019</v>
      </c>
      <c r="C4218" t="s">
        <v>826</v>
      </c>
      <c r="D4218" t="s">
        <v>824</v>
      </c>
      <c r="E4218" t="s">
        <v>114</v>
      </c>
      <c r="F4218" t="s">
        <v>392</v>
      </c>
      <c r="G4218">
        <v>37.016666999999998</v>
      </c>
      <c r="H4218">
        <v>122.4</v>
      </c>
      <c r="I4218" t="s">
        <v>93</v>
      </c>
      <c r="J4218" s="2" t="s">
        <v>5</v>
      </c>
      <c r="K4218" t="s">
        <v>542</v>
      </c>
      <c r="L4218" t="s">
        <v>143</v>
      </c>
      <c r="M4218" t="s">
        <v>726</v>
      </c>
      <c r="N4218" t="s">
        <v>85</v>
      </c>
      <c r="O4218" s="6" t="s">
        <v>84</v>
      </c>
      <c r="Q4218" t="s">
        <v>28</v>
      </c>
      <c r="R4218" t="s">
        <v>213</v>
      </c>
      <c r="S4218" s="2" t="s">
        <v>116</v>
      </c>
      <c r="T4218">
        <v>3</v>
      </c>
      <c r="U4218">
        <v>7.8</v>
      </c>
      <c r="V4218">
        <v>1000</v>
      </c>
      <c r="W4218" t="s">
        <v>28</v>
      </c>
      <c r="X4218">
        <v>0.6159</v>
      </c>
      <c r="Y4218" s="6">
        <f t="shared" si="83"/>
        <v>3.1523324697753555E-2</v>
      </c>
      <c r="Z4218">
        <f>0.6341-X4218</f>
        <v>1.8199999999999994E-2</v>
      </c>
      <c r="AA4218" s="6"/>
      <c r="AB4218" s="6"/>
    </row>
    <row r="4219" spans="1:28" x14ac:dyDescent="0.2">
      <c r="A4219" t="s">
        <v>541</v>
      </c>
      <c r="B4219">
        <v>2019</v>
      </c>
      <c r="C4219" t="s">
        <v>826</v>
      </c>
      <c r="D4219" t="s">
        <v>824</v>
      </c>
      <c r="E4219" t="s">
        <v>114</v>
      </c>
      <c r="F4219" t="s">
        <v>392</v>
      </c>
      <c r="G4219">
        <v>37.016666999999998</v>
      </c>
      <c r="H4219">
        <v>122.4</v>
      </c>
      <c r="I4219" t="s">
        <v>93</v>
      </c>
      <c r="J4219" s="2" t="s">
        <v>5</v>
      </c>
      <c r="K4219" t="s">
        <v>542</v>
      </c>
      <c r="L4219" t="s">
        <v>143</v>
      </c>
      <c r="M4219" t="s">
        <v>726</v>
      </c>
      <c r="N4219" t="s">
        <v>85</v>
      </c>
      <c r="O4219" s="6" t="s">
        <v>84</v>
      </c>
      <c r="Q4219" t="s">
        <v>28</v>
      </c>
      <c r="R4219" t="s">
        <v>213</v>
      </c>
      <c r="S4219" s="2" t="s">
        <v>177</v>
      </c>
      <c r="T4219">
        <v>3</v>
      </c>
      <c r="U4219">
        <v>7.62</v>
      </c>
      <c r="V4219">
        <v>1500</v>
      </c>
      <c r="W4219" t="s">
        <v>28</v>
      </c>
      <c r="X4219">
        <v>0.6</v>
      </c>
      <c r="Y4219" s="6">
        <f t="shared" si="83"/>
        <v>5.9062932538098745E-2</v>
      </c>
      <c r="Z4219">
        <f>0.6341-X4219</f>
        <v>3.4100000000000019E-2</v>
      </c>
      <c r="AA4219" s="6"/>
      <c r="AB4219" s="6"/>
    </row>
    <row r="4220" spans="1:28" x14ac:dyDescent="0.2">
      <c r="A4220" t="s">
        <v>541</v>
      </c>
      <c r="B4220">
        <v>2019</v>
      </c>
      <c r="C4220" t="s">
        <v>826</v>
      </c>
      <c r="D4220" t="s">
        <v>824</v>
      </c>
      <c r="E4220" t="s">
        <v>114</v>
      </c>
      <c r="F4220" t="s">
        <v>392</v>
      </c>
      <c r="G4220">
        <v>37.016666999999998</v>
      </c>
      <c r="H4220">
        <v>122.4</v>
      </c>
      <c r="I4220" t="s">
        <v>93</v>
      </c>
      <c r="J4220" s="2" t="s">
        <v>5</v>
      </c>
      <c r="K4220" t="s">
        <v>542</v>
      </c>
      <c r="L4220" t="s">
        <v>143</v>
      </c>
      <c r="M4220" t="s">
        <v>726</v>
      </c>
      <c r="N4220" t="s">
        <v>85</v>
      </c>
      <c r="O4220" s="6" t="s">
        <v>84</v>
      </c>
      <c r="Q4220" t="s">
        <v>28</v>
      </c>
      <c r="R4220" t="s">
        <v>213</v>
      </c>
      <c r="S4220" s="2" t="s">
        <v>180</v>
      </c>
      <c r="T4220">
        <v>3</v>
      </c>
      <c r="U4220">
        <v>7.53</v>
      </c>
      <c r="V4220">
        <v>2000</v>
      </c>
      <c r="W4220" t="s">
        <v>28</v>
      </c>
      <c r="X4220">
        <v>0.5756</v>
      </c>
      <c r="Y4220" s="6">
        <f t="shared" si="83"/>
        <v>1.2643970895252757E-2</v>
      </c>
      <c r="Z4220">
        <f>0.5829-X4220</f>
        <v>7.2999999999999732E-3</v>
      </c>
      <c r="AA4220" s="6"/>
      <c r="AB4220" s="6"/>
    </row>
    <row r="4221" spans="1:28" x14ac:dyDescent="0.2">
      <c r="A4221" t="s">
        <v>541</v>
      </c>
      <c r="B4221">
        <v>2019</v>
      </c>
      <c r="C4221" t="s">
        <v>826</v>
      </c>
      <c r="D4221" t="s">
        <v>824</v>
      </c>
      <c r="E4221" t="s">
        <v>114</v>
      </c>
      <c r="F4221" t="s">
        <v>392</v>
      </c>
      <c r="G4221">
        <v>37.016666999999998</v>
      </c>
      <c r="H4221">
        <v>122.4</v>
      </c>
      <c r="I4221" t="s">
        <v>93</v>
      </c>
      <c r="J4221" s="2" t="s">
        <v>16</v>
      </c>
      <c r="K4221" t="s">
        <v>542</v>
      </c>
      <c r="L4221" t="s">
        <v>143</v>
      </c>
      <c r="M4221" t="s">
        <v>726</v>
      </c>
      <c r="N4221" t="s">
        <v>85</v>
      </c>
      <c r="O4221" s="6" t="s">
        <v>84</v>
      </c>
      <c r="Q4221" t="s">
        <v>28</v>
      </c>
      <c r="R4221" t="s">
        <v>213</v>
      </c>
      <c r="S4221" s="2" t="s">
        <v>15</v>
      </c>
      <c r="T4221">
        <v>3</v>
      </c>
      <c r="U4221">
        <v>7.89</v>
      </c>
      <c r="V4221">
        <v>700</v>
      </c>
      <c r="W4221">
        <v>15</v>
      </c>
      <c r="X4221">
        <v>0.64510000000000001</v>
      </c>
      <c r="Y4221" s="6">
        <f t="shared" si="83"/>
        <v>2.9618068809427807E-2</v>
      </c>
      <c r="Z4221">
        <f>0.6622-X4221</f>
        <v>1.7100000000000004E-2</v>
      </c>
      <c r="AA4221" s="6"/>
      <c r="AB4221" s="6"/>
    </row>
    <row r="4222" spans="1:28" x14ac:dyDescent="0.2">
      <c r="A4222" t="s">
        <v>541</v>
      </c>
      <c r="B4222">
        <v>2019</v>
      </c>
      <c r="C4222" t="s">
        <v>826</v>
      </c>
      <c r="D4222" t="s">
        <v>824</v>
      </c>
      <c r="E4222" t="s">
        <v>114</v>
      </c>
      <c r="F4222" t="s">
        <v>392</v>
      </c>
      <c r="G4222">
        <v>37.016666999999998</v>
      </c>
      <c r="H4222">
        <v>122.4</v>
      </c>
      <c r="I4222" t="s">
        <v>93</v>
      </c>
      <c r="J4222" s="2" t="s">
        <v>16</v>
      </c>
      <c r="K4222" t="s">
        <v>542</v>
      </c>
      <c r="L4222" t="s">
        <v>143</v>
      </c>
      <c r="M4222" t="s">
        <v>726</v>
      </c>
      <c r="N4222" t="s">
        <v>85</v>
      </c>
      <c r="O4222" s="6" t="s">
        <v>84</v>
      </c>
      <c r="Q4222" t="s">
        <v>28</v>
      </c>
      <c r="R4222" t="s">
        <v>213</v>
      </c>
      <c r="S4222" s="2" t="s">
        <v>117</v>
      </c>
      <c r="T4222">
        <v>3</v>
      </c>
      <c r="U4222">
        <v>7.82</v>
      </c>
      <c r="V4222">
        <v>1000</v>
      </c>
      <c r="W4222">
        <v>15</v>
      </c>
      <c r="X4222">
        <v>0.70730000000000004</v>
      </c>
      <c r="Y4222" s="6">
        <f t="shared" si="83"/>
        <v>0.11622060918787155</v>
      </c>
      <c r="Z4222">
        <f>0.7744-X4222</f>
        <v>6.7099999999999937E-2</v>
      </c>
      <c r="AA4222" s="6"/>
      <c r="AB4222" s="6"/>
    </row>
    <row r="4223" spans="1:28" x14ac:dyDescent="0.2">
      <c r="A4223" t="s">
        <v>541</v>
      </c>
      <c r="B4223">
        <v>2019</v>
      </c>
      <c r="C4223" t="s">
        <v>826</v>
      </c>
      <c r="D4223" t="s">
        <v>824</v>
      </c>
      <c r="E4223" t="s">
        <v>114</v>
      </c>
      <c r="F4223" t="s">
        <v>392</v>
      </c>
      <c r="G4223">
        <v>37.016666999999998</v>
      </c>
      <c r="H4223">
        <v>122.4</v>
      </c>
      <c r="I4223" t="s">
        <v>93</v>
      </c>
      <c r="J4223" s="2" t="s">
        <v>16</v>
      </c>
      <c r="K4223" t="s">
        <v>542</v>
      </c>
      <c r="L4223" t="s">
        <v>143</v>
      </c>
      <c r="M4223" t="s">
        <v>726</v>
      </c>
      <c r="N4223" t="s">
        <v>85</v>
      </c>
      <c r="O4223" s="6" t="s">
        <v>84</v>
      </c>
      <c r="Q4223" t="s">
        <v>28</v>
      </c>
      <c r="R4223" t="s">
        <v>213</v>
      </c>
      <c r="S4223" s="2" t="s">
        <v>178</v>
      </c>
      <c r="T4223">
        <v>3</v>
      </c>
      <c r="U4223">
        <v>7.62</v>
      </c>
      <c r="V4223">
        <v>1500</v>
      </c>
      <c r="W4223">
        <v>15</v>
      </c>
      <c r="X4223">
        <v>0.67200000000000004</v>
      </c>
      <c r="Y4223" s="6">
        <f t="shared" si="83"/>
        <v>7.1706903433351496E-2</v>
      </c>
      <c r="Z4223">
        <f>0.7134-X4223</f>
        <v>4.1399999999999992E-2</v>
      </c>
      <c r="AA4223" s="6"/>
      <c r="AB4223" s="6"/>
    </row>
    <row r="4224" spans="1:28" x14ac:dyDescent="0.2">
      <c r="A4224" t="s">
        <v>541</v>
      </c>
      <c r="B4224">
        <v>2019</v>
      </c>
      <c r="C4224" t="s">
        <v>826</v>
      </c>
      <c r="D4224" t="s">
        <v>824</v>
      </c>
      <c r="E4224" t="s">
        <v>114</v>
      </c>
      <c r="F4224" t="s">
        <v>392</v>
      </c>
      <c r="G4224">
        <v>37.016666999999998</v>
      </c>
      <c r="H4224">
        <v>122.4</v>
      </c>
      <c r="I4224" t="s">
        <v>93</v>
      </c>
      <c r="J4224" s="2" t="s">
        <v>16</v>
      </c>
      <c r="K4224" t="s">
        <v>542</v>
      </c>
      <c r="L4224" t="s">
        <v>143</v>
      </c>
      <c r="M4224" t="s">
        <v>726</v>
      </c>
      <c r="N4224" t="s">
        <v>85</v>
      </c>
      <c r="O4224" s="6" t="s">
        <v>84</v>
      </c>
      <c r="Q4224" t="s">
        <v>28</v>
      </c>
      <c r="R4224" t="s">
        <v>213</v>
      </c>
      <c r="S4224" s="2" t="s">
        <v>181</v>
      </c>
      <c r="T4224">
        <v>3</v>
      </c>
      <c r="U4224">
        <v>7.52</v>
      </c>
      <c r="V4224">
        <v>2000</v>
      </c>
      <c r="W4224">
        <v>15</v>
      </c>
      <c r="X4224">
        <v>0.60370000000000001</v>
      </c>
      <c r="Y4224" s="6">
        <f t="shared" si="83"/>
        <v>6.7549981495186276E-2</v>
      </c>
      <c r="Z4224">
        <f>0.6427-X4224</f>
        <v>3.9000000000000035E-2</v>
      </c>
      <c r="AA4224" s="6"/>
      <c r="AB4224" s="6"/>
    </row>
    <row r="4225" spans="1:28" x14ac:dyDescent="0.2">
      <c r="A4225" t="s">
        <v>541</v>
      </c>
      <c r="B4225">
        <v>2019</v>
      </c>
      <c r="C4225" t="s">
        <v>826</v>
      </c>
      <c r="D4225" t="s">
        <v>824</v>
      </c>
      <c r="E4225" t="s">
        <v>114</v>
      </c>
      <c r="F4225" t="s">
        <v>392</v>
      </c>
      <c r="G4225">
        <v>37.016666999999998</v>
      </c>
      <c r="H4225">
        <v>122.4</v>
      </c>
      <c r="I4225" t="s">
        <v>93</v>
      </c>
      <c r="J4225" s="2" t="s">
        <v>16</v>
      </c>
      <c r="K4225" t="s">
        <v>542</v>
      </c>
      <c r="L4225" t="s">
        <v>143</v>
      </c>
      <c r="M4225" t="s">
        <v>726</v>
      </c>
      <c r="N4225" t="s">
        <v>85</v>
      </c>
      <c r="O4225" s="6" t="s">
        <v>84</v>
      </c>
      <c r="Q4225" t="s">
        <v>28</v>
      </c>
      <c r="R4225" t="s">
        <v>213</v>
      </c>
      <c r="S4225" s="2" t="s">
        <v>37</v>
      </c>
      <c r="T4225">
        <v>3</v>
      </c>
      <c r="U4225">
        <v>7.89</v>
      </c>
      <c r="V4225">
        <v>700</v>
      </c>
      <c r="W4225">
        <v>20</v>
      </c>
      <c r="X4225">
        <v>0.65849999999999997</v>
      </c>
      <c r="Y4225" s="6">
        <f t="shared" si="83"/>
        <v>3.1696529778510424E-2</v>
      </c>
      <c r="Z4225">
        <f>0.6768-X4225</f>
        <v>1.8299999999999983E-2</v>
      </c>
      <c r="AA4225" s="6"/>
      <c r="AB4225" s="6"/>
    </row>
    <row r="4226" spans="1:28" x14ac:dyDescent="0.2">
      <c r="A4226" t="s">
        <v>541</v>
      </c>
      <c r="B4226">
        <v>2019</v>
      </c>
      <c r="C4226" t="s">
        <v>826</v>
      </c>
      <c r="D4226" t="s">
        <v>824</v>
      </c>
      <c r="E4226" t="s">
        <v>114</v>
      </c>
      <c r="F4226" t="s">
        <v>392</v>
      </c>
      <c r="G4226">
        <v>37.016666999999998</v>
      </c>
      <c r="H4226">
        <v>122.4</v>
      </c>
      <c r="I4226" t="s">
        <v>93</v>
      </c>
      <c r="J4226" s="2" t="s">
        <v>16</v>
      </c>
      <c r="K4226" t="s">
        <v>542</v>
      </c>
      <c r="L4226" t="s">
        <v>143</v>
      </c>
      <c r="M4226" t="s">
        <v>726</v>
      </c>
      <c r="N4226" t="s">
        <v>85</v>
      </c>
      <c r="O4226" s="6" t="s">
        <v>84</v>
      </c>
      <c r="Q4226" t="s">
        <v>28</v>
      </c>
      <c r="R4226" t="s">
        <v>213</v>
      </c>
      <c r="S4226" s="2" t="s">
        <v>118</v>
      </c>
      <c r="T4226">
        <v>3</v>
      </c>
      <c r="U4226">
        <v>7.82</v>
      </c>
      <c r="V4226">
        <v>1000</v>
      </c>
      <c r="W4226">
        <v>20</v>
      </c>
      <c r="X4226">
        <v>0.61339999999999995</v>
      </c>
      <c r="Y4226" s="6">
        <f t="shared" si="83"/>
        <v>1.6974097914175049E-2</v>
      </c>
      <c r="Z4226">
        <f>0.6232-X4226</f>
        <v>9.8000000000000309E-3</v>
      </c>
      <c r="AA4226" s="6"/>
      <c r="AB4226" s="6"/>
    </row>
    <row r="4227" spans="1:28" x14ac:dyDescent="0.2">
      <c r="A4227" t="s">
        <v>541</v>
      </c>
      <c r="B4227">
        <v>2019</v>
      </c>
      <c r="C4227" t="s">
        <v>826</v>
      </c>
      <c r="D4227" t="s">
        <v>824</v>
      </c>
      <c r="E4227" t="s">
        <v>114</v>
      </c>
      <c r="F4227" t="s">
        <v>392</v>
      </c>
      <c r="G4227">
        <v>37.016666999999998</v>
      </c>
      <c r="H4227">
        <v>122.4</v>
      </c>
      <c r="I4227" t="s">
        <v>93</v>
      </c>
      <c r="J4227" s="2" t="s">
        <v>16</v>
      </c>
      <c r="K4227" t="s">
        <v>542</v>
      </c>
      <c r="L4227" t="s">
        <v>143</v>
      </c>
      <c r="M4227" t="s">
        <v>726</v>
      </c>
      <c r="N4227" t="s">
        <v>85</v>
      </c>
      <c r="O4227" s="6" t="s">
        <v>84</v>
      </c>
      <c r="Q4227" t="s">
        <v>28</v>
      </c>
      <c r="R4227" t="s">
        <v>213</v>
      </c>
      <c r="S4227" s="2" t="s">
        <v>179</v>
      </c>
      <c r="T4227">
        <v>3</v>
      </c>
      <c r="U4227">
        <v>7.66</v>
      </c>
      <c r="V4227">
        <v>1500</v>
      </c>
      <c r="W4227">
        <v>20</v>
      </c>
      <c r="X4227">
        <v>0.58660000000000001</v>
      </c>
      <c r="Y4227" s="6">
        <f t="shared" si="83"/>
        <v>1.2643970895252757E-2</v>
      </c>
      <c r="Z4227">
        <f>0.5939-X4227</f>
        <v>7.2999999999999732E-3</v>
      </c>
      <c r="AA4227" s="6"/>
      <c r="AB4227" s="6"/>
    </row>
    <row r="4228" spans="1:28" x14ac:dyDescent="0.2">
      <c r="A4228" t="s">
        <v>541</v>
      </c>
      <c r="B4228">
        <v>2019</v>
      </c>
      <c r="C4228" t="s">
        <v>826</v>
      </c>
      <c r="D4228" t="s">
        <v>824</v>
      </c>
      <c r="E4228" t="s">
        <v>114</v>
      </c>
      <c r="F4228" t="s">
        <v>392</v>
      </c>
      <c r="G4228">
        <v>37.016666999999998</v>
      </c>
      <c r="H4228">
        <v>122.4</v>
      </c>
      <c r="I4228" t="s">
        <v>93</v>
      </c>
      <c r="J4228" s="2" t="s">
        <v>16</v>
      </c>
      <c r="K4228" t="s">
        <v>542</v>
      </c>
      <c r="L4228" t="s">
        <v>143</v>
      </c>
      <c r="M4228" t="s">
        <v>726</v>
      </c>
      <c r="N4228" t="s">
        <v>85</v>
      </c>
      <c r="O4228" s="6" t="s">
        <v>84</v>
      </c>
      <c r="Q4228" t="s">
        <v>28</v>
      </c>
      <c r="R4228" t="s">
        <v>213</v>
      </c>
      <c r="S4228" s="2" t="s">
        <v>182</v>
      </c>
      <c r="T4228">
        <v>3</v>
      </c>
      <c r="U4228">
        <v>7.54</v>
      </c>
      <c r="V4228">
        <v>2000</v>
      </c>
      <c r="W4228">
        <v>20</v>
      </c>
      <c r="X4228">
        <v>0.49270000000000003</v>
      </c>
      <c r="Y4228" s="6">
        <f t="shared" si="83"/>
        <v>0.1456654729165425</v>
      </c>
      <c r="Z4228">
        <f>0.5768-X4228</f>
        <v>8.4099999999999953E-2</v>
      </c>
      <c r="AA4228" s="6"/>
      <c r="AB4228" s="6"/>
    </row>
    <row r="4229" spans="1:28" x14ac:dyDescent="0.2">
      <c r="A4229" t="s">
        <v>546</v>
      </c>
      <c r="B4229">
        <v>2019</v>
      </c>
      <c r="C4229" t="s">
        <v>826</v>
      </c>
      <c r="D4229" t="s">
        <v>824</v>
      </c>
      <c r="E4229" t="s">
        <v>48</v>
      </c>
      <c r="F4229" t="s">
        <v>547</v>
      </c>
      <c r="G4229">
        <v>55.816667000000002</v>
      </c>
      <c r="H4229">
        <v>10.083333</v>
      </c>
      <c r="I4229" t="s">
        <v>768</v>
      </c>
      <c r="J4229" s="2" t="s">
        <v>7</v>
      </c>
      <c r="K4229" t="s">
        <v>548</v>
      </c>
      <c r="L4229" t="s">
        <v>144</v>
      </c>
      <c r="M4229" t="s">
        <v>12</v>
      </c>
      <c r="N4229" t="s">
        <v>86</v>
      </c>
      <c r="O4229" s="6" t="s">
        <v>464</v>
      </c>
      <c r="P4229" t="s">
        <v>72</v>
      </c>
      <c r="Q4229">
        <v>18</v>
      </c>
      <c r="R4229" t="s">
        <v>213</v>
      </c>
      <c r="S4229" s="2" t="s">
        <v>7</v>
      </c>
      <c r="T4229">
        <v>3</v>
      </c>
      <c r="U4229" t="s">
        <v>28</v>
      </c>
      <c r="V4229" t="s">
        <v>28</v>
      </c>
      <c r="W4229">
        <v>15</v>
      </c>
      <c r="X4229">
        <v>9.6000000000000002E-2</v>
      </c>
      <c r="Y4229" s="6">
        <f>0.308-X4229</f>
        <v>0.21199999999999999</v>
      </c>
      <c r="AA4229" s="6"/>
      <c r="AB4229" s="6"/>
    </row>
    <row r="4230" spans="1:28" x14ac:dyDescent="0.2">
      <c r="A4230" t="s">
        <v>546</v>
      </c>
      <c r="B4230">
        <v>2019</v>
      </c>
      <c r="C4230" t="s">
        <v>826</v>
      </c>
      <c r="D4230" t="s">
        <v>824</v>
      </c>
      <c r="E4230" t="s">
        <v>48</v>
      </c>
      <c r="F4230" t="s">
        <v>547</v>
      </c>
      <c r="G4230">
        <v>55.816667000000002</v>
      </c>
      <c r="H4230">
        <v>10.083333</v>
      </c>
      <c r="I4230" t="s">
        <v>768</v>
      </c>
      <c r="J4230" s="2" t="s">
        <v>14</v>
      </c>
      <c r="K4230" t="s">
        <v>548</v>
      </c>
      <c r="L4230" t="s">
        <v>144</v>
      </c>
      <c r="M4230" t="s">
        <v>12</v>
      </c>
      <c r="N4230" t="s">
        <v>86</v>
      </c>
      <c r="O4230" s="6" t="s">
        <v>464</v>
      </c>
      <c r="P4230" t="s">
        <v>72</v>
      </c>
      <c r="Q4230">
        <v>18</v>
      </c>
      <c r="R4230" t="s">
        <v>213</v>
      </c>
      <c r="S4230" s="2" t="s">
        <v>9</v>
      </c>
      <c r="T4230">
        <v>3</v>
      </c>
      <c r="U4230" t="s">
        <v>28</v>
      </c>
      <c r="V4230" t="s">
        <v>28</v>
      </c>
      <c r="W4230">
        <v>18</v>
      </c>
      <c r="X4230">
        <v>0.115</v>
      </c>
      <c r="Y4230" s="6">
        <f>0.372-X4230</f>
        <v>0.25700000000000001</v>
      </c>
      <c r="AA4230" s="6"/>
      <c r="AB4230" s="6"/>
    </row>
    <row r="4231" spans="1:28" x14ac:dyDescent="0.2">
      <c r="A4231" t="s">
        <v>546</v>
      </c>
      <c r="B4231">
        <v>2019</v>
      </c>
      <c r="C4231" t="s">
        <v>826</v>
      </c>
      <c r="D4231" t="s">
        <v>824</v>
      </c>
      <c r="E4231" t="s">
        <v>48</v>
      </c>
      <c r="F4231" t="s">
        <v>547</v>
      </c>
      <c r="G4231">
        <v>55.816667000000002</v>
      </c>
      <c r="H4231">
        <v>10.083333</v>
      </c>
      <c r="I4231" t="s">
        <v>768</v>
      </c>
      <c r="J4231" s="2" t="s">
        <v>14</v>
      </c>
      <c r="K4231" t="s">
        <v>548</v>
      </c>
      <c r="L4231" t="s">
        <v>144</v>
      </c>
      <c r="M4231" t="s">
        <v>12</v>
      </c>
      <c r="N4231" t="s">
        <v>86</v>
      </c>
      <c r="O4231" s="6" t="s">
        <v>464</v>
      </c>
      <c r="P4231" t="s">
        <v>72</v>
      </c>
      <c r="Q4231">
        <v>18</v>
      </c>
      <c r="R4231" t="s">
        <v>213</v>
      </c>
      <c r="S4231" s="2" t="s">
        <v>27</v>
      </c>
      <c r="T4231">
        <v>3</v>
      </c>
      <c r="U4231" t="s">
        <v>28</v>
      </c>
      <c r="V4231" t="s">
        <v>28</v>
      </c>
      <c r="W4231">
        <v>21</v>
      </c>
      <c r="X4231">
        <v>0.34599999999999997</v>
      </c>
      <c r="Y4231">
        <f>0.744-X4231</f>
        <v>0.39800000000000002</v>
      </c>
      <c r="AA4231" s="6"/>
      <c r="AB4231" s="6"/>
    </row>
    <row r="4232" spans="1:28" x14ac:dyDescent="0.2">
      <c r="A4232" t="s">
        <v>546</v>
      </c>
      <c r="B4232">
        <v>2019</v>
      </c>
      <c r="C4232" t="s">
        <v>826</v>
      </c>
      <c r="D4232" t="s">
        <v>824</v>
      </c>
      <c r="E4232" t="s">
        <v>48</v>
      </c>
      <c r="F4232" t="s">
        <v>547</v>
      </c>
      <c r="G4232">
        <v>55.816667000000002</v>
      </c>
      <c r="H4232">
        <v>10.083333</v>
      </c>
      <c r="I4232" t="s">
        <v>768</v>
      </c>
      <c r="J4232" s="2" t="s">
        <v>14</v>
      </c>
      <c r="K4232" t="s">
        <v>548</v>
      </c>
      <c r="L4232" t="s">
        <v>144</v>
      </c>
      <c r="M4232" t="s">
        <v>12</v>
      </c>
      <c r="N4232" t="s">
        <v>86</v>
      </c>
      <c r="O4232" s="6" t="s">
        <v>464</v>
      </c>
      <c r="P4232" t="s">
        <v>72</v>
      </c>
      <c r="Q4232">
        <v>18</v>
      </c>
      <c r="R4232" t="s">
        <v>213</v>
      </c>
      <c r="S4232" s="2" t="s">
        <v>13</v>
      </c>
      <c r="T4232">
        <v>3</v>
      </c>
      <c r="U4232" t="s">
        <v>28</v>
      </c>
      <c r="V4232" t="s">
        <v>28</v>
      </c>
      <c r="W4232">
        <v>24</v>
      </c>
      <c r="X4232">
        <v>5.3650000000000002</v>
      </c>
      <c r="Y4232">
        <f>5.667-X4232</f>
        <v>0.3019999999999996</v>
      </c>
      <c r="AA4232" s="6"/>
      <c r="AB4232" s="6"/>
    </row>
    <row r="4233" spans="1:28" x14ac:dyDescent="0.2">
      <c r="A4233" t="s">
        <v>546</v>
      </c>
      <c r="B4233">
        <v>2019</v>
      </c>
      <c r="C4233" t="s">
        <v>826</v>
      </c>
      <c r="D4233" t="s">
        <v>824</v>
      </c>
      <c r="E4233" t="s">
        <v>48</v>
      </c>
      <c r="F4233" t="s">
        <v>547</v>
      </c>
      <c r="G4233">
        <v>55.816667000000002</v>
      </c>
      <c r="H4233">
        <v>10.083333</v>
      </c>
      <c r="I4233" t="s">
        <v>768</v>
      </c>
      <c r="J4233" s="2" t="s">
        <v>7</v>
      </c>
      <c r="K4233" t="s">
        <v>548</v>
      </c>
      <c r="L4233" t="s">
        <v>144</v>
      </c>
      <c r="M4233" t="s">
        <v>26</v>
      </c>
      <c r="N4233" t="s">
        <v>85</v>
      </c>
      <c r="O4233" s="6" t="s">
        <v>462</v>
      </c>
      <c r="P4233" t="s">
        <v>124</v>
      </c>
      <c r="Q4233">
        <v>18</v>
      </c>
      <c r="R4233" t="s">
        <v>213</v>
      </c>
      <c r="S4233" s="2" t="s">
        <v>7</v>
      </c>
      <c r="T4233">
        <v>3</v>
      </c>
      <c r="U4233" t="s">
        <v>28</v>
      </c>
      <c r="V4233" t="s">
        <v>28</v>
      </c>
      <c r="W4233">
        <v>15</v>
      </c>
      <c r="X4233">
        <v>8.7999999999999995E-2</v>
      </c>
      <c r="Y4233">
        <f>0.109-X4233</f>
        <v>2.1000000000000005E-2</v>
      </c>
      <c r="AA4233" s="6"/>
      <c r="AB4233" s="6"/>
    </row>
    <row r="4234" spans="1:28" x14ac:dyDescent="0.2">
      <c r="A4234" t="s">
        <v>546</v>
      </c>
      <c r="B4234">
        <v>2019</v>
      </c>
      <c r="C4234" t="s">
        <v>826</v>
      </c>
      <c r="D4234" t="s">
        <v>824</v>
      </c>
      <c r="E4234" t="s">
        <v>48</v>
      </c>
      <c r="F4234" t="s">
        <v>547</v>
      </c>
      <c r="G4234">
        <v>55.816667000000002</v>
      </c>
      <c r="H4234">
        <v>10.083333</v>
      </c>
      <c r="I4234" t="s">
        <v>768</v>
      </c>
      <c r="J4234" s="2" t="s">
        <v>14</v>
      </c>
      <c r="K4234" t="s">
        <v>548</v>
      </c>
      <c r="L4234" t="s">
        <v>144</v>
      </c>
      <c r="M4234" t="s">
        <v>26</v>
      </c>
      <c r="N4234" t="s">
        <v>85</v>
      </c>
      <c r="O4234" s="6" t="s">
        <v>462</v>
      </c>
      <c r="P4234" t="s">
        <v>124</v>
      </c>
      <c r="Q4234">
        <v>18</v>
      </c>
      <c r="R4234" t="s">
        <v>213</v>
      </c>
      <c r="S4234" s="2" t="s">
        <v>9</v>
      </c>
      <c r="T4234">
        <v>3</v>
      </c>
      <c r="U4234" t="s">
        <v>28</v>
      </c>
      <c r="V4234" t="s">
        <v>28</v>
      </c>
      <c r="W4234">
        <v>18</v>
      </c>
      <c r="X4234">
        <v>4.2999999999999997E-2</v>
      </c>
      <c r="Y4234">
        <f>0.069-X4234</f>
        <v>2.6000000000000009E-2</v>
      </c>
      <c r="AA4234" s="6"/>
      <c r="AB4234" s="6"/>
    </row>
    <row r="4235" spans="1:28" x14ac:dyDescent="0.2">
      <c r="A4235" t="s">
        <v>546</v>
      </c>
      <c r="B4235">
        <v>2019</v>
      </c>
      <c r="C4235" t="s">
        <v>826</v>
      </c>
      <c r="D4235" t="s">
        <v>824</v>
      </c>
      <c r="E4235" t="s">
        <v>48</v>
      </c>
      <c r="F4235" t="s">
        <v>547</v>
      </c>
      <c r="G4235">
        <v>55.816667000000002</v>
      </c>
      <c r="H4235">
        <v>10.083333</v>
      </c>
      <c r="I4235" t="s">
        <v>768</v>
      </c>
      <c r="J4235" s="2" t="s">
        <v>14</v>
      </c>
      <c r="K4235" t="s">
        <v>548</v>
      </c>
      <c r="L4235" t="s">
        <v>144</v>
      </c>
      <c r="M4235" t="s">
        <v>26</v>
      </c>
      <c r="N4235" t="s">
        <v>85</v>
      </c>
      <c r="O4235" s="6" t="s">
        <v>462</v>
      </c>
      <c r="P4235" t="s">
        <v>124</v>
      </c>
      <c r="Q4235">
        <v>18</v>
      </c>
      <c r="R4235" t="s">
        <v>213</v>
      </c>
      <c r="S4235" s="2" t="s">
        <v>27</v>
      </c>
      <c r="T4235">
        <v>3</v>
      </c>
      <c r="U4235" t="s">
        <v>28</v>
      </c>
      <c r="V4235" t="s">
        <v>28</v>
      </c>
      <c r="W4235">
        <v>21</v>
      </c>
      <c r="X4235">
        <v>8.9999999999999993E-3</v>
      </c>
      <c r="Y4235">
        <f>0.017-X4235</f>
        <v>8.0000000000000019E-3</v>
      </c>
      <c r="AA4235" s="6"/>
      <c r="AB4235" s="6"/>
    </row>
    <row r="4236" spans="1:28" x14ac:dyDescent="0.2">
      <c r="A4236" t="s">
        <v>546</v>
      </c>
      <c r="B4236">
        <v>2019</v>
      </c>
      <c r="C4236" t="s">
        <v>826</v>
      </c>
      <c r="D4236" t="s">
        <v>824</v>
      </c>
      <c r="E4236" t="s">
        <v>48</v>
      </c>
      <c r="F4236" t="s">
        <v>547</v>
      </c>
      <c r="G4236">
        <v>55.816667000000002</v>
      </c>
      <c r="H4236">
        <v>10.083333</v>
      </c>
      <c r="I4236" t="s">
        <v>768</v>
      </c>
      <c r="J4236" s="2" t="s">
        <v>7</v>
      </c>
      <c r="K4236" t="s">
        <v>548</v>
      </c>
      <c r="L4236" t="s">
        <v>144</v>
      </c>
      <c r="M4236" t="s">
        <v>26</v>
      </c>
      <c r="N4236" t="s">
        <v>85</v>
      </c>
      <c r="O4236" t="s">
        <v>839</v>
      </c>
      <c r="P4236" t="s">
        <v>549</v>
      </c>
      <c r="Q4236">
        <v>18</v>
      </c>
      <c r="R4236" t="s">
        <v>213</v>
      </c>
      <c r="S4236" s="2" t="s">
        <v>7</v>
      </c>
      <c r="T4236">
        <v>3</v>
      </c>
      <c r="U4236" t="s">
        <v>28</v>
      </c>
      <c r="V4236" t="s">
        <v>28</v>
      </c>
      <c r="W4236">
        <v>15</v>
      </c>
      <c r="X4236">
        <v>6.7879999999999998E-3</v>
      </c>
      <c r="Y4236">
        <f>0.009036-X4236</f>
        <v>2.2480000000000009E-3</v>
      </c>
      <c r="AA4236" s="6"/>
      <c r="AB4236" s="6"/>
    </row>
    <row r="4237" spans="1:28" x14ac:dyDescent="0.2">
      <c r="A4237" t="s">
        <v>546</v>
      </c>
      <c r="B4237">
        <v>2019</v>
      </c>
      <c r="C4237" t="s">
        <v>826</v>
      </c>
      <c r="D4237" t="s">
        <v>824</v>
      </c>
      <c r="E4237" t="s">
        <v>48</v>
      </c>
      <c r="F4237" t="s">
        <v>547</v>
      </c>
      <c r="G4237">
        <v>55.816667000000002</v>
      </c>
      <c r="H4237">
        <v>10.083333</v>
      </c>
      <c r="I4237" t="s">
        <v>768</v>
      </c>
      <c r="J4237" s="2" t="s">
        <v>14</v>
      </c>
      <c r="K4237" t="s">
        <v>548</v>
      </c>
      <c r="L4237" t="s">
        <v>144</v>
      </c>
      <c r="M4237" t="s">
        <v>26</v>
      </c>
      <c r="N4237" t="s">
        <v>85</v>
      </c>
      <c r="O4237" t="s">
        <v>839</v>
      </c>
      <c r="P4237" t="s">
        <v>549</v>
      </c>
      <c r="Q4237">
        <v>18</v>
      </c>
      <c r="R4237" t="s">
        <v>213</v>
      </c>
      <c r="S4237" s="2" t="s">
        <v>9</v>
      </c>
      <c r="T4237">
        <v>3</v>
      </c>
      <c r="U4237" t="s">
        <v>28</v>
      </c>
      <c r="V4237" t="s">
        <v>28</v>
      </c>
      <c r="W4237">
        <v>18</v>
      </c>
      <c r="X4237">
        <v>5.7600000000000004E-3</v>
      </c>
      <c r="Y4237">
        <f>0.008972-X4237</f>
        <v>3.2120000000000004E-3</v>
      </c>
      <c r="AA4237" s="6"/>
      <c r="AB4237" s="6"/>
    </row>
    <row r="4238" spans="1:28" x14ac:dyDescent="0.2">
      <c r="A4238" t="s">
        <v>546</v>
      </c>
      <c r="B4238">
        <v>2019</v>
      </c>
      <c r="C4238" t="s">
        <v>826</v>
      </c>
      <c r="D4238" t="s">
        <v>824</v>
      </c>
      <c r="E4238" t="s">
        <v>48</v>
      </c>
      <c r="F4238" t="s">
        <v>547</v>
      </c>
      <c r="G4238">
        <v>55.816667000000002</v>
      </c>
      <c r="H4238">
        <v>10.083333</v>
      </c>
      <c r="I4238" t="s">
        <v>768</v>
      </c>
      <c r="J4238" s="2" t="s">
        <v>14</v>
      </c>
      <c r="K4238" t="s">
        <v>548</v>
      </c>
      <c r="L4238" t="s">
        <v>144</v>
      </c>
      <c r="M4238" t="s">
        <v>26</v>
      </c>
      <c r="N4238" t="s">
        <v>85</v>
      </c>
      <c r="O4238" t="s">
        <v>839</v>
      </c>
      <c r="P4238" t="s">
        <v>549</v>
      </c>
      <c r="Q4238">
        <v>18</v>
      </c>
      <c r="R4238" t="s">
        <v>213</v>
      </c>
      <c r="S4238" s="2" t="s">
        <v>27</v>
      </c>
      <c r="T4238">
        <v>3</v>
      </c>
      <c r="U4238" t="s">
        <v>28</v>
      </c>
      <c r="V4238" t="s">
        <v>28</v>
      </c>
      <c r="W4238">
        <v>21</v>
      </c>
      <c r="X4238">
        <v>3.7690000000000002E-3</v>
      </c>
      <c r="Y4238">
        <f>0.007109-X4238</f>
        <v>3.3399999999999997E-3</v>
      </c>
      <c r="AA4238" s="6"/>
      <c r="AB4238" s="6"/>
    </row>
    <row r="4239" spans="1:28" x14ac:dyDescent="0.2">
      <c r="A4239" t="s">
        <v>546</v>
      </c>
      <c r="B4239">
        <v>2019</v>
      </c>
      <c r="C4239" t="s">
        <v>826</v>
      </c>
      <c r="D4239" t="s">
        <v>824</v>
      </c>
      <c r="E4239" t="s">
        <v>48</v>
      </c>
      <c r="F4239" t="s">
        <v>547</v>
      </c>
      <c r="G4239">
        <v>55.816667000000002</v>
      </c>
      <c r="H4239">
        <v>10.083333</v>
      </c>
      <c r="I4239" t="s">
        <v>768</v>
      </c>
      <c r="J4239" s="2" t="s">
        <v>7</v>
      </c>
      <c r="K4239" t="s">
        <v>548</v>
      </c>
      <c r="L4239" t="s">
        <v>144</v>
      </c>
      <c r="M4239" t="s">
        <v>73</v>
      </c>
      <c r="N4239" t="s">
        <v>85</v>
      </c>
      <c r="O4239" s="6" t="s">
        <v>98</v>
      </c>
      <c r="P4239" t="s">
        <v>78</v>
      </c>
      <c r="Q4239">
        <v>10</v>
      </c>
      <c r="R4239" t="s">
        <v>213</v>
      </c>
      <c r="S4239" s="2" t="s">
        <v>7</v>
      </c>
      <c r="T4239">
        <v>3</v>
      </c>
      <c r="U4239" t="s">
        <v>28</v>
      </c>
      <c r="V4239" t="s">
        <v>28</v>
      </c>
      <c r="W4239">
        <v>15</v>
      </c>
      <c r="X4239">
        <v>11.65</v>
      </c>
      <c r="Y4239">
        <f>13.27-X4239</f>
        <v>1.6199999999999992</v>
      </c>
      <c r="AA4239" s="6"/>
      <c r="AB4239" s="6"/>
    </row>
    <row r="4240" spans="1:28" x14ac:dyDescent="0.2">
      <c r="A4240" t="s">
        <v>546</v>
      </c>
      <c r="B4240">
        <v>2019</v>
      </c>
      <c r="C4240" t="s">
        <v>826</v>
      </c>
      <c r="D4240" t="s">
        <v>824</v>
      </c>
      <c r="E4240" t="s">
        <v>48</v>
      </c>
      <c r="F4240" t="s">
        <v>547</v>
      </c>
      <c r="G4240">
        <v>55.816667000000002</v>
      </c>
      <c r="H4240">
        <v>10.083333</v>
      </c>
      <c r="I4240" t="s">
        <v>768</v>
      </c>
      <c r="J4240" s="2" t="s">
        <v>14</v>
      </c>
      <c r="K4240" t="s">
        <v>548</v>
      </c>
      <c r="L4240" t="s">
        <v>144</v>
      </c>
      <c r="M4240" t="s">
        <v>73</v>
      </c>
      <c r="N4240" t="s">
        <v>85</v>
      </c>
      <c r="O4240" s="6" t="s">
        <v>98</v>
      </c>
      <c r="P4240" t="s">
        <v>78</v>
      </c>
      <c r="Q4240">
        <v>10</v>
      </c>
      <c r="R4240" t="s">
        <v>214</v>
      </c>
      <c r="S4240" s="2" t="s">
        <v>9</v>
      </c>
      <c r="T4240">
        <v>3</v>
      </c>
      <c r="U4240" t="s">
        <v>28</v>
      </c>
      <c r="V4240" t="s">
        <v>28</v>
      </c>
      <c r="W4240">
        <v>18</v>
      </c>
      <c r="X4240">
        <v>12.71</v>
      </c>
      <c r="Y4240">
        <f>13.11-X4240</f>
        <v>0.39999999999999858</v>
      </c>
      <c r="AA4240" s="6"/>
      <c r="AB4240" s="6"/>
    </row>
    <row r="4241" spans="1:28" x14ac:dyDescent="0.2">
      <c r="A4241" t="s">
        <v>546</v>
      </c>
      <c r="B4241">
        <v>2019</v>
      </c>
      <c r="C4241" t="s">
        <v>826</v>
      </c>
      <c r="D4241" t="s">
        <v>824</v>
      </c>
      <c r="E4241" t="s">
        <v>48</v>
      </c>
      <c r="F4241" t="s">
        <v>547</v>
      </c>
      <c r="G4241">
        <v>55.816667000000002</v>
      </c>
      <c r="H4241">
        <v>10.083333</v>
      </c>
      <c r="I4241" t="s">
        <v>768</v>
      </c>
      <c r="J4241" s="2" t="s">
        <v>14</v>
      </c>
      <c r="K4241" t="s">
        <v>548</v>
      </c>
      <c r="L4241" t="s">
        <v>144</v>
      </c>
      <c r="M4241" t="s">
        <v>73</v>
      </c>
      <c r="N4241" t="s">
        <v>85</v>
      </c>
      <c r="O4241" s="6" t="s">
        <v>98</v>
      </c>
      <c r="P4241" t="s">
        <v>78</v>
      </c>
      <c r="Q4241">
        <v>10</v>
      </c>
      <c r="R4241" t="s">
        <v>214</v>
      </c>
      <c r="S4241" s="2" t="s">
        <v>27</v>
      </c>
      <c r="T4241">
        <v>3</v>
      </c>
      <c r="U4241" t="s">
        <v>28</v>
      </c>
      <c r="V4241" t="s">
        <v>28</v>
      </c>
      <c r="W4241">
        <v>21</v>
      </c>
      <c r="X4241">
        <v>6.29</v>
      </c>
      <c r="Y4241">
        <f>6.45-X4241</f>
        <v>0.16000000000000014</v>
      </c>
      <c r="AA4241" s="6"/>
      <c r="AB4241" s="6"/>
    </row>
    <row r="4242" spans="1:28" x14ac:dyDescent="0.2">
      <c r="A4242" t="s">
        <v>546</v>
      </c>
      <c r="B4242">
        <v>2019</v>
      </c>
      <c r="C4242" t="s">
        <v>826</v>
      </c>
      <c r="D4242" t="s">
        <v>824</v>
      </c>
      <c r="E4242" t="s">
        <v>48</v>
      </c>
      <c r="F4242" t="s">
        <v>547</v>
      </c>
      <c r="G4242">
        <v>55.816667000000002</v>
      </c>
      <c r="H4242">
        <v>10.083333</v>
      </c>
      <c r="I4242" t="s">
        <v>768</v>
      </c>
      <c r="J4242" s="2" t="s">
        <v>14</v>
      </c>
      <c r="K4242" t="s">
        <v>548</v>
      </c>
      <c r="L4242" t="s">
        <v>144</v>
      </c>
      <c r="M4242" t="s">
        <v>73</v>
      </c>
      <c r="N4242" t="s">
        <v>85</v>
      </c>
      <c r="O4242" s="6" t="s">
        <v>98</v>
      </c>
      <c r="P4242" t="s">
        <v>78</v>
      </c>
      <c r="Q4242">
        <v>10</v>
      </c>
      <c r="R4242" t="s">
        <v>213</v>
      </c>
      <c r="S4242" s="2" t="s">
        <v>13</v>
      </c>
      <c r="T4242">
        <v>3</v>
      </c>
      <c r="U4242" t="s">
        <v>28</v>
      </c>
      <c r="V4242" t="s">
        <v>28</v>
      </c>
      <c r="W4242">
        <v>24</v>
      </c>
      <c r="X4242">
        <v>1.67</v>
      </c>
      <c r="Y4242">
        <f>1.67-X4242</f>
        <v>0</v>
      </c>
      <c r="AA4242" s="6"/>
      <c r="AB4242" s="6"/>
    </row>
    <row r="4243" spans="1:28" x14ac:dyDescent="0.2">
      <c r="A4243" t="s">
        <v>546</v>
      </c>
      <c r="B4243">
        <v>2019</v>
      </c>
      <c r="C4243" t="s">
        <v>826</v>
      </c>
      <c r="D4243" t="s">
        <v>824</v>
      </c>
      <c r="E4243" t="s">
        <v>48</v>
      </c>
      <c r="F4243" t="s">
        <v>547</v>
      </c>
      <c r="G4243">
        <v>55.816667000000002</v>
      </c>
      <c r="H4243">
        <v>10.083333</v>
      </c>
      <c r="I4243" t="s">
        <v>768</v>
      </c>
      <c r="J4243" s="2" t="s">
        <v>7</v>
      </c>
      <c r="K4243" t="s">
        <v>548</v>
      </c>
      <c r="L4243" t="s">
        <v>144</v>
      </c>
      <c r="M4243" t="s">
        <v>73</v>
      </c>
      <c r="N4243" t="s">
        <v>85</v>
      </c>
      <c r="O4243" s="6" t="s">
        <v>98</v>
      </c>
      <c r="P4243" t="s">
        <v>78</v>
      </c>
      <c r="Q4243">
        <v>18</v>
      </c>
      <c r="R4243" t="s">
        <v>213</v>
      </c>
      <c r="S4243" s="2" t="s">
        <v>7</v>
      </c>
      <c r="T4243">
        <v>3</v>
      </c>
      <c r="U4243" t="s">
        <v>28</v>
      </c>
      <c r="V4243" t="s">
        <v>28</v>
      </c>
      <c r="W4243">
        <v>15</v>
      </c>
      <c r="X4243">
        <v>9.86</v>
      </c>
      <c r="Y4243">
        <f>10.39-X4243</f>
        <v>0.53000000000000114</v>
      </c>
      <c r="AA4243" s="6"/>
      <c r="AB4243" s="6"/>
    </row>
    <row r="4244" spans="1:28" x14ac:dyDescent="0.2">
      <c r="A4244" t="s">
        <v>546</v>
      </c>
      <c r="B4244">
        <v>2019</v>
      </c>
      <c r="C4244" t="s">
        <v>826</v>
      </c>
      <c r="D4244" t="s">
        <v>824</v>
      </c>
      <c r="E4244" t="s">
        <v>48</v>
      </c>
      <c r="F4244" t="s">
        <v>547</v>
      </c>
      <c r="G4244">
        <v>55.816667000000002</v>
      </c>
      <c r="H4244">
        <v>10.083333</v>
      </c>
      <c r="I4244" t="s">
        <v>768</v>
      </c>
      <c r="J4244" s="2" t="s">
        <v>14</v>
      </c>
      <c r="K4244" t="s">
        <v>548</v>
      </c>
      <c r="L4244" t="s">
        <v>144</v>
      </c>
      <c r="M4244" t="s">
        <v>73</v>
      </c>
      <c r="N4244" t="s">
        <v>85</v>
      </c>
      <c r="O4244" s="6" t="s">
        <v>98</v>
      </c>
      <c r="P4244" t="s">
        <v>78</v>
      </c>
      <c r="Q4244">
        <v>18</v>
      </c>
      <c r="R4244" t="s">
        <v>213</v>
      </c>
      <c r="S4244" s="2" t="s">
        <v>9</v>
      </c>
      <c r="T4244">
        <v>3</v>
      </c>
      <c r="U4244" t="s">
        <v>28</v>
      </c>
      <c r="V4244" t="s">
        <v>28</v>
      </c>
      <c r="W4244">
        <v>18</v>
      </c>
      <c r="X4244">
        <v>6.54</v>
      </c>
      <c r="Y4244">
        <f>7.61-X4244</f>
        <v>1.0700000000000003</v>
      </c>
      <c r="AA4244" s="6"/>
      <c r="AB4244" s="6"/>
    </row>
    <row r="4245" spans="1:28" x14ac:dyDescent="0.2">
      <c r="A4245" t="s">
        <v>546</v>
      </c>
      <c r="B4245">
        <v>2019</v>
      </c>
      <c r="C4245" t="s">
        <v>826</v>
      </c>
      <c r="D4245" t="s">
        <v>824</v>
      </c>
      <c r="E4245" t="s">
        <v>48</v>
      </c>
      <c r="F4245" t="s">
        <v>547</v>
      </c>
      <c r="G4245">
        <v>55.816667000000002</v>
      </c>
      <c r="H4245">
        <v>10.083333</v>
      </c>
      <c r="I4245" t="s">
        <v>768</v>
      </c>
      <c r="J4245" s="2" t="s">
        <v>14</v>
      </c>
      <c r="K4245" t="s">
        <v>548</v>
      </c>
      <c r="L4245" t="s">
        <v>144</v>
      </c>
      <c r="M4245" t="s">
        <v>73</v>
      </c>
      <c r="N4245" t="s">
        <v>85</v>
      </c>
      <c r="O4245" s="6" t="s">
        <v>98</v>
      </c>
      <c r="P4245" t="s">
        <v>78</v>
      </c>
      <c r="Q4245">
        <v>18</v>
      </c>
      <c r="R4245" t="s">
        <v>213</v>
      </c>
      <c r="S4245" s="2" t="s">
        <v>27</v>
      </c>
      <c r="T4245">
        <v>3</v>
      </c>
      <c r="U4245" t="s">
        <v>28</v>
      </c>
      <c r="V4245" t="s">
        <v>28</v>
      </c>
      <c r="W4245">
        <v>21</v>
      </c>
      <c r="X4245">
        <v>3.32</v>
      </c>
      <c r="Y4245">
        <f>4.2-X4245</f>
        <v>0.88000000000000034</v>
      </c>
      <c r="AA4245" s="6"/>
      <c r="AB4245" s="6"/>
    </row>
    <row r="4246" spans="1:28" x14ac:dyDescent="0.2">
      <c r="A4246" t="s">
        <v>546</v>
      </c>
      <c r="B4246">
        <v>2019</v>
      </c>
      <c r="C4246" t="s">
        <v>826</v>
      </c>
      <c r="D4246" t="s">
        <v>824</v>
      </c>
      <c r="E4246" t="s">
        <v>48</v>
      </c>
      <c r="F4246" t="s">
        <v>547</v>
      </c>
      <c r="G4246">
        <v>55.816667000000002</v>
      </c>
      <c r="H4246">
        <v>10.083333</v>
      </c>
      <c r="I4246" t="s">
        <v>768</v>
      </c>
      <c r="J4246" s="2" t="s">
        <v>7</v>
      </c>
      <c r="K4246" t="s">
        <v>548</v>
      </c>
      <c r="L4246" t="s">
        <v>144</v>
      </c>
      <c r="M4246" t="s">
        <v>172</v>
      </c>
      <c r="N4246" t="s">
        <v>86</v>
      </c>
      <c r="O4246" s="6" t="s">
        <v>62</v>
      </c>
      <c r="P4246" t="s">
        <v>78</v>
      </c>
      <c r="Q4246">
        <v>10</v>
      </c>
      <c r="R4246" t="s">
        <v>213</v>
      </c>
      <c r="S4246" s="2" t="s">
        <v>7</v>
      </c>
      <c r="T4246">
        <v>3</v>
      </c>
      <c r="U4246" t="s">
        <v>28</v>
      </c>
      <c r="V4246" t="s">
        <v>28</v>
      </c>
      <c r="W4246">
        <v>15</v>
      </c>
      <c r="X4246">
        <v>-0.86</v>
      </c>
      <c r="Y4246">
        <f>ABS(-1.093-X4246)</f>
        <v>0.23299999999999998</v>
      </c>
      <c r="AA4246" s="6"/>
      <c r="AB4246" s="6"/>
    </row>
    <row r="4247" spans="1:28" x14ac:dyDescent="0.2">
      <c r="A4247" t="s">
        <v>546</v>
      </c>
      <c r="B4247">
        <v>2019</v>
      </c>
      <c r="C4247" t="s">
        <v>826</v>
      </c>
      <c r="D4247" t="s">
        <v>824</v>
      </c>
      <c r="E4247" t="s">
        <v>48</v>
      </c>
      <c r="F4247" t="s">
        <v>547</v>
      </c>
      <c r="G4247">
        <v>55.816667000000002</v>
      </c>
      <c r="H4247">
        <v>10.083333</v>
      </c>
      <c r="I4247" t="s">
        <v>768</v>
      </c>
      <c r="J4247" s="2" t="s">
        <v>14</v>
      </c>
      <c r="K4247" t="s">
        <v>548</v>
      </c>
      <c r="L4247" t="s">
        <v>144</v>
      </c>
      <c r="M4247" t="s">
        <v>172</v>
      </c>
      <c r="N4247" t="s">
        <v>86</v>
      </c>
      <c r="O4247" s="6" t="s">
        <v>62</v>
      </c>
      <c r="P4247" t="s">
        <v>78</v>
      </c>
      <c r="Q4247">
        <v>10</v>
      </c>
      <c r="R4247" t="s">
        <v>214</v>
      </c>
      <c r="S4247" s="2" t="s">
        <v>9</v>
      </c>
      <c r="T4247">
        <v>3</v>
      </c>
      <c r="U4247" t="s">
        <v>28</v>
      </c>
      <c r="V4247" t="s">
        <v>28</v>
      </c>
      <c r="W4247">
        <v>18</v>
      </c>
      <c r="X4247">
        <v>-0.628</v>
      </c>
      <c r="Y4247">
        <f>ABS(-0.698-X4247)</f>
        <v>6.9999999999999951E-2</v>
      </c>
      <c r="AA4247" s="6"/>
      <c r="AB4247" s="6"/>
    </row>
    <row r="4248" spans="1:28" x14ac:dyDescent="0.2">
      <c r="A4248" t="s">
        <v>546</v>
      </c>
      <c r="B4248">
        <v>2019</v>
      </c>
      <c r="C4248" t="s">
        <v>826</v>
      </c>
      <c r="D4248" t="s">
        <v>824</v>
      </c>
      <c r="E4248" t="s">
        <v>48</v>
      </c>
      <c r="F4248" t="s">
        <v>547</v>
      </c>
      <c r="G4248">
        <v>55.816667000000002</v>
      </c>
      <c r="H4248">
        <v>10.083333</v>
      </c>
      <c r="I4248" t="s">
        <v>768</v>
      </c>
      <c r="J4248" s="2" t="s">
        <v>14</v>
      </c>
      <c r="K4248" t="s">
        <v>548</v>
      </c>
      <c r="L4248" t="s">
        <v>144</v>
      </c>
      <c r="M4248" t="s">
        <v>172</v>
      </c>
      <c r="N4248" t="s">
        <v>86</v>
      </c>
      <c r="O4248" s="6" t="s">
        <v>62</v>
      </c>
      <c r="P4248" t="s">
        <v>78</v>
      </c>
      <c r="Q4248">
        <v>10</v>
      </c>
      <c r="R4248" t="s">
        <v>214</v>
      </c>
      <c r="S4248" s="2" t="s">
        <v>27</v>
      </c>
      <c r="T4248">
        <v>3</v>
      </c>
      <c r="U4248" t="s">
        <v>28</v>
      </c>
      <c r="V4248" t="s">
        <v>28</v>
      </c>
      <c r="W4248">
        <v>21</v>
      </c>
      <c r="X4248">
        <v>-1.0229999999999999</v>
      </c>
      <c r="Y4248">
        <f>ABS(-1.326-X4248)</f>
        <v>0.30300000000000016</v>
      </c>
      <c r="AA4248" s="6"/>
      <c r="AB4248" s="6"/>
    </row>
    <row r="4249" spans="1:28" x14ac:dyDescent="0.2">
      <c r="A4249" t="s">
        <v>546</v>
      </c>
      <c r="B4249">
        <v>2019</v>
      </c>
      <c r="C4249" t="s">
        <v>826</v>
      </c>
      <c r="D4249" t="s">
        <v>824</v>
      </c>
      <c r="E4249" t="s">
        <v>48</v>
      </c>
      <c r="F4249" t="s">
        <v>547</v>
      </c>
      <c r="G4249">
        <v>55.816667000000002</v>
      </c>
      <c r="H4249">
        <v>10.083333</v>
      </c>
      <c r="I4249" t="s">
        <v>768</v>
      </c>
      <c r="J4249" s="2" t="s">
        <v>14</v>
      </c>
      <c r="K4249" t="s">
        <v>548</v>
      </c>
      <c r="L4249" t="s">
        <v>144</v>
      </c>
      <c r="M4249" t="s">
        <v>172</v>
      </c>
      <c r="N4249" t="s">
        <v>86</v>
      </c>
      <c r="O4249" t="s">
        <v>62</v>
      </c>
      <c r="P4249" t="s">
        <v>78</v>
      </c>
      <c r="Q4249">
        <v>10</v>
      </c>
      <c r="R4249" t="s">
        <v>213</v>
      </c>
      <c r="S4249" s="2" t="s">
        <v>13</v>
      </c>
      <c r="T4249">
        <v>3</v>
      </c>
      <c r="U4249" t="s">
        <v>28</v>
      </c>
      <c r="V4249" t="s">
        <v>28</v>
      </c>
      <c r="W4249">
        <v>24</v>
      </c>
      <c r="X4249">
        <v>-4.6740000000000004</v>
      </c>
      <c r="Y4249">
        <v>0</v>
      </c>
      <c r="AA4249" s="6"/>
      <c r="AB4249" s="6"/>
    </row>
    <row r="4250" spans="1:28" x14ac:dyDescent="0.2">
      <c r="A4250" t="s">
        <v>546</v>
      </c>
      <c r="B4250">
        <v>2019</v>
      </c>
      <c r="C4250" t="s">
        <v>826</v>
      </c>
      <c r="D4250" t="s">
        <v>824</v>
      </c>
      <c r="E4250" t="s">
        <v>48</v>
      </c>
      <c r="F4250" t="s">
        <v>547</v>
      </c>
      <c r="G4250">
        <v>55.816667000000002</v>
      </c>
      <c r="H4250">
        <v>10.083333</v>
      </c>
      <c r="I4250" t="s">
        <v>768</v>
      </c>
      <c r="J4250" s="2" t="s">
        <v>7</v>
      </c>
      <c r="K4250" t="s">
        <v>548</v>
      </c>
      <c r="L4250" t="s">
        <v>144</v>
      </c>
      <c r="M4250" t="s">
        <v>172</v>
      </c>
      <c r="N4250" t="s">
        <v>86</v>
      </c>
      <c r="O4250" s="6" t="s">
        <v>62</v>
      </c>
      <c r="P4250" t="s">
        <v>78</v>
      </c>
      <c r="Q4250">
        <v>18</v>
      </c>
      <c r="R4250" t="s">
        <v>213</v>
      </c>
      <c r="S4250" s="2" t="s">
        <v>7</v>
      </c>
      <c r="T4250">
        <v>3</v>
      </c>
      <c r="U4250" t="s">
        <v>28</v>
      </c>
      <c r="V4250" t="s">
        <v>28</v>
      </c>
      <c r="W4250">
        <v>15</v>
      </c>
      <c r="X4250">
        <v>-1.5580000000000001</v>
      </c>
      <c r="Y4250">
        <f>ABS(-1.721-X4250)</f>
        <v>0.16300000000000003</v>
      </c>
      <c r="AA4250" s="6"/>
      <c r="AB4250" s="6"/>
    </row>
    <row r="4251" spans="1:28" x14ac:dyDescent="0.2">
      <c r="A4251" t="s">
        <v>546</v>
      </c>
      <c r="B4251">
        <v>2019</v>
      </c>
      <c r="C4251" t="s">
        <v>826</v>
      </c>
      <c r="D4251" t="s">
        <v>824</v>
      </c>
      <c r="E4251" t="s">
        <v>48</v>
      </c>
      <c r="F4251" t="s">
        <v>547</v>
      </c>
      <c r="G4251">
        <v>55.816667000000002</v>
      </c>
      <c r="H4251">
        <v>10.083333</v>
      </c>
      <c r="I4251" t="s">
        <v>768</v>
      </c>
      <c r="J4251" s="2" t="s">
        <v>14</v>
      </c>
      <c r="K4251" t="s">
        <v>548</v>
      </c>
      <c r="L4251" t="s">
        <v>144</v>
      </c>
      <c r="M4251" t="s">
        <v>172</v>
      </c>
      <c r="N4251" t="s">
        <v>86</v>
      </c>
      <c r="O4251" s="6" t="s">
        <v>62</v>
      </c>
      <c r="P4251" t="s">
        <v>78</v>
      </c>
      <c r="Q4251">
        <v>18</v>
      </c>
      <c r="R4251" t="s">
        <v>213</v>
      </c>
      <c r="S4251" s="2" t="s">
        <v>9</v>
      </c>
      <c r="T4251">
        <v>3</v>
      </c>
      <c r="U4251" t="s">
        <v>28</v>
      </c>
      <c r="V4251" t="s">
        <v>28</v>
      </c>
      <c r="W4251">
        <v>18</v>
      </c>
      <c r="X4251">
        <v>-1.349</v>
      </c>
      <c r="Y4251">
        <f>ABS(-1.488-X4251)</f>
        <v>0.13900000000000001</v>
      </c>
      <c r="AA4251" s="6"/>
      <c r="AB4251" s="6"/>
    </row>
    <row r="4252" spans="1:28" x14ac:dyDescent="0.2">
      <c r="A4252" t="s">
        <v>546</v>
      </c>
      <c r="B4252">
        <v>2019</v>
      </c>
      <c r="C4252" t="s">
        <v>826</v>
      </c>
      <c r="D4252" t="s">
        <v>824</v>
      </c>
      <c r="E4252" t="s">
        <v>48</v>
      </c>
      <c r="F4252" t="s">
        <v>547</v>
      </c>
      <c r="G4252">
        <v>55.816667000000002</v>
      </c>
      <c r="H4252">
        <v>10.083333</v>
      </c>
      <c r="I4252" t="s">
        <v>768</v>
      </c>
      <c r="J4252" s="2" t="s">
        <v>14</v>
      </c>
      <c r="K4252" t="s">
        <v>548</v>
      </c>
      <c r="L4252" t="s">
        <v>144</v>
      </c>
      <c r="M4252" t="s">
        <v>172</v>
      </c>
      <c r="N4252" t="s">
        <v>86</v>
      </c>
      <c r="O4252" s="6" t="s">
        <v>62</v>
      </c>
      <c r="P4252" t="s">
        <v>78</v>
      </c>
      <c r="Q4252">
        <v>18</v>
      </c>
      <c r="R4252" t="s">
        <v>213</v>
      </c>
      <c r="S4252" s="2" t="s">
        <v>27</v>
      </c>
      <c r="T4252">
        <v>3</v>
      </c>
      <c r="U4252" t="s">
        <v>28</v>
      </c>
      <c r="V4252" t="s">
        <v>28</v>
      </c>
      <c r="W4252">
        <v>21</v>
      </c>
      <c r="X4252">
        <v>-1.7669999999999999</v>
      </c>
      <c r="Y4252">
        <f>ABS(-1.977-X4252)</f>
        <v>0.21000000000000019</v>
      </c>
      <c r="AA4252" s="6"/>
      <c r="AB4252" s="6"/>
    </row>
    <row r="4253" spans="1:28" x14ac:dyDescent="0.2">
      <c r="A4253" t="s">
        <v>546</v>
      </c>
      <c r="B4253">
        <v>2019</v>
      </c>
      <c r="C4253" t="s">
        <v>826</v>
      </c>
      <c r="D4253" t="s">
        <v>824</v>
      </c>
      <c r="E4253" t="s">
        <v>48</v>
      </c>
      <c r="F4253" t="s">
        <v>547</v>
      </c>
      <c r="G4253">
        <v>55.816667000000002</v>
      </c>
      <c r="H4253">
        <v>10.083333</v>
      </c>
      <c r="I4253" t="s">
        <v>768</v>
      </c>
      <c r="J4253" s="2" t="s">
        <v>7</v>
      </c>
      <c r="K4253" t="s">
        <v>548</v>
      </c>
      <c r="L4253" t="s">
        <v>144</v>
      </c>
      <c r="M4253" t="s">
        <v>726</v>
      </c>
      <c r="N4253" t="s">
        <v>85</v>
      </c>
      <c r="O4253" s="6" t="s">
        <v>58</v>
      </c>
      <c r="P4253" t="s">
        <v>550</v>
      </c>
      <c r="Q4253">
        <v>10</v>
      </c>
      <c r="R4253" t="s">
        <v>213</v>
      </c>
      <c r="S4253" s="2" t="s">
        <v>7</v>
      </c>
      <c r="T4253">
        <v>3</v>
      </c>
      <c r="U4253" t="s">
        <v>28</v>
      </c>
      <c r="V4253" t="s">
        <v>28</v>
      </c>
      <c r="W4253">
        <v>15</v>
      </c>
      <c r="X4253">
        <v>8.5000000000000006E-2</v>
      </c>
      <c r="Y4253">
        <f>0.093-X4253</f>
        <v>7.9999999999999932E-3</v>
      </c>
      <c r="AA4253" s="6"/>
      <c r="AB4253" s="6"/>
    </row>
    <row r="4254" spans="1:28" x14ac:dyDescent="0.2">
      <c r="A4254" t="s">
        <v>546</v>
      </c>
      <c r="B4254">
        <v>2019</v>
      </c>
      <c r="C4254" t="s">
        <v>826</v>
      </c>
      <c r="D4254" t="s">
        <v>824</v>
      </c>
      <c r="E4254" t="s">
        <v>48</v>
      </c>
      <c r="F4254" t="s">
        <v>547</v>
      </c>
      <c r="G4254">
        <v>55.816667000000002</v>
      </c>
      <c r="H4254">
        <v>10.083333</v>
      </c>
      <c r="I4254" t="s">
        <v>768</v>
      </c>
      <c r="J4254" s="2" t="s">
        <v>14</v>
      </c>
      <c r="K4254" t="s">
        <v>548</v>
      </c>
      <c r="L4254" t="s">
        <v>144</v>
      </c>
      <c r="M4254" t="s">
        <v>726</v>
      </c>
      <c r="N4254" t="s">
        <v>85</v>
      </c>
      <c r="O4254" s="6" t="s">
        <v>58</v>
      </c>
      <c r="P4254" t="s">
        <v>550</v>
      </c>
      <c r="Q4254">
        <v>10</v>
      </c>
      <c r="R4254" t="s">
        <v>214</v>
      </c>
      <c r="S4254" s="2" t="s">
        <v>9</v>
      </c>
      <c r="T4254">
        <v>3</v>
      </c>
      <c r="U4254" t="s">
        <v>28</v>
      </c>
      <c r="V4254" t="s">
        <v>28</v>
      </c>
      <c r="W4254">
        <v>18</v>
      </c>
      <c r="X4254">
        <v>0.1</v>
      </c>
      <c r="Y4254">
        <f>0.109-X4254</f>
        <v>8.9999999999999941E-3</v>
      </c>
      <c r="AA4254" s="6"/>
      <c r="AB4254" s="6"/>
    </row>
    <row r="4255" spans="1:28" x14ac:dyDescent="0.2">
      <c r="A4255" t="s">
        <v>546</v>
      </c>
      <c r="B4255">
        <v>2019</v>
      </c>
      <c r="C4255" t="s">
        <v>826</v>
      </c>
      <c r="D4255" t="s">
        <v>824</v>
      </c>
      <c r="E4255" t="s">
        <v>48</v>
      </c>
      <c r="F4255" t="s">
        <v>547</v>
      </c>
      <c r="G4255">
        <v>55.816667000000002</v>
      </c>
      <c r="H4255">
        <v>10.083333</v>
      </c>
      <c r="I4255" t="s">
        <v>768</v>
      </c>
      <c r="J4255" s="2" t="s">
        <v>14</v>
      </c>
      <c r="K4255" t="s">
        <v>548</v>
      </c>
      <c r="L4255" t="s">
        <v>144</v>
      </c>
      <c r="M4255" t="s">
        <v>726</v>
      </c>
      <c r="N4255" t="s">
        <v>85</v>
      </c>
      <c r="O4255" s="6" t="s">
        <v>58</v>
      </c>
      <c r="P4255" t="s">
        <v>550</v>
      </c>
      <c r="Q4255">
        <v>10</v>
      </c>
      <c r="R4255" t="s">
        <v>214</v>
      </c>
      <c r="S4255" s="2" t="s">
        <v>27</v>
      </c>
      <c r="T4255">
        <v>3</v>
      </c>
      <c r="U4255" t="s">
        <v>28</v>
      </c>
      <c r="V4255" t="s">
        <v>28</v>
      </c>
      <c r="W4255">
        <v>21</v>
      </c>
      <c r="X4255">
        <v>3.6999999999999998E-2</v>
      </c>
      <c r="Y4255">
        <f>0.037-X4255</f>
        <v>0</v>
      </c>
      <c r="AA4255" s="6"/>
      <c r="AB4255" s="6"/>
    </row>
    <row r="4256" spans="1:28" x14ac:dyDescent="0.2">
      <c r="A4256" t="s">
        <v>546</v>
      </c>
      <c r="B4256">
        <v>2019</v>
      </c>
      <c r="C4256" t="s">
        <v>826</v>
      </c>
      <c r="D4256" t="s">
        <v>824</v>
      </c>
      <c r="E4256" t="s">
        <v>48</v>
      </c>
      <c r="F4256" t="s">
        <v>547</v>
      </c>
      <c r="G4256">
        <v>55.816667000000002</v>
      </c>
      <c r="H4256">
        <v>10.083333</v>
      </c>
      <c r="I4256" t="s">
        <v>768</v>
      </c>
      <c r="J4256" s="2" t="s">
        <v>14</v>
      </c>
      <c r="K4256" t="s">
        <v>548</v>
      </c>
      <c r="L4256" t="s">
        <v>144</v>
      </c>
      <c r="M4256" t="s">
        <v>726</v>
      </c>
      <c r="N4256" t="s">
        <v>85</v>
      </c>
      <c r="O4256" s="6" t="s">
        <v>58</v>
      </c>
      <c r="P4256" t="s">
        <v>550</v>
      </c>
      <c r="Q4256">
        <v>10</v>
      </c>
      <c r="R4256" t="s">
        <v>213</v>
      </c>
      <c r="S4256" s="2" t="s">
        <v>13</v>
      </c>
      <c r="T4256">
        <v>3</v>
      </c>
      <c r="U4256" t="s">
        <v>28</v>
      </c>
      <c r="V4256" t="s">
        <v>28</v>
      </c>
      <c r="W4256">
        <v>24</v>
      </c>
      <c r="X4256">
        <v>7.0000000000000001E-3</v>
      </c>
      <c r="Y4256">
        <f>0.007-X4256</f>
        <v>0</v>
      </c>
      <c r="AA4256" s="6"/>
      <c r="AB4256" s="6"/>
    </row>
    <row r="4257" spans="1:28" x14ac:dyDescent="0.2">
      <c r="A4257" t="s">
        <v>546</v>
      </c>
      <c r="B4257">
        <v>2019</v>
      </c>
      <c r="C4257" t="s">
        <v>826</v>
      </c>
      <c r="D4257" t="s">
        <v>824</v>
      </c>
      <c r="E4257" t="s">
        <v>48</v>
      </c>
      <c r="F4257" t="s">
        <v>547</v>
      </c>
      <c r="G4257">
        <v>55.816667000000002</v>
      </c>
      <c r="H4257">
        <v>10.083333</v>
      </c>
      <c r="I4257" t="s">
        <v>768</v>
      </c>
      <c r="J4257" s="2" t="s">
        <v>7</v>
      </c>
      <c r="K4257" t="s">
        <v>548</v>
      </c>
      <c r="L4257" t="s">
        <v>144</v>
      </c>
      <c r="M4257" t="s">
        <v>726</v>
      </c>
      <c r="N4257" t="s">
        <v>85</v>
      </c>
      <c r="O4257" s="6" t="s">
        <v>58</v>
      </c>
      <c r="P4257" t="s">
        <v>550</v>
      </c>
      <c r="Q4257">
        <v>18</v>
      </c>
      <c r="R4257" t="s">
        <v>213</v>
      </c>
      <c r="S4257" s="2" t="s">
        <v>7</v>
      </c>
      <c r="T4257">
        <v>3</v>
      </c>
      <c r="U4257" t="s">
        <v>28</v>
      </c>
      <c r="V4257" t="s">
        <v>28</v>
      </c>
      <c r="W4257">
        <v>15</v>
      </c>
      <c r="X4257">
        <v>6.8000000000000005E-2</v>
      </c>
      <c r="Y4257">
        <f>0.072-X4257</f>
        <v>3.9999999999999897E-3</v>
      </c>
      <c r="AA4257" s="6"/>
      <c r="AB4257" s="6"/>
    </row>
    <row r="4258" spans="1:28" x14ac:dyDescent="0.2">
      <c r="A4258" t="s">
        <v>546</v>
      </c>
      <c r="B4258">
        <v>2019</v>
      </c>
      <c r="C4258" t="s">
        <v>826</v>
      </c>
      <c r="D4258" t="s">
        <v>824</v>
      </c>
      <c r="E4258" t="s">
        <v>48</v>
      </c>
      <c r="F4258" t="s">
        <v>547</v>
      </c>
      <c r="G4258">
        <v>55.816667000000002</v>
      </c>
      <c r="H4258">
        <v>10.083333</v>
      </c>
      <c r="I4258" t="s">
        <v>768</v>
      </c>
      <c r="J4258" s="2" t="s">
        <v>14</v>
      </c>
      <c r="K4258" t="s">
        <v>548</v>
      </c>
      <c r="L4258" t="s">
        <v>144</v>
      </c>
      <c r="M4258" t="s">
        <v>726</v>
      </c>
      <c r="N4258" t="s">
        <v>85</v>
      </c>
      <c r="O4258" s="6" t="s">
        <v>58</v>
      </c>
      <c r="P4258" t="s">
        <v>550</v>
      </c>
      <c r="Q4258">
        <v>18</v>
      </c>
      <c r="R4258" t="s">
        <v>213</v>
      </c>
      <c r="S4258" s="2" t="s">
        <v>9</v>
      </c>
      <c r="T4258">
        <v>3</v>
      </c>
      <c r="U4258" t="s">
        <v>28</v>
      </c>
      <c r="V4258" t="s">
        <v>28</v>
      </c>
      <c r="W4258">
        <v>18</v>
      </c>
      <c r="X4258">
        <v>4.4999999999999998E-2</v>
      </c>
      <c r="Y4258">
        <f>0.05-X4258</f>
        <v>5.0000000000000044E-3</v>
      </c>
      <c r="AA4258" s="6"/>
      <c r="AB4258" s="6"/>
    </row>
    <row r="4259" spans="1:28" x14ac:dyDescent="0.2">
      <c r="A4259" t="s">
        <v>546</v>
      </c>
      <c r="B4259">
        <v>2019</v>
      </c>
      <c r="C4259" t="s">
        <v>826</v>
      </c>
      <c r="D4259" t="s">
        <v>824</v>
      </c>
      <c r="E4259" t="s">
        <v>48</v>
      </c>
      <c r="F4259" t="s">
        <v>547</v>
      </c>
      <c r="G4259">
        <v>55.816667000000002</v>
      </c>
      <c r="H4259">
        <v>10.083333</v>
      </c>
      <c r="I4259" t="s">
        <v>768</v>
      </c>
      <c r="J4259" s="2" t="s">
        <v>14</v>
      </c>
      <c r="K4259" t="s">
        <v>548</v>
      </c>
      <c r="L4259" t="s">
        <v>144</v>
      </c>
      <c r="M4259" t="s">
        <v>726</v>
      </c>
      <c r="N4259" t="s">
        <v>85</v>
      </c>
      <c r="O4259" s="6" t="s">
        <v>58</v>
      </c>
      <c r="P4259" t="s">
        <v>550</v>
      </c>
      <c r="Q4259">
        <v>18</v>
      </c>
      <c r="R4259" t="s">
        <v>213</v>
      </c>
      <c r="S4259" s="2" t="s">
        <v>27</v>
      </c>
      <c r="T4259">
        <v>3</v>
      </c>
      <c r="U4259" t="s">
        <v>28</v>
      </c>
      <c r="V4259" t="s">
        <v>28</v>
      </c>
      <c r="W4259">
        <v>21</v>
      </c>
      <c r="X4259">
        <v>1.4999999999999999E-2</v>
      </c>
      <c r="Y4259">
        <f>0.017-X4259</f>
        <v>2.0000000000000018E-3</v>
      </c>
      <c r="AA4259" s="6"/>
      <c r="AB4259" s="6"/>
    </row>
    <row r="4260" spans="1:28" x14ac:dyDescent="0.2">
      <c r="A4260" t="s">
        <v>546</v>
      </c>
      <c r="B4260">
        <v>2019</v>
      </c>
      <c r="C4260" t="s">
        <v>826</v>
      </c>
      <c r="D4260" t="s">
        <v>824</v>
      </c>
      <c r="E4260" t="s">
        <v>48</v>
      </c>
      <c r="F4260" t="s">
        <v>547</v>
      </c>
      <c r="G4260">
        <v>55.816667000000002</v>
      </c>
      <c r="H4260">
        <v>10.083333</v>
      </c>
      <c r="I4260" t="s">
        <v>768</v>
      </c>
      <c r="J4260" s="2" t="s">
        <v>7</v>
      </c>
      <c r="K4260" t="s">
        <v>548</v>
      </c>
      <c r="L4260" t="s">
        <v>144</v>
      </c>
      <c r="M4260" t="s">
        <v>726</v>
      </c>
      <c r="N4260" t="s">
        <v>86</v>
      </c>
      <c r="O4260" t="s">
        <v>480</v>
      </c>
      <c r="P4260" t="s">
        <v>83</v>
      </c>
      <c r="Q4260">
        <v>10</v>
      </c>
      <c r="R4260" t="s">
        <v>213</v>
      </c>
      <c r="S4260" s="2" t="s">
        <v>7</v>
      </c>
      <c r="T4260">
        <v>3</v>
      </c>
      <c r="U4260" t="s">
        <v>28</v>
      </c>
      <c r="V4260" t="s">
        <v>28</v>
      </c>
      <c r="W4260">
        <v>15</v>
      </c>
      <c r="X4260">
        <v>5.26</v>
      </c>
      <c r="Y4260">
        <f>7.12-X4260</f>
        <v>1.8600000000000003</v>
      </c>
      <c r="AA4260" s="6"/>
      <c r="AB4260" s="6"/>
    </row>
    <row r="4261" spans="1:28" x14ac:dyDescent="0.2">
      <c r="A4261" t="s">
        <v>546</v>
      </c>
      <c r="B4261">
        <v>2019</v>
      </c>
      <c r="C4261" t="s">
        <v>826</v>
      </c>
      <c r="D4261" t="s">
        <v>824</v>
      </c>
      <c r="E4261" t="s">
        <v>48</v>
      </c>
      <c r="F4261" t="s">
        <v>547</v>
      </c>
      <c r="G4261">
        <v>55.816667000000002</v>
      </c>
      <c r="H4261">
        <v>10.083333</v>
      </c>
      <c r="I4261" t="s">
        <v>768</v>
      </c>
      <c r="J4261" s="2" t="s">
        <v>14</v>
      </c>
      <c r="K4261" t="s">
        <v>548</v>
      </c>
      <c r="L4261" t="s">
        <v>144</v>
      </c>
      <c r="M4261" t="s">
        <v>726</v>
      </c>
      <c r="N4261" t="s">
        <v>86</v>
      </c>
      <c r="O4261" t="s">
        <v>480</v>
      </c>
      <c r="P4261" t="s">
        <v>83</v>
      </c>
      <c r="Q4261">
        <v>10</v>
      </c>
      <c r="R4261" t="s">
        <v>214</v>
      </c>
      <c r="S4261" s="2" t="s">
        <v>9</v>
      </c>
      <c r="T4261">
        <v>3</v>
      </c>
      <c r="U4261" t="s">
        <v>28</v>
      </c>
      <c r="V4261" t="s">
        <v>28</v>
      </c>
      <c r="W4261">
        <v>18</v>
      </c>
      <c r="X4261">
        <v>5.88</v>
      </c>
      <c r="Y4261">
        <f>7.12-X4261</f>
        <v>1.2400000000000002</v>
      </c>
      <c r="AA4261" s="6"/>
      <c r="AB4261" s="6"/>
    </row>
    <row r="4262" spans="1:28" x14ac:dyDescent="0.2">
      <c r="A4262" t="s">
        <v>546</v>
      </c>
      <c r="B4262">
        <v>2019</v>
      </c>
      <c r="C4262" t="s">
        <v>826</v>
      </c>
      <c r="D4262" t="s">
        <v>824</v>
      </c>
      <c r="E4262" t="s">
        <v>48</v>
      </c>
      <c r="F4262" t="s">
        <v>547</v>
      </c>
      <c r="G4262">
        <v>55.816667000000002</v>
      </c>
      <c r="H4262">
        <v>10.083333</v>
      </c>
      <c r="I4262" t="s">
        <v>768</v>
      </c>
      <c r="J4262" s="2" t="s">
        <v>14</v>
      </c>
      <c r="K4262" t="s">
        <v>548</v>
      </c>
      <c r="L4262" t="s">
        <v>144</v>
      </c>
      <c r="M4262" t="s">
        <v>726</v>
      </c>
      <c r="N4262" t="s">
        <v>86</v>
      </c>
      <c r="O4262" t="s">
        <v>480</v>
      </c>
      <c r="P4262" t="s">
        <v>83</v>
      </c>
      <c r="Q4262">
        <v>10</v>
      </c>
      <c r="R4262" t="s">
        <v>214</v>
      </c>
      <c r="S4262" s="2" t="s">
        <v>27</v>
      </c>
      <c r="T4262">
        <v>3</v>
      </c>
      <c r="U4262" t="s">
        <v>28</v>
      </c>
      <c r="V4262" t="s">
        <v>28</v>
      </c>
      <c r="W4262">
        <v>21</v>
      </c>
      <c r="X4262">
        <v>27.55</v>
      </c>
      <c r="Y4262">
        <f>39.01-X4262</f>
        <v>11.459999999999997</v>
      </c>
      <c r="AA4262" s="6"/>
      <c r="AB4262" s="6"/>
    </row>
    <row r="4263" spans="1:28" x14ac:dyDescent="0.2">
      <c r="A4263" t="s">
        <v>546</v>
      </c>
      <c r="B4263">
        <v>2019</v>
      </c>
      <c r="C4263" t="s">
        <v>826</v>
      </c>
      <c r="D4263" t="s">
        <v>824</v>
      </c>
      <c r="E4263" t="s">
        <v>48</v>
      </c>
      <c r="F4263" t="s">
        <v>547</v>
      </c>
      <c r="G4263">
        <v>55.816667000000002</v>
      </c>
      <c r="H4263">
        <v>10.083333</v>
      </c>
      <c r="I4263" t="s">
        <v>768</v>
      </c>
      <c r="J4263" s="2" t="s">
        <v>14</v>
      </c>
      <c r="K4263" t="s">
        <v>548</v>
      </c>
      <c r="L4263" t="s">
        <v>144</v>
      </c>
      <c r="M4263" t="s">
        <v>726</v>
      </c>
      <c r="N4263" t="s">
        <v>86</v>
      </c>
      <c r="O4263" t="s">
        <v>480</v>
      </c>
      <c r="P4263" t="s">
        <v>83</v>
      </c>
      <c r="Q4263">
        <v>10</v>
      </c>
      <c r="R4263" t="s">
        <v>213</v>
      </c>
      <c r="S4263" s="2" t="s">
        <v>13</v>
      </c>
      <c r="T4263">
        <v>3</v>
      </c>
      <c r="U4263" t="s">
        <v>28</v>
      </c>
      <c r="V4263" t="s">
        <v>28</v>
      </c>
      <c r="W4263">
        <v>24</v>
      </c>
      <c r="X4263">
        <v>629.70000000000005</v>
      </c>
      <c r="Y4263">
        <v>0</v>
      </c>
      <c r="AA4263" s="6"/>
      <c r="AB4263" s="6"/>
    </row>
    <row r="4264" spans="1:28" x14ac:dyDescent="0.2">
      <c r="A4264" t="s">
        <v>546</v>
      </c>
      <c r="B4264">
        <v>2019</v>
      </c>
      <c r="C4264" t="s">
        <v>826</v>
      </c>
      <c r="D4264" t="s">
        <v>824</v>
      </c>
      <c r="E4264" t="s">
        <v>48</v>
      </c>
      <c r="F4264" t="s">
        <v>547</v>
      </c>
      <c r="G4264">
        <v>55.816667000000002</v>
      </c>
      <c r="H4264">
        <v>10.083333</v>
      </c>
      <c r="I4264" t="s">
        <v>768</v>
      </c>
      <c r="J4264" s="2" t="s">
        <v>7</v>
      </c>
      <c r="K4264" t="s">
        <v>548</v>
      </c>
      <c r="L4264" t="s">
        <v>144</v>
      </c>
      <c r="M4264" t="s">
        <v>726</v>
      </c>
      <c r="N4264" t="s">
        <v>86</v>
      </c>
      <c r="O4264" t="s">
        <v>480</v>
      </c>
      <c r="P4264" t="s">
        <v>83</v>
      </c>
      <c r="Q4264">
        <v>18</v>
      </c>
      <c r="R4264" t="s">
        <v>213</v>
      </c>
      <c r="S4264" s="2" t="s">
        <v>7</v>
      </c>
      <c r="T4264">
        <v>3</v>
      </c>
      <c r="U4264" t="s">
        <v>28</v>
      </c>
      <c r="V4264" t="s">
        <v>28</v>
      </c>
      <c r="W4264">
        <v>15</v>
      </c>
      <c r="X4264">
        <v>14.55</v>
      </c>
      <c r="Y4264">
        <f>16.1-X4264</f>
        <v>1.5500000000000007</v>
      </c>
      <c r="AA4264" s="6"/>
      <c r="AB4264" s="6"/>
    </row>
    <row r="4265" spans="1:28" x14ac:dyDescent="0.2">
      <c r="A4265" t="s">
        <v>546</v>
      </c>
      <c r="B4265">
        <v>2019</v>
      </c>
      <c r="C4265" t="s">
        <v>826</v>
      </c>
      <c r="D4265" t="s">
        <v>824</v>
      </c>
      <c r="E4265" t="s">
        <v>48</v>
      </c>
      <c r="F4265" t="s">
        <v>547</v>
      </c>
      <c r="G4265">
        <v>55.816667000000002</v>
      </c>
      <c r="H4265">
        <v>10.083333</v>
      </c>
      <c r="I4265" t="s">
        <v>768</v>
      </c>
      <c r="J4265" s="2" t="s">
        <v>14</v>
      </c>
      <c r="K4265" t="s">
        <v>548</v>
      </c>
      <c r="L4265" t="s">
        <v>144</v>
      </c>
      <c r="M4265" t="s">
        <v>726</v>
      </c>
      <c r="N4265" t="s">
        <v>86</v>
      </c>
      <c r="O4265" t="s">
        <v>480</v>
      </c>
      <c r="P4265" t="s">
        <v>83</v>
      </c>
      <c r="Q4265">
        <v>18</v>
      </c>
      <c r="R4265" t="s">
        <v>213</v>
      </c>
      <c r="S4265" s="2" t="s">
        <v>9</v>
      </c>
      <c r="T4265">
        <v>3</v>
      </c>
      <c r="U4265" t="s">
        <v>28</v>
      </c>
      <c r="V4265" t="s">
        <v>28</v>
      </c>
      <c r="W4265">
        <v>18</v>
      </c>
      <c r="X4265">
        <v>25.08</v>
      </c>
      <c r="Y4265">
        <f>31.58-X4265</f>
        <v>6.5</v>
      </c>
      <c r="AA4265" s="6"/>
      <c r="AB4265" s="6"/>
    </row>
    <row r="4266" spans="1:28" x14ac:dyDescent="0.2">
      <c r="A4266" t="s">
        <v>546</v>
      </c>
      <c r="B4266">
        <v>2019</v>
      </c>
      <c r="C4266" t="s">
        <v>826</v>
      </c>
      <c r="D4266" t="s">
        <v>824</v>
      </c>
      <c r="E4266" t="s">
        <v>48</v>
      </c>
      <c r="F4266" t="s">
        <v>547</v>
      </c>
      <c r="G4266">
        <v>55.816667000000002</v>
      </c>
      <c r="H4266">
        <v>10.083333</v>
      </c>
      <c r="I4266" t="s">
        <v>768</v>
      </c>
      <c r="J4266" s="2" t="s">
        <v>14</v>
      </c>
      <c r="K4266" t="s">
        <v>548</v>
      </c>
      <c r="L4266" t="s">
        <v>144</v>
      </c>
      <c r="M4266" t="s">
        <v>726</v>
      </c>
      <c r="N4266" t="s">
        <v>86</v>
      </c>
      <c r="O4266" t="s">
        <v>480</v>
      </c>
      <c r="P4266" t="s">
        <v>83</v>
      </c>
      <c r="Q4266">
        <v>18</v>
      </c>
      <c r="R4266" t="s">
        <v>213</v>
      </c>
      <c r="S4266" s="2" t="s">
        <v>27</v>
      </c>
      <c r="T4266">
        <v>3</v>
      </c>
      <c r="U4266" t="s">
        <v>28</v>
      </c>
      <c r="V4266" t="s">
        <v>28</v>
      </c>
      <c r="W4266">
        <v>21</v>
      </c>
      <c r="X4266">
        <v>129.1</v>
      </c>
      <c r="Y4266">
        <f>168.42-X4266</f>
        <v>39.319999999999993</v>
      </c>
      <c r="AA4266" s="6"/>
      <c r="AB4266" s="6"/>
    </row>
    <row r="4267" spans="1:28" x14ac:dyDescent="0.2">
      <c r="A4267" t="s">
        <v>546</v>
      </c>
      <c r="B4267">
        <v>2019</v>
      </c>
      <c r="C4267" t="s">
        <v>826</v>
      </c>
      <c r="D4267" t="s">
        <v>824</v>
      </c>
      <c r="E4267" t="s">
        <v>48</v>
      </c>
      <c r="F4267" t="s">
        <v>547</v>
      </c>
      <c r="G4267">
        <v>55.816667000000002</v>
      </c>
      <c r="H4267">
        <v>10.083333</v>
      </c>
      <c r="I4267" t="s">
        <v>768</v>
      </c>
      <c r="J4267" s="2" t="s">
        <v>7</v>
      </c>
      <c r="K4267" t="s">
        <v>548</v>
      </c>
      <c r="L4267" t="s">
        <v>144</v>
      </c>
      <c r="M4267" t="s">
        <v>73</v>
      </c>
      <c r="N4267" t="s">
        <v>85</v>
      </c>
      <c r="O4267" s="6" t="s">
        <v>551</v>
      </c>
      <c r="P4267" t="s">
        <v>552</v>
      </c>
      <c r="Q4267">
        <v>10</v>
      </c>
      <c r="R4267" t="s">
        <v>213</v>
      </c>
      <c r="S4267" s="2" t="s">
        <v>7</v>
      </c>
      <c r="T4267">
        <v>3</v>
      </c>
      <c r="U4267" t="s">
        <v>28</v>
      </c>
      <c r="V4267" t="s">
        <v>28</v>
      </c>
      <c r="W4267">
        <v>15</v>
      </c>
      <c r="X4267">
        <v>235.9</v>
      </c>
      <c r="Y4267">
        <f>268.7-X4267</f>
        <v>32.799999999999983</v>
      </c>
      <c r="AA4267" s="6"/>
      <c r="AB4267" s="6"/>
    </row>
    <row r="4268" spans="1:28" x14ac:dyDescent="0.2">
      <c r="A4268" t="s">
        <v>546</v>
      </c>
      <c r="B4268">
        <v>2019</v>
      </c>
      <c r="C4268" t="s">
        <v>826</v>
      </c>
      <c r="D4268" t="s">
        <v>824</v>
      </c>
      <c r="E4268" t="s">
        <v>48</v>
      </c>
      <c r="F4268" t="s">
        <v>547</v>
      </c>
      <c r="G4268">
        <v>55.816667000000002</v>
      </c>
      <c r="H4268">
        <v>10.083333</v>
      </c>
      <c r="I4268" t="s">
        <v>768</v>
      </c>
      <c r="J4268" s="2" t="s">
        <v>14</v>
      </c>
      <c r="K4268" t="s">
        <v>548</v>
      </c>
      <c r="L4268" t="s">
        <v>144</v>
      </c>
      <c r="M4268" t="s">
        <v>73</v>
      </c>
      <c r="N4268" t="s">
        <v>85</v>
      </c>
      <c r="O4268" s="6" t="s">
        <v>551</v>
      </c>
      <c r="P4268" t="s">
        <v>552</v>
      </c>
      <c r="Q4268">
        <v>10</v>
      </c>
      <c r="R4268" t="s">
        <v>214</v>
      </c>
      <c r="S4268" s="2" t="s">
        <v>9</v>
      </c>
      <c r="T4268">
        <v>3</v>
      </c>
      <c r="U4268" t="s">
        <v>28</v>
      </c>
      <c r="V4268" t="s">
        <v>28</v>
      </c>
      <c r="W4268">
        <v>18</v>
      </c>
      <c r="X4268">
        <v>268.7</v>
      </c>
      <c r="Y4268">
        <f>288.4-X4268</f>
        <v>19.699999999999989</v>
      </c>
      <c r="AA4268" s="6"/>
      <c r="AB4268" s="6"/>
    </row>
    <row r="4269" spans="1:28" x14ac:dyDescent="0.2">
      <c r="A4269" t="s">
        <v>546</v>
      </c>
      <c r="B4269">
        <v>2019</v>
      </c>
      <c r="C4269" t="s">
        <v>826</v>
      </c>
      <c r="D4269" t="s">
        <v>824</v>
      </c>
      <c r="E4269" t="s">
        <v>48</v>
      </c>
      <c r="F4269" t="s">
        <v>547</v>
      </c>
      <c r="G4269">
        <v>55.816667000000002</v>
      </c>
      <c r="H4269">
        <v>10.083333</v>
      </c>
      <c r="I4269" t="s">
        <v>768</v>
      </c>
      <c r="J4269" s="2" t="s">
        <v>14</v>
      </c>
      <c r="K4269" t="s">
        <v>548</v>
      </c>
      <c r="L4269" t="s">
        <v>144</v>
      </c>
      <c r="M4269" t="s">
        <v>73</v>
      </c>
      <c r="N4269" t="s">
        <v>85</v>
      </c>
      <c r="O4269" s="6" t="s">
        <v>551</v>
      </c>
      <c r="P4269" t="s">
        <v>552</v>
      </c>
      <c r="Q4269">
        <v>10</v>
      </c>
      <c r="R4269" t="s">
        <v>214</v>
      </c>
      <c r="S4269" s="2" t="s">
        <v>27</v>
      </c>
      <c r="T4269">
        <v>3</v>
      </c>
      <c r="U4269" t="s">
        <v>28</v>
      </c>
      <c r="V4269" t="s">
        <v>28</v>
      </c>
      <c r="W4269">
        <v>21</v>
      </c>
      <c r="X4269">
        <v>114.2</v>
      </c>
      <c r="Y4269">
        <f>125.7-X4269</f>
        <v>11.5</v>
      </c>
      <c r="AA4269" s="6"/>
      <c r="AB4269" s="6"/>
    </row>
    <row r="4270" spans="1:28" x14ac:dyDescent="0.2">
      <c r="A4270" t="s">
        <v>546</v>
      </c>
      <c r="B4270">
        <v>2019</v>
      </c>
      <c r="C4270" t="s">
        <v>826</v>
      </c>
      <c r="D4270" t="s">
        <v>824</v>
      </c>
      <c r="E4270" t="s">
        <v>48</v>
      </c>
      <c r="F4270" t="s">
        <v>547</v>
      </c>
      <c r="G4270">
        <v>55.816667000000002</v>
      </c>
      <c r="H4270">
        <v>10.083333</v>
      </c>
      <c r="I4270" t="s">
        <v>768</v>
      </c>
      <c r="J4270" s="2" t="s">
        <v>14</v>
      </c>
      <c r="K4270" t="s">
        <v>548</v>
      </c>
      <c r="L4270" t="s">
        <v>144</v>
      </c>
      <c r="M4270" t="s">
        <v>73</v>
      </c>
      <c r="N4270" t="s">
        <v>85</v>
      </c>
      <c r="O4270" s="6" t="s">
        <v>551</v>
      </c>
      <c r="P4270" t="s">
        <v>552</v>
      </c>
      <c r="Q4270">
        <v>10</v>
      </c>
      <c r="R4270" t="s">
        <v>213</v>
      </c>
      <c r="S4270" s="2" t="s">
        <v>13</v>
      </c>
      <c r="T4270">
        <v>3</v>
      </c>
      <c r="U4270" t="s">
        <v>28</v>
      </c>
      <c r="V4270" t="s">
        <v>28</v>
      </c>
      <c r="W4270">
        <v>24</v>
      </c>
      <c r="X4270">
        <v>-28.3</v>
      </c>
      <c r="Y4270">
        <f>ABS(-28.3-X4270)</f>
        <v>0</v>
      </c>
      <c r="AA4270" s="6"/>
      <c r="AB4270" s="6"/>
    </row>
    <row r="4271" spans="1:28" x14ac:dyDescent="0.2">
      <c r="A4271" t="s">
        <v>546</v>
      </c>
      <c r="B4271">
        <v>2019</v>
      </c>
      <c r="C4271" t="s">
        <v>826</v>
      </c>
      <c r="D4271" t="s">
        <v>824</v>
      </c>
      <c r="E4271" t="s">
        <v>48</v>
      </c>
      <c r="F4271" t="s">
        <v>547</v>
      </c>
      <c r="G4271">
        <v>55.816667000000002</v>
      </c>
      <c r="H4271">
        <v>10.083333</v>
      </c>
      <c r="I4271" t="s">
        <v>768</v>
      </c>
      <c r="J4271" s="2" t="s">
        <v>7</v>
      </c>
      <c r="K4271" t="s">
        <v>548</v>
      </c>
      <c r="L4271" t="s">
        <v>144</v>
      </c>
      <c r="M4271" t="s">
        <v>73</v>
      </c>
      <c r="N4271" t="s">
        <v>85</v>
      </c>
      <c r="O4271" s="6" t="s">
        <v>551</v>
      </c>
      <c r="P4271" t="s">
        <v>552</v>
      </c>
      <c r="Q4271">
        <v>18</v>
      </c>
      <c r="R4271" t="s">
        <v>213</v>
      </c>
      <c r="S4271" s="2" t="s">
        <v>7</v>
      </c>
      <c r="T4271">
        <v>3</v>
      </c>
      <c r="U4271" t="s">
        <v>28</v>
      </c>
      <c r="V4271" t="s">
        <v>28</v>
      </c>
      <c r="W4271">
        <v>15</v>
      </c>
      <c r="X4271">
        <v>188</v>
      </c>
      <c r="Y4271">
        <f>200.7-X4271</f>
        <v>12.699999999999989</v>
      </c>
      <c r="AA4271" s="6"/>
      <c r="AB4271" s="6"/>
    </row>
    <row r="4272" spans="1:28" x14ac:dyDescent="0.2">
      <c r="A4272" t="s">
        <v>546</v>
      </c>
      <c r="B4272">
        <v>2019</v>
      </c>
      <c r="C4272" t="s">
        <v>826</v>
      </c>
      <c r="D4272" t="s">
        <v>824</v>
      </c>
      <c r="E4272" t="s">
        <v>48</v>
      </c>
      <c r="F4272" t="s">
        <v>547</v>
      </c>
      <c r="G4272">
        <v>55.816667000000002</v>
      </c>
      <c r="H4272">
        <v>10.083333</v>
      </c>
      <c r="I4272" t="s">
        <v>768</v>
      </c>
      <c r="J4272" s="2" t="s">
        <v>14</v>
      </c>
      <c r="K4272" t="s">
        <v>548</v>
      </c>
      <c r="L4272" t="s">
        <v>144</v>
      </c>
      <c r="M4272" t="s">
        <v>73</v>
      </c>
      <c r="N4272" t="s">
        <v>85</v>
      </c>
      <c r="O4272" s="6" t="s">
        <v>551</v>
      </c>
      <c r="P4272" t="s">
        <v>552</v>
      </c>
      <c r="Q4272">
        <v>18</v>
      </c>
      <c r="R4272" t="s">
        <v>213</v>
      </c>
      <c r="S4272" s="2" t="s">
        <v>9</v>
      </c>
      <c r="T4272">
        <v>3</v>
      </c>
      <c r="U4272" t="s">
        <v>28</v>
      </c>
      <c r="V4272" t="s">
        <v>28</v>
      </c>
      <c r="W4272">
        <v>18</v>
      </c>
      <c r="X4272">
        <v>118.2</v>
      </c>
      <c r="Y4272">
        <f>139.6-X4272</f>
        <v>21.399999999999991</v>
      </c>
      <c r="AA4272" s="6"/>
      <c r="AB4272" s="6"/>
    </row>
    <row r="4273" spans="1:28" x14ac:dyDescent="0.2">
      <c r="A4273" t="s">
        <v>546</v>
      </c>
      <c r="B4273">
        <v>2019</v>
      </c>
      <c r="C4273" t="s">
        <v>826</v>
      </c>
      <c r="D4273" t="s">
        <v>824</v>
      </c>
      <c r="E4273" t="s">
        <v>48</v>
      </c>
      <c r="F4273" t="s">
        <v>547</v>
      </c>
      <c r="G4273">
        <v>55.816667000000002</v>
      </c>
      <c r="H4273">
        <v>10.083333</v>
      </c>
      <c r="I4273" t="s">
        <v>768</v>
      </c>
      <c r="J4273" s="2" t="s">
        <v>14</v>
      </c>
      <c r="K4273" t="s">
        <v>548</v>
      </c>
      <c r="L4273" t="s">
        <v>144</v>
      </c>
      <c r="M4273" t="s">
        <v>73</v>
      </c>
      <c r="N4273" t="s">
        <v>85</v>
      </c>
      <c r="O4273" s="6" t="s">
        <v>551</v>
      </c>
      <c r="P4273" t="s">
        <v>552</v>
      </c>
      <c r="Q4273">
        <v>18</v>
      </c>
      <c r="R4273" t="s">
        <v>213</v>
      </c>
      <c r="S4273" s="2" t="s">
        <v>27</v>
      </c>
      <c r="T4273">
        <v>3</v>
      </c>
      <c r="U4273" t="s">
        <v>28</v>
      </c>
      <c r="V4273" t="s">
        <v>28</v>
      </c>
      <c r="W4273">
        <v>21</v>
      </c>
      <c r="X4273">
        <v>34.6</v>
      </c>
      <c r="Y4273">
        <f>55.4-X4273</f>
        <v>20.799999999999997</v>
      </c>
      <c r="AA4273" s="6"/>
      <c r="AB4273" s="6"/>
    </row>
    <row r="4274" spans="1:28" x14ac:dyDescent="0.2">
      <c r="A4274" t="s">
        <v>546</v>
      </c>
      <c r="B4274">
        <v>2019</v>
      </c>
      <c r="C4274" t="s">
        <v>826</v>
      </c>
      <c r="D4274" t="s">
        <v>824</v>
      </c>
      <c r="E4274" t="s">
        <v>48</v>
      </c>
      <c r="F4274" t="s">
        <v>547</v>
      </c>
      <c r="G4274">
        <v>55.816667000000002</v>
      </c>
      <c r="H4274">
        <v>10.083333</v>
      </c>
      <c r="I4274" t="s">
        <v>768</v>
      </c>
      <c r="J4274" s="2" t="s">
        <v>7</v>
      </c>
      <c r="K4274" t="s">
        <v>548</v>
      </c>
      <c r="L4274" t="s">
        <v>144</v>
      </c>
      <c r="M4274" t="s">
        <v>726</v>
      </c>
      <c r="N4274" t="s">
        <v>85</v>
      </c>
      <c r="O4274" s="6" t="s">
        <v>84</v>
      </c>
      <c r="Q4274">
        <v>10</v>
      </c>
      <c r="R4274" t="s">
        <v>213</v>
      </c>
      <c r="S4274" s="2" t="s">
        <v>7</v>
      </c>
      <c r="T4274">
        <v>3</v>
      </c>
      <c r="U4274" t="s">
        <v>28</v>
      </c>
      <c r="V4274" t="s">
        <v>28</v>
      </c>
      <c r="W4274">
        <v>15</v>
      </c>
      <c r="X4274">
        <v>0.56810000000000005</v>
      </c>
      <c r="Y4274">
        <f>0.5996-X4274</f>
        <v>3.1499999999999972E-2</v>
      </c>
      <c r="AA4274" s="6"/>
      <c r="AB4274" s="6"/>
    </row>
    <row r="4275" spans="1:28" x14ac:dyDescent="0.2">
      <c r="A4275" t="s">
        <v>546</v>
      </c>
      <c r="B4275">
        <v>2019</v>
      </c>
      <c r="C4275" t="s">
        <v>826</v>
      </c>
      <c r="D4275" t="s">
        <v>824</v>
      </c>
      <c r="E4275" t="s">
        <v>48</v>
      </c>
      <c r="F4275" t="s">
        <v>547</v>
      </c>
      <c r="G4275">
        <v>55.816667000000002</v>
      </c>
      <c r="H4275">
        <v>10.083333</v>
      </c>
      <c r="I4275" t="s">
        <v>768</v>
      </c>
      <c r="J4275" s="2" t="s">
        <v>14</v>
      </c>
      <c r="K4275" t="s">
        <v>548</v>
      </c>
      <c r="L4275" t="s">
        <v>144</v>
      </c>
      <c r="M4275" t="s">
        <v>726</v>
      </c>
      <c r="N4275" t="s">
        <v>85</v>
      </c>
      <c r="O4275" s="6" t="s">
        <v>84</v>
      </c>
      <c r="Q4275">
        <v>10</v>
      </c>
      <c r="R4275" t="s">
        <v>214</v>
      </c>
      <c r="S4275" s="2" t="s">
        <v>9</v>
      </c>
      <c r="T4275">
        <v>3</v>
      </c>
      <c r="U4275" t="s">
        <v>28</v>
      </c>
      <c r="V4275" t="s">
        <v>28</v>
      </c>
      <c r="W4275">
        <v>18</v>
      </c>
      <c r="X4275">
        <v>0.50239999999999996</v>
      </c>
      <c r="Y4275">
        <f>0.5295-X4275</f>
        <v>2.7100000000000013E-2</v>
      </c>
      <c r="AA4275" s="6"/>
      <c r="AB4275" s="6"/>
    </row>
    <row r="4276" spans="1:28" x14ac:dyDescent="0.2">
      <c r="A4276" t="s">
        <v>546</v>
      </c>
      <c r="B4276">
        <v>2019</v>
      </c>
      <c r="C4276" t="s">
        <v>826</v>
      </c>
      <c r="D4276" t="s">
        <v>824</v>
      </c>
      <c r="E4276" t="s">
        <v>48</v>
      </c>
      <c r="F4276" t="s">
        <v>547</v>
      </c>
      <c r="G4276">
        <v>55.816667000000002</v>
      </c>
      <c r="H4276">
        <v>10.083333</v>
      </c>
      <c r="I4276" t="s">
        <v>768</v>
      </c>
      <c r="J4276" s="2" t="s">
        <v>14</v>
      </c>
      <c r="K4276" t="s">
        <v>548</v>
      </c>
      <c r="L4276" t="s">
        <v>144</v>
      </c>
      <c r="M4276" t="s">
        <v>726</v>
      </c>
      <c r="N4276" t="s">
        <v>85</v>
      </c>
      <c r="O4276" s="6" t="s">
        <v>84</v>
      </c>
      <c r="Q4276">
        <v>10</v>
      </c>
      <c r="R4276" t="s">
        <v>214</v>
      </c>
      <c r="S4276" s="2" t="s">
        <v>27</v>
      </c>
      <c r="T4276">
        <v>3</v>
      </c>
      <c r="U4276" t="s">
        <v>28</v>
      </c>
      <c r="V4276" t="s">
        <v>28</v>
      </c>
      <c r="W4276">
        <v>21</v>
      </c>
      <c r="X4276">
        <v>0.46650000000000003</v>
      </c>
      <c r="Y4276">
        <f>0.491-X4276</f>
        <v>2.4499999999999966E-2</v>
      </c>
      <c r="AA4276" s="6"/>
      <c r="AB4276" s="6"/>
    </row>
    <row r="4277" spans="1:28" x14ac:dyDescent="0.2">
      <c r="A4277" t="s">
        <v>546</v>
      </c>
      <c r="B4277">
        <v>2019</v>
      </c>
      <c r="C4277" t="s">
        <v>826</v>
      </c>
      <c r="D4277" t="s">
        <v>824</v>
      </c>
      <c r="E4277" t="s">
        <v>48</v>
      </c>
      <c r="F4277" t="s">
        <v>547</v>
      </c>
      <c r="G4277">
        <v>55.816667000000002</v>
      </c>
      <c r="H4277">
        <v>10.083333</v>
      </c>
      <c r="I4277" t="s">
        <v>768</v>
      </c>
      <c r="J4277" s="2" t="s">
        <v>14</v>
      </c>
      <c r="K4277" t="s">
        <v>548</v>
      </c>
      <c r="L4277" t="s">
        <v>144</v>
      </c>
      <c r="M4277" t="s">
        <v>726</v>
      </c>
      <c r="N4277" t="s">
        <v>85</v>
      </c>
      <c r="O4277" s="6" t="s">
        <v>84</v>
      </c>
      <c r="Q4277">
        <v>10</v>
      </c>
      <c r="R4277" t="s">
        <v>213</v>
      </c>
      <c r="S4277" s="2" t="s">
        <v>13</v>
      </c>
      <c r="T4277">
        <v>3</v>
      </c>
      <c r="U4277" t="s">
        <v>28</v>
      </c>
      <c r="V4277" t="s">
        <v>28</v>
      </c>
      <c r="W4277">
        <v>24</v>
      </c>
      <c r="X4277">
        <v>0.3221</v>
      </c>
      <c r="Y4277">
        <f>0.3221-X4277</f>
        <v>0</v>
      </c>
      <c r="AA4277" s="6"/>
      <c r="AB4277" s="6"/>
    </row>
    <row r="4278" spans="1:28" x14ac:dyDescent="0.2">
      <c r="A4278" t="s">
        <v>546</v>
      </c>
      <c r="B4278">
        <v>2019</v>
      </c>
      <c r="C4278" t="s">
        <v>826</v>
      </c>
      <c r="D4278" t="s">
        <v>824</v>
      </c>
      <c r="E4278" t="s">
        <v>48</v>
      </c>
      <c r="F4278" t="s">
        <v>547</v>
      </c>
      <c r="G4278">
        <v>55.816667000000002</v>
      </c>
      <c r="H4278">
        <v>10.083333</v>
      </c>
      <c r="I4278" t="s">
        <v>768</v>
      </c>
      <c r="J4278" s="2" t="s">
        <v>7</v>
      </c>
      <c r="K4278" t="s">
        <v>548</v>
      </c>
      <c r="L4278" t="s">
        <v>144</v>
      </c>
      <c r="M4278" t="s">
        <v>726</v>
      </c>
      <c r="N4278" t="s">
        <v>85</v>
      </c>
      <c r="O4278" s="6" t="s">
        <v>84</v>
      </c>
      <c r="Q4278">
        <v>18</v>
      </c>
      <c r="R4278" t="s">
        <v>213</v>
      </c>
      <c r="S4278" s="2" t="s">
        <v>7</v>
      </c>
      <c r="T4278">
        <v>3</v>
      </c>
      <c r="U4278" t="s">
        <v>28</v>
      </c>
      <c r="V4278" t="s">
        <v>28</v>
      </c>
      <c r="W4278">
        <v>15</v>
      </c>
      <c r="X4278">
        <v>0.50849999999999995</v>
      </c>
      <c r="Y4278">
        <f>0.526-X4278</f>
        <v>1.7500000000000071E-2</v>
      </c>
      <c r="AA4278" s="6"/>
      <c r="AB4278" s="6"/>
    </row>
    <row r="4279" spans="1:28" x14ac:dyDescent="0.2">
      <c r="A4279" t="s">
        <v>546</v>
      </c>
      <c r="B4279">
        <v>2019</v>
      </c>
      <c r="C4279" t="s">
        <v>826</v>
      </c>
      <c r="D4279" t="s">
        <v>824</v>
      </c>
      <c r="E4279" t="s">
        <v>48</v>
      </c>
      <c r="F4279" t="s">
        <v>547</v>
      </c>
      <c r="G4279">
        <v>55.816667000000002</v>
      </c>
      <c r="H4279">
        <v>10.083333</v>
      </c>
      <c r="I4279" t="s">
        <v>768</v>
      </c>
      <c r="J4279" s="2" t="s">
        <v>14</v>
      </c>
      <c r="K4279" t="s">
        <v>548</v>
      </c>
      <c r="L4279" t="s">
        <v>144</v>
      </c>
      <c r="M4279" t="s">
        <v>726</v>
      </c>
      <c r="N4279" t="s">
        <v>85</v>
      </c>
      <c r="O4279" s="6" t="s">
        <v>84</v>
      </c>
      <c r="Q4279">
        <v>18</v>
      </c>
      <c r="R4279" t="s">
        <v>213</v>
      </c>
      <c r="S4279" s="2" t="s">
        <v>9</v>
      </c>
      <c r="T4279">
        <v>3</v>
      </c>
      <c r="U4279" t="s">
        <v>28</v>
      </c>
      <c r="V4279" t="s">
        <v>28</v>
      </c>
      <c r="W4279">
        <v>18</v>
      </c>
      <c r="X4279">
        <v>0.48580000000000001</v>
      </c>
      <c r="Y4279">
        <f>0.498-X4279</f>
        <v>1.2199999999999989E-2</v>
      </c>
      <c r="AA4279" s="6"/>
      <c r="AB4279" s="6"/>
    </row>
    <row r="4280" spans="1:28" x14ac:dyDescent="0.2">
      <c r="A4280" t="s">
        <v>546</v>
      </c>
      <c r="B4280">
        <v>2019</v>
      </c>
      <c r="C4280" t="s">
        <v>826</v>
      </c>
      <c r="D4280" t="s">
        <v>824</v>
      </c>
      <c r="E4280" t="s">
        <v>48</v>
      </c>
      <c r="F4280" t="s">
        <v>547</v>
      </c>
      <c r="G4280">
        <v>55.816667000000002</v>
      </c>
      <c r="H4280">
        <v>10.083333</v>
      </c>
      <c r="I4280" t="s">
        <v>768</v>
      </c>
      <c r="J4280" s="2" t="s">
        <v>14</v>
      </c>
      <c r="K4280" t="s">
        <v>548</v>
      </c>
      <c r="L4280" t="s">
        <v>144</v>
      </c>
      <c r="M4280" t="s">
        <v>726</v>
      </c>
      <c r="N4280" t="s">
        <v>85</v>
      </c>
      <c r="O4280" s="6" t="s">
        <v>84</v>
      </c>
      <c r="Q4280">
        <v>18</v>
      </c>
      <c r="R4280" t="s">
        <v>213</v>
      </c>
      <c r="S4280" s="2" t="s">
        <v>27</v>
      </c>
      <c r="T4280">
        <v>3</v>
      </c>
      <c r="U4280" t="s">
        <v>28</v>
      </c>
      <c r="V4280" t="s">
        <v>28</v>
      </c>
      <c r="W4280">
        <v>21</v>
      </c>
      <c r="X4280">
        <v>0.35970000000000002</v>
      </c>
      <c r="Y4280">
        <f>0.4481-X4280</f>
        <v>8.8399999999999979E-2</v>
      </c>
      <c r="AA4280" s="6"/>
      <c r="AB4280" s="6"/>
    </row>
    <row r="4281" spans="1:28" x14ac:dyDescent="0.2">
      <c r="A4281" t="s">
        <v>546</v>
      </c>
      <c r="B4281">
        <v>2019</v>
      </c>
      <c r="C4281" t="s">
        <v>826</v>
      </c>
      <c r="D4281" t="s">
        <v>824</v>
      </c>
      <c r="E4281" t="s">
        <v>48</v>
      </c>
      <c r="F4281" t="s">
        <v>547</v>
      </c>
      <c r="G4281">
        <v>55.816667000000002</v>
      </c>
      <c r="H4281">
        <v>10.083333</v>
      </c>
      <c r="I4281" t="s">
        <v>768</v>
      </c>
      <c r="J4281" s="2" t="s">
        <v>7</v>
      </c>
      <c r="K4281" t="s">
        <v>548</v>
      </c>
      <c r="L4281" t="s">
        <v>144</v>
      </c>
      <c r="M4281" t="s">
        <v>726</v>
      </c>
      <c r="N4281" t="s">
        <v>85</v>
      </c>
      <c r="O4281" s="6" t="s">
        <v>836</v>
      </c>
      <c r="P4281" t="s">
        <v>83</v>
      </c>
      <c r="Q4281">
        <v>10</v>
      </c>
      <c r="R4281" t="s">
        <v>213</v>
      </c>
      <c r="S4281" s="2" t="s">
        <v>7</v>
      </c>
      <c r="T4281">
        <v>3</v>
      </c>
      <c r="U4281" t="s">
        <v>28</v>
      </c>
      <c r="V4281" t="s">
        <v>28</v>
      </c>
      <c r="W4281">
        <v>15</v>
      </c>
      <c r="X4281">
        <v>14.54</v>
      </c>
      <c r="Y4281">
        <f>16.81-X4281</f>
        <v>2.2699999999999996</v>
      </c>
      <c r="AA4281" s="6"/>
      <c r="AB4281" s="6"/>
    </row>
    <row r="4282" spans="1:28" x14ac:dyDescent="0.2">
      <c r="A4282" t="s">
        <v>546</v>
      </c>
      <c r="B4282">
        <v>2019</v>
      </c>
      <c r="C4282" t="s">
        <v>826</v>
      </c>
      <c r="D4282" t="s">
        <v>824</v>
      </c>
      <c r="E4282" t="s">
        <v>48</v>
      </c>
      <c r="F4282" t="s">
        <v>547</v>
      </c>
      <c r="G4282">
        <v>55.816667000000002</v>
      </c>
      <c r="H4282">
        <v>10.083333</v>
      </c>
      <c r="I4282" t="s">
        <v>768</v>
      </c>
      <c r="J4282" s="2" t="s">
        <v>14</v>
      </c>
      <c r="K4282" t="s">
        <v>548</v>
      </c>
      <c r="L4282" t="s">
        <v>144</v>
      </c>
      <c r="M4282" t="s">
        <v>726</v>
      </c>
      <c r="N4282" t="s">
        <v>85</v>
      </c>
      <c r="O4282" s="6" t="s">
        <v>836</v>
      </c>
      <c r="P4282" t="s">
        <v>83</v>
      </c>
      <c r="Q4282">
        <v>10</v>
      </c>
      <c r="R4282" t="s">
        <v>214</v>
      </c>
      <c r="S4282" s="2" t="s">
        <v>9</v>
      </c>
      <c r="T4282">
        <v>3</v>
      </c>
      <c r="U4282" t="s">
        <v>28</v>
      </c>
      <c r="V4282" t="s">
        <v>28</v>
      </c>
      <c r="W4282">
        <v>18</v>
      </c>
      <c r="X4282">
        <v>11.99</v>
      </c>
      <c r="Y4282">
        <f>15.42-X4282</f>
        <v>3.4299999999999997</v>
      </c>
      <c r="AA4282" s="6"/>
      <c r="AB4282" s="6"/>
    </row>
    <row r="4283" spans="1:28" x14ac:dyDescent="0.2">
      <c r="A4283" t="s">
        <v>546</v>
      </c>
      <c r="B4283">
        <v>2019</v>
      </c>
      <c r="C4283" t="s">
        <v>826</v>
      </c>
      <c r="D4283" t="s">
        <v>824</v>
      </c>
      <c r="E4283" t="s">
        <v>48</v>
      </c>
      <c r="F4283" t="s">
        <v>547</v>
      </c>
      <c r="G4283">
        <v>55.816667000000002</v>
      </c>
      <c r="H4283">
        <v>10.083333</v>
      </c>
      <c r="I4283" t="s">
        <v>768</v>
      </c>
      <c r="J4283" s="2" t="s">
        <v>14</v>
      </c>
      <c r="K4283" t="s">
        <v>548</v>
      </c>
      <c r="L4283" t="s">
        <v>144</v>
      </c>
      <c r="M4283" t="s">
        <v>726</v>
      </c>
      <c r="N4283" t="s">
        <v>85</v>
      </c>
      <c r="O4283" s="6" t="s">
        <v>836</v>
      </c>
      <c r="P4283" t="s">
        <v>83</v>
      </c>
      <c r="Q4283">
        <v>10</v>
      </c>
      <c r="R4283" t="s">
        <v>214</v>
      </c>
      <c r="S4283" s="2" t="s">
        <v>27</v>
      </c>
      <c r="T4283">
        <v>3</v>
      </c>
      <c r="U4283" t="s">
        <v>28</v>
      </c>
      <c r="V4283" t="s">
        <v>28</v>
      </c>
      <c r="W4283">
        <v>21</v>
      </c>
      <c r="X4283">
        <v>15.28</v>
      </c>
      <c r="Y4283">
        <f>16.57-X4283</f>
        <v>1.2900000000000009</v>
      </c>
      <c r="AA4283" s="6"/>
      <c r="AB4283" s="6"/>
    </row>
    <row r="4284" spans="1:28" x14ac:dyDescent="0.2">
      <c r="A4284" t="s">
        <v>546</v>
      </c>
      <c r="B4284">
        <v>2019</v>
      </c>
      <c r="C4284" t="s">
        <v>826</v>
      </c>
      <c r="D4284" t="s">
        <v>824</v>
      </c>
      <c r="E4284" t="s">
        <v>48</v>
      </c>
      <c r="F4284" t="s">
        <v>547</v>
      </c>
      <c r="G4284">
        <v>55.816667000000002</v>
      </c>
      <c r="H4284">
        <v>10.083333</v>
      </c>
      <c r="I4284" t="s">
        <v>768</v>
      </c>
      <c r="J4284" s="2" t="s">
        <v>14</v>
      </c>
      <c r="K4284" t="s">
        <v>548</v>
      </c>
      <c r="L4284" t="s">
        <v>144</v>
      </c>
      <c r="M4284" t="s">
        <v>726</v>
      </c>
      <c r="N4284" t="s">
        <v>85</v>
      </c>
      <c r="O4284" s="6" t="s">
        <v>836</v>
      </c>
      <c r="P4284" t="s">
        <v>83</v>
      </c>
      <c r="Q4284">
        <v>10</v>
      </c>
      <c r="R4284" t="s">
        <v>213</v>
      </c>
      <c r="S4284" s="2" t="s">
        <v>13</v>
      </c>
      <c r="T4284">
        <v>3</v>
      </c>
      <c r="U4284" t="s">
        <v>28</v>
      </c>
      <c r="V4284" t="s">
        <v>28</v>
      </c>
      <c r="W4284">
        <v>24</v>
      </c>
      <c r="X4284">
        <v>18.07</v>
      </c>
      <c r="Y4284">
        <f>18.37-X4284</f>
        <v>0.30000000000000071</v>
      </c>
      <c r="AA4284" s="6"/>
      <c r="AB4284" s="6"/>
    </row>
    <row r="4285" spans="1:28" x14ac:dyDescent="0.2">
      <c r="A4285" t="s">
        <v>546</v>
      </c>
      <c r="B4285">
        <v>2019</v>
      </c>
      <c r="C4285" t="s">
        <v>826</v>
      </c>
      <c r="D4285" t="s">
        <v>824</v>
      </c>
      <c r="E4285" t="s">
        <v>48</v>
      </c>
      <c r="F4285" t="s">
        <v>547</v>
      </c>
      <c r="G4285">
        <v>55.816667000000002</v>
      </c>
      <c r="H4285">
        <v>10.083333</v>
      </c>
      <c r="I4285" t="s">
        <v>768</v>
      </c>
      <c r="J4285" s="2" t="s">
        <v>7</v>
      </c>
      <c r="K4285" t="s">
        <v>548</v>
      </c>
      <c r="L4285" t="s">
        <v>144</v>
      </c>
      <c r="M4285" t="s">
        <v>726</v>
      </c>
      <c r="N4285" t="s">
        <v>85</v>
      </c>
      <c r="O4285" s="6" t="s">
        <v>836</v>
      </c>
      <c r="P4285" t="s">
        <v>83</v>
      </c>
      <c r="Q4285">
        <v>18</v>
      </c>
      <c r="R4285" t="s">
        <v>213</v>
      </c>
      <c r="S4285" s="2" t="s">
        <v>7</v>
      </c>
      <c r="T4285">
        <v>3</v>
      </c>
      <c r="U4285" t="s">
        <v>28</v>
      </c>
      <c r="V4285" t="s">
        <v>28</v>
      </c>
      <c r="W4285">
        <v>15</v>
      </c>
      <c r="X4285">
        <v>13.36</v>
      </c>
      <c r="Y4285">
        <f>14.4-X4285</f>
        <v>1.0400000000000009</v>
      </c>
      <c r="AA4285" s="6"/>
      <c r="AB4285" s="6"/>
    </row>
    <row r="4286" spans="1:28" x14ac:dyDescent="0.2">
      <c r="A4286" t="s">
        <v>546</v>
      </c>
      <c r="B4286">
        <v>2019</v>
      </c>
      <c r="C4286" t="s">
        <v>826</v>
      </c>
      <c r="D4286" t="s">
        <v>824</v>
      </c>
      <c r="E4286" t="s">
        <v>48</v>
      </c>
      <c r="F4286" t="s">
        <v>547</v>
      </c>
      <c r="G4286">
        <v>55.816667000000002</v>
      </c>
      <c r="H4286">
        <v>10.083333</v>
      </c>
      <c r="I4286" t="s">
        <v>768</v>
      </c>
      <c r="J4286" s="2" t="s">
        <v>14</v>
      </c>
      <c r="K4286" t="s">
        <v>548</v>
      </c>
      <c r="L4286" t="s">
        <v>144</v>
      </c>
      <c r="M4286" t="s">
        <v>726</v>
      </c>
      <c r="N4286" t="s">
        <v>85</v>
      </c>
      <c r="O4286" s="6" t="s">
        <v>836</v>
      </c>
      <c r="P4286" t="s">
        <v>83</v>
      </c>
      <c r="Q4286">
        <v>18</v>
      </c>
      <c r="R4286" t="s">
        <v>213</v>
      </c>
      <c r="S4286" s="2" t="s">
        <v>9</v>
      </c>
      <c r="T4286">
        <v>3</v>
      </c>
      <c r="U4286" t="s">
        <v>28</v>
      </c>
      <c r="V4286" t="s">
        <v>28</v>
      </c>
      <c r="W4286">
        <v>18</v>
      </c>
      <c r="X4286">
        <v>13.12</v>
      </c>
      <c r="Y4286">
        <f>18.37-X4286</f>
        <v>5.2500000000000018</v>
      </c>
      <c r="AA4286" s="6"/>
      <c r="AB4286" s="6"/>
    </row>
    <row r="4287" spans="1:28" x14ac:dyDescent="0.2">
      <c r="A4287" t="s">
        <v>546</v>
      </c>
      <c r="B4287">
        <v>2019</v>
      </c>
      <c r="C4287" t="s">
        <v>826</v>
      </c>
      <c r="D4287" t="s">
        <v>824</v>
      </c>
      <c r="E4287" t="s">
        <v>48</v>
      </c>
      <c r="F4287" t="s">
        <v>547</v>
      </c>
      <c r="G4287">
        <v>55.816667000000002</v>
      </c>
      <c r="H4287">
        <v>10.083333</v>
      </c>
      <c r="I4287" t="s">
        <v>768</v>
      </c>
      <c r="J4287" s="2" t="s">
        <v>14</v>
      </c>
      <c r="K4287" t="s">
        <v>548</v>
      </c>
      <c r="L4287" t="s">
        <v>144</v>
      </c>
      <c r="M4287" t="s">
        <v>726</v>
      </c>
      <c r="N4287" t="s">
        <v>85</v>
      </c>
      <c r="O4287" s="6" t="s">
        <v>836</v>
      </c>
      <c r="P4287" t="s">
        <v>83</v>
      </c>
      <c r="Q4287">
        <v>18</v>
      </c>
      <c r="R4287" t="s">
        <v>213</v>
      </c>
      <c r="S4287" s="2" t="s">
        <v>27</v>
      </c>
      <c r="T4287">
        <v>3</v>
      </c>
      <c r="U4287" t="s">
        <v>28</v>
      </c>
      <c r="V4287" t="s">
        <v>28</v>
      </c>
      <c r="W4287">
        <v>21</v>
      </c>
      <c r="X4287">
        <v>11.94</v>
      </c>
      <c r="Y4287">
        <f>13.61-X4287</f>
        <v>1.67</v>
      </c>
      <c r="AA4287" s="6"/>
      <c r="AB4287" s="6"/>
    </row>
    <row r="4288" spans="1:28" x14ac:dyDescent="0.2">
      <c r="A4288" t="s">
        <v>546</v>
      </c>
      <c r="B4288">
        <v>2019</v>
      </c>
      <c r="C4288" t="s">
        <v>826</v>
      </c>
      <c r="D4288" t="s">
        <v>824</v>
      </c>
      <c r="E4288" t="s">
        <v>48</v>
      </c>
      <c r="F4288" t="s">
        <v>547</v>
      </c>
      <c r="G4288">
        <v>55.816667000000002</v>
      </c>
      <c r="H4288">
        <v>10.083333</v>
      </c>
      <c r="I4288" t="s">
        <v>768</v>
      </c>
      <c r="J4288" s="2" t="s">
        <v>7</v>
      </c>
      <c r="K4288" t="s">
        <v>548</v>
      </c>
      <c r="L4288" t="s">
        <v>144</v>
      </c>
      <c r="M4288" t="s">
        <v>726</v>
      </c>
      <c r="N4288" t="s">
        <v>85</v>
      </c>
      <c r="O4288" s="6" t="s">
        <v>208</v>
      </c>
      <c r="Q4288">
        <v>10</v>
      </c>
      <c r="R4288" t="s">
        <v>213</v>
      </c>
      <c r="S4288" s="2" t="s">
        <v>7</v>
      </c>
      <c r="T4288">
        <v>3</v>
      </c>
      <c r="U4288" t="s">
        <v>28</v>
      </c>
      <c r="V4288" t="s">
        <v>28</v>
      </c>
      <c r="W4288">
        <v>15</v>
      </c>
      <c r="X4288">
        <v>6.4799999999999996E-2</v>
      </c>
      <c r="Y4288">
        <f>0.0829-X4288</f>
        <v>1.8100000000000005E-2</v>
      </c>
      <c r="AA4288" s="6"/>
      <c r="AB4288" s="6"/>
    </row>
    <row r="4289" spans="1:28" x14ac:dyDescent="0.2">
      <c r="A4289" t="s">
        <v>546</v>
      </c>
      <c r="B4289">
        <v>2019</v>
      </c>
      <c r="C4289" t="s">
        <v>826</v>
      </c>
      <c r="D4289" t="s">
        <v>824</v>
      </c>
      <c r="E4289" t="s">
        <v>48</v>
      </c>
      <c r="F4289" t="s">
        <v>547</v>
      </c>
      <c r="G4289">
        <v>55.816667000000002</v>
      </c>
      <c r="H4289">
        <v>10.083333</v>
      </c>
      <c r="I4289" t="s">
        <v>768</v>
      </c>
      <c r="J4289" s="2" t="s">
        <v>14</v>
      </c>
      <c r="K4289" t="s">
        <v>548</v>
      </c>
      <c r="L4289" t="s">
        <v>144</v>
      </c>
      <c r="M4289" t="s">
        <v>726</v>
      </c>
      <c r="N4289" t="s">
        <v>85</v>
      </c>
      <c r="O4289" s="6" t="s">
        <v>208</v>
      </c>
      <c r="Q4289">
        <v>10</v>
      </c>
      <c r="R4289" t="s">
        <v>214</v>
      </c>
      <c r="S4289" s="2" t="s">
        <v>9</v>
      </c>
      <c r="T4289">
        <v>3</v>
      </c>
      <c r="U4289" t="s">
        <v>28</v>
      </c>
      <c r="V4289" t="s">
        <v>28</v>
      </c>
      <c r="W4289">
        <v>18</v>
      </c>
      <c r="X4289">
        <v>6.7799999999999999E-2</v>
      </c>
      <c r="Y4289">
        <f>0.105-X4289</f>
        <v>3.7199999999999997E-2</v>
      </c>
      <c r="AA4289" s="6"/>
      <c r="AB4289" s="6"/>
    </row>
    <row r="4290" spans="1:28" x14ac:dyDescent="0.2">
      <c r="A4290" t="s">
        <v>546</v>
      </c>
      <c r="B4290">
        <v>2019</v>
      </c>
      <c r="C4290" t="s">
        <v>826</v>
      </c>
      <c r="D4290" t="s">
        <v>824</v>
      </c>
      <c r="E4290" t="s">
        <v>48</v>
      </c>
      <c r="F4290" t="s">
        <v>547</v>
      </c>
      <c r="G4290">
        <v>55.816667000000002</v>
      </c>
      <c r="H4290">
        <v>10.083333</v>
      </c>
      <c r="I4290" t="s">
        <v>768</v>
      </c>
      <c r="J4290" s="2" t="s">
        <v>14</v>
      </c>
      <c r="K4290" t="s">
        <v>548</v>
      </c>
      <c r="L4290" t="s">
        <v>144</v>
      </c>
      <c r="M4290" t="s">
        <v>726</v>
      </c>
      <c r="N4290" t="s">
        <v>85</v>
      </c>
      <c r="O4290" s="6" t="s">
        <v>208</v>
      </c>
      <c r="Q4290">
        <v>10</v>
      </c>
      <c r="R4290" t="s">
        <v>214</v>
      </c>
      <c r="S4290" s="2" t="s">
        <v>27</v>
      </c>
      <c r="T4290">
        <v>3</v>
      </c>
      <c r="U4290" t="s">
        <v>28</v>
      </c>
      <c r="V4290" t="s">
        <v>28</v>
      </c>
      <c r="W4290">
        <v>21</v>
      </c>
      <c r="X4290">
        <v>6.7799999999999999E-2</v>
      </c>
      <c r="Y4290">
        <f>0.0908-X4290</f>
        <v>2.3000000000000007E-2</v>
      </c>
      <c r="AA4290" s="6"/>
      <c r="AB4290" s="6"/>
    </row>
    <row r="4291" spans="1:28" x14ac:dyDescent="0.2">
      <c r="A4291" t="s">
        <v>546</v>
      </c>
      <c r="B4291">
        <v>2019</v>
      </c>
      <c r="C4291" t="s">
        <v>826</v>
      </c>
      <c r="D4291" t="s">
        <v>824</v>
      </c>
      <c r="E4291" t="s">
        <v>48</v>
      </c>
      <c r="F4291" t="s">
        <v>547</v>
      </c>
      <c r="G4291">
        <v>55.816667000000002</v>
      </c>
      <c r="H4291">
        <v>10.083333</v>
      </c>
      <c r="I4291" t="s">
        <v>768</v>
      </c>
      <c r="J4291" s="2" t="s">
        <v>14</v>
      </c>
      <c r="K4291" t="s">
        <v>548</v>
      </c>
      <c r="L4291" t="s">
        <v>144</v>
      </c>
      <c r="M4291" t="s">
        <v>726</v>
      </c>
      <c r="N4291" t="s">
        <v>85</v>
      </c>
      <c r="O4291" s="6" t="s">
        <v>208</v>
      </c>
      <c r="Q4291">
        <v>10</v>
      </c>
      <c r="R4291" t="s">
        <v>213</v>
      </c>
      <c r="S4291" s="2" t="s">
        <v>13</v>
      </c>
      <c r="T4291">
        <v>3</v>
      </c>
      <c r="U4291" t="s">
        <v>28</v>
      </c>
      <c r="V4291" t="s">
        <v>28</v>
      </c>
      <c r="W4291">
        <v>24</v>
      </c>
      <c r="X4291">
        <v>6.3E-3</v>
      </c>
      <c r="Y4291">
        <f>0.014-X4291</f>
        <v>7.7000000000000002E-3</v>
      </c>
      <c r="AA4291" s="6"/>
      <c r="AB4291" s="6"/>
    </row>
    <row r="4292" spans="1:28" x14ac:dyDescent="0.2">
      <c r="A4292" t="s">
        <v>546</v>
      </c>
      <c r="B4292">
        <v>2019</v>
      </c>
      <c r="C4292" t="s">
        <v>826</v>
      </c>
      <c r="D4292" t="s">
        <v>824</v>
      </c>
      <c r="E4292" t="s">
        <v>48</v>
      </c>
      <c r="F4292" t="s">
        <v>547</v>
      </c>
      <c r="G4292">
        <v>55.816667000000002</v>
      </c>
      <c r="H4292">
        <v>10.083333</v>
      </c>
      <c r="I4292" t="s">
        <v>768</v>
      </c>
      <c r="J4292" s="2" t="s">
        <v>7</v>
      </c>
      <c r="K4292" t="s">
        <v>548</v>
      </c>
      <c r="L4292" t="s">
        <v>144</v>
      </c>
      <c r="M4292" t="s">
        <v>726</v>
      </c>
      <c r="N4292" t="s">
        <v>85</v>
      </c>
      <c r="O4292" s="6" t="s">
        <v>208</v>
      </c>
      <c r="Q4292">
        <v>18</v>
      </c>
      <c r="R4292" t="s">
        <v>213</v>
      </c>
      <c r="S4292" s="2" t="s">
        <v>7</v>
      </c>
      <c r="T4292">
        <v>3</v>
      </c>
      <c r="U4292" t="s">
        <v>28</v>
      </c>
      <c r="V4292" t="s">
        <v>28</v>
      </c>
      <c r="W4292">
        <v>15</v>
      </c>
      <c r="X4292">
        <v>0.1</v>
      </c>
      <c r="Y4292">
        <f>0.158-X4292</f>
        <v>5.7999999999999996E-2</v>
      </c>
      <c r="AA4292" s="6"/>
      <c r="AB4292" s="6"/>
    </row>
    <row r="4293" spans="1:28" x14ac:dyDescent="0.2">
      <c r="A4293" t="s">
        <v>546</v>
      </c>
      <c r="B4293">
        <v>2019</v>
      </c>
      <c r="C4293" t="s">
        <v>826</v>
      </c>
      <c r="D4293" t="s">
        <v>824</v>
      </c>
      <c r="E4293" t="s">
        <v>48</v>
      </c>
      <c r="F4293" t="s">
        <v>547</v>
      </c>
      <c r="G4293">
        <v>55.816667000000002</v>
      </c>
      <c r="H4293">
        <v>10.083333</v>
      </c>
      <c r="I4293" t="s">
        <v>768</v>
      </c>
      <c r="J4293" s="2" t="s">
        <v>14</v>
      </c>
      <c r="K4293" t="s">
        <v>548</v>
      </c>
      <c r="L4293" t="s">
        <v>144</v>
      </c>
      <c r="M4293" t="s">
        <v>726</v>
      </c>
      <c r="N4293" t="s">
        <v>85</v>
      </c>
      <c r="O4293" s="6" t="s">
        <v>208</v>
      </c>
      <c r="Q4293">
        <v>18</v>
      </c>
      <c r="R4293" t="s">
        <v>213</v>
      </c>
      <c r="S4293" s="2" t="s">
        <v>9</v>
      </c>
      <c r="T4293">
        <v>3</v>
      </c>
      <c r="U4293" t="s">
        <v>28</v>
      </c>
      <c r="V4293" t="s">
        <v>28</v>
      </c>
      <c r="W4293">
        <v>18</v>
      </c>
      <c r="X4293">
        <v>9.8900000000000002E-2</v>
      </c>
      <c r="Y4293">
        <f>0.142-X4293</f>
        <v>4.3099999999999986E-2</v>
      </c>
      <c r="AA4293" s="6"/>
      <c r="AB4293" s="6"/>
    </row>
    <row r="4294" spans="1:28" x14ac:dyDescent="0.2">
      <c r="A4294" t="s">
        <v>546</v>
      </c>
      <c r="B4294">
        <v>2019</v>
      </c>
      <c r="C4294" t="s">
        <v>826</v>
      </c>
      <c r="D4294" t="s">
        <v>824</v>
      </c>
      <c r="E4294" t="s">
        <v>48</v>
      </c>
      <c r="F4294" t="s">
        <v>547</v>
      </c>
      <c r="G4294">
        <v>55.816667000000002</v>
      </c>
      <c r="H4294">
        <v>10.083333</v>
      </c>
      <c r="I4294" t="s">
        <v>768</v>
      </c>
      <c r="J4294" s="2" t="s">
        <v>14</v>
      </c>
      <c r="K4294" t="s">
        <v>548</v>
      </c>
      <c r="L4294" t="s">
        <v>144</v>
      </c>
      <c r="M4294" t="s">
        <v>726</v>
      </c>
      <c r="N4294" t="s">
        <v>85</v>
      </c>
      <c r="O4294" s="6" t="s">
        <v>208</v>
      </c>
      <c r="Q4294">
        <v>18</v>
      </c>
      <c r="R4294" t="s">
        <v>213</v>
      </c>
      <c r="S4294" s="2" t="s">
        <v>27</v>
      </c>
      <c r="T4294">
        <v>3</v>
      </c>
      <c r="U4294" t="s">
        <v>28</v>
      </c>
      <c r="V4294" t="s">
        <v>28</v>
      </c>
      <c r="W4294">
        <v>21</v>
      </c>
      <c r="X4294">
        <v>8.4699999999999998E-2</v>
      </c>
      <c r="Y4294">
        <f>0.149-X4294</f>
        <v>6.4299999999999996E-2</v>
      </c>
      <c r="AA4294" s="6"/>
      <c r="AB4294" s="6"/>
    </row>
    <row r="4295" spans="1:28" x14ac:dyDescent="0.2">
      <c r="A4295" t="s">
        <v>546</v>
      </c>
      <c r="B4295">
        <v>2019</v>
      </c>
      <c r="C4295" t="s">
        <v>826</v>
      </c>
      <c r="D4295" t="s">
        <v>824</v>
      </c>
      <c r="E4295" t="s">
        <v>48</v>
      </c>
      <c r="F4295" t="s">
        <v>547</v>
      </c>
      <c r="G4295">
        <v>55.816667000000002</v>
      </c>
      <c r="H4295">
        <v>10.083333</v>
      </c>
      <c r="I4295" t="s">
        <v>768</v>
      </c>
      <c r="J4295" s="2" t="s">
        <v>7</v>
      </c>
      <c r="K4295" t="s">
        <v>548</v>
      </c>
      <c r="L4295" t="s">
        <v>144</v>
      </c>
      <c r="M4295" t="s">
        <v>553</v>
      </c>
      <c r="N4295" t="s">
        <v>85</v>
      </c>
      <c r="O4295" s="6" t="s">
        <v>61</v>
      </c>
      <c r="P4295" t="s">
        <v>147</v>
      </c>
      <c r="Q4295">
        <v>10</v>
      </c>
      <c r="R4295" t="s">
        <v>213</v>
      </c>
      <c r="S4295" s="2" t="s">
        <v>7</v>
      </c>
      <c r="T4295">
        <v>3</v>
      </c>
      <c r="U4295" t="s">
        <v>28</v>
      </c>
      <c r="V4295" t="s">
        <v>28</v>
      </c>
      <c r="W4295">
        <v>15</v>
      </c>
      <c r="X4295">
        <v>1.087</v>
      </c>
      <c r="Y4295">
        <f>1.204-X4295</f>
        <v>0.11699999999999999</v>
      </c>
      <c r="AA4295" s="6"/>
      <c r="AB4295" s="6"/>
    </row>
    <row r="4296" spans="1:28" x14ac:dyDescent="0.2">
      <c r="A4296" t="s">
        <v>546</v>
      </c>
      <c r="B4296">
        <v>2019</v>
      </c>
      <c r="C4296" t="s">
        <v>826</v>
      </c>
      <c r="D4296" t="s">
        <v>824</v>
      </c>
      <c r="E4296" t="s">
        <v>48</v>
      </c>
      <c r="F4296" t="s">
        <v>547</v>
      </c>
      <c r="G4296">
        <v>55.816667000000002</v>
      </c>
      <c r="H4296">
        <v>10.083333</v>
      </c>
      <c r="I4296" t="s">
        <v>768</v>
      </c>
      <c r="J4296" s="2" t="s">
        <v>14</v>
      </c>
      <c r="K4296" t="s">
        <v>548</v>
      </c>
      <c r="L4296" t="s">
        <v>144</v>
      </c>
      <c r="M4296" t="s">
        <v>553</v>
      </c>
      <c r="N4296" t="s">
        <v>85</v>
      </c>
      <c r="O4296" s="6" t="s">
        <v>61</v>
      </c>
      <c r="P4296" t="s">
        <v>147</v>
      </c>
      <c r="Q4296">
        <v>10</v>
      </c>
      <c r="R4296" t="s">
        <v>214</v>
      </c>
      <c r="S4296" s="2" t="s">
        <v>9</v>
      </c>
      <c r="T4296">
        <v>3</v>
      </c>
      <c r="U4296" t="s">
        <v>28</v>
      </c>
      <c r="V4296" t="s">
        <v>28</v>
      </c>
      <c r="W4296">
        <v>18</v>
      </c>
      <c r="X4296">
        <v>1.1950000000000001</v>
      </c>
      <c r="Y4296">
        <f>1.289-X4296</f>
        <v>9.3999999999999861E-2</v>
      </c>
      <c r="AA4296" s="6"/>
      <c r="AB4296" s="6"/>
    </row>
    <row r="4297" spans="1:28" x14ac:dyDescent="0.2">
      <c r="A4297" t="s">
        <v>546</v>
      </c>
      <c r="B4297">
        <v>2019</v>
      </c>
      <c r="C4297" t="s">
        <v>826</v>
      </c>
      <c r="D4297" t="s">
        <v>824</v>
      </c>
      <c r="E4297" t="s">
        <v>48</v>
      </c>
      <c r="F4297" t="s">
        <v>547</v>
      </c>
      <c r="G4297">
        <v>55.816667000000002</v>
      </c>
      <c r="H4297">
        <v>10.083333</v>
      </c>
      <c r="I4297" t="s">
        <v>768</v>
      </c>
      <c r="J4297" s="2" t="s">
        <v>14</v>
      </c>
      <c r="K4297" t="s">
        <v>548</v>
      </c>
      <c r="L4297" t="s">
        <v>144</v>
      </c>
      <c r="M4297" t="s">
        <v>553</v>
      </c>
      <c r="N4297" t="s">
        <v>85</v>
      </c>
      <c r="O4297" s="6" t="s">
        <v>61</v>
      </c>
      <c r="P4297" t="s">
        <v>147</v>
      </c>
      <c r="Q4297">
        <v>10</v>
      </c>
      <c r="R4297" t="s">
        <v>214</v>
      </c>
      <c r="S4297" s="2" t="s">
        <v>27</v>
      </c>
      <c r="T4297">
        <v>3</v>
      </c>
      <c r="U4297" t="s">
        <v>28</v>
      </c>
      <c r="V4297" t="s">
        <v>28</v>
      </c>
      <c r="W4297">
        <v>21</v>
      </c>
      <c r="X4297">
        <v>0.72</v>
      </c>
      <c r="Y4297">
        <f>0.862-X4297</f>
        <v>0.14200000000000002</v>
      </c>
      <c r="AA4297" s="6"/>
      <c r="AB4297" s="6"/>
    </row>
    <row r="4298" spans="1:28" x14ac:dyDescent="0.2">
      <c r="A4298" t="s">
        <v>546</v>
      </c>
      <c r="B4298">
        <v>2019</v>
      </c>
      <c r="C4298" t="s">
        <v>826</v>
      </c>
      <c r="D4298" t="s">
        <v>824</v>
      </c>
      <c r="E4298" t="s">
        <v>48</v>
      </c>
      <c r="F4298" t="s">
        <v>547</v>
      </c>
      <c r="G4298">
        <v>55.816667000000002</v>
      </c>
      <c r="H4298">
        <v>10.083333</v>
      </c>
      <c r="I4298" t="s">
        <v>768</v>
      </c>
      <c r="J4298" s="2" t="s">
        <v>14</v>
      </c>
      <c r="K4298" t="s">
        <v>548</v>
      </c>
      <c r="L4298" t="s">
        <v>144</v>
      </c>
      <c r="M4298" t="s">
        <v>553</v>
      </c>
      <c r="N4298" t="s">
        <v>85</v>
      </c>
      <c r="O4298" s="6" t="s">
        <v>61</v>
      </c>
      <c r="P4298" t="s">
        <v>147</v>
      </c>
      <c r="Q4298">
        <v>10</v>
      </c>
      <c r="R4298" t="s">
        <v>213</v>
      </c>
      <c r="S4298" s="2" t="s">
        <v>13</v>
      </c>
      <c r="T4298">
        <v>3</v>
      </c>
      <c r="U4298" t="s">
        <v>28</v>
      </c>
      <c r="V4298" t="s">
        <v>28</v>
      </c>
      <c r="W4298">
        <v>24</v>
      </c>
      <c r="X4298">
        <v>0.34799999999999998</v>
      </c>
      <c r="Y4298">
        <f>0.446-X4298</f>
        <v>9.8000000000000032E-2</v>
      </c>
      <c r="AA4298" s="6"/>
      <c r="AB4298" s="6"/>
    </row>
    <row r="4299" spans="1:28" x14ac:dyDescent="0.2">
      <c r="A4299" t="s">
        <v>546</v>
      </c>
      <c r="B4299">
        <v>2019</v>
      </c>
      <c r="C4299" t="s">
        <v>826</v>
      </c>
      <c r="D4299" t="s">
        <v>824</v>
      </c>
      <c r="E4299" t="s">
        <v>48</v>
      </c>
      <c r="F4299" t="s">
        <v>547</v>
      </c>
      <c r="G4299">
        <v>55.816667000000002</v>
      </c>
      <c r="H4299">
        <v>10.083333</v>
      </c>
      <c r="I4299" t="s">
        <v>768</v>
      </c>
      <c r="J4299" s="2" t="s">
        <v>7</v>
      </c>
      <c r="K4299" t="s">
        <v>548</v>
      </c>
      <c r="L4299" t="s">
        <v>144</v>
      </c>
      <c r="M4299" t="s">
        <v>553</v>
      </c>
      <c r="N4299" t="s">
        <v>85</v>
      </c>
      <c r="O4299" s="6" t="s">
        <v>61</v>
      </c>
      <c r="P4299" t="s">
        <v>147</v>
      </c>
      <c r="Q4299">
        <v>18</v>
      </c>
      <c r="R4299" t="s">
        <v>213</v>
      </c>
      <c r="S4299" s="2" t="s">
        <v>7</v>
      </c>
      <c r="T4299">
        <v>3</v>
      </c>
      <c r="U4299" t="s">
        <v>28</v>
      </c>
      <c r="V4299" t="s">
        <v>28</v>
      </c>
      <c r="W4299">
        <v>15</v>
      </c>
      <c r="X4299">
        <v>0.87</v>
      </c>
      <c r="Y4299">
        <f>1-X4299</f>
        <v>0.13</v>
      </c>
      <c r="AA4299" s="6"/>
      <c r="AB4299" s="6"/>
    </row>
    <row r="4300" spans="1:28" x14ac:dyDescent="0.2">
      <c r="A4300" t="s">
        <v>546</v>
      </c>
      <c r="B4300">
        <v>2019</v>
      </c>
      <c r="C4300" t="s">
        <v>826</v>
      </c>
      <c r="D4300" t="s">
        <v>824</v>
      </c>
      <c r="E4300" t="s">
        <v>48</v>
      </c>
      <c r="F4300" t="s">
        <v>547</v>
      </c>
      <c r="G4300">
        <v>55.816667000000002</v>
      </c>
      <c r="H4300">
        <v>10.083333</v>
      </c>
      <c r="I4300" t="s">
        <v>768</v>
      </c>
      <c r="J4300" s="2" t="s">
        <v>14</v>
      </c>
      <c r="K4300" t="s">
        <v>548</v>
      </c>
      <c r="L4300" t="s">
        <v>144</v>
      </c>
      <c r="M4300" t="s">
        <v>553</v>
      </c>
      <c r="N4300" t="s">
        <v>85</v>
      </c>
      <c r="O4300" s="6" t="s">
        <v>61</v>
      </c>
      <c r="P4300" t="s">
        <v>147</v>
      </c>
      <c r="Q4300">
        <v>18</v>
      </c>
      <c r="R4300" t="s">
        <v>213</v>
      </c>
      <c r="S4300" s="2" t="s">
        <v>9</v>
      </c>
      <c r="T4300">
        <v>3</v>
      </c>
      <c r="U4300" t="s">
        <v>28</v>
      </c>
      <c r="V4300" t="s">
        <v>28</v>
      </c>
      <c r="W4300">
        <v>18</v>
      </c>
      <c r="X4300">
        <v>0.71299999999999997</v>
      </c>
      <c r="Y4300">
        <f>0.83-X4300</f>
        <v>0.11699999999999999</v>
      </c>
      <c r="AA4300" s="6"/>
      <c r="AB4300" s="6"/>
    </row>
    <row r="4301" spans="1:28" x14ac:dyDescent="0.2">
      <c r="A4301" t="s">
        <v>546</v>
      </c>
      <c r="B4301">
        <v>2019</v>
      </c>
      <c r="C4301" t="s">
        <v>826</v>
      </c>
      <c r="D4301" t="s">
        <v>824</v>
      </c>
      <c r="E4301" t="s">
        <v>48</v>
      </c>
      <c r="F4301" t="s">
        <v>547</v>
      </c>
      <c r="G4301">
        <v>55.816667000000002</v>
      </c>
      <c r="H4301">
        <v>10.083333</v>
      </c>
      <c r="I4301" t="s">
        <v>768</v>
      </c>
      <c r="J4301" s="2" t="s">
        <v>14</v>
      </c>
      <c r="K4301" t="s">
        <v>548</v>
      </c>
      <c r="L4301" t="s">
        <v>144</v>
      </c>
      <c r="M4301" t="s">
        <v>553</v>
      </c>
      <c r="N4301" t="s">
        <v>85</v>
      </c>
      <c r="O4301" s="6" t="s">
        <v>61</v>
      </c>
      <c r="P4301" t="s">
        <v>147</v>
      </c>
      <c r="Q4301">
        <v>18</v>
      </c>
      <c r="R4301" t="s">
        <v>213</v>
      </c>
      <c r="S4301" s="2" t="s">
        <v>27</v>
      </c>
      <c r="T4301">
        <v>3</v>
      </c>
      <c r="U4301" t="s">
        <v>28</v>
      </c>
      <c r="V4301" t="s">
        <v>28</v>
      </c>
      <c r="W4301">
        <v>21</v>
      </c>
      <c r="X4301">
        <v>0.41599999999999998</v>
      </c>
      <c r="Y4301">
        <f>0.476-X4301</f>
        <v>0.06</v>
      </c>
      <c r="AA4301" s="6"/>
      <c r="AB4301" s="6"/>
    </row>
    <row r="4302" spans="1:28" x14ac:dyDescent="0.2">
      <c r="A4302" t="s">
        <v>546</v>
      </c>
      <c r="B4302">
        <v>2019</v>
      </c>
      <c r="C4302" t="s">
        <v>826</v>
      </c>
      <c r="D4302" t="s">
        <v>824</v>
      </c>
      <c r="E4302" t="s">
        <v>48</v>
      </c>
      <c r="F4302" t="s">
        <v>547</v>
      </c>
      <c r="G4302">
        <v>55.816667000000002</v>
      </c>
      <c r="H4302">
        <v>10.083333</v>
      </c>
      <c r="I4302" t="s">
        <v>768</v>
      </c>
      <c r="J4302" s="2" t="s">
        <v>7</v>
      </c>
      <c r="K4302" t="s">
        <v>548</v>
      </c>
      <c r="L4302" t="s">
        <v>144</v>
      </c>
      <c r="M4302" t="s">
        <v>553</v>
      </c>
      <c r="N4302" t="s">
        <v>85</v>
      </c>
      <c r="O4302" s="6" t="s">
        <v>88</v>
      </c>
      <c r="P4302" t="s">
        <v>108</v>
      </c>
      <c r="Q4302">
        <v>10</v>
      </c>
      <c r="R4302" t="s">
        <v>213</v>
      </c>
      <c r="S4302" s="2" t="s">
        <v>7</v>
      </c>
      <c r="T4302">
        <v>3</v>
      </c>
      <c r="U4302" t="s">
        <v>28</v>
      </c>
      <c r="V4302" t="s">
        <v>28</v>
      </c>
      <c r="W4302">
        <v>15</v>
      </c>
      <c r="X4302">
        <v>0.1401</v>
      </c>
      <c r="Y4302">
        <f>0.1452-X4302</f>
        <v>5.0999999999999934E-3</v>
      </c>
      <c r="AA4302" s="6"/>
      <c r="AB4302" s="6"/>
    </row>
    <row r="4303" spans="1:28" x14ac:dyDescent="0.2">
      <c r="A4303" t="s">
        <v>546</v>
      </c>
      <c r="B4303">
        <v>2019</v>
      </c>
      <c r="C4303" t="s">
        <v>826</v>
      </c>
      <c r="D4303" t="s">
        <v>824</v>
      </c>
      <c r="E4303" t="s">
        <v>48</v>
      </c>
      <c r="F4303" t="s">
        <v>547</v>
      </c>
      <c r="G4303">
        <v>55.816667000000002</v>
      </c>
      <c r="H4303">
        <v>10.083333</v>
      </c>
      <c r="I4303" t="s">
        <v>768</v>
      </c>
      <c r="J4303" s="2" t="s">
        <v>14</v>
      </c>
      <c r="K4303" t="s">
        <v>548</v>
      </c>
      <c r="L4303" t="s">
        <v>144</v>
      </c>
      <c r="M4303" t="s">
        <v>553</v>
      </c>
      <c r="N4303" t="s">
        <v>85</v>
      </c>
      <c r="O4303" s="6" t="s">
        <v>88</v>
      </c>
      <c r="P4303" t="s">
        <v>108</v>
      </c>
      <c r="Q4303">
        <v>10</v>
      </c>
      <c r="R4303" t="s">
        <v>214</v>
      </c>
      <c r="S4303" s="2" t="s">
        <v>9</v>
      </c>
      <c r="T4303">
        <v>3</v>
      </c>
      <c r="U4303" t="s">
        <v>28</v>
      </c>
      <c r="V4303" t="s">
        <v>28</v>
      </c>
      <c r="W4303">
        <v>18</v>
      </c>
      <c r="X4303">
        <v>0.15010000000000001</v>
      </c>
      <c r="Y4303">
        <f>0.152-X4303</f>
        <v>1.899999999999985E-3</v>
      </c>
      <c r="AA4303" s="6"/>
      <c r="AB4303" s="6"/>
    </row>
    <row r="4304" spans="1:28" x14ac:dyDescent="0.2">
      <c r="A4304" t="s">
        <v>546</v>
      </c>
      <c r="B4304">
        <v>2019</v>
      </c>
      <c r="C4304" t="s">
        <v>826</v>
      </c>
      <c r="D4304" t="s">
        <v>824</v>
      </c>
      <c r="E4304" t="s">
        <v>48</v>
      </c>
      <c r="F4304" t="s">
        <v>547</v>
      </c>
      <c r="G4304">
        <v>55.816667000000002</v>
      </c>
      <c r="H4304">
        <v>10.083333</v>
      </c>
      <c r="I4304" t="s">
        <v>768</v>
      </c>
      <c r="J4304" s="2" t="s">
        <v>14</v>
      </c>
      <c r="K4304" t="s">
        <v>548</v>
      </c>
      <c r="L4304" t="s">
        <v>144</v>
      </c>
      <c r="M4304" t="s">
        <v>553</v>
      </c>
      <c r="N4304" t="s">
        <v>85</v>
      </c>
      <c r="O4304" s="6" t="s">
        <v>88</v>
      </c>
      <c r="P4304" t="s">
        <v>108</v>
      </c>
      <c r="Q4304">
        <v>10</v>
      </c>
      <c r="R4304" t="s">
        <v>214</v>
      </c>
      <c r="S4304" s="2" t="s">
        <v>27</v>
      </c>
      <c r="T4304">
        <v>3</v>
      </c>
      <c r="U4304" t="s">
        <v>28</v>
      </c>
      <c r="V4304" t="s">
        <v>28</v>
      </c>
      <c r="W4304">
        <v>21</v>
      </c>
      <c r="X4304">
        <v>0.13719999999999999</v>
      </c>
      <c r="Y4304">
        <f>0.138-X4304</f>
        <v>8.0000000000002292E-4</v>
      </c>
      <c r="AA4304" s="6"/>
      <c r="AB4304" s="6"/>
    </row>
    <row r="4305" spans="1:28" x14ac:dyDescent="0.2">
      <c r="A4305" t="s">
        <v>546</v>
      </c>
      <c r="B4305">
        <v>2019</v>
      </c>
      <c r="C4305" t="s">
        <v>826</v>
      </c>
      <c r="D4305" t="s">
        <v>824</v>
      </c>
      <c r="E4305" t="s">
        <v>48</v>
      </c>
      <c r="F4305" t="s">
        <v>547</v>
      </c>
      <c r="G4305">
        <v>55.816667000000002</v>
      </c>
      <c r="H4305">
        <v>10.083333</v>
      </c>
      <c r="I4305" t="s">
        <v>768</v>
      </c>
      <c r="J4305" s="2" t="s">
        <v>14</v>
      </c>
      <c r="K4305" t="s">
        <v>548</v>
      </c>
      <c r="L4305" t="s">
        <v>144</v>
      </c>
      <c r="M4305" t="s">
        <v>553</v>
      </c>
      <c r="N4305" t="s">
        <v>85</v>
      </c>
      <c r="O4305" s="6" t="s">
        <v>88</v>
      </c>
      <c r="P4305" t="s">
        <v>108</v>
      </c>
      <c r="Q4305">
        <v>10</v>
      </c>
      <c r="R4305" t="s">
        <v>213</v>
      </c>
      <c r="S4305" s="2" t="s">
        <v>13</v>
      </c>
      <c r="T4305">
        <v>3</v>
      </c>
      <c r="U4305" t="s">
        <v>28</v>
      </c>
      <c r="V4305" t="s">
        <v>28</v>
      </c>
      <c r="W4305">
        <v>24</v>
      </c>
      <c r="X4305">
        <v>0.15029999999999999</v>
      </c>
      <c r="Y4305">
        <f>0.1592-X4305</f>
        <v>8.900000000000019E-3</v>
      </c>
      <c r="AA4305" s="6"/>
      <c r="AB4305" s="6"/>
    </row>
    <row r="4306" spans="1:28" x14ac:dyDescent="0.2">
      <c r="A4306" t="s">
        <v>546</v>
      </c>
      <c r="B4306">
        <v>2019</v>
      </c>
      <c r="C4306" t="s">
        <v>826</v>
      </c>
      <c r="D4306" t="s">
        <v>824</v>
      </c>
      <c r="E4306" t="s">
        <v>48</v>
      </c>
      <c r="F4306" t="s">
        <v>547</v>
      </c>
      <c r="G4306">
        <v>55.816667000000002</v>
      </c>
      <c r="H4306">
        <v>10.083333</v>
      </c>
      <c r="I4306" t="s">
        <v>768</v>
      </c>
      <c r="J4306" s="2" t="s">
        <v>7</v>
      </c>
      <c r="K4306" t="s">
        <v>548</v>
      </c>
      <c r="L4306" t="s">
        <v>144</v>
      </c>
      <c r="M4306" t="s">
        <v>553</v>
      </c>
      <c r="N4306" t="s">
        <v>85</v>
      </c>
      <c r="O4306" s="6" t="s">
        <v>88</v>
      </c>
      <c r="P4306" t="s">
        <v>108</v>
      </c>
      <c r="Q4306">
        <v>18</v>
      </c>
      <c r="R4306" t="s">
        <v>213</v>
      </c>
      <c r="S4306" s="2" t="s">
        <v>7</v>
      </c>
      <c r="T4306">
        <v>3</v>
      </c>
      <c r="U4306" t="s">
        <v>28</v>
      </c>
      <c r="V4306" t="s">
        <v>28</v>
      </c>
      <c r="W4306">
        <v>15</v>
      </c>
      <c r="X4306">
        <v>0.1429</v>
      </c>
      <c r="Y4306">
        <f>0.1471-X4306</f>
        <v>4.2000000000000093E-3</v>
      </c>
      <c r="AA4306" s="6"/>
      <c r="AB4306" s="6"/>
    </row>
    <row r="4307" spans="1:28" x14ac:dyDescent="0.2">
      <c r="A4307" t="s">
        <v>546</v>
      </c>
      <c r="B4307">
        <v>2019</v>
      </c>
      <c r="C4307" t="s">
        <v>826</v>
      </c>
      <c r="D4307" t="s">
        <v>824</v>
      </c>
      <c r="E4307" t="s">
        <v>48</v>
      </c>
      <c r="F4307" t="s">
        <v>547</v>
      </c>
      <c r="G4307">
        <v>55.816667000000002</v>
      </c>
      <c r="H4307">
        <v>10.083333</v>
      </c>
      <c r="I4307" t="s">
        <v>768</v>
      </c>
      <c r="J4307" s="2" t="s">
        <v>14</v>
      </c>
      <c r="K4307" t="s">
        <v>548</v>
      </c>
      <c r="L4307" t="s">
        <v>144</v>
      </c>
      <c r="M4307" t="s">
        <v>553</v>
      </c>
      <c r="N4307" t="s">
        <v>85</v>
      </c>
      <c r="O4307" s="6" t="s">
        <v>88</v>
      </c>
      <c r="P4307" t="s">
        <v>108</v>
      </c>
      <c r="Q4307">
        <v>18</v>
      </c>
      <c r="R4307" t="s">
        <v>213</v>
      </c>
      <c r="S4307" s="2" t="s">
        <v>9</v>
      </c>
      <c r="T4307">
        <v>3</v>
      </c>
      <c r="U4307" t="s">
        <v>28</v>
      </c>
      <c r="V4307" t="s">
        <v>28</v>
      </c>
      <c r="W4307">
        <v>18</v>
      </c>
      <c r="X4307">
        <v>0.1439</v>
      </c>
      <c r="Y4307">
        <f>0.1471-X4307</f>
        <v>3.2000000000000084E-3</v>
      </c>
      <c r="AA4307" s="6"/>
      <c r="AB4307" s="6"/>
    </row>
    <row r="4308" spans="1:28" x14ac:dyDescent="0.2">
      <c r="A4308" t="s">
        <v>546</v>
      </c>
      <c r="B4308">
        <v>2019</v>
      </c>
      <c r="C4308" t="s">
        <v>826</v>
      </c>
      <c r="D4308" t="s">
        <v>824</v>
      </c>
      <c r="E4308" t="s">
        <v>48</v>
      </c>
      <c r="F4308" t="s">
        <v>547</v>
      </c>
      <c r="G4308">
        <v>55.816667000000002</v>
      </c>
      <c r="H4308">
        <v>10.083333</v>
      </c>
      <c r="I4308" t="s">
        <v>768</v>
      </c>
      <c r="J4308" s="2" t="s">
        <v>14</v>
      </c>
      <c r="K4308" t="s">
        <v>548</v>
      </c>
      <c r="L4308" t="s">
        <v>144</v>
      </c>
      <c r="M4308" t="s">
        <v>553</v>
      </c>
      <c r="N4308" t="s">
        <v>85</v>
      </c>
      <c r="O4308" s="6" t="s">
        <v>88</v>
      </c>
      <c r="P4308" t="s">
        <v>108</v>
      </c>
      <c r="Q4308">
        <v>18</v>
      </c>
      <c r="R4308" t="s">
        <v>213</v>
      </c>
      <c r="S4308" s="2" t="s">
        <v>27</v>
      </c>
      <c r="T4308">
        <v>3</v>
      </c>
      <c r="U4308" t="s">
        <v>28</v>
      </c>
      <c r="V4308" t="s">
        <v>28</v>
      </c>
      <c r="W4308">
        <v>21</v>
      </c>
      <c r="X4308">
        <v>0.1482</v>
      </c>
      <c r="Y4308">
        <f>0.1531-X4308</f>
        <v>4.9000000000000155E-3</v>
      </c>
      <c r="AA4308" s="6"/>
      <c r="AB4308" s="6"/>
    </row>
    <row r="4309" spans="1:28" x14ac:dyDescent="0.2">
      <c r="A4309" t="s">
        <v>546</v>
      </c>
      <c r="B4309">
        <v>2019</v>
      </c>
      <c r="C4309" t="s">
        <v>826</v>
      </c>
      <c r="D4309" t="s">
        <v>824</v>
      </c>
      <c r="E4309" t="s">
        <v>48</v>
      </c>
      <c r="F4309" t="s">
        <v>547</v>
      </c>
      <c r="G4309">
        <v>55.816667000000002</v>
      </c>
      <c r="H4309">
        <v>10.083333</v>
      </c>
      <c r="I4309" t="s">
        <v>768</v>
      </c>
      <c r="J4309" s="2" t="s">
        <v>7</v>
      </c>
      <c r="K4309" t="s">
        <v>548</v>
      </c>
      <c r="L4309" t="s">
        <v>144</v>
      </c>
      <c r="M4309" t="s">
        <v>553</v>
      </c>
      <c r="N4309" t="s">
        <v>85</v>
      </c>
      <c r="O4309" s="6" t="s">
        <v>90</v>
      </c>
      <c r="P4309" t="s">
        <v>108</v>
      </c>
      <c r="Q4309">
        <v>10</v>
      </c>
      <c r="R4309" t="s">
        <v>213</v>
      </c>
      <c r="S4309" s="2" t="s">
        <v>7</v>
      </c>
      <c r="T4309">
        <v>3</v>
      </c>
      <c r="U4309" t="s">
        <v>28</v>
      </c>
      <c r="V4309" t="s">
        <v>28</v>
      </c>
      <c r="W4309">
        <v>15</v>
      </c>
      <c r="X4309">
        <v>0.42180000000000001</v>
      </c>
      <c r="Y4309">
        <f>0.4516-X4309</f>
        <v>2.9799999999999993E-2</v>
      </c>
      <c r="AA4309" s="6"/>
      <c r="AB4309" s="6"/>
    </row>
    <row r="4310" spans="1:28" x14ac:dyDescent="0.2">
      <c r="A4310" t="s">
        <v>546</v>
      </c>
      <c r="B4310">
        <v>2019</v>
      </c>
      <c r="C4310" t="s">
        <v>826</v>
      </c>
      <c r="D4310" t="s">
        <v>824</v>
      </c>
      <c r="E4310" t="s">
        <v>48</v>
      </c>
      <c r="F4310" t="s">
        <v>547</v>
      </c>
      <c r="G4310">
        <v>55.816667000000002</v>
      </c>
      <c r="H4310">
        <v>10.083333</v>
      </c>
      <c r="I4310" t="s">
        <v>768</v>
      </c>
      <c r="J4310" s="2" t="s">
        <v>14</v>
      </c>
      <c r="K4310" t="s">
        <v>548</v>
      </c>
      <c r="L4310" t="s">
        <v>144</v>
      </c>
      <c r="M4310" t="s">
        <v>553</v>
      </c>
      <c r="N4310" t="s">
        <v>85</v>
      </c>
      <c r="O4310" s="6" t="s">
        <v>90</v>
      </c>
      <c r="P4310" t="s">
        <v>108</v>
      </c>
      <c r="Q4310">
        <v>10</v>
      </c>
      <c r="R4310" t="s">
        <v>214</v>
      </c>
      <c r="S4310" s="2" t="s">
        <v>9</v>
      </c>
      <c r="T4310">
        <v>3</v>
      </c>
      <c r="U4310" t="s">
        <v>28</v>
      </c>
      <c r="V4310" t="s">
        <v>28</v>
      </c>
      <c r="W4310">
        <v>18</v>
      </c>
      <c r="X4310">
        <v>0.40529999999999999</v>
      </c>
      <c r="Y4310">
        <f>0.4243-X4310</f>
        <v>1.9000000000000017E-2</v>
      </c>
      <c r="AA4310" s="6"/>
      <c r="AB4310" s="6"/>
    </row>
    <row r="4311" spans="1:28" x14ac:dyDescent="0.2">
      <c r="A4311" t="s">
        <v>546</v>
      </c>
      <c r="B4311">
        <v>2019</v>
      </c>
      <c r="C4311" t="s">
        <v>826</v>
      </c>
      <c r="D4311" t="s">
        <v>824</v>
      </c>
      <c r="E4311" t="s">
        <v>48</v>
      </c>
      <c r="F4311" t="s">
        <v>547</v>
      </c>
      <c r="G4311">
        <v>55.816667000000002</v>
      </c>
      <c r="H4311">
        <v>10.083333</v>
      </c>
      <c r="I4311" t="s">
        <v>768</v>
      </c>
      <c r="J4311" s="2" t="s">
        <v>14</v>
      </c>
      <c r="K4311" t="s">
        <v>548</v>
      </c>
      <c r="L4311" t="s">
        <v>144</v>
      </c>
      <c r="M4311" t="s">
        <v>553</v>
      </c>
      <c r="N4311" t="s">
        <v>85</v>
      </c>
      <c r="O4311" s="6" t="s">
        <v>90</v>
      </c>
      <c r="P4311" t="s">
        <v>108</v>
      </c>
      <c r="Q4311">
        <v>10</v>
      </c>
      <c r="R4311" t="s">
        <v>214</v>
      </c>
      <c r="S4311" s="2" t="s">
        <v>27</v>
      </c>
      <c r="T4311">
        <v>3</v>
      </c>
      <c r="U4311" t="s">
        <v>28</v>
      </c>
      <c r="V4311" t="s">
        <v>28</v>
      </c>
      <c r="W4311">
        <v>21</v>
      </c>
      <c r="X4311">
        <v>0.45100000000000001</v>
      </c>
      <c r="Y4311">
        <f>0.4649-X4311</f>
        <v>1.3899999999999968E-2</v>
      </c>
      <c r="AA4311" s="6"/>
      <c r="AB4311" s="6"/>
    </row>
    <row r="4312" spans="1:28" x14ac:dyDescent="0.2">
      <c r="A4312" t="s">
        <v>546</v>
      </c>
      <c r="B4312">
        <v>2019</v>
      </c>
      <c r="C4312" t="s">
        <v>826</v>
      </c>
      <c r="D4312" t="s">
        <v>824</v>
      </c>
      <c r="E4312" t="s">
        <v>48</v>
      </c>
      <c r="F4312" t="s">
        <v>547</v>
      </c>
      <c r="G4312">
        <v>55.816667000000002</v>
      </c>
      <c r="H4312">
        <v>10.083333</v>
      </c>
      <c r="I4312" t="s">
        <v>768</v>
      </c>
      <c r="J4312" s="2" t="s">
        <v>14</v>
      </c>
      <c r="K4312" t="s">
        <v>548</v>
      </c>
      <c r="L4312" t="s">
        <v>144</v>
      </c>
      <c r="M4312" t="s">
        <v>553</v>
      </c>
      <c r="N4312" t="s">
        <v>85</v>
      </c>
      <c r="O4312" s="6" t="s">
        <v>90</v>
      </c>
      <c r="P4312" t="s">
        <v>108</v>
      </c>
      <c r="Q4312">
        <v>10</v>
      </c>
      <c r="R4312" t="s">
        <v>213</v>
      </c>
      <c r="S4312" s="2" t="s">
        <v>13</v>
      </c>
      <c r="T4312">
        <v>3</v>
      </c>
      <c r="U4312" t="s">
        <v>28</v>
      </c>
      <c r="V4312" t="s">
        <v>28</v>
      </c>
      <c r="W4312">
        <v>24</v>
      </c>
      <c r="X4312">
        <v>0.46739999999999998</v>
      </c>
      <c r="Y4312">
        <f>0.4992-X4312</f>
        <v>3.1799999999999995E-2</v>
      </c>
      <c r="AA4312" s="6"/>
      <c r="AB4312" s="6"/>
    </row>
    <row r="4313" spans="1:28" x14ac:dyDescent="0.2">
      <c r="A4313" t="s">
        <v>546</v>
      </c>
      <c r="B4313">
        <v>2019</v>
      </c>
      <c r="C4313" t="s">
        <v>826</v>
      </c>
      <c r="D4313" t="s">
        <v>824</v>
      </c>
      <c r="E4313" t="s">
        <v>48</v>
      </c>
      <c r="F4313" t="s">
        <v>547</v>
      </c>
      <c r="G4313">
        <v>55.816667000000002</v>
      </c>
      <c r="H4313">
        <v>10.083333</v>
      </c>
      <c r="I4313" t="s">
        <v>768</v>
      </c>
      <c r="J4313" s="2" t="s">
        <v>7</v>
      </c>
      <c r="K4313" t="s">
        <v>548</v>
      </c>
      <c r="L4313" t="s">
        <v>144</v>
      </c>
      <c r="M4313" t="s">
        <v>553</v>
      </c>
      <c r="N4313" t="s">
        <v>85</v>
      </c>
      <c r="O4313" s="6" t="s">
        <v>90</v>
      </c>
      <c r="P4313" t="s">
        <v>108</v>
      </c>
      <c r="Q4313">
        <v>18</v>
      </c>
      <c r="R4313" t="s">
        <v>213</v>
      </c>
      <c r="S4313" s="2" t="s">
        <v>7</v>
      </c>
      <c r="T4313">
        <v>3</v>
      </c>
      <c r="U4313" t="s">
        <v>28</v>
      </c>
      <c r="V4313" t="s">
        <v>28</v>
      </c>
      <c r="W4313">
        <v>15</v>
      </c>
      <c r="X4313">
        <v>0.44019999999999998</v>
      </c>
      <c r="Y4313">
        <f>0.4649-X4313</f>
        <v>2.47E-2</v>
      </c>
      <c r="AA4313" s="6"/>
      <c r="AB4313" s="6"/>
    </row>
    <row r="4314" spans="1:28" x14ac:dyDescent="0.2">
      <c r="A4314" t="s">
        <v>546</v>
      </c>
      <c r="B4314">
        <v>2019</v>
      </c>
      <c r="C4314" t="s">
        <v>826</v>
      </c>
      <c r="D4314" t="s">
        <v>824</v>
      </c>
      <c r="E4314" t="s">
        <v>48</v>
      </c>
      <c r="F4314" t="s">
        <v>547</v>
      </c>
      <c r="G4314">
        <v>55.816667000000002</v>
      </c>
      <c r="H4314">
        <v>10.083333</v>
      </c>
      <c r="I4314" t="s">
        <v>768</v>
      </c>
      <c r="J4314" s="2" t="s">
        <v>14</v>
      </c>
      <c r="K4314" t="s">
        <v>548</v>
      </c>
      <c r="L4314" t="s">
        <v>144</v>
      </c>
      <c r="M4314" t="s">
        <v>553</v>
      </c>
      <c r="N4314" t="s">
        <v>85</v>
      </c>
      <c r="O4314" s="6" t="s">
        <v>90</v>
      </c>
      <c r="P4314" t="s">
        <v>108</v>
      </c>
      <c r="Q4314">
        <v>18</v>
      </c>
      <c r="R4314" t="s">
        <v>213</v>
      </c>
      <c r="S4314" s="2" t="s">
        <v>9</v>
      </c>
      <c r="T4314">
        <v>3</v>
      </c>
      <c r="U4314" t="s">
        <v>28</v>
      </c>
      <c r="V4314" t="s">
        <v>28</v>
      </c>
      <c r="W4314">
        <v>18</v>
      </c>
      <c r="X4314">
        <v>0.46360000000000001</v>
      </c>
      <c r="Y4314">
        <f>0.4827-X4314</f>
        <v>1.9100000000000006E-2</v>
      </c>
      <c r="AA4314" s="6"/>
      <c r="AB4314" s="6"/>
    </row>
    <row r="4315" spans="1:28" x14ac:dyDescent="0.2">
      <c r="A4315" t="s">
        <v>546</v>
      </c>
      <c r="B4315">
        <v>2019</v>
      </c>
      <c r="C4315" t="s">
        <v>826</v>
      </c>
      <c r="D4315" t="s">
        <v>824</v>
      </c>
      <c r="E4315" t="s">
        <v>48</v>
      </c>
      <c r="F4315" t="s">
        <v>547</v>
      </c>
      <c r="G4315">
        <v>55.816667000000002</v>
      </c>
      <c r="H4315">
        <v>10.083333</v>
      </c>
      <c r="I4315" t="s">
        <v>768</v>
      </c>
      <c r="J4315" s="2" t="s">
        <v>14</v>
      </c>
      <c r="K4315" t="s">
        <v>548</v>
      </c>
      <c r="L4315" t="s">
        <v>144</v>
      </c>
      <c r="M4315" t="s">
        <v>553</v>
      </c>
      <c r="N4315" t="s">
        <v>85</v>
      </c>
      <c r="O4315" s="6" t="s">
        <v>90</v>
      </c>
      <c r="P4315" t="s">
        <v>108</v>
      </c>
      <c r="Q4315">
        <v>18</v>
      </c>
      <c r="R4315" t="s">
        <v>213</v>
      </c>
      <c r="S4315" s="2" t="s">
        <v>27</v>
      </c>
      <c r="T4315">
        <v>3</v>
      </c>
      <c r="U4315" t="s">
        <v>28</v>
      </c>
      <c r="V4315" t="s">
        <v>28</v>
      </c>
      <c r="W4315">
        <v>21</v>
      </c>
      <c r="X4315">
        <v>0.55500000000000005</v>
      </c>
      <c r="Y4315">
        <f>0.5918-X4315</f>
        <v>3.6799999999999944E-2</v>
      </c>
      <c r="AA4315" s="6"/>
      <c r="AB4315" s="6"/>
    </row>
    <row r="4316" spans="1:28" x14ac:dyDescent="0.2">
      <c r="A4316" t="s">
        <v>546</v>
      </c>
      <c r="B4316">
        <v>2019</v>
      </c>
      <c r="C4316" t="s">
        <v>826</v>
      </c>
      <c r="D4316" t="s">
        <v>824</v>
      </c>
      <c r="E4316" t="s">
        <v>48</v>
      </c>
      <c r="F4316" t="s">
        <v>547</v>
      </c>
      <c r="G4316">
        <v>55.816667000000002</v>
      </c>
      <c r="H4316">
        <v>10.083333</v>
      </c>
      <c r="I4316" t="s">
        <v>768</v>
      </c>
      <c r="J4316" s="2" t="s">
        <v>7</v>
      </c>
      <c r="K4316" t="s">
        <v>548</v>
      </c>
      <c r="L4316" t="s">
        <v>144</v>
      </c>
      <c r="M4316" t="s">
        <v>553</v>
      </c>
      <c r="N4316" t="s">
        <v>86</v>
      </c>
      <c r="O4316" s="6" t="s">
        <v>359</v>
      </c>
      <c r="P4316" t="s">
        <v>108</v>
      </c>
      <c r="Q4316">
        <v>10</v>
      </c>
      <c r="R4316" t="s">
        <v>213</v>
      </c>
      <c r="S4316" s="2" t="s">
        <v>7</v>
      </c>
      <c r="T4316">
        <v>3</v>
      </c>
      <c r="U4316" t="s">
        <v>28</v>
      </c>
      <c r="V4316" t="s">
        <v>28</v>
      </c>
      <c r="W4316">
        <v>15</v>
      </c>
      <c r="X4316">
        <v>1.0999999999999999E-2</v>
      </c>
      <c r="Y4316">
        <f>0.011-X4316</f>
        <v>0</v>
      </c>
      <c r="AA4316" s="6"/>
      <c r="AB4316" s="6"/>
    </row>
    <row r="4317" spans="1:28" x14ac:dyDescent="0.2">
      <c r="A4317" t="s">
        <v>546</v>
      </c>
      <c r="B4317">
        <v>2019</v>
      </c>
      <c r="C4317" t="s">
        <v>826</v>
      </c>
      <c r="D4317" t="s">
        <v>824</v>
      </c>
      <c r="E4317" t="s">
        <v>48</v>
      </c>
      <c r="F4317" t="s">
        <v>547</v>
      </c>
      <c r="G4317">
        <v>55.816667000000002</v>
      </c>
      <c r="H4317">
        <v>10.083333</v>
      </c>
      <c r="I4317" t="s">
        <v>768</v>
      </c>
      <c r="J4317" s="2" t="s">
        <v>14</v>
      </c>
      <c r="K4317" t="s">
        <v>548</v>
      </c>
      <c r="L4317" t="s">
        <v>144</v>
      </c>
      <c r="M4317" t="s">
        <v>553</v>
      </c>
      <c r="N4317" t="s">
        <v>86</v>
      </c>
      <c r="O4317" s="6" t="s">
        <v>359</v>
      </c>
      <c r="P4317" t="s">
        <v>108</v>
      </c>
      <c r="Q4317">
        <v>10</v>
      </c>
      <c r="R4317" t="s">
        <v>214</v>
      </c>
      <c r="S4317" s="2" t="s">
        <v>9</v>
      </c>
      <c r="T4317">
        <v>3</v>
      </c>
      <c r="U4317" t="s">
        <v>28</v>
      </c>
      <c r="V4317" t="s">
        <v>28</v>
      </c>
      <c r="W4317">
        <v>18</v>
      </c>
      <c r="X4317">
        <v>0.01</v>
      </c>
      <c r="Y4317">
        <f>0.011-X4317</f>
        <v>9.9999999999999915E-4</v>
      </c>
      <c r="AA4317" s="6"/>
      <c r="AB4317" s="6"/>
    </row>
    <row r="4318" spans="1:28" x14ac:dyDescent="0.2">
      <c r="A4318" t="s">
        <v>546</v>
      </c>
      <c r="B4318">
        <v>2019</v>
      </c>
      <c r="C4318" t="s">
        <v>826</v>
      </c>
      <c r="D4318" t="s">
        <v>824</v>
      </c>
      <c r="E4318" t="s">
        <v>48</v>
      </c>
      <c r="F4318" t="s">
        <v>547</v>
      </c>
      <c r="G4318">
        <v>55.816667000000002</v>
      </c>
      <c r="H4318">
        <v>10.083333</v>
      </c>
      <c r="I4318" t="s">
        <v>768</v>
      </c>
      <c r="J4318" s="2" t="s">
        <v>14</v>
      </c>
      <c r="K4318" t="s">
        <v>548</v>
      </c>
      <c r="L4318" t="s">
        <v>144</v>
      </c>
      <c r="M4318" t="s">
        <v>553</v>
      </c>
      <c r="N4318" t="s">
        <v>86</v>
      </c>
      <c r="O4318" s="6" t="s">
        <v>359</v>
      </c>
      <c r="P4318" t="s">
        <v>108</v>
      </c>
      <c r="Q4318">
        <v>10</v>
      </c>
      <c r="R4318" t="s">
        <v>214</v>
      </c>
      <c r="S4318" s="2" t="s">
        <v>27</v>
      </c>
      <c r="T4318">
        <v>3</v>
      </c>
      <c r="U4318" t="s">
        <v>28</v>
      </c>
      <c r="V4318" t="s">
        <v>28</v>
      </c>
      <c r="W4318">
        <v>21</v>
      </c>
      <c r="X4318">
        <v>1.6E-2</v>
      </c>
      <c r="Y4318">
        <f>0.019-X4318</f>
        <v>2.9999999999999992E-3</v>
      </c>
      <c r="AA4318" s="6"/>
      <c r="AB4318" s="6"/>
    </row>
    <row r="4319" spans="1:28" x14ac:dyDescent="0.2">
      <c r="A4319" t="s">
        <v>546</v>
      </c>
      <c r="B4319">
        <v>2019</v>
      </c>
      <c r="C4319" t="s">
        <v>826</v>
      </c>
      <c r="D4319" t="s">
        <v>824</v>
      </c>
      <c r="E4319" t="s">
        <v>48</v>
      </c>
      <c r="F4319" t="s">
        <v>547</v>
      </c>
      <c r="G4319">
        <v>55.816667000000002</v>
      </c>
      <c r="H4319">
        <v>10.083333</v>
      </c>
      <c r="I4319" t="s">
        <v>768</v>
      </c>
      <c r="J4319" s="2" t="s">
        <v>14</v>
      </c>
      <c r="K4319" t="s">
        <v>548</v>
      </c>
      <c r="L4319" t="s">
        <v>144</v>
      </c>
      <c r="M4319" t="s">
        <v>553</v>
      </c>
      <c r="N4319" t="s">
        <v>86</v>
      </c>
      <c r="O4319" s="6" t="s">
        <v>359</v>
      </c>
      <c r="P4319" t="s">
        <v>108</v>
      </c>
      <c r="Q4319">
        <v>10</v>
      </c>
      <c r="R4319" t="s">
        <v>213</v>
      </c>
      <c r="S4319" s="2" t="s">
        <v>13</v>
      </c>
      <c r="T4319">
        <v>3</v>
      </c>
      <c r="U4319" t="s">
        <v>28</v>
      </c>
      <c r="V4319" t="s">
        <v>28</v>
      </c>
      <c r="W4319">
        <v>24</v>
      </c>
      <c r="X4319">
        <v>0.02</v>
      </c>
      <c r="Y4319">
        <f>0.026-X4319</f>
        <v>5.9999999999999984E-3</v>
      </c>
      <c r="AA4319" s="6"/>
      <c r="AB4319" s="6"/>
    </row>
    <row r="4320" spans="1:28" x14ac:dyDescent="0.2">
      <c r="A4320" t="s">
        <v>546</v>
      </c>
      <c r="B4320">
        <v>2019</v>
      </c>
      <c r="C4320" t="s">
        <v>826</v>
      </c>
      <c r="D4320" t="s">
        <v>824</v>
      </c>
      <c r="E4320" t="s">
        <v>48</v>
      </c>
      <c r="F4320" t="s">
        <v>547</v>
      </c>
      <c r="G4320">
        <v>55.816667000000002</v>
      </c>
      <c r="H4320">
        <v>10.083333</v>
      </c>
      <c r="I4320" t="s">
        <v>768</v>
      </c>
      <c r="J4320" s="2" t="s">
        <v>7</v>
      </c>
      <c r="K4320" t="s">
        <v>548</v>
      </c>
      <c r="L4320" t="s">
        <v>144</v>
      </c>
      <c r="M4320" t="s">
        <v>553</v>
      </c>
      <c r="N4320" t="s">
        <v>86</v>
      </c>
      <c r="O4320" s="6" t="s">
        <v>359</v>
      </c>
      <c r="P4320" t="s">
        <v>108</v>
      </c>
      <c r="Q4320">
        <v>18</v>
      </c>
      <c r="R4320" t="s">
        <v>213</v>
      </c>
      <c r="S4320" s="2" t="s">
        <v>7</v>
      </c>
      <c r="T4320">
        <v>3</v>
      </c>
      <c r="U4320" t="s">
        <v>28</v>
      </c>
      <c r="V4320" t="s">
        <v>28</v>
      </c>
      <c r="W4320">
        <v>15</v>
      </c>
      <c r="X4320">
        <v>1.2E-2</v>
      </c>
      <c r="Y4320">
        <f>0.013-X4320</f>
        <v>9.9999999999999915E-4</v>
      </c>
      <c r="AA4320" s="6"/>
      <c r="AB4320" s="6"/>
    </row>
    <row r="4321" spans="1:28" x14ac:dyDescent="0.2">
      <c r="A4321" t="s">
        <v>546</v>
      </c>
      <c r="B4321">
        <v>2019</v>
      </c>
      <c r="C4321" t="s">
        <v>826</v>
      </c>
      <c r="D4321" t="s">
        <v>824</v>
      </c>
      <c r="E4321" t="s">
        <v>48</v>
      </c>
      <c r="F4321" t="s">
        <v>547</v>
      </c>
      <c r="G4321">
        <v>55.816667000000002</v>
      </c>
      <c r="H4321">
        <v>10.083333</v>
      </c>
      <c r="I4321" t="s">
        <v>768</v>
      </c>
      <c r="J4321" s="2" t="s">
        <v>14</v>
      </c>
      <c r="K4321" t="s">
        <v>548</v>
      </c>
      <c r="L4321" t="s">
        <v>144</v>
      </c>
      <c r="M4321" t="s">
        <v>553</v>
      </c>
      <c r="N4321" t="s">
        <v>86</v>
      </c>
      <c r="O4321" s="6" t="s">
        <v>359</v>
      </c>
      <c r="P4321" t="s">
        <v>108</v>
      </c>
      <c r="Q4321">
        <v>18</v>
      </c>
      <c r="R4321" t="s">
        <v>213</v>
      </c>
      <c r="S4321" s="2" t="s">
        <v>9</v>
      </c>
      <c r="T4321">
        <v>3</v>
      </c>
      <c r="U4321" t="s">
        <v>28</v>
      </c>
      <c r="V4321" t="s">
        <v>28</v>
      </c>
      <c r="W4321">
        <v>18</v>
      </c>
      <c r="X4321">
        <v>1.0999999999999999E-2</v>
      </c>
      <c r="Y4321">
        <f>0.012-X4321</f>
        <v>1.0000000000000009E-3</v>
      </c>
      <c r="AA4321" s="6"/>
      <c r="AB4321" s="6"/>
    </row>
    <row r="4322" spans="1:28" x14ac:dyDescent="0.2">
      <c r="A4322" t="s">
        <v>546</v>
      </c>
      <c r="B4322">
        <v>2019</v>
      </c>
      <c r="C4322" t="s">
        <v>826</v>
      </c>
      <c r="D4322" t="s">
        <v>824</v>
      </c>
      <c r="E4322" t="s">
        <v>48</v>
      </c>
      <c r="F4322" t="s">
        <v>547</v>
      </c>
      <c r="G4322">
        <v>55.816667000000002</v>
      </c>
      <c r="H4322">
        <v>10.083333</v>
      </c>
      <c r="I4322" t="s">
        <v>768</v>
      </c>
      <c r="J4322" s="2" t="s">
        <v>14</v>
      </c>
      <c r="K4322" t="s">
        <v>548</v>
      </c>
      <c r="L4322" t="s">
        <v>144</v>
      </c>
      <c r="M4322" t="s">
        <v>553</v>
      </c>
      <c r="N4322" t="s">
        <v>86</v>
      </c>
      <c r="O4322" s="6" t="s">
        <v>359</v>
      </c>
      <c r="P4322" t="s">
        <v>108</v>
      </c>
      <c r="Q4322">
        <v>18</v>
      </c>
      <c r="R4322" t="s">
        <v>213</v>
      </c>
      <c r="S4322" s="2" t="s">
        <v>27</v>
      </c>
      <c r="T4322">
        <v>3</v>
      </c>
      <c r="U4322" t="s">
        <v>28</v>
      </c>
      <c r="V4322" t="s">
        <v>28</v>
      </c>
      <c r="W4322">
        <v>21</v>
      </c>
      <c r="X4322">
        <v>1.7000000000000001E-2</v>
      </c>
      <c r="Y4322">
        <f>0.02-X4322</f>
        <v>2.9999999999999992E-3</v>
      </c>
      <c r="AA4322" s="6"/>
      <c r="AB4322" s="6"/>
    </row>
    <row r="4323" spans="1:28" x14ac:dyDescent="0.2">
      <c r="A4323" t="s">
        <v>546</v>
      </c>
      <c r="B4323">
        <v>2019</v>
      </c>
      <c r="C4323" t="s">
        <v>826</v>
      </c>
      <c r="D4323" t="s">
        <v>824</v>
      </c>
      <c r="E4323" t="s">
        <v>48</v>
      </c>
      <c r="F4323" t="s">
        <v>547</v>
      </c>
      <c r="G4323">
        <v>55.816667000000002</v>
      </c>
      <c r="H4323">
        <v>10.083333</v>
      </c>
      <c r="I4323" t="s">
        <v>768</v>
      </c>
      <c r="J4323" s="2" t="s">
        <v>7</v>
      </c>
      <c r="K4323" t="s">
        <v>548</v>
      </c>
      <c r="L4323" t="s">
        <v>144</v>
      </c>
      <c r="M4323" t="s">
        <v>553</v>
      </c>
      <c r="N4323" t="s">
        <v>85</v>
      </c>
      <c r="O4323" s="6" t="s">
        <v>368</v>
      </c>
      <c r="P4323" t="s">
        <v>108</v>
      </c>
      <c r="Q4323">
        <v>10</v>
      </c>
      <c r="R4323" t="s">
        <v>213</v>
      </c>
      <c r="S4323" s="2" t="s">
        <v>7</v>
      </c>
      <c r="T4323">
        <v>3</v>
      </c>
      <c r="U4323" t="s">
        <v>28</v>
      </c>
      <c r="V4323" t="s">
        <v>28</v>
      </c>
      <c r="W4323">
        <v>15</v>
      </c>
      <c r="X4323">
        <v>3.9E-2</v>
      </c>
      <c r="Y4323">
        <f>0.043-X4323</f>
        <v>3.9999999999999966E-3</v>
      </c>
      <c r="AA4323" s="6"/>
      <c r="AB4323" s="6"/>
    </row>
    <row r="4324" spans="1:28" x14ac:dyDescent="0.2">
      <c r="A4324" t="s">
        <v>546</v>
      </c>
      <c r="B4324">
        <v>2019</v>
      </c>
      <c r="C4324" t="s">
        <v>826</v>
      </c>
      <c r="D4324" t="s">
        <v>824</v>
      </c>
      <c r="E4324" t="s">
        <v>48</v>
      </c>
      <c r="F4324" t="s">
        <v>547</v>
      </c>
      <c r="G4324">
        <v>55.816667000000002</v>
      </c>
      <c r="H4324">
        <v>10.083333</v>
      </c>
      <c r="I4324" t="s">
        <v>768</v>
      </c>
      <c r="J4324" s="2" t="s">
        <v>14</v>
      </c>
      <c r="K4324" t="s">
        <v>548</v>
      </c>
      <c r="L4324" t="s">
        <v>144</v>
      </c>
      <c r="M4324" t="s">
        <v>553</v>
      </c>
      <c r="N4324" t="s">
        <v>85</v>
      </c>
      <c r="O4324" s="6" t="s">
        <v>368</v>
      </c>
      <c r="P4324" t="s">
        <v>108</v>
      </c>
      <c r="Q4324">
        <v>10</v>
      </c>
      <c r="R4324" t="s">
        <v>214</v>
      </c>
      <c r="S4324" s="2" t="s">
        <v>9</v>
      </c>
      <c r="T4324">
        <v>3</v>
      </c>
      <c r="U4324" t="s">
        <v>28</v>
      </c>
      <c r="V4324" t="s">
        <v>28</v>
      </c>
      <c r="W4324">
        <v>18</v>
      </c>
      <c r="X4324">
        <v>4.2000000000000003E-2</v>
      </c>
      <c r="Y4324">
        <f>0.045-X4324</f>
        <v>2.9999999999999957E-3</v>
      </c>
      <c r="AA4324" s="6"/>
      <c r="AB4324" s="6"/>
    </row>
    <row r="4325" spans="1:28" x14ac:dyDescent="0.2">
      <c r="A4325" t="s">
        <v>546</v>
      </c>
      <c r="B4325">
        <v>2019</v>
      </c>
      <c r="C4325" t="s">
        <v>826</v>
      </c>
      <c r="D4325" t="s">
        <v>824</v>
      </c>
      <c r="E4325" t="s">
        <v>48</v>
      </c>
      <c r="F4325" t="s">
        <v>547</v>
      </c>
      <c r="G4325">
        <v>55.816667000000002</v>
      </c>
      <c r="H4325">
        <v>10.083333</v>
      </c>
      <c r="I4325" t="s">
        <v>768</v>
      </c>
      <c r="J4325" s="2" t="s">
        <v>14</v>
      </c>
      <c r="K4325" t="s">
        <v>548</v>
      </c>
      <c r="L4325" t="s">
        <v>144</v>
      </c>
      <c r="M4325" t="s">
        <v>553</v>
      </c>
      <c r="N4325" t="s">
        <v>85</v>
      </c>
      <c r="O4325" s="6" t="s">
        <v>368</v>
      </c>
      <c r="P4325" t="s">
        <v>108</v>
      </c>
      <c r="Q4325">
        <v>10</v>
      </c>
      <c r="R4325" t="s">
        <v>214</v>
      </c>
      <c r="S4325" s="2" t="s">
        <v>27</v>
      </c>
      <c r="T4325">
        <v>3</v>
      </c>
      <c r="U4325" t="s">
        <v>28</v>
      </c>
      <c r="V4325" t="s">
        <v>28</v>
      </c>
      <c r="W4325">
        <v>21</v>
      </c>
      <c r="X4325">
        <v>6.8000000000000005E-2</v>
      </c>
      <c r="Y4325">
        <f>0.076-X4325</f>
        <v>7.9999999999999932E-3</v>
      </c>
      <c r="AA4325" s="6"/>
      <c r="AB4325" s="6"/>
    </row>
    <row r="4326" spans="1:28" x14ac:dyDescent="0.2">
      <c r="A4326" t="s">
        <v>546</v>
      </c>
      <c r="B4326">
        <v>2019</v>
      </c>
      <c r="C4326" t="s">
        <v>826</v>
      </c>
      <c r="D4326" t="s">
        <v>824</v>
      </c>
      <c r="E4326" t="s">
        <v>48</v>
      </c>
      <c r="F4326" t="s">
        <v>547</v>
      </c>
      <c r="G4326">
        <v>55.816667000000002</v>
      </c>
      <c r="H4326">
        <v>10.083333</v>
      </c>
      <c r="I4326" t="s">
        <v>768</v>
      </c>
      <c r="J4326" s="2" t="s">
        <v>14</v>
      </c>
      <c r="K4326" t="s">
        <v>548</v>
      </c>
      <c r="L4326" t="s">
        <v>144</v>
      </c>
      <c r="M4326" t="s">
        <v>553</v>
      </c>
      <c r="N4326" t="s">
        <v>85</v>
      </c>
      <c r="O4326" s="6" t="s">
        <v>368</v>
      </c>
      <c r="P4326" t="s">
        <v>108</v>
      </c>
      <c r="Q4326">
        <v>10</v>
      </c>
      <c r="R4326" t="s">
        <v>213</v>
      </c>
      <c r="S4326" s="2" t="s">
        <v>13</v>
      </c>
      <c r="T4326">
        <v>3</v>
      </c>
      <c r="U4326" t="s">
        <v>28</v>
      </c>
      <c r="V4326" t="s">
        <v>28</v>
      </c>
      <c r="W4326">
        <v>24</v>
      </c>
      <c r="X4326">
        <v>5.8999999999999997E-2</v>
      </c>
      <c r="Y4326">
        <f>0.065-X4326</f>
        <v>6.0000000000000053E-3</v>
      </c>
      <c r="AA4326" s="6"/>
      <c r="AB4326" s="6"/>
    </row>
    <row r="4327" spans="1:28" x14ac:dyDescent="0.2">
      <c r="A4327" t="s">
        <v>546</v>
      </c>
      <c r="B4327">
        <v>2019</v>
      </c>
      <c r="C4327" t="s">
        <v>826</v>
      </c>
      <c r="D4327" t="s">
        <v>824</v>
      </c>
      <c r="E4327" t="s">
        <v>48</v>
      </c>
      <c r="F4327" t="s">
        <v>547</v>
      </c>
      <c r="G4327">
        <v>55.816667000000002</v>
      </c>
      <c r="H4327">
        <v>10.083333</v>
      </c>
      <c r="I4327" t="s">
        <v>768</v>
      </c>
      <c r="J4327" s="2" t="s">
        <v>7</v>
      </c>
      <c r="K4327" t="s">
        <v>548</v>
      </c>
      <c r="L4327" t="s">
        <v>144</v>
      </c>
      <c r="M4327" t="s">
        <v>553</v>
      </c>
      <c r="N4327" t="s">
        <v>85</v>
      </c>
      <c r="O4327" s="6" t="s">
        <v>368</v>
      </c>
      <c r="P4327" t="s">
        <v>108</v>
      </c>
      <c r="Q4327">
        <v>18</v>
      </c>
      <c r="R4327" t="s">
        <v>213</v>
      </c>
      <c r="S4327" s="2" t="s">
        <v>7</v>
      </c>
      <c r="T4327">
        <v>3</v>
      </c>
      <c r="U4327" t="s">
        <v>28</v>
      </c>
      <c r="V4327" t="s">
        <v>28</v>
      </c>
      <c r="W4327">
        <v>15</v>
      </c>
      <c r="X4327">
        <v>4.7E-2</v>
      </c>
      <c r="Y4327">
        <f>0.05-X4327</f>
        <v>3.0000000000000027E-3</v>
      </c>
      <c r="AA4327" s="6"/>
      <c r="AB4327" s="6"/>
    </row>
    <row r="4328" spans="1:28" x14ac:dyDescent="0.2">
      <c r="A4328" t="s">
        <v>546</v>
      </c>
      <c r="B4328">
        <v>2019</v>
      </c>
      <c r="C4328" t="s">
        <v>826</v>
      </c>
      <c r="D4328" t="s">
        <v>824</v>
      </c>
      <c r="E4328" t="s">
        <v>48</v>
      </c>
      <c r="F4328" t="s">
        <v>547</v>
      </c>
      <c r="G4328">
        <v>55.816667000000002</v>
      </c>
      <c r="H4328">
        <v>10.083333</v>
      </c>
      <c r="I4328" t="s">
        <v>768</v>
      </c>
      <c r="J4328" s="2" t="s">
        <v>14</v>
      </c>
      <c r="K4328" t="s">
        <v>548</v>
      </c>
      <c r="L4328" t="s">
        <v>144</v>
      </c>
      <c r="M4328" t="s">
        <v>553</v>
      </c>
      <c r="N4328" t="s">
        <v>85</v>
      </c>
      <c r="O4328" s="6" t="s">
        <v>368</v>
      </c>
      <c r="P4328" t="s">
        <v>108</v>
      </c>
      <c r="Q4328">
        <v>18</v>
      </c>
      <c r="R4328" t="s">
        <v>213</v>
      </c>
      <c r="S4328" s="2" t="s">
        <v>9</v>
      </c>
      <c r="T4328">
        <v>3</v>
      </c>
      <c r="U4328" t="s">
        <v>28</v>
      </c>
      <c r="V4328" t="s">
        <v>28</v>
      </c>
      <c r="W4328">
        <v>18</v>
      </c>
      <c r="X4328">
        <v>5.7000000000000002E-2</v>
      </c>
      <c r="Y4328">
        <f>0.059-X4328</f>
        <v>1.9999999999999948E-3</v>
      </c>
      <c r="AA4328" s="6"/>
      <c r="AB4328" s="6"/>
    </row>
    <row r="4329" spans="1:28" x14ac:dyDescent="0.2">
      <c r="A4329" t="s">
        <v>546</v>
      </c>
      <c r="B4329">
        <v>2019</v>
      </c>
      <c r="C4329" t="s">
        <v>826</v>
      </c>
      <c r="D4329" t="s">
        <v>824</v>
      </c>
      <c r="E4329" t="s">
        <v>48</v>
      </c>
      <c r="F4329" t="s">
        <v>547</v>
      </c>
      <c r="G4329">
        <v>55.816667000000002</v>
      </c>
      <c r="H4329">
        <v>10.083333</v>
      </c>
      <c r="I4329" t="s">
        <v>768</v>
      </c>
      <c r="J4329" s="2" t="s">
        <v>14</v>
      </c>
      <c r="K4329" t="s">
        <v>548</v>
      </c>
      <c r="L4329" t="s">
        <v>144</v>
      </c>
      <c r="M4329" t="s">
        <v>553</v>
      </c>
      <c r="N4329" t="s">
        <v>85</v>
      </c>
      <c r="O4329" s="6" t="s">
        <v>368</v>
      </c>
      <c r="P4329" t="s">
        <v>108</v>
      </c>
      <c r="Q4329">
        <v>18</v>
      </c>
      <c r="R4329" t="s">
        <v>213</v>
      </c>
      <c r="S4329" s="2" t="s">
        <v>27</v>
      </c>
      <c r="T4329">
        <v>3</v>
      </c>
      <c r="U4329" t="s">
        <v>28</v>
      </c>
      <c r="V4329" t="s">
        <v>28</v>
      </c>
      <c r="W4329">
        <v>21</v>
      </c>
      <c r="X4329">
        <v>7.0999999999999994E-2</v>
      </c>
      <c r="Y4329">
        <f>0.08-X4329</f>
        <v>9.000000000000008E-3</v>
      </c>
      <c r="AA4329" s="6"/>
      <c r="AB4329" s="6"/>
    </row>
    <row r="4330" spans="1:28" x14ac:dyDescent="0.2">
      <c r="A4330" t="s">
        <v>546</v>
      </c>
      <c r="B4330">
        <v>2019</v>
      </c>
      <c r="C4330" t="s">
        <v>826</v>
      </c>
      <c r="D4330" t="s">
        <v>824</v>
      </c>
      <c r="E4330" t="s">
        <v>48</v>
      </c>
      <c r="F4330" t="s">
        <v>547</v>
      </c>
      <c r="G4330">
        <v>55.816667000000002</v>
      </c>
      <c r="H4330">
        <v>10.083333</v>
      </c>
      <c r="I4330" t="s">
        <v>768</v>
      </c>
      <c r="J4330" s="2" t="s">
        <v>7</v>
      </c>
      <c r="K4330" t="s">
        <v>548</v>
      </c>
      <c r="L4330" t="s">
        <v>144</v>
      </c>
      <c r="M4330" t="s">
        <v>553</v>
      </c>
      <c r="N4330" t="s">
        <v>85</v>
      </c>
      <c r="O4330" s="6" t="s">
        <v>364</v>
      </c>
      <c r="P4330" t="s">
        <v>28</v>
      </c>
      <c r="Q4330">
        <v>10</v>
      </c>
      <c r="R4330" t="s">
        <v>213</v>
      </c>
      <c r="S4330" s="2" t="s">
        <v>7</v>
      </c>
      <c r="T4330">
        <v>3</v>
      </c>
      <c r="U4330" t="s">
        <v>28</v>
      </c>
      <c r="V4330" t="s">
        <v>28</v>
      </c>
      <c r="W4330">
        <v>15</v>
      </c>
      <c r="X4330">
        <v>0</v>
      </c>
      <c r="Y4330">
        <v>0</v>
      </c>
      <c r="AA4330" s="6"/>
      <c r="AB4330" s="6"/>
    </row>
    <row r="4331" spans="1:28" x14ac:dyDescent="0.2">
      <c r="A4331" t="s">
        <v>546</v>
      </c>
      <c r="B4331">
        <v>2019</v>
      </c>
      <c r="C4331" t="s">
        <v>826</v>
      </c>
      <c r="D4331" t="s">
        <v>824</v>
      </c>
      <c r="E4331" t="s">
        <v>48</v>
      </c>
      <c r="F4331" t="s">
        <v>547</v>
      </c>
      <c r="G4331">
        <v>55.816667000000002</v>
      </c>
      <c r="H4331">
        <v>10.083333</v>
      </c>
      <c r="I4331" t="s">
        <v>768</v>
      </c>
      <c r="J4331" s="2" t="s">
        <v>14</v>
      </c>
      <c r="K4331" t="s">
        <v>548</v>
      </c>
      <c r="L4331" t="s">
        <v>144</v>
      </c>
      <c r="M4331" t="s">
        <v>553</v>
      </c>
      <c r="N4331" t="s">
        <v>85</v>
      </c>
      <c r="O4331" s="6" t="s">
        <v>364</v>
      </c>
      <c r="P4331" t="s">
        <v>28</v>
      </c>
      <c r="Q4331">
        <v>10</v>
      </c>
      <c r="R4331" t="s">
        <v>214</v>
      </c>
      <c r="S4331" s="2" t="s">
        <v>9</v>
      </c>
      <c r="T4331">
        <v>3</v>
      </c>
      <c r="U4331" t="s">
        <v>28</v>
      </c>
      <c r="V4331" t="s">
        <v>28</v>
      </c>
      <c r="W4331">
        <v>18</v>
      </c>
      <c r="X4331">
        <v>0</v>
      </c>
      <c r="Y4331">
        <v>0</v>
      </c>
      <c r="AA4331" s="6"/>
      <c r="AB4331" s="6"/>
    </row>
    <row r="4332" spans="1:28" x14ac:dyDescent="0.2">
      <c r="A4332" t="s">
        <v>546</v>
      </c>
      <c r="B4332">
        <v>2019</v>
      </c>
      <c r="C4332" t="s">
        <v>826</v>
      </c>
      <c r="D4332" t="s">
        <v>824</v>
      </c>
      <c r="E4332" t="s">
        <v>48</v>
      </c>
      <c r="F4332" t="s">
        <v>547</v>
      </c>
      <c r="G4332">
        <v>55.816667000000002</v>
      </c>
      <c r="H4332">
        <v>10.083333</v>
      </c>
      <c r="I4332" t="s">
        <v>768</v>
      </c>
      <c r="J4332" s="2" t="s">
        <v>14</v>
      </c>
      <c r="K4332" t="s">
        <v>548</v>
      </c>
      <c r="L4332" t="s">
        <v>144</v>
      </c>
      <c r="M4332" t="s">
        <v>553</v>
      </c>
      <c r="N4332" t="s">
        <v>85</v>
      </c>
      <c r="O4332" s="6" t="s">
        <v>364</v>
      </c>
      <c r="P4332" t="s">
        <v>28</v>
      </c>
      <c r="Q4332">
        <v>10</v>
      </c>
      <c r="R4332" t="s">
        <v>214</v>
      </c>
      <c r="S4332" s="2" t="s">
        <v>27</v>
      </c>
      <c r="T4332">
        <v>3</v>
      </c>
      <c r="U4332" t="s">
        <v>28</v>
      </c>
      <c r="V4332" t="s">
        <v>28</v>
      </c>
      <c r="W4332">
        <v>21</v>
      </c>
      <c r="X4332">
        <v>9.5799999999999996E-2</v>
      </c>
      <c r="Y4332">
        <f>0.1458-X4332</f>
        <v>5.0000000000000017E-2</v>
      </c>
      <c r="AA4332" s="6"/>
      <c r="AB4332" s="6"/>
    </row>
    <row r="4333" spans="1:28" x14ac:dyDescent="0.2">
      <c r="A4333" t="s">
        <v>546</v>
      </c>
      <c r="B4333">
        <v>2019</v>
      </c>
      <c r="C4333" t="s">
        <v>826</v>
      </c>
      <c r="D4333" t="s">
        <v>824</v>
      </c>
      <c r="E4333" t="s">
        <v>48</v>
      </c>
      <c r="F4333" t="s">
        <v>547</v>
      </c>
      <c r="G4333">
        <v>55.816667000000002</v>
      </c>
      <c r="H4333">
        <v>10.083333</v>
      </c>
      <c r="I4333" t="s">
        <v>768</v>
      </c>
      <c r="J4333" s="2" t="s">
        <v>14</v>
      </c>
      <c r="K4333" t="s">
        <v>548</v>
      </c>
      <c r="L4333" t="s">
        <v>144</v>
      </c>
      <c r="M4333" t="s">
        <v>553</v>
      </c>
      <c r="N4333" t="s">
        <v>85</v>
      </c>
      <c r="O4333" s="6" t="s">
        <v>364</v>
      </c>
      <c r="P4333" t="s">
        <v>28</v>
      </c>
      <c r="Q4333">
        <v>10</v>
      </c>
      <c r="R4333" t="s">
        <v>213</v>
      </c>
      <c r="S4333" s="2" t="s">
        <v>13</v>
      </c>
      <c r="T4333">
        <v>3</v>
      </c>
      <c r="U4333" t="s">
        <v>28</v>
      </c>
      <c r="V4333" t="s">
        <v>28</v>
      </c>
      <c r="W4333">
        <v>24</v>
      </c>
      <c r="X4333">
        <v>0.70330000000000004</v>
      </c>
      <c r="Y4333">
        <f>0.7361-X4333</f>
        <v>3.279999999999994E-2</v>
      </c>
      <c r="AA4333" s="6"/>
      <c r="AB4333" s="6"/>
    </row>
    <row r="4334" spans="1:28" x14ac:dyDescent="0.2">
      <c r="A4334" t="s">
        <v>546</v>
      </c>
      <c r="B4334">
        <v>2019</v>
      </c>
      <c r="C4334" t="s">
        <v>826</v>
      </c>
      <c r="D4334" t="s">
        <v>824</v>
      </c>
      <c r="E4334" t="s">
        <v>48</v>
      </c>
      <c r="F4334" t="s">
        <v>547</v>
      </c>
      <c r="G4334">
        <v>55.816667000000002</v>
      </c>
      <c r="H4334">
        <v>10.083333</v>
      </c>
      <c r="I4334" t="s">
        <v>768</v>
      </c>
      <c r="J4334" s="2" t="s">
        <v>7</v>
      </c>
      <c r="K4334" t="s">
        <v>548</v>
      </c>
      <c r="L4334" t="s">
        <v>144</v>
      </c>
      <c r="M4334" t="s">
        <v>553</v>
      </c>
      <c r="N4334" t="s">
        <v>85</v>
      </c>
      <c r="O4334" s="6" t="s">
        <v>364</v>
      </c>
      <c r="P4334" t="s">
        <v>28</v>
      </c>
      <c r="Q4334">
        <v>18</v>
      </c>
      <c r="R4334" t="s">
        <v>213</v>
      </c>
      <c r="S4334" s="2" t="s">
        <v>7</v>
      </c>
      <c r="T4334">
        <v>3</v>
      </c>
      <c r="U4334" t="s">
        <v>28</v>
      </c>
      <c r="V4334" t="s">
        <v>28</v>
      </c>
      <c r="W4334">
        <v>15</v>
      </c>
      <c r="X4334">
        <v>1.38E-2</v>
      </c>
      <c r="Y4334">
        <f>0.0285-X4334</f>
        <v>1.4700000000000001E-2</v>
      </c>
      <c r="AA4334" s="6"/>
      <c r="AB4334" s="6"/>
    </row>
    <row r="4335" spans="1:28" x14ac:dyDescent="0.2">
      <c r="A4335" t="s">
        <v>546</v>
      </c>
      <c r="B4335">
        <v>2019</v>
      </c>
      <c r="C4335" t="s">
        <v>826</v>
      </c>
      <c r="D4335" t="s">
        <v>824</v>
      </c>
      <c r="E4335" t="s">
        <v>48</v>
      </c>
      <c r="F4335" t="s">
        <v>547</v>
      </c>
      <c r="G4335">
        <v>55.816667000000002</v>
      </c>
      <c r="H4335">
        <v>10.083333</v>
      </c>
      <c r="I4335" t="s">
        <v>768</v>
      </c>
      <c r="J4335" s="2" t="s">
        <v>14</v>
      </c>
      <c r="K4335" t="s">
        <v>548</v>
      </c>
      <c r="L4335" t="s">
        <v>144</v>
      </c>
      <c r="M4335" t="s">
        <v>553</v>
      </c>
      <c r="N4335" t="s">
        <v>85</v>
      </c>
      <c r="O4335" s="6" t="s">
        <v>364</v>
      </c>
      <c r="P4335" t="s">
        <v>28</v>
      </c>
      <c r="Q4335">
        <v>18</v>
      </c>
      <c r="R4335" t="s">
        <v>213</v>
      </c>
      <c r="S4335" s="2" t="s">
        <v>9</v>
      </c>
      <c r="T4335">
        <v>3</v>
      </c>
      <c r="U4335" t="s">
        <v>28</v>
      </c>
      <c r="V4335" t="s">
        <v>28</v>
      </c>
      <c r="W4335">
        <v>18</v>
      </c>
      <c r="X4335">
        <v>0</v>
      </c>
      <c r="Y4335">
        <v>0</v>
      </c>
      <c r="AA4335" s="6"/>
      <c r="AB4335" s="6"/>
    </row>
    <row r="4336" spans="1:28" x14ac:dyDescent="0.2">
      <c r="A4336" t="s">
        <v>546</v>
      </c>
      <c r="B4336">
        <v>2019</v>
      </c>
      <c r="C4336" t="s">
        <v>826</v>
      </c>
      <c r="D4336" t="s">
        <v>824</v>
      </c>
      <c r="E4336" t="s">
        <v>48</v>
      </c>
      <c r="F4336" t="s">
        <v>547</v>
      </c>
      <c r="G4336">
        <v>55.816667000000002</v>
      </c>
      <c r="H4336">
        <v>10.083333</v>
      </c>
      <c r="I4336" t="s">
        <v>768</v>
      </c>
      <c r="J4336" s="2" t="s">
        <v>14</v>
      </c>
      <c r="K4336" t="s">
        <v>548</v>
      </c>
      <c r="L4336" t="s">
        <v>144</v>
      </c>
      <c r="M4336" t="s">
        <v>553</v>
      </c>
      <c r="N4336" t="s">
        <v>85</v>
      </c>
      <c r="O4336" s="6" t="s">
        <v>364</v>
      </c>
      <c r="P4336" t="s">
        <v>28</v>
      </c>
      <c r="Q4336">
        <v>18</v>
      </c>
      <c r="R4336" t="s">
        <v>213</v>
      </c>
      <c r="S4336" s="2" t="s">
        <v>27</v>
      </c>
      <c r="T4336">
        <v>3</v>
      </c>
      <c r="U4336" t="s">
        <v>28</v>
      </c>
      <c r="V4336" t="s">
        <v>28</v>
      </c>
      <c r="W4336">
        <v>21</v>
      </c>
      <c r="X4336">
        <v>9.9199999999999997E-2</v>
      </c>
      <c r="Y4336">
        <f>0.1519-X4336</f>
        <v>5.2700000000000011E-2</v>
      </c>
      <c r="AA4336" s="6"/>
      <c r="AB4336" s="6"/>
    </row>
    <row r="4337" spans="1:28" x14ac:dyDescent="0.2">
      <c r="A4337" t="s">
        <v>546</v>
      </c>
      <c r="B4337">
        <v>2019</v>
      </c>
      <c r="C4337" t="s">
        <v>826</v>
      </c>
      <c r="D4337" t="s">
        <v>824</v>
      </c>
      <c r="E4337" t="s">
        <v>48</v>
      </c>
      <c r="F4337" t="s">
        <v>547</v>
      </c>
      <c r="G4337">
        <v>55.816667000000002</v>
      </c>
      <c r="H4337">
        <v>10.083333</v>
      </c>
      <c r="I4337" t="s">
        <v>768</v>
      </c>
      <c r="J4337" s="2" t="s">
        <v>7</v>
      </c>
      <c r="K4337" t="s">
        <v>548</v>
      </c>
      <c r="L4337" t="s">
        <v>144</v>
      </c>
      <c r="M4337" t="s">
        <v>638</v>
      </c>
      <c r="N4337" t="s">
        <v>85</v>
      </c>
      <c r="O4337" s="6" t="s">
        <v>221</v>
      </c>
      <c r="P4337" t="s">
        <v>126</v>
      </c>
      <c r="Q4337">
        <v>10</v>
      </c>
      <c r="R4337" t="s">
        <v>213</v>
      </c>
      <c r="S4337" s="2" t="s">
        <v>7</v>
      </c>
      <c r="T4337">
        <v>3</v>
      </c>
      <c r="U4337" t="s">
        <v>28</v>
      </c>
      <c r="V4337" t="s">
        <v>28</v>
      </c>
      <c r="W4337">
        <v>15</v>
      </c>
      <c r="X4337">
        <v>29.11</v>
      </c>
      <c r="Y4337">
        <f>30.22-X4337</f>
        <v>1.1099999999999994</v>
      </c>
      <c r="AA4337" s="6"/>
      <c r="AB4337" s="6"/>
    </row>
    <row r="4338" spans="1:28" x14ac:dyDescent="0.2">
      <c r="A4338" t="s">
        <v>546</v>
      </c>
      <c r="B4338">
        <v>2019</v>
      </c>
      <c r="C4338" t="s">
        <v>826</v>
      </c>
      <c r="D4338" t="s">
        <v>824</v>
      </c>
      <c r="E4338" t="s">
        <v>48</v>
      </c>
      <c r="F4338" t="s">
        <v>547</v>
      </c>
      <c r="G4338">
        <v>55.816667000000002</v>
      </c>
      <c r="H4338">
        <v>10.083333</v>
      </c>
      <c r="I4338" t="s">
        <v>768</v>
      </c>
      <c r="J4338" s="2" t="s">
        <v>14</v>
      </c>
      <c r="K4338" t="s">
        <v>548</v>
      </c>
      <c r="L4338" t="s">
        <v>144</v>
      </c>
      <c r="M4338" t="s">
        <v>638</v>
      </c>
      <c r="N4338" t="s">
        <v>85</v>
      </c>
      <c r="O4338" s="6" t="s">
        <v>221</v>
      </c>
      <c r="P4338" t="s">
        <v>126</v>
      </c>
      <c r="Q4338">
        <v>10</v>
      </c>
      <c r="R4338" t="s">
        <v>214</v>
      </c>
      <c r="S4338" s="2" t="s">
        <v>9</v>
      </c>
      <c r="T4338">
        <v>3</v>
      </c>
      <c r="U4338" t="s">
        <v>28</v>
      </c>
      <c r="V4338" t="s">
        <v>28</v>
      </c>
      <c r="W4338">
        <v>18</v>
      </c>
      <c r="X4338">
        <v>29.05</v>
      </c>
      <c r="Y4338">
        <f>30.22-X4338</f>
        <v>1.1699999999999982</v>
      </c>
      <c r="AA4338" s="6"/>
      <c r="AB4338" s="6"/>
    </row>
    <row r="4339" spans="1:28" x14ac:dyDescent="0.2">
      <c r="A4339" t="s">
        <v>546</v>
      </c>
      <c r="B4339">
        <v>2019</v>
      </c>
      <c r="C4339" t="s">
        <v>826</v>
      </c>
      <c r="D4339" t="s">
        <v>824</v>
      </c>
      <c r="E4339" t="s">
        <v>48</v>
      </c>
      <c r="F4339" t="s">
        <v>547</v>
      </c>
      <c r="G4339">
        <v>55.816667000000002</v>
      </c>
      <c r="H4339">
        <v>10.083333</v>
      </c>
      <c r="I4339" t="s">
        <v>768</v>
      </c>
      <c r="J4339" s="2" t="s">
        <v>14</v>
      </c>
      <c r="K4339" t="s">
        <v>548</v>
      </c>
      <c r="L4339" t="s">
        <v>144</v>
      </c>
      <c r="M4339" t="s">
        <v>638</v>
      </c>
      <c r="N4339" t="s">
        <v>85</v>
      </c>
      <c r="O4339" s="6" t="s">
        <v>221</v>
      </c>
      <c r="P4339" t="s">
        <v>126</v>
      </c>
      <c r="Q4339">
        <v>10</v>
      </c>
      <c r="R4339" t="s">
        <v>214</v>
      </c>
      <c r="S4339" s="2" t="s">
        <v>27</v>
      </c>
      <c r="T4339">
        <v>3</v>
      </c>
      <c r="U4339" t="s">
        <v>28</v>
      </c>
      <c r="V4339" t="s">
        <v>28</v>
      </c>
      <c r="W4339">
        <v>21</v>
      </c>
      <c r="X4339">
        <v>31.77</v>
      </c>
      <c r="Y4339">
        <f>32.39-X4339</f>
        <v>0.62000000000000099</v>
      </c>
      <c r="AA4339" s="6"/>
      <c r="AB4339" s="6"/>
    </row>
    <row r="4340" spans="1:28" x14ac:dyDescent="0.2">
      <c r="A4340" t="s">
        <v>546</v>
      </c>
      <c r="B4340">
        <v>2019</v>
      </c>
      <c r="C4340" t="s">
        <v>826</v>
      </c>
      <c r="D4340" t="s">
        <v>824</v>
      </c>
      <c r="E4340" t="s">
        <v>48</v>
      </c>
      <c r="F4340" t="s">
        <v>547</v>
      </c>
      <c r="G4340">
        <v>55.816667000000002</v>
      </c>
      <c r="H4340">
        <v>10.083333</v>
      </c>
      <c r="I4340" t="s">
        <v>768</v>
      </c>
      <c r="J4340" s="2" t="s">
        <v>14</v>
      </c>
      <c r="K4340" t="s">
        <v>548</v>
      </c>
      <c r="L4340" t="s">
        <v>144</v>
      </c>
      <c r="M4340" t="s">
        <v>638</v>
      </c>
      <c r="N4340" t="s">
        <v>85</v>
      </c>
      <c r="O4340" s="6" t="s">
        <v>221</v>
      </c>
      <c r="P4340" t="s">
        <v>126</v>
      </c>
      <c r="Q4340">
        <v>10</v>
      </c>
      <c r="R4340" t="s">
        <v>213</v>
      </c>
      <c r="S4340" s="2" t="s">
        <v>13</v>
      </c>
      <c r="T4340">
        <v>3</v>
      </c>
      <c r="U4340" t="s">
        <v>28</v>
      </c>
      <c r="V4340" t="s">
        <v>28</v>
      </c>
      <c r="W4340">
        <v>24</v>
      </c>
      <c r="X4340">
        <v>24.6</v>
      </c>
      <c r="Y4340">
        <f>27.5-X4340</f>
        <v>2.8999999999999986</v>
      </c>
      <c r="AA4340" s="6"/>
      <c r="AB4340" s="6"/>
    </row>
    <row r="4341" spans="1:28" x14ac:dyDescent="0.2">
      <c r="A4341" t="s">
        <v>546</v>
      </c>
      <c r="B4341">
        <v>2019</v>
      </c>
      <c r="C4341" t="s">
        <v>826</v>
      </c>
      <c r="D4341" t="s">
        <v>824</v>
      </c>
      <c r="E4341" t="s">
        <v>48</v>
      </c>
      <c r="F4341" t="s">
        <v>547</v>
      </c>
      <c r="G4341">
        <v>55.816667000000002</v>
      </c>
      <c r="H4341">
        <v>10.083333</v>
      </c>
      <c r="I4341" t="s">
        <v>768</v>
      </c>
      <c r="J4341" s="2" t="s">
        <v>7</v>
      </c>
      <c r="K4341" t="s">
        <v>548</v>
      </c>
      <c r="L4341" t="s">
        <v>144</v>
      </c>
      <c r="M4341" t="s">
        <v>638</v>
      </c>
      <c r="N4341" t="s">
        <v>85</v>
      </c>
      <c r="O4341" s="6" t="s">
        <v>221</v>
      </c>
      <c r="P4341" t="s">
        <v>126</v>
      </c>
      <c r="Q4341">
        <v>18</v>
      </c>
      <c r="R4341" t="s">
        <v>213</v>
      </c>
      <c r="S4341" s="2" t="s">
        <v>7</v>
      </c>
      <c r="T4341">
        <v>3</v>
      </c>
      <c r="U4341" t="s">
        <v>28</v>
      </c>
      <c r="V4341" t="s">
        <v>28</v>
      </c>
      <c r="W4341">
        <v>15</v>
      </c>
      <c r="X4341">
        <v>31.46</v>
      </c>
      <c r="Y4341">
        <f>32.76-X4341</f>
        <v>1.2999999999999972</v>
      </c>
      <c r="AA4341" s="6"/>
      <c r="AB4341" s="6"/>
    </row>
    <row r="4342" spans="1:28" x14ac:dyDescent="0.2">
      <c r="A4342" t="s">
        <v>546</v>
      </c>
      <c r="B4342">
        <v>2019</v>
      </c>
      <c r="C4342" t="s">
        <v>826</v>
      </c>
      <c r="D4342" t="s">
        <v>824</v>
      </c>
      <c r="E4342" t="s">
        <v>48</v>
      </c>
      <c r="F4342" t="s">
        <v>547</v>
      </c>
      <c r="G4342">
        <v>55.816667000000002</v>
      </c>
      <c r="H4342">
        <v>10.083333</v>
      </c>
      <c r="I4342" t="s">
        <v>768</v>
      </c>
      <c r="J4342" s="2" t="s">
        <v>14</v>
      </c>
      <c r="K4342" t="s">
        <v>548</v>
      </c>
      <c r="L4342" t="s">
        <v>144</v>
      </c>
      <c r="M4342" t="s">
        <v>638</v>
      </c>
      <c r="N4342" t="s">
        <v>85</v>
      </c>
      <c r="O4342" s="6" t="s">
        <v>221</v>
      </c>
      <c r="P4342" t="s">
        <v>126</v>
      </c>
      <c r="Q4342">
        <v>18</v>
      </c>
      <c r="R4342" t="s">
        <v>213</v>
      </c>
      <c r="S4342" s="2" t="s">
        <v>9</v>
      </c>
      <c r="T4342">
        <v>3</v>
      </c>
      <c r="U4342" t="s">
        <v>28</v>
      </c>
      <c r="V4342" t="s">
        <v>28</v>
      </c>
      <c r="W4342">
        <v>18</v>
      </c>
      <c r="X4342">
        <v>29.73</v>
      </c>
      <c r="Y4342">
        <f>30.41-X4342</f>
        <v>0.67999999999999972</v>
      </c>
      <c r="AA4342" s="6"/>
      <c r="AB4342" s="6"/>
    </row>
    <row r="4343" spans="1:28" x14ac:dyDescent="0.2">
      <c r="A4343" t="s">
        <v>546</v>
      </c>
      <c r="B4343">
        <v>2019</v>
      </c>
      <c r="C4343" t="s">
        <v>826</v>
      </c>
      <c r="D4343" t="s">
        <v>824</v>
      </c>
      <c r="E4343" t="s">
        <v>48</v>
      </c>
      <c r="F4343" t="s">
        <v>547</v>
      </c>
      <c r="G4343">
        <v>55.816667000000002</v>
      </c>
      <c r="H4343">
        <v>10.083333</v>
      </c>
      <c r="I4343" t="s">
        <v>768</v>
      </c>
      <c r="J4343" s="2" t="s">
        <v>14</v>
      </c>
      <c r="K4343" t="s">
        <v>548</v>
      </c>
      <c r="L4343" t="s">
        <v>144</v>
      </c>
      <c r="M4343" t="s">
        <v>638</v>
      </c>
      <c r="N4343" t="s">
        <v>85</v>
      </c>
      <c r="O4343" s="6" t="s">
        <v>221</v>
      </c>
      <c r="P4343" t="s">
        <v>126</v>
      </c>
      <c r="Q4343">
        <v>18</v>
      </c>
      <c r="R4343" t="s">
        <v>213</v>
      </c>
      <c r="S4343" s="2" t="s">
        <v>27</v>
      </c>
      <c r="T4343">
        <v>3</v>
      </c>
      <c r="U4343" t="s">
        <v>28</v>
      </c>
      <c r="V4343" t="s">
        <v>28</v>
      </c>
      <c r="W4343">
        <v>21</v>
      </c>
      <c r="X4343">
        <v>33.07</v>
      </c>
      <c r="Y4343">
        <f>33.87-X4343</f>
        <v>0.79999999999999716</v>
      </c>
      <c r="AA4343" s="6"/>
      <c r="AB4343" s="6"/>
    </row>
    <row r="4344" spans="1:28" x14ac:dyDescent="0.2">
      <c r="A4344" t="s">
        <v>546</v>
      </c>
      <c r="B4344">
        <v>2019</v>
      </c>
      <c r="C4344" t="s">
        <v>826</v>
      </c>
      <c r="D4344" t="s">
        <v>824</v>
      </c>
      <c r="E4344" t="s">
        <v>48</v>
      </c>
      <c r="F4344" t="s">
        <v>547</v>
      </c>
      <c r="G4344">
        <v>55.816667000000002</v>
      </c>
      <c r="H4344">
        <v>10.083333</v>
      </c>
      <c r="I4344" t="s">
        <v>768</v>
      </c>
      <c r="J4344" s="2" t="s">
        <v>7</v>
      </c>
      <c r="K4344" t="s">
        <v>548</v>
      </c>
      <c r="L4344" t="s">
        <v>144</v>
      </c>
      <c r="M4344" t="s">
        <v>638</v>
      </c>
      <c r="N4344" t="s">
        <v>85</v>
      </c>
      <c r="O4344" s="6" t="s">
        <v>107</v>
      </c>
      <c r="P4344" t="s">
        <v>126</v>
      </c>
      <c r="Q4344">
        <v>10</v>
      </c>
      <c r="R4344" t="s">
        <v>213</v>
      </c>
      <c r="S4344" s="2" t="s">
        <v>7</v>
      </c>
      <c r="T4344">
        <v>3</v>
      </c>
      <c r="U4344" t="s">
        <v>28</v>
      </c>
      <c r="V4344" t="s">
        <v>28</v>
      </c>
      <c r="W4344">
        <v>15</v>
      </c>
      <c r="X4344">
        <v>0.63749999999999996</v>
      </c>
      <c r="Y4344">
        <f>0.6696-X4344</f>
        <v>3.2100000000000017E-2</v>
      </c>
      <c r="AA4344" s="6"/>
      <c r="AB4344" s="6"/>
    </row>
    <row r="4345" spans="1:28" x14ac:dyDescent="0.2">
      <c r="A4345" t="s">
        <v>546</v>
      </c>
      <c r="B4345">
        <v>2019</v>
      </c>
      <c r="C4345" t="s">
        <v>826</v>
      </c>
      <c r="D4345" t="s">
        <v>824</v>
      </c>
      <c r="E4345" t="s">
        <v>48</v>
      </c>
      <c r="F4345" t="s">
        <v>547</v>
      </c>
      <c r="G4345">
        <v>55.816667000000002</v>
      </c>
      <c r="H4345">
        <v>10.083333</v>
      </c>
      <c r="I4345" t="s">
        <v>768</v>
      </c>
      <c r="J4345" s="2" t="s">
        <v>14</v>
      </c>
      <c r="K4345" t="s">
        <v>548</v>
      </c>
      <c r="L4345" t="s">
        <v>144</v>
      </c>
      <c r="M4345" t="s">
        <v>638</v>
      </c>
      <c r="N4345" t="s">
        <v>85</v>
      </c>
      <c r="O4345" s="6" t="s">
        <v>107</v>
      </c>
      <c r="P4345" t="s">
        <v>126</v>
      </c>
      <c r="Q4345">
        <v>10</v>
      </c>
      <c r="R4345" t="s">
        <v>214</v>
      </c>
      <c r="S4345" s="2" t="s">
        <v>9</v>
      </c>
      <c r="T4345">
        <v>3</v>
      </c>
      <c r="U4345" t="s">
        <v>28</v>
      </c>
      <c r="V4345" t="s">
        <v>28</v>
      </c>
      <c r="W4345">
        <v>18</v>
      </c>
      <c r="X4345">
        <v>0.6804</v>
      </c>
      <c r="Y4345">
        <f>0.7607-X4345</f>
        <v>8.0300000000000038E-2</v>
      </c>
      <c r="AA4345" s="6"/>
      <c r="AB4345" s="6"/>
    </row>
    <row r="4346" spans="1:28" x14ac:dyDescent="0.2">
      <c r="A4346" t="s">
        <v>546</v>
      </c>
      <c r="B4346">
        <v>2019</v>
      </c>
      <c r="C4346" t="s">
        <v>826</v>
      </c>
      <c r="D4346" t="s">
        <v>824</v>
      </c>
      <c r="E4346" t="s">
        <v>48</v>
      </c>
      <c r="F4346" t="s">
        <v>547</v>
      </c>
      <c r="G4346">
        <v>55.816667000000002</v>
      </c>
      <c r="H4346">
        <v>10.083333</v>
      </c>
      <c r="I4346" t="s">
        <v>768</v>
      </c>
      <c r="J4346" s="2" t="s">
        <v>14</v>
      </c>
      <c r="K4346" t="s">
        <v>548</v>
      </c>
      <c r="L4346" t="s">
        <v>144</v>
      </c>
      <c r="M4346" t="s">
        <v>638</v>
      </c>
      <c r="N4346" t="s">
        <v>85</v>
      </c>
      <c r="O4346" s="6" t="s">
        <v>107</v>
      </c>
      <c r="P4346" t="s">
        <v>126</v>
      </c>
      <c r="Q4346">
        <v>10</v>
      </c>
      <c r="R4346" t="s">
        <v>214</v>
      </c>
      <c r="S4346" s="2" t="s">
        <v>27</v>
      </c>
      <c r="T4346">
        <v>3</v>
      </c>
      <c r="U4346" t="s">
        <v>28</v>
      </c>
      <c r="V4346" t="s">
        <v>28</v>
      </c>
      <c r="W4346">
        <v>21</v>
      </c>
      <c r="X4346">
        <v>0.6089</v>
      </c>
      <c r="Y4346">
        <f>0.7-X4346</f>
        <v>9.1099999999999959E-2</v>
      </c>
      <c r="AA4346" s="6"/>
      <c r="AB4346" s="6"/>
    </row>
    <row r="4347" spans="1:28" x14ac:dyDescent="0.2">
      <c r="A4347" t="s">
        <v>546</v>
      </c>
      <c r="B4347">
        <v>2019</v>
      </c>
      <c r="C4347" t="s">
        <v>826</v>
      </c>
      <c r="D4347" t="s">
        <v>824</v>
      </c>
      <c r="E4347" t="s">
        <v>48</v>
      </c>
      <c r="F4347" t="s">
        <v>547</v>
      </c>
      <c r="G4347">
        <v>55.816667000000002</v>
      </c>
      <c r="H4347">
        <v>10.083333</v>
      </c>
      <c r="I4347" t="s">
        <v>768</v>
      </c>
      <c r="J4347" s="2" t="s">
        <v>14</v>
      </c>
      <c r="K4347" t="s">
        <v>548</v>
      </c>
      <c r="L4347" t="s">
        <v>144</v>
      </c>
      <c r="M4347" t="s">
        <v>638</v>
      </c>
      <c r="N4347" t="s">
        <v>85</v>
      </c>
      <c r="O4347" s="6" t="s">
        <v>107</v>
      </c>
      <c r="P4347" t="s">
        <v>126</v>
      </c>
      <c r="Q4347">
        <v>10</v>
      </c>
      <c r="R4347" t="s">
        <v>213</v>
      </c>
      <c r="S4347" s="2" t="s">
        <v>13</v>
      </c>
      <c r="T4347">
        <v>3</v>
      </c>
      <c r="U4347" t="s">
        <v>28</v>
      </c>
      <c r="V4347" t="s">
        <v>28</v>
      </c>
      <c r="W4347">
        <v>24</v>
      </c>
      <c r="X4347">
        <v>1.4017999999999999</v>
      </c>
      <c r="Y4347">
        <f>1.4018-X4347</f>
        <v>0</v>
      </c>
      <c r="AA4347" s="6"/>
      <c r="AB4347" s="6"/>
    </row>
    <row r="4348" spans="1:28" x14ac:dyDescent="0.2">
      <c r="A4348" t="s">
        <v>546</v>
      </c>
      <c r="B4348">
        <v>2019</v>
      </c>
      <c r="C4348" t="s">
        <v>826</v>
      </c>
      <c r="D4348" t="s">
        <v>824</v>
      </c>
      <c r="E4348" t="s">
        <v>48</v>
      </c>
      <c r="F4348" t="s">
        <v>547</v>
      </c>
      <c r="G4348">
        <v>55.816667000000002</v>
      </c>
      <c r="H4348">
        <v>10.083333</v>
      </c>
      <c r="I4348" t="s">
        <v>768</v>
      </c>
      <c r="J4348" s="2" t="s">
        <v>7</v>
      </c>
      <c r="K4348" t="s">
        <v>548</v>
      </c>
      <c r="L4348" t="s">
        <v>144</v>
      </c>
      <c r="M4348" t="s">
        <v>638</v>
      </c>
      <c r="N4348" t="s">
        <v>85</v>
      </c>
      <c r="O4348" s="6" t="s">
        <v>107</v>
      </c>
      <c r="P4348" t="s">
        <v>126</v>
      </c>
      <c r="Q4348">
        <v>18</v>
      </c>
      <c r="R4348" t="s">
        <v>213</v>
      </c>
      <c r="S4348" s="2" t="s">
        <v>7</v>
      </c>
      <c r="T4348">
        <v>3</v>
      </c>
      <c r="U4348" t="s">
        <v>28</v>
      </c>
      <c r="V4348" t="s">
        <v>28</v>
      </c>
      <c r="W4348">
        <v>15</v>
      </c>
      <c r="X4348">
        <v>0.50890000000000002</v>
      </c>
      <c r="Y4348">
        <f>0.5607-X4348</f>
        <v>5.1799999999999957E-2</v>
      </c>
      <c r="AA4348" s="6"/>
      <c r="AB4348" s="6"/>
    </row>
    <row r="4349" spans="1:28" x14ac:dyDescent="0.2">
      <c r="A4349" t="s">
        <v>546</v>
      </c>
      <c r="B4349">
        <v>2019</v>
      </c>
      <c r="C4349" t="s">
        <v>826</v>
      </c>
      <c r="D4349" t="s">
        <v>824</v>
      </c>
      <c r="E4349" t="s">
        <v>48</v>
      </c>
      <c r="F4349" t="s">
        <v>547</v>
      </c>
      <c r="G4349">
        <v>55.816667000000002</v>
      </c>
      <c r="H4349">
        <v>10.083333</v>
      </c>
      <c r="I4349" t="s">
        <v>768</v>
      </c>
      <c r="J4349" s="2" t="s">
        <v>14</v>
      </c>
      <c r="K4349" t="s">
        <v>548</v>
      </c>
      <c r="L4349" t="s">
        <v>144</v>
      </c>
      <c r="M4349" t="s">
        <v>638</v>
      </c>
      <c r="N4349" t="s">
        <v>85</v>
      </c>
      <c r="O4349" s="6" t="s">
        <v>107</v>
      </c>
      <c r="P4349" t="s">
        <v>126</v>
      </c>
      <c r="Q4349">
        <v>18</v>
      </c>
      <c r="R4349" t="s">
        <v>213</v>
      </c>
      <c r="S4349" s="2" t="s">
        <v>9</v>
      </c>
      <c r="T4349">
        <v>3</v>
      </c>
      <c r="U4349" t="s">
        <v>28</v>
      </c>
      <c r="V4349" t="s">
        <v>28</v>
      </c>
      <c r="W4349">
        <v>18</v>
      </c>
      <c r="X4349">
        <v>0.54110000000000003</v>
      </c>
      <c r="Y4349">
        <f>0.5696-X4349</f>
        <v>2.849999999999997E-2</v>
      </c>
      <c r="AA4349" s="6"/>
      <c r="AB4349" s="6"/>
    </row>
    <row r="4350" spans="1:28" x14ac:dyDescent="0.2">
      <c r="A4350" t="s">
        <v>546</v>
      </c>
      <c r="B4350">
        <v>2019</v>
      </c>
      <c r="C4350" t="s">
        <v>826</v>
      </c>
      <c r="D4350" t="s">
        <v>824</v>
      </c>
      <c r="E4350" t="s">
        <v>48</v>
      </c>
      <c r="F4350" t="s">
        <v>547</v>
      </c>
      <c r="G4350">
        <v>55.816667000000002</v>
      </c>
      <c r="H4350">
        <v>10.083333</v>
      </c>
      <c r="I4350" t="s">
        <v>768</v>
      </c>
      <c r="J4350" s="2" t="s">
        <v>14</v>
      </c>
      <c r="K4350" t="s">
        <v>548</v>
      </c>
      <c r="L4350" t="s">
        <v>144</v>
      </c>
      <c r="M4350" t="s">
        <v>638</v>
      </c>
      <c r="N4350" t="s">
        <v>85</v>
      </c>
      <c r="O4350" s="6" t="s">
        <v>107</v>
      </c>
      <c r="P4350" t="s">
        <v>126</v>
      </c>
      <c r="Q4350">
        <v>18</v>
      </c>
      <c r="R4350" t="s">
        <v>213</v>
      </c>
      <c r="S4350" s="2" t="s">
        <v>27</v>
      </c>
      <c r="T4350">
        <v>3</v>
      </c>
      <c r="U4350" t="s">
        <v>28</v>
      </c>
      <c r="V4350" t="s">
        <v>28</v>
      </c>
      <c r="W4350">
        <v>21</v>
      </c>
      <c r="X4350">
        <v>0.44819999999999999</v>
      </c>
      <c r="Y4350">
        <f>0.4893-X4350</f>
        <v>4.1100000000000025E-2</v>
      </c>
      <c r="AA4350" s="6"/>
      <c r="AB4350" s="6"/>
    </row>
    <row r="4351" spans="1:28" x14ac:dyDescent="0.2">
      <c r="A4351" t="s">
        <v>546</v>
      </c>
      <c r="B4351">
        <v>2019</v>
      </c>
      <c r="C4351" t="s">
        <v>826</v>
      </c>
      <c r="D4351" t="s">
        <v>824</v>
      </c>
      <c r="E4351" t="s">
        <v>48</v>
      </c>
      <c r="F4351" t="s">
        <v>547</v>
      </c>
      <c r="G4351">
        <v>55.816667000000002</v>
      </c>
      <c r="H4351">
        <v>10.083333</v>
      </c>
      <c r="I4351" t="s">
        <v>768</v>
      </c>
      <c r="J4351" s="2" t="s">
        <v>7</v>
      </c>
      <c r="K4351" t="s">
        <v>548</v>
      </c>
      <c r="L4351" t="s">
        <v>144</v>
      </c>
      <c r="M4351" t="s">
        <v>638</v>
      </c>
      <c r="N4351" t="s">
        <v>86</v>
      </c>
      <c r="O4351" s="6" t="s">
        <v>249</v>
      </c>
      <c r="P4351" t="s">
        <v>126</v>
      </c>
      <c r="Q4351">
        <v>10</v>
      </c>
      <c r="R4351" t="s">
        <v>213</v>
      </c>
      <c r="S4351" s="2" t="s">
        <v>7</v>
      </c>
      <c r="T4351">
        <v>3</v>
      </c>
      <c r="U4351" t="s">
        <v>28</v>
      </c>
      <c r="V4351" t="s">
        <v>28</v>
      </c>
      <c r="W4351">
        <v>15</v>
      </c>
      <c r="X4351">
        <v>7.7859999999999996</v>
      </c>
      <c r="Y4351">
        <f>7.947-X4351</f>
        <v>0.16100000000000048</v>
      </c>
      <c r="AA4351" s="6"/>
      <c r="AB4351" s="6"/>
    </row>
    <row r="4352" spans="1:28" x14ac:dyDescent="0.2">
      <c r="A4352" t="s">
        <v>546</v>
      </c>
      <c r="B4352">
        <v>2019</v>
      </c>
      <c r="C4352" t="s">
        <v>826</v>
      </c>
      <c r="D4352" t="s">
        <v>824</v>
      </c>
      <c r="E4352" t="s">
        <v>48</v>
      </c>
      <c r="F4352" t="s">
        <v>547</v>
      </c>
      <c r="G4352">
        <v>55.816667000000002</v>
      </c>
      <c r="H4352">
        <v>10.083333</v>
      </c>
      <c r="I4352" t="s">
        <v>768</v>
      </c>
      <c r="J4352" s="2" t="s">
        <v>14</v>
      </c>
      <c r="K4352" t="s">
        <v>548</v>
      </c>
      <c r="L4352" t="s">
        <v>144</v>
      </c>
      <c r="M4352" t="s">
        <v>638</v>
      </c>
      <c r="N4352" t="s">
        <v>86</v>
      </c>
      <c r="O4352" s="6" t="s">
        <v>249</v>
      </c>
      <c r="P4352" t="s">
        <v>126</v>
      </c>
      <c r="Q4352">
        <v>10</v>
      </c>
      <c r="R4352" t="s">
        <v>214</v>
      </c>
      <c r="S4352" s="2" t="s">
        <v>9</v>
      </c>
      <c r="T4352">
        <v>3</v>
      </c>
      <c r="U4352" t="s">
        <v>28</v>
      </c>
      <c r="V4352" t="s">
        <v>28</v>
      </c>
      <c r="W4352">
        <v>18</v>
      </c>
      <c r="X4352">
        <v>7.5819999999999999</v>
      </c>
      <c r="Y4352">
        <f>8.442-X4352</f>
        <v>0.86000000000000032</v>
      </c>
      <c r="AA4352" s="6"/>
      <c r="AB4352" s="6"/>
    </row>
    <row r="4353" spans="1:28" x14ac:dyDescent="0.2">
      <c r="A4353" t="s">
        <v>546</v>
      </c>
      <c r="B4353">
        <v>2019</v>
      </c>
      <c r="C4353" t="s">
        <v>826</v>
      </c>
      <c r="D4353" t="s">
        <v>824</v>
      </c>
      <c r="E4353" t="s">
        <v>48</v>
      </c>
      <c r="F4353" t="s">
        <v>547</v>
      </c>
      <c r="G4353">
        <v>55.816667000000002</v>
      </c>
      <c r="H4353">
        <v>10.083333</v>
      </c>
      <c r="I4353" t="s">
        <v>768</v>
      </c>
      <c r="J4353" s="2" t="s">
        <v>14</v>
      </c>
      <c r="K4353" t="s">
        <v>548</v>
      </c>
      <c r="L4353" t="s">
        <v>144</v>
      </c>
      <c r="M4353" t="s">
        <v>638</v>
      </c>
      <c r="N4353" t="s">
        <v>86</v>
      </c>
      <c r="O4353" s="6" t="s">
        <v>249</v>
      </c>
      <c r="P4353" t="s">
        <v>126</v>
      </c>
      <c r="Q4353">
        <v>10</v>
      </c>
      <c r="R4353" t="s">
        <v>214</v>
      </c>
      <c r="S4353" s="2" t="s">
        <v>27</v>
      </c>
      <c r="T4353">
        <v>3</v>
      </c>
      <c r="U4353" t="s">
        <v>28</v>
      </c>
      <c r="V4353" t="s">
        <v>28</v>
      </c>
      <c r="W4353">
        <v>21</v>
      </c>
      <c r="X4353">
        <v>7.4219999999999997</v>
      </c>
      <c r="Y4353">
        <f>7.509-X4353</f>
        <v>8.7000000000000632E-2</v>
      </c>
      <c r="AA4353" s="6"/>
      <c r="AB4353" s="6"/>
    </row>
    <row r="4354" spans="1:28" x14ac:dyDescent="0.2">
      <c r="A4354" t="s">
        <v>546</v>
      </c>
      <c r="B4354">
        <v>2019</v>
      </c>
      <c r="C4354" t="s">
        <v>826</v>
      </c>
      <c r="D4354" t="s">
        <v>824</v>
      </c>
      <c r="E4354" t="s">
        <v>48</v>
      </c>
      <c r="F4354" t="s">
        <v>547</v>
      </c>
      <c r="G4354">
        <v>55.816667000000002</v>
      </c>
      <c r="H4354">
        <v>10.083333</v>
      </c>
      <c r="I4354" t="s">
        <v>768</v>
      </c>
      <c r="J4354" s="2" t="s">
        <v>14</v>
      </c>
      <c r="K4354" t="s">
        <v>548</v>
      </c>
      <c r="L4354" t="s">
        <v>144</v>
      </c>
      <c r="M4354" t="s">
        <v>638</v>
      </c>
      <c r="N4354" t="s">
        <v>86</v>
      </c>
      <c r="O4354" s="6" t="s">
        <v>249</v>
      </c>
      <c r="P4354" t="s">
        <v>126</v>
      </c>
      <c r="Q4354">
        <v>10</v>
      </c>
      <c r="R4354" t="s">
        <v>213</v>
      </c>
      <c r="S4354" s="2" t="s">
        <v>13</v>
      </c>
      <c r="T4354">
        <v>3</v>
      </c>
      <c r="U4354" t="s">
        <v>28</v>
      </c>
      <c r="V4354" t="s">
        <v>28</v>
      </c>
      <c r="W4354">
        <v>24</v>
      </c>
      <c r="X4354">
        <v>3.9809999999999999</v>
      </c>
      <c r="Y4354">
        <f>3.981-X4354</f>
        <v>0</v>
      </c>
      <c r="AA4354" s="6"/>
      <c r="AB4354" s="6"/>
    </row>
    <row r="4355" spans="1:28" x14ac:dyDescent="0.2">
      <c r="A4355" t="s">
        <v>546</v>
      </c>
      <c r="B4355">
        <v>2019</v>
      </c>
      <c r="C4355" t="s">
        <v>826</v>
      </c>
      <c r="D4355" t="s">
        <v>824</v>
      </c>
      <c r="E4355" t="s">
        <v>48</v>
      </c>
      <c r="F4355" t="s">
        <v>547</v>
      </c>
      <c r="G4355">
        <v>55.816667000000002</v>
      </c>
      <c r="H4355">
        <v>10.083333</v>
      </c>
      <c r="I4355" t="s">
        <v>768</v>
      </c>
      <c r="J4355" s="2" t="s">
        <v>7</v>
      </c>
      <c r="K4355" t="s">
        <v>548</v>
      </c>
      <c r="L4355" t="s">
        <v>144</v>
      </c>
      <c r="M4355" t="s">
        <v>638</v>
      </c>
      <c r="N4355" t="s">
        <v>86</v>
      </c>
      <c r="O4355" s="6" t="s">
        <v>249</v>
      </c>
      <c r="P4355" t="s">
        <v>126</v>
      </c>
      <c r="Q4355">
        <v>18</v>
      </c>
      <c r="R4355" t="s">
        <v>213</v>
      </c>
      <c r="S4355" s="2" t="s">
        <v>7</v>
      </c>
      <c r="T4355">
        <v>3</v>
      </c>
      <c r="U4355" t="s">
        <v>28</v>
      </c>
      <c r="V4355" t="s">
        <v>28</v>
      </c>
      <c r="W4355">
        <v>15</v>
      </c>
      <c r="X4355">
        <v>5.1180000000000003</v>
      </c>
      <c r="Y4355">
        <f>5.205-X4355</f>
        <v>8.6999999999999744E-2</v>
      </c>
      <c r="AA4355" s="6"/>
      <c r="AB4355" s="6"/>
    </row>
    <row r="4356" spans="1:28" x14ac:dyDescent="0.2">
      <c r="A4356" t="s">
        <v>546</v>
      </c>
      <c r="B4356">
        <v>2019</v>
      </c>
      <c r="C4356" t="s">
        <v>826</v>
      </c>
      <c r="D4356" t="s">
        <v>824</v>
      </c>
      <c r="E4356" t="s">
        <v>48</v>
      </c>
      <c r="F4356" t="s">
        <v>547</v>
      </c>
      <c r="G4356">
        <v>55.816667000000002</v>
      </c>
      <c r="H4356">
        <v>10.083333</v>
      </c>
      <c r="I4356" t="s">
        <v>768</v>
      </c>
      <c r="J4356" s="2" t="s">
        <v>14</v>
      </c>
      <c r="K4356" t="s">
        <v>548</v>
      </c>
      <c r="L4356" t="s">
        <v>144</v>
      </c>
      <c r="M4356" t="s">
        <v>638</v>
      </c>
      <c r="N4356" t="s">
        <v>86</v>
      </c>
      <c r="O4356" s="6" t="s">
        <v>249</v>
      </c>
      <c r="P4356" t="s">
        <v>126</v>
      </c>
      <c r="Q4356">
        <v>18</v>
      </c>
      <c r="R4356" t="s">
        <v>213</v>
      </c>
      <c r="S4356" s="2" t="s">
        <v>9</v>
      </c>
      <c r="T4356">
        <v>3</v>
      </c>
      <c r="U4356" t="s">
        <v>28</v>
      </c>
      <c r="V4356" t="s">
        <v>28</v>
      </c>
      <c r="W4356">
        <v>18</v>
      </c>
      <c r="X4356">
        <v>5.4820000000000002</v>
      </c>
      <c r="Y4356">
        <f>5.964-X4356</f>
        <v>0.48200000000000021</v>
      </c>
      <c r="AA4356" s="6"/>
      <c r="AB4356" s="6"/>
    </row>
    <row r="4357" spans="1:28" x14ac:dyDescent="0.2">
      <c r="A4357" t="s">
        <v>546</v>
      </c>
      <c r="B4357">
        <v>2019</v>
      </c>
      <c r="C4357" t="s">
        <v>826</v>
      </c>
      <c r="D4357" t="s">
        <v>824</v>
      </c>
      <c r="E4357" t="s">
        <v>48</v>
      </c>
      <c r="F4357" t="s">
        <v>547</v>
      </c>
      <c r="G4357">
        <v>55.816667000000002</v>
      </c>
      <c r="H4357">
        <v>10.083333</v>
      </c>
      <c r="I4357" t="s">
        <v>768</v>
      </c>
      <c r="J4357" s="2" t="s">
        <v>14</v>
      </c>
      <c r="K4357" t="s">
        <v>548</v>
      </c>
      <c r="L4357" t="s">
        <v>144</v>
      </c>
      <c r="M4357" t="s">
        <v>638</v>
      </c>
      <c r="N4357" t="s">
        <v>86</v>
      </c>
      <c r="O4357" s="6" t="s">
        <v>249</v>
      </c>
      <c r="P4357" t="s">
        <v>126</v>
      </c>
      <c r="Q4357">
        <v>18</v>
      </c>
      <c r="R4357" t="s">
        <v>213</v>
      </c>
      <c r="S4357" s="2" t="s">
        <v>27</v>
      </c>
      <c r="T4357">
        <v>3</v>
      </c>
      <c r="U4357" t="s">
        <v>28</v>
      </c>
      <c r="V4357" t="s">
        <v>28</v>
      </c>
      <c r="W4357">
        <v>21</v>
      </c>
      <c r="X4357">
        <v>4.9720000000000004</v>
      </c>
      <c r="Y4357">
        <f>5.322-X4357</f>
        <v>0.34999999999999964</v>
      </c>
      <c r="AA4357" s="6"/>
      <c r="AB4357" s="6"/>
    </row>
    <row r="4358" spans="1:28" x14ac:dyDescent="0.2">
      <c r="A4358" t="s">
        <v>554</v>
      </c>
      <c r="B4358">
        <v>2021</v>
      </c>
      <c r="C4358" t="s">
        <v>816</v>
      </c>
      <c r="D4358" t="s">
        <v>820</v>
      </c>
      <c r="E4358" t="s">
        <v>34</v>
      </c>
      <c r="F4358" t="s">
        <v>315</v>
      </c>
      <c r="G4358">
        <v>-33.133333</v>
      </c>
      <c r="H4358">
        <v>-71.7</v>
      </c>
      <c r="I4358" t="s">
        <v>771</v>
      </c>
      <c r="J4358" s="2" t="s">
        <v>7</v>
      </c>
      <c r="K4358" t="s">
        <v>351</v>
      </c>
      <c r="L4358" t="s">
        <v>143</v>
      </c>
      <c r="M4358" t="s">
        <v>26</v>
      </c>
      <c r="N4358" t="s">
        <v>85</v>
      </c>
      <c r="O4358" t="s">
        <v>839</v>
      </c>
      <c r="P4358" t="s">
        <v>72</v>
      </c>
      <c r="Q4358">
        <v>21</v>
      </c>
      <c r="R4358" t="s">
        <v>213</v>
      </c>
      <c r="S4358" s="2" t="s">
        <v>7</v>
      </c>
      <c r="T4358">
        <v>6</v>
      </c>
      <c r="U4358">
        <f>AVERAGE(7.72, 7.8)</f>
        <v>7.76</v>
      </c>
      <c r="V4358">
        <f>AVERAGE(926.28,726)</f>
        <v>826.14</v>
      </c>
      <c r="W4358">
        <v>12</v>
      </c>
      <c r="X4358">
        <v>13.276999999999999</v>
      </c>
      <c r="Y4358">
        <v>4.3070000000000004</v>
      </c>
    </row>
    <row r="4359" spans="1:28" x14ac:dyDescent="0.2">
      <c r="A4359" t="s">
        <v>554</v>
      </c>
      <c r="B4359">
        <v>2021</v>
      </c>
      <c r="C4359" t="s">
        <v>816</v>
      </c>
      <c r="D4359" t="s">
        <v>820</v>
      </c>
      <c r="E4359" t="s">
        <v>34</v>
      </c>
      <c r="F4359" t="s">
        <v>315</v>
      </c>
      <c r="G4359">
        <v>-33.133333</v>
      </c>
      <c r="H4359">
        <v>-71.7</v>
      </c>
      <c r="I4359" t="s">
        <v>764</v>
      </c>
      <c r="J4359" s="2" t="s">
        <v>7</v>
      </c>
      <c r="K4359" t="s">
        <v>351</v>
      </c>
      <c r="L4359" t="s">
        <v>143</v>
      </c>
      <c r="M4359" t="s">
        <v>26</v>
      </c>
      <c r="N4359" t="s">
        <v>85</v>
      </c>
      <c r="O4359" t="s">
        <v>839</v>
      </c>
      <c r="P4359" t="s">
        <v>72</v>
      </c>
      <c r="Q4359">
        <v>21</v>
      </c>
      <c r="R4359" t="s">
        <v>213</v>
      </c>
      <c r="S4359" s="2" t="s">
        <v>7</v>
      </c>
      <c r="T4359">
        <v>6</v>
      </c>
      <c r="U4359">
        <f>AVERAGE(7.72, 7.8)</f>
        <v>7.76</v>
      </c>
      <c r="V4359">
        <f>AVERAGE(926.28,726)</f>
        <v>826.14</v>
      </c>
      <c r="W4359">
        <v>12</v>
      </c>
      <c r="X4359">
        <v>14.858000000000001</v>
      </c>
      <c r="Y4359">
        <v>2.6829999999999998</v>
      </c>
    </row>
    <row r="4360" spans="1:28" x14ac:dyDescent="0.2">
      <c r="A4360" t="s">
        <v>554</v>
      </c>
      <c r="B4360">
        <v>2021</v>
      </c>
      <c r="C4360" t="s">
        <v>816</v>
      </c>
      <c r="D4360" t="s">
        <v>820</v>
      </c>
      <c r="E4360" t="s">
        <v>34</v>
      </c>
      <c r="F4360" t="s">
        <v>555</v>
      </c>
      <c r="G4360">
        <v>-33.450000000000003</v>
      </c>
      <c r="H4360">
        <v>-72</v>
      </c>
      <c r="I4360" t="s">
        <v>771</v>
      </c>
      <c r="J4360" s="2" t="s">
        <v>7</v>
      </c>
      <c r="K4360" t="s">
        <v>351</v>
      </c>
      <c r="L4360" t="s">
        <v>143</v>
      </c>
      <c r="M4360" t="s">
        <v>26</v>
      </c>
      <c r="N4360" t="s">
        <v>85</v>
      </c>
      <c r="O4360" t="s">
        <v>839</v>
      </c>
      <c r="P4360" t="s">
        <v>72</v>
      </c>
      <c r="Q4360">
        <v>21</v>
      </c>
      <c r="R4360" t="s">
        <v>213</v>
      </c>
      <c r="S4360" s="2" t="s">
        <v>7</v>
      </c>
      <c r="T4360">
        <v>6</v>
      </c>
      <c r="U4360">
        <f>AVERAGE(7.72, 7.8)</f>
        <v>7.76</v>
      </c>
      <c r="V4360">
        <f>AVERAGE(926.28,726)</f>
        <v>826.14</v>
      </c>
      <c r="W4360">
        <v>12</v>
      </c>
      <c r="X4360">
        <v>10.503</v>
      </c>
      <c r="Y4360">
        <v>1.9590000000000001</v>
      </c>
    </row>
    <row r="4361" spans="1:28" x14ac:dyDescent="0.2">
      <c r="A4361" t="s">
        <v>554</v>
      </c>
      <c r="B4361">
        <v>2021</v>
      </c>
      <c r="C4361" t="s">
        <v>816</v>
      </c>
      <c r="D4361" t="s">
        <v>820</v>
      </c>
      <c r="E4361" t="s">
        <v>34</v>
      </c>
      <c r="F4361" t="s">
        <v>555</v>
      </c>
      <c r="G4361">
        <v>-33.450000000000003</v>
      </c>
      <c r="H4361">
        <v>-72</v>
      </c>
      <c r="I4361" t="s">
        <v>764</v>
      </c>
      <c r="J4361" s="2" t="s">
        <v>7</v>
      </c>
      <c r="K4361" t="s">
        <v>351</v>
      </c>
      <c r="L4361" t="s">
        <v>143</v>
      </c>
      <c r="M4361" t="s">
        <v>26</v>
      </c>
      <c r="N4361" t="s">
        <v>85</v>
      </c>
      <c r="O4361" t="s">
        <v>839</v>
      </c>
      <c r="P4361" t="s">
        <v>72</v>
      </c>
      <c r="Q4361">
        <v>21</v>
      </c>
      <c r="R4361" t="s">
        <v>213</v>
      </c>
      <c r="S4361" s="2" t="s">
        <v>7</v>
      </c>
      <c r="T4361">
        <v>6</v>
      </c>
      <c r="U4361">
        <f>AVERAGE(7.72, 7.8)</f>
        <v>7.76</v>
      </c>
      <c r="V4361">
        <f>AVERAGE(926.28,726)</f>
        <v>826.14</v>
      </c>
      <c r="W4361">
        <v>12</v>
      </c>
      <c r="X4361">
        <v>10.65</v>
      </c>
      <c r="Y4361">
        <v>3.254</v>
      </c>
    </row>
    <row r="4362" spans="1:28" x14ac:dyDescent="0.2">
      <c r="A4362" t="s">
        <v>554</v>
      </c>
      <c r="B4362">
        <v>2021</v>
      </c>
      <c r="C4362" t="s">
        <v>816</v>
      </c>
      <c r="D4362" t="s">
        <v>820</v>
      </c>
      <c r="E4362" t="s">
        <v>34</v>
      </c>
      <c r="F4362" t="s">
        <v>315</v>
      </c>
      <c r="G4362">
        <v>-33.133333</v>
      </c>
      <c r="H4362">
        <v>-71.7</v>
      </c>
      <c r="I4362" t="s">
        <v>771</v>
      </c>
      <c r="J4362" s="2" t="s">
        <v>5</v>
      </c>
      <c r="K4362" t="s">
        <v>351</v>
      </c>
      <c r="L4362" t="s">
        <v>143</v>
      </c>
      <c r="M4362" t="s">
        <v>26</v>
      </c>
      <c r="N4362" t="s">
        <v>85</v>
      </c>
      <c r="O4362" t="s">
        <v>839</v>
      </c>
      <c r="P4362" t="s">
        <v>72</v>
      </c>
      <c r="Q4362">
        <v>21</v>
      </c>
      <c r="R4362" t="s">
        <v>213</v>
      </c>
      <c r="S4362" s="2" t="s">
        <v>9</v>
      </c>
      <c r="T4362">
        <v>6</v>
      </c>
      <c r="U4362">
        <f>AVERAGE(7.49,7.46)</f>
        <v>7.4749999999999996</v>
      </c>
      <c r="V4362">
        <f>AVERAGE(1587,1732)</f>
        <v>1659.5</v>
      </c>
      <c r="W4362" t="s">
        <v>28</v>
      </c>
      <c r="X4362">
        <v>12.170999999999999</v>
      </c>
      <c r="Y4362">
        <v>2.5840000000000001</v>
      </c>
    </row>
    <row r="4363" spans="1:28" x14ac:dyDescent="0.2">
      <c r="A4363" t="s">
        <v>554</v>
      </c>
      <c r="B4363">
        <v>2021</v>
      </c>
      <c r="C4363" t="s">
        <v>816</v>
      </c>
      <c r="D4363" t="s">
        <v>820</v>
      </c>
      <c r="E4363" t="s">
        <v>34</v>
      </c>
      <c r="F4363" t="s">
        <v>315</v>
      </c>
      <c r="G4363">
        <v>-33.133333</v>
      </c>
      <c r="H4363">
        <v>-71.7</v>
      </c>
      <c r="I4363" t="s">
        <v>764</v>
      </c>
      <c r="J4363" s="2" t="s">
        <v>5</v>
      </c>
      <c r="K4363" t="s">
        <v>351</v>
      </c>
      <c r="L4363" t="s">
        <v>143</v>
      </c>
      <c r="M4363" t="s">
        <v>26</v>
      </c>
      <c r="N4363" t="s">
        <v>85</v>
      </c>
      <c r="O4363" t="s">
        <v>839</v>
      </c>
      <c r="P4363" t="s">
        <v>72</v>
      </c>
      <c r="Q4363">
        <v>21</v>
      </c>
      <c r="R4363" t="s">
        <v>213</v>
      </c>
      <c r="S4363" s="2" t="s">
        <v>9</v>
      </c>
      <c r="T4363">
        <v>6</v>
      </c>
      <c r="U4363">
        <f>AVERAGE(7.49,7.46)</f>
        <v>7.4749999999999996</v>
      </c>
      <c r="V4363">
        <f>AVERAGE(1587,1732)</f>
        <v>1659.5</v>
      </c>
      <c r="W4363" t="s">
        <v>28</v>
      </c>
      <c r="X4363">
        <v>13.714</v>
      </c>
      <c r="Y4363">
        <v>1.409</v>
      </c>
    </row>
    <row r="4364" spans="1:28" x14ac:dyDescent="0.2">
      <c r="A4364" t="s">
        <v>554</v>
      </c>
      <c r="B4364">
        <v>2021</v>
      </c>
      <c r="C4364" t="s">
        <v>816</v>
      </c>
      <c r="D4364" t="s">
        <v>820</v>
      </c>
      <c r="E4364" t="s">
        <v>34</v>
      </c>
      <c r="F4364" t="s">
        <v>555</v>
      </c>
      <c r="G4364">
        <v>-33.450000000000003</v>
      </c>
      <c r="H4364">
        <v>-72</v>
      </c>
      <c r="I4364" t="s">
        <v>771</v>
      </c>
      <c r="J4364" s="2" t="s">
        <v>5</v>
      </c>
      <c r="K4364" t="s">
        <v>351</v>
      </c>
      <c r="L4364" t="s">
        <v>143</v>
      </c>
      <c r="M4364" t="s">
        <v>26</v>
      </c>
      <c r="N4364" t="s">
        <v>85</v>
      </c>
      <c r="O4364" t="s">
        <v>839</v>
      </c>
      <c r="P4364" t="s">
        <v>72</v>
      </c>
      <c r="Q4364">
        <v>21</v>
      </c>
      <c r="R4364" t="s">
        <v>213</v>
      </c>
      <c r="S4364" s="2" t="s">
        <v>9</v>
      </c>
      <c r="T4364">
        <v>6</v>
      </c>
      <c r="U4364">
        <f>AVERAGE(7.49,7.46)</f>
        <v>7.4749999999999996</v>
      </c>
      <c r="V4364">
        <f>AVERAGE(1587,1732)</f>
        <v>1659.5</v>
      </c>
      <c r="W4364" t="s">
        <v>28</v>
      </c>
      <c r="X4364">
        <v>10.558999999999999</v>
      </c>
      <c r="Y4364">
        <v>1.3680000000000001</v>
      </c>
    </row>
    <row r="4365" spans="1:28" x14ac:dyDescent="0.2">
      <c r="A4365" t="s">
        <v>554</v>
      </c>
      <c r="B4365">
        <v>2021</v>
      </c>
      <c r="C4365" t="s">
        <v>816</v>
      </c>
      <c r="D4365" t="s">
        <v>820</v>
      </c>
      <c r="E4365" t="s">
        <v>34</v>
      </c>
      <c r="F4365" t="s">
        <v>555</v>
      </c>
      <c r="G4365">
        <v>-33.450000000000003</v>
      </c>
      <c r="H4365">
        <v>-72</v>
      </c>
      <c r="I4365" t="s">
        <v>764</v>
      </c>
      <c r="J4365" s="2" t="s">
        <v>5</v>
      </c>
      <c r="K4365" t="s">
        <v>351</v>
      </c>
      <c r="L4365" t="s">
        <v>143</v>
      </c>
      <c r="M4365" t="s">
        <v>26</v>
      </c>
      <c r="N4365" t="s">
        <v>85</v>
      </c>
      <c r="O4365" t="s">
        <v>839</v>
      </c>
      <c r="P4365" t="s">
        <v>72</v>
      </c>
      <c r="Q4365">
        <v>21</v>
      </c>
      <c r="R4365" t="s">
        <v>213</v>
      </c>
      <c r="S4365" s="2" t="s">
        <v>9</v>
      </c>
      <c r="T4365">
        <v>6</v>
      </c>
      <c r="U4365">
        <f>AVERAGE(7.49,7.46)</f>
        <v>7.4749999999999996</v>
      </c>
      <c r="V4365">
        <f>AVERAGE(1587,1732)</f>
        <v>1659.5</v>
      </c>
      <c r="W4365" t="s">
        <v>28</v>
      </c>
      <c r="X4365">
        <v>11.18</v>
      </c>
      <c r="Y4365">
        <v>1.107</v>
      </c>
    </row>
    <row r="4366" spans="1:28" x14ac:dyDescent="0.2">
      <c r="A4366" t="s">
        <v>554</v>
      </c>
      <c r="B4366">
        <v>2021</v>
      </c>
      <c r="C4366" t="s">
        <v>816</v>
      </c>
      <c r="D4366" t="s">
        <v>820</v>
      </c>
      <c r="E4366" t="s">
        <v>34</v>
      </c>
      <c r="F4366" t="s">
        <v>315</v>
      </c>
      <c r="G4366">
        <v>-33.133333</v>
      </c>
      <c r="H4366">
        <v>-71.7</v>
      </c>
      <c r="I4366" t="s">
        <v>771</v>
      </c>
      <c r="J4366" s="2" t="s">
        <v>14</v>
      </c>
      <c r="K4366" t="s">
        <v>351</v>
      </c>
      <c r="L4366" t="s">
        <v>143</v>
      </c>
      <c r="M4366" t="s">
        <v>26</v>
      </c>
      <c r="N4366" t="s">
        <v>85</v>
      </c>
      <c r="O4366" t="s">
        <v>839</v>
      </c>
      <c r="P4366" t="s">
        <v>72</v>
      </c>
      <c r="Q4366">
        <v>21</v>
      </c>
      <c r="R4366" t="s">
        <v>213</v>
      </c>
      <c r="S4366" s="2" t="s">
        <v>27</v>
      </c>
      <c r="T4366">
        <v>6</v>
      </c>
      <c r="U4366" t="s">
        <v>28</v>
      </c>
      <c r="V4366" t="s">
        <v>28</v>
      </c>
      <c r="W4366">
        <v>16</v>
      </c>
      <c r="X4366">
        <v>16.716999999999999</v>
      </c>
      <c r="Y4366">
        <v>0.95799999999999996</v>
      </c>
    </row>
    <row r="4367" spans="1:28" x14ac:dyDescent="0.2">
      <c r="A4367" t="s">
        <v>554</v>
      </c>
      <c r="B4367">
        <v>2021</v>
      </c>
      <c r="C4367" t="s">
        <v>816</v>
      </c>
      <c r="D4367" t="s">
        <v>820</v>
      </c>
      <c r="E4367" t="s">
        <v>34</v>
      </c>
      <c r="F4367" t="s">
        <v>315</v>
      </c>
      <c r="G4367">
        <v>-33.133333</v>
      </c>
      <c r="H4367">
        <v>-71.7</v>
      </c>
      <c r="I4367" t="s">
        <v>764</v>
      </c>
      <c r="J4367" s="2" t="s">
        <v>14</v>
      </c>
      <c r="K4367" t="s">
        <v>351</v>
      </c>
      <c r="L4367" t="s">
        <v>143</v>
      </c>
      <c r="M4367" t="s">
        <v>26</v>
      </c>
      <c r="N4367" t="s">
        <v>85</v>
      </c>
      <c r="O4367" t="s">
        <v>839</v>
      </c>
      <c r="P4367" t="s">
        <v>72</v>
      </c>
      <c r="Q4367">
        <v>21</v>
      </c>
      <c r="R4367" t="s">
        <v>213</v>
      </c>
      <c r="S4367" s="2" t="s">
        <v>27</v>
      </c>
      <c r="T4367">
        <v>6</v>
      </c>
      <c r="U4367" t="s">
        <v>28</v>
      </c>
      <c r="V4367" t="s">
        <v>28</v>
      </c>
      <c r="W4367">
        <v>16</v>
      </c>
      <c r="X4367">
        <v>15.632999999999999</v>
      </c>
      <c r="Y4367">
        <v>0.184</v>
      </c>
    </row>
    <row r="4368" spans="1:28" x14ac:dyDescent="0.2">
      <c r="A4368" t="s">
        <v>554</v>
      </c>
      <c r="B4368">
        <v>2021</v>
      </c>
      <c r="C4368" t="s">
        <v>816</v>
      </c>
      <c r="D4368" t="s">
        <v>820</v>
      </c>
      <c r="E4368" t="s">
        <v>34</v>
      </c>
      <c r="F4368" t="s">
        <v>555</v>
      </c>
      <c r="G4368">
        <v>-33.450000000000003</v>
      </c>
      <c r="H4368">
        <v>-72</v>
      </c>
      <c r="I4368" t="s">
        <v>771</v>
      </c>
      <c r="J4368" s="2" t="s">
        <v>14</v>
      </c>
      <c r="K4368" t="s">
        <v>351</v>
      </c>
      <c r="L4368" t="s">
        <v>143</v>
      </c>
      <c r="M4368" t="s">
        <v>26</v>
      </c>
      <c r="N4368" t="s">
        <v>85</v>
      </c>
      <c r="O4368" t="s">
        <v>839</v>
      </c>
      <c r="P4368" t="s">
        <v>72</v>
      </c>
      <c r="Q4368">
        <v>21</v>
      </c>
      <c r="R4368" t="s">
        <v>213</v>
      </c>
      <c r="S4368" s="2" t="s">
        <v>27</v>
      </c>
      <c r="T4368">
        <v>6</v>
      </c>
      <c r="U4368" t="s">
        <v>28</v>
      </c>
      <c r="V4368" t="s">
        <v>28</v>
      </c>
      <c r="W4368">
        <v>16</v>
      </c>
      <c r="X4368">
        <v>11.724</v>
      </c>
      <c r="Y4368">
        <v>4.843</v>
      </c>
    </row>
    <row r="4369" spans="1:25" x14ac:dyDescent="0.2">
      <c r="A4369" t="s">
        <v>554</v>
      </c>
      <c r="B4369">
        <v>2021</v>
      </c>
      <c r="C4369" t="s">
        <v>816</v>
      </c>
      <c r="D4369" t="s">
        <v>820</v>
      </c>
      <c r="E4369" t="s">
        <v>34</v>
      </c>
      <c r="F4369" t="s">
        <v>555</v>
      </c>
      <c r="G4369">
        <v>-33.450000000000003</v>
      </c>
      <c r="H4369">
        <v>-72</v>
      </c>
      <c r="I4369" t="s">
        <v>764</v>
      </c>
      <c r="J4369" s="2" t="s">
        <v>14</v>
      </c>
      <c r="K4369" t="s">
        <v>351</v>
      </c>
      <c r="L4369" t="s">
        <v>143</v>
      </c>
      <c r="M4369" t="s">
        <v>26</v>
      </c>
      <c r="N4369" t="s">
        <v>85</v>
      </c>
      <c r="O4369" t="s">
        <v>839</v>
      </c>
      <c r="P4369" t="s">
        <v>72</v>
      </c>
      <c r="Q4369">
        <v>21</v>
      </c>
      <c r="R4369" t="s">
        <v>213</v>
      </c>
      <c r="S4369" s="2" t="s">
        <v>27</v>
      </c>
      <c r="T4369">
        <v>6</v>
      </c>
      <c r="U4369" t="s">
        <v>28</v>
      </c>
      <c r="V4369" t="s">
        <v>28</v>
      </c>
      <c r="W4369">
        <v>16</v>
      </c>
      <c r="X4369">
        <v>11.1</v>
      </c>
      <c r="Y4369">
        <v>4.5519999999999996</v>
      </c>
    </row>
    <row r="4370" spans="1:25" x14ac:dyDescent="0.2">
      <c r="A4370" t="s">
        <v>554</v>
      </c>
      <c r="B4370">
        <v>2021</v>
      </c>
      <c r="C4370" t="s">
        <v>816</v>
      </c>
      <c r="D4370" t="s">
        <v>820</v>
      </c>
      <c r="E4370" t="s">
        <v>34</v>
      </c>
      <c r="F4370" t="s">
        <v>315</v>
      </c>
      <c r="G4370">
        <v>-33.133333</v>
      </c>
      <c r="H4370">
        <v>-71.7</v>
      </c>
      <c r="I4370" t="s">
        <v>771</v>
      </c>
      <c r="J4370" s="2" t="s">
        <v>16</v>
      </c>
      <c r="K4370" t="s">
        <v>351</v>
      </c>
      <c r="L4370" t="s">
        <v>143</v>
      </c>
      <c r="M4370" t="s">
        <v>26</v>
      </c>
      <c r="N4370" t="s">
        <v>85</v>
      </c>
      <c r="O4370" t="s">
        <v>839</v>
      </c>
      <c r="P4370" t="s">
        <v>72</v>
      </c>
      <c r="Q4370">
        <v>21</v>
      </c>
      <c r="R4370" t="s">
        <v>213</v>
      </c>
      <c r="S4370" s="2" t="s">
        <v>13</v>
      </c>
      <c r="T4370">
        <v>6</v>
      </c>
      <c r="U4370">
        <f>AVERAGE(7.46,7.47)</f>
        <v>7.4649999999999999</v>
      </c>
      <c r="V4370">
        <f>AVERAGE(1727,1689)</f>
        <v>1708</v>
      </c>
      <c r="W4370">
        <v>16</v>
      </c>
      <c r="X4370">
        <v>18.395</v>
      </c>
      <c r="Y4370">
        <v>1.659</v>
      </c>
    </row>
    <row r="4371" spans="1:25" x14ac:dyDescent="0.2">
      <c r="A4371" t="s">
        <v>554</v>
      </c>
      <c r="B4371">
        <v>2021</v>
      </c>
      <c r="C4371" t="s">
        <v>816</v>
      </c>
      <c r="D4371" t="s">
        <v>820</v>
      </c>
      <c r="E4371" t="s">
        <v>34</v>
      </c>
      <c r="F4371" t="s">
        <v>315</v>
      </c>
      <c r="G4371">
        <v>-33.133333</v>
      </c>
      <c r="H4371">
        <v>-71.7</v>
      </c>
      <c r="I4371" t="s">
        <v>764</v>
      </c>
      <c r="J4371" s="2" t="s">
        <v>16</v>
      </c>
      <c r="K4371" t="s">
        <v>351</v>
      </c>
      <c r="L4371" t="s">
        <v>143</v>
      </c>
      <c r="M4371" t="s">
        <v>26</v>
      </c>
      <c r="N4371" t="s">
        <v>85</v>
      </c>
      <c r="O4371" t="s">
        <v>839</v>
      </c>
      <c r="P4371" t="s">
        <v>72</v>
      </c>
      <c r="Q4371">
        <v>21</v>
      </c>
      <c r="R4371" t="s">
        <v>213</v>
      </c>
      <c r="S4371" s="2" t="s">
        <v>13</v>
      </c>
      <c r="T4371">
        <v>6</v>
      </c>
      <c r="U4371">
        <f>AVERAGE(7.46,7.47)</f>
        <v>7.4649999999999999</v>
      </c>
      <c r="V4371">
        <f>AVERAGE(1727,1689)</f>
        <v>1708</v>
      </c>
      <c r="W4371">
        <v>16</v>
      </c>
      <c r="X4371">
        <v>14.855</v>
      </c>
      <c r="Y4371">
        <v>1.52</v>
      </c>
    </row>
    <row r="4372" spans="1:25" x14ac:dyDescent="0.2">
      <c r="A4372" t="s">
        <v>554</v>
      </c>
      <c r="B4372">
        <v>2021</v>
      </c>
      <c r="C4372" t="s">
        <v>816</v>
      </c>
      <c r="D4372" t="s">
        <v>820</v>
      </c>
      <c r="E4372" t="s">
        <v>34</v>
      </c>
      <c r="F4372" t="s">
        <v>555</v>
      </c>
      <c r="G4372">
        <v>-33.450000000000003</v>
      </c>
      <c r="H4372">
        <v>-72</v>
      </c>
      <c r="I4372" t="s">
        <v>771</v>
      </c>
      <c r="J4372" s="2" t="s">
        <v>16</v>
      </c>
      <c r="K4372" t="s">
        <v>351</v>
      </c>
      <c r="L4372" t="s">
        <v>143</v>
      </c>
      <c r="M4372" t="s">
        <v>26</v>
      </c>
      <c r="N4372" t="s">
        <v>85</v>
      </c>
      <c r="O4372" t="s">
        <v>839</v>
      </c>
      <c r="P4372" t="s">
        <v>72</v>
      </c>
      <c r="Q4372">
        <v>21</v>
      </c>
      <c r="R4372" t="s">
        <v>213</v>
      </c>
      <c r="S4372" s="2" t="s">
        <v>13</v>
      </c>
      <c r="T4372">
        <v>6</v>
      </c>
      <c r="U4372">
        <f>AVERAGE(7.46,7.47)</f>
        <v>7.4649999999999999</v>
      </c>
      <c r="V4372">
        <f>AVERAGE(1727,1689)</f>
        <v>1708</v>
      </c>
      <c r="W4372">
        <v>16</v>
      </c>
      <c r="X4372">
        <v>17.79</v>
      </c>
      <c r="Y4372">
        <v>3.4790000000000001</v>
      </c>
    </row>
    <row r="4373" spans="1:25" x14ac:dyDescent="0.2">
      <c r="A4373" t="s">
        <v>554</v>
      </c>
      <c r="B4373">
        <v>2021</v>
      </c>
      <c r="C4373" t="s">
        <v>816</v>
      </c>
      <c r="D4373" t="s">
        <v>820</v>
      </c>
      <c r="E4373" t="s">
        <v>34</v>
      </c>
      <c r="F4373" t="s">
        <v>555</v>
      </c>
      <c r="G4373">
        <v>-33.450000000000003</v>
      </c>
      <c r="H4373">
        <v>-72</v>
      </c>
      <c r="I4373" t="s">
        <v>764</v>
      </c>
      <c r="J4373" s="2" t="s">
        <v>16</v>
      </c>
      <c r="K4373" t="s">
        <v>351</v>
      </c>
      <c r="L4373" t="s">
        <v>143</v>
      </c>
      <c r="M4373" t="s">
        <v>26</v>
      </c>
      <c r="N4373" t="s">
        <v>85</v>
      </c>
      <c r="O4373" t="s">
        <v>839</v>
      </c>
      <c r="P4373" t="s">
        <v>72</v>
      </c>
      <c r="Q4373">
        <v>21</v>
      </c>
      <c r="R4373" t="s">
        <v>213</v>
      </c>
      <c r="S4373" s="2" t="s">
        <v>13</v>
      </c>
      <c r="T4373">
        <v>6</v>
      </c>
      <c r="U4373">
        <f>AVERAGE(7.46,7.47)</f>
        <v>7.4649999999999999</v>
      </c>
      <c r="V4373">
        <f>AVERAGE(1727,1689)</f>
        <v>1708</v>
      </c>
      <c r="W4373">
        <v>16</v>
      </c>
      <c r="X4373">
        <v>14.747999999999999</v>
      </c>
      <c r="Y4373">
        <v>1.873</v>
      </c>
    </row>
    <row r="4374" spans="1:25" x14ac:dyDescent="0.2">
      <c r="A4374" t="s">
        <v>554</v>
      </c>
      <c r="B4374">
        <v>2021</v>
      </c>
      <c r="C4374" t="s">
        <v>816</v>
      </c>
      <c r="D4374" t="s">
        <v>820</v>
      </c>
      <c r="E4374" t="s">
        <v>34</v>
      </c>
      <c r="F4374" t="s">
        <v>315</v>
      </c>
      <c r="G4374">
        <v>-33.133333</v>
      </c>
      <c r="H4374">
        <v>-71.7</v>
      </c>
      <c r="I4374" t="s">
        <v>771</v>
      </c>
      <c r="J4374" s="2" t="s">
        <v>14</v>
      </c>
      <c r="K4374" t="s">
        <v>351</v>
      </c>
      <c r="L4374" t="s">
        <v>143</v>
      </c>
      <c r="M4374" t="s">
        <v>26</v>
      </c>
      <c r="N4374" t="s">
        <v>85</v>
      </c>
      <c r="O4374" t="s">
        <v>839</v>
      </c>
      <c r="P4374" t="s">
        <v>72</v>
      </c>
      <c r="Q4374">
        <v>21</v>
      </c>
      <c r="R4374" t="s">
        <v>213</v>
      </c>
      <c r="S4374" s="2" t="s">
        <v>15</v>
      </c>
      <c r="T4374">
        <v>6</v>
      </c>
      <c r="U4374" t="s">
        <v>28</v>
      </c>
      <c r="V4374" t="s">
        <v>28</v>
      </c>
      <c r="W4374">
        <v>20</v>
      </c>
      <c r="X4374">
        <v>10.406000000000001</v>
      </c>
      <c r="Y4374">
        <v>5.2169999999999996</v>
      </c>
    </row>
    <row r="4375" spans="1:25" x14ac:dyDescent="0.2">
      <c r="A4375" t="s">
        <v>554</v>
      </c>
      <c r="B4375">
        <v>2021</v>
      </c>
      <c r="C4375" t="s">
        <v>816</v>
      </c>
      <c r="D4375" t="s">
        <v>820</v>
      </c>
      <c r="E4375" t="s">
        <v>34</v>
      </c>
      <c r="F4375" t="s">
        <v>315</v>
      </c>
      <c r="G4375">
        <v>-33.133333</v>
      </c>
      <c r="H4375">
        <v>-71.7</v>
      </c>
      <c r="I4375" t="s">
        <v>764</v>
      </c>
      <c r="J4375" s="2" t="s">
        <v>14</v>
      </c>
      <c r="K4375" t="s">
        <v>351</v>
      </c>
      <c r="L4375" t="s">
        <v>143</v>
      </c>
      <c r="M4375" t="s">
        <v>26</v>
      </c>
      <c r="N4375" t="s">
        <v>85</v>
      </c>
      <c r="O4375" t="s">
        <v>839</v>
      </c>
      <c r="P4375" t="s">
        <v>72</v>
      </c>
      <c r="Q4375">
        <v>21</v>
      </c>
      <c r="R4375" t="s">
        <v>213</v>
      </c>
      <c r="S4375" s="2" t="s">
        <v>15</v>
      </c>
      <c r="T4375">
        <v>6</v>
      </c>
      <c r="U4375" t="s">
        <v>28</v>
      </c>
      <c r="V4375" t="s">
        <v>28</v>
      </c>
      <c r="W4375">
        <v>20</v>
      </c>
      <c r="X4375">
        <v>9.3420000000000005</v>
      </c>
      <c r="Y4375">
        <v>2.6739999999999999</v>
      </c>
    </row>
    <row r="4376" spans="1:25" x14ac:dyDescent="0.2">
      <c r="A4376" t="s">
        <v>554</v>
      </c>
      <c r="B4376">
        <v>2021</v>
      </c>
      <c r="C4376" t="s">
        <v>816</v>
      </c>
      <c r="D4376" t="s">
        <v>820</v>
      </c>
      <c r="E4376" t="s">
        <v>34</v>
      </c>
      <c r="F4376" t="s">
        <v>555</v>
      </c>
      <c r="G4376">
        <v>-33.450000000000003</v>
      </c>
      <c r="H4376">
        <v>-72</v>
      </c>
      <c r="I4376" t="s">
        <v>771</v>
      </c>
      <c r="J4376" s="2" t="s">
        <v>14</v>
      </c>
      <c r="K4376" t="s">
        <v>351</v>
      </c>
      <c r="L4376" t="s">
        <v>143</v>
      </c>
      <c r="M4376" t="s">
        <v>26</v>
      </c>
      <c r="N4376" t="s">
        <v>85</v>
      </c>
      <c r="O4376" t="s">
        <v>839</v>
      </c>
      <c r="P4376" t="s">
        <v>72</v>
      </c>
      <c r="Q4376">
        <v>21</v>
      </c>
      <c r="R4376" t="s">
        <v>213</v>
      </c>
      <c r="S4376" s="2" t="s">
        <v>15</v>
      </c>
      <c r="T4376">
        <v>6</v>
      </c>
      <c r="U4376" t="s">
        <v>28</v>
      </c>
      <c r="V4376" t="s">
        <v>28</v>
      </c>
      <c r="W4376">
        <v>20</v>
      </c>
      <c r="X4376">
        <v>9.2249999999999996</v>
      </c>
      <c r="Y4376">
        <v>3.2349999999999999</v>
      </c>
    </row>
    <row r="4377" spans="1:25" x14ac:dyDescent="0.2">
      <c r="A4377" t="s">
        <v>554</v>
      </c>
      <c r="B4377">
        <v>2021</v>
      </c>
      <c r="C4377" t="s">
        <v>816</v>
      </c>
      <c r="D4377" t="s">
        <v>820</v>
      </c>
      <c r="E4377" t="s">
        <v>34</v>
      </c>
      <c r="F4377" t="s">
        <v>555</v>
      </c>
      <c r="G4377">
        <v>-33.450000000000003</v>
      </c>
      <c r="H4377">
        <v>-72</v>
      </c>
      <c r="I4377" t="s">
        <v>764</v>
      </c>
      <c r="J4377" s="2" t="s">
        <v>14</v>
      </c>
      <c r="K4377" t="s">
        <v>351</v>
      </c>
      <c r="L4377" t="s">
        <v>143</v>
      </c>
      <c r="M4377" t="s">
        <v>26</v>
      </c>
      <c r="N4377" t="s">
        <v>85</v>
      </c>
      <c r="O4377" t="s">
        <v>839</v>
      </c>
      <c r="P4377" t="s">
        <v>72</v>
      </c>
      <c r="Q4377">
        <v>21</v>
      </c>
      <c r="R4377" t="s">
        <v>213</v>
      </c>
      <c r="S4377" s="2" t="s">
        <v>15</v>
      </c>
      <c r="T4377">
        <v>6</v>
      </c>
      <c r="U4377" t="s">
        <v>28</v>
      </c>
      <c r="V4377" t="s">
        <v>28</v>
      </c>
      <c r="W4377">
        <v>20</v>
      </c>
      <c r="X4377">
        <v>10.555999999999999</v>
      </c>
      <c r="Y4377">
        <v>2.282</v>
      </c>
    </row>
    <row r="4378" spans="1:25" x14ac:dyDescent="0.2">
      <c r="A4378" t="s">
        <v>554</v>
      </c>
      <c r="B4378">
        <v>2021</v>
      </c>
      <c r="C4378" t="s">
        <v>816</v>
      </c>
      <c r="D4378" t="s">
        <v>820</v>
      </c>
      <c r="E4378" t="s">
        <v>34</v>
      </c>
      <c r="F4378" t="s">
        <v>315</v>
      </c>
      <c r="G4378">
        <v>-33.133333</v>
      </c>
      <c r="H4378">
        <v>-71.7</v>
      </c>
      <c r="I4378" t="s">
        <v>771</v>
      </c>
      <c r="J4378" s="2" t="s">
        <v>16</v>
      </c>
      <c r="K4378" t="s">
        <v>351</v>
      </c>
      <c r="L4378" t="s">
        <v>143</v>
      </c>
      <c r="M4378" t="s">
        <v>26</v>
      </c>
      <c r="N4378" t="s">
        <v>85</v>
      </c>
      <c r="O4378" t="s">
        <v>839</v>
      </c>
      <c r="P4378" t="s">
        <v>72</v>
      </c>
      <c r="Q4378">
        <v>21</v>
      </c>
      <c r="R4378" t="s">
        <v>213</v>
      </c>
      <c r="S4378" s="2" t="s">
        <v>37</v>
      </c>
      <c r="T4378">
        <v>6</v>
      </c>
      <c r="U4378">
        <f>AVERAGE(7.54,7.55)</f>
        <v>7.5449999999999999</v>
      </c>
      <c r="V4378">
        <f>AVERAGE(1442,1414)</f>
        <v>1428</v>
      </c>
      <c r="W4378">
        <v>20</v>
      </c>
      <c r="X4378">
        <v>9.6709999999999994</v>
      </c>
      <c r="Y4378">
        <v>0.93600000000000005</v>
      </c>
    </row>
    <row r="4379" spans="1:25" x14ac:dyDescent="0.2">
      <c r="A4379" t="s">
        <v>554</v>
      </c>
      <c r="B4379">
        <v>2021</v>
      </c>
      <c r="C4379" t="s">
        <v>816</v>
      </c>
      <c r="D4379" t="s">
        <v>820</v>
      </c>
      <c r="E4379" t="s">
        <v>34</v>
      </c>
      <c r="F4379" t="s">
        <v>315</v>
      </c>
      <c r="G4379">
        <v>-33.133333</v>
      </c>
      <c r="H4379">
        <v>-71.7</v>
      </c>
      <c r="I4379" t="s">
        <v>764</v>
      </c>
      <c r="J4379" s="2" t="s">
        <v>16</v>
      </c>
      <c r="K4379" t="s">
        <v>351</v>
      </c>
      <c r="L4379" t="s">
        <v>143</v>
      </c>
      <c r="M4379" t="s">
        <v>26</v>
      </c>
      <c r="N4379" t="s">
        <v>85</v>
      </c>
      <c r="O4379" t="s">
        <v>839</v>
      </c>
      <c r="P4379" t="s">
        <v>72</v>
      </c>
      <c r="Q4379">
        <v>21</v>
      </c>
      <c r="R4379" t="s">
        <v>213</v>
      </c>
      <c r="S4379" s="2" t="s">
        <v>37</v>
      </c>
      <c r="T4379">
        <v>6</v>
      </c>
      <c r="U4379">
        <f>AVERAGE(7.54,7.55)</f>
        <v>7.5449999999999999</v>
      </c>
      <c r="V4379">
        <f>AVERAGE(1442,1414)</f>
        <v>1428</v>
      </c>
      <c r="W4379">
        <v>20</v>
      </c>
      <c r="X4379">
        <v>8.8130000000000006</v>
      </c>
      <c r="Y4379">
        <v>2.101</v>
      </c>
    </row>
    <row r="4380" spans="1:25" x14ac:dyDescent="0.2">
      <c r="A4380" t="s">
        <v>554</v>
      </c>
      <c r="B4380">
        <v>2021</v>
      </c>
      <c r="C4380" t="s">
        <v>816</v>
      </c>
      <c r="D4380" t="s">
        <v>820</v>
      </c>
      <c r="E4380" t="s">
        <v>34</v>
      </c>
      <c r="F4380" t="s">
        <v>555</v>
      </c>
      <c r="G4380">
        <v>-33.450000000000003</v>
      </c>
      <c r="H4380">
        <v>-72</v>
      </c>
      <c r="I4380" t="s">
        <v>771</v>
      </c>
      <c r="J4380" s="2" t="s">
        <v>16</v>
      </c>
      <c r="K4380" t="s">
        <v>351</v>
      </c>
      <c r="L4380" t="s">
        <v>143</v>
      </c>
      <c r="M4380" t="s">
        <v>26</v>
      </c>
      <c r="N4380" t="s">
        <v>85</v>
      </c>
      <c r="O4380" t="s">
        <v>839</v>
      </c>
      <c r="P4380" t="s">
        <v>72</v>
      </c>
      <c r="Q4380">
        <v>21</v>
      </c>
      <c r="R4380" t="s">
        <v>213</v>
      </c>
      <c r="S4380" s="2" t="s">
        <v>37</v>
      </c>
      <c r="T4380">
        <v>6</v>
      </c>
      <c r="U4380">
        <f>AVERAGE(7.54,7.55)</f>
        <v>7.5449999999999999</v>
      </c>
      <c r="V4380">
        <f>AVERAGE(1442,1414)</f>
        <v>1428</v>
      </c>
      <c r="W4380">
        <v>20</v>
      </c>
      <c r="X4380">
        <v>8.2609999999999992</v>
      </c>
      <c r="Y4380">
        <v>4.5590000000000002</v>
      </c>
    </row>
    <row r="4381" spans="1:25" x14ac:dyDescent="0.2">
      <c r="A4381" t="s">
        <v>554</v>
      </c>
      <c r="B4381">
        <v>2021</v>
      </c>
      <c r="C4381" t="s">
        <v>816</v>
      </c>
      <c r="D4381" t="s">
        <v>820</v>
      </c>
      <c r="E4381" t="s">
        <v>34</v>
      </c>
      <c r="F4381" t="s">
        <v>555</v>
      </c>
      <c r="G4381">
        <v>-33.450000000000003</v>
      </c>
      <c r="H4381">
        <v>-72</v>
      </c>
      <c r="I4381" t="s">
        <v>764</v>
      </c>
      <c r="J4381" s="2" t="s">
        <v>16</v>
      </c>
      <c r="K4381" t="s">
        <v>351</v>
      </c>
      <c r="L4381" t="s">
        <v>143</v>
      </c>
      <c r="M4381" t="s">
        <v>26</v>
      </c>
      <c r="N4381" t="s">
        <v>85</v>
      </c>
      <c r="O4381" t="s">
        <v>839</v>
      </c>
      <c r="P4381" t="s">
        <v>72</v>
      </c>
      <c r="Q4381">
        <v>21</v>
      </c>
      <c r="R4381" t="s">
        <v>213</v>
      </c>
      <c r="S4381" s="2" t="s">
        <v>37</v>
      </c>
      <c r="T4381">
        <v>6</v>
      </c>
      <c r="U4381">
        <f>AVERAGE(7.54,7.55)</f>
        <v>7.5449999999999999</v>
      </c>
      <c r="V4381">
        <f>AVERAGE(1442,1414)</f>
        <v>1428</v>
      </c>
      <c r="W4381">
        <v>20</v>
      </c>
      <c r="X4381">
        <v>10.714</v>
      </c>
      <c r="Y4381">
        <v>4.2389999999999999</v>
      </c>
    </row>
    <row r="4382" spans="1:25" x14ac:dyDescent="0.2">
      <c r="A4382" t="s">
        <v>554</v>
      </c>
      <c r="B4382">
        <v>2021</v>
      </c>
      <c r="C4382" t="s">
        <v>816</v>
      </c>
      <c r="D4382" t="s">
        <v>820</v>
      </c>
      <c r="E4382" t="s">
        <v>34</v>
      </c>
      <c r="F4382" t="s">
        <v>315</v>
      </c>
      <c r="G4382">
        <v>-33.133333</v>
      </c>
      <c r="H4382">
        <v>-71.7</v>
      </c>
      <c r="I4382" t="s">
        <v>771</v>
      </c>
      <c r="J4382" s="2" t="s">
        <v>7</v>
      </c>
      <c r="K4382" t="s">
        <v>351</v>
      </c>
      <c r="L4382" t="s">
        <v>143</v>
      </c>
      <c r="M4382" t="s">
        <v>73</v>
      </c>
      <c r="N4382" t="s">
        <v>85</v>
      </c>
      <c r="O4382" s="6" t="s">
        <v>834</v>
      </c>
      <c r="P4382" t="s">
        <v>556</v>
      </c>
      <c r="Q4382">
        <v>21</v>
      </c>
      <c r="R4382" t="s">
        <v>213</v>
      </c>
      <c r="S4382" s="2" t="s">
        <v>7</v>
      </c>
      <c r="T4382">
        <v>6</v>
      </c>
      <c r="U4382">
        <f>AVERAGE(7.72, 7.8)</f>
        <v>7.76</v>
      </c>
      <c r="V4382">
        <f>AVERAGE(926.28,726)</f>
        <v>826.14</v>
      </c>
      <c r="W4382">
        <v>12</v>
      </c>
      <c r="X4382">
        <v>12.773</v>
      </c>
      <c r="Y4382">
        <v>2.278</v>
      </c>
    </row>
    <row r="4383" spans="1:25" x14ac:dyDescent="0.2">
      <c r="A4383" t="s">
        <v>554</v>
      </c>
      <c r="B4383">
        <v>2021</v>
      </c>
      <c r="C4383" t="s">
        <v>816</v>
      </c>
      <c r="D4383" t="s">
        <v>820</v>
      </c>
      <c r="E4383" t="s">
        <v>34</v>
      </c>
      <c r="F4383" t="s">
        <v>315</v>
      </c>
      <c r="G4383">
        <v>-33.133333</v>
      </c>
      <c r="H4383">
        <v>-71.7</v>
      </c>
      <c r="I4383" t="s">
        <v>764</v>
      </c>
      <c r="J4383" s="2" t="s">
        <v>7</v>
      </c>
      <c r="K4383" t="s">
        <v>351</v>
      </c>
      <c r="L4383" t="s">
        <v>143</v>
      </c>
      <c r="M4383" t="s">
        <v>73</v>
      </c>
      <c r="N4383" t="s">
        <v>85</v>
      </c>
      <c r="O4383" s="6" t="s">
        <v>834</v>
      </c>
      <c r="P4383" t="s">
        <v>556</v>
      </c>
      <c r="Q4383">
        <v>21</v>
      </c>
      <c r="R4383" t="s">
        <v>213</v>
      </c>
      <c r="S4383" s="2" t="s">
        <v>7</v>
      </c>
      <c r="T4383">
        <v>6</v>
      </c>
      <c r="U4383">
        <f>AVERAGE(7.72, 7.8)</f>
        <v>7.76</v>
      </c>
      <c r="V4383">
        <f>AVERAGE(926.28,726)</f>
        <v>826.14</v>
      </c>
      <c r="W4383">
        <v>12</v>
      </c>
      <c r="X4383">
        <v>12.39</v>
      </c>
      <c r="Y4383">
        <v>3.15</v>
      </c>
    </row>
    <row r="4384" spans="1:25" x14ac:dyDescent="0.2">
      <c r="A4384" t="s">
        <v>554</v>
      </c>
      <c r="B4384">
        <v>2021</v>
      </c>
      <c r="C4384" t="s">
        <v>816</v>
      </c>
      <c r="D4384" t="s">
        <v>820</v>
      </c>
      <c r="E4384" t="s">
        <v>34</v>
      </c>
      <c r="F4384" t="s">
        <v>555</v>
      </c>
      <c r="G4384">
        <v>-33.450000000000003</v>
      </c>
      <c r="H4384">
        <v>-72</v>
      </c>
      <c r="I4384" t="s">
        <v>771</v>
      </c>
      <c r="J4384" s="2" t="s">
        <v>7</v>
      </c>
      <c r="K4384" t="s">
        <v>351</v>
      </c>
      <c r="L4384" t="s">
        <v>143</v>
      </c>
      <c r="M4384" t="s">
        <v>73</v>
      </c>
      <c r="N4384" t="s">
        <v>85</v>
      </c>
      <c r="O4384" s="6" t="s">
        <v>834</v>
      </c>
      <c r="P4384" t="s">
        <v>556</v>
      </c>
      <c r="Q4384">
        <v>21</v>
      </c>
      <c r="R4384" t="s">
        <v>213</v>
      </c>
      <c r="S4384" s="2" t="s">
        <v>7</v>
      </c>
      <c r="T4384">
        <v>6</v>
      </c>
      <c r="U4384">
        <f>AVERAGE(7.72, 7.8)</f>
        <v>7.76</v>
      </c>
      <c r="V4384">
        <f>AVERAGE(926.28,726)</f>
        <v>826.14</v>
      </c>
      <c r="W4384">
        <v>12</v>
      </c>
      <c r="X4384">
        <v>12.492000000000001</v>
      </c>
      <c r="Y4384">
        <v>5.1580000000000004</v>
      </c>
    </row>
    <row r="4385" spans="1:25" x14ac:dyDescent="0.2">
      <c r="A4385" t="s">
        <v>554</v>
      </c>
      <c r="B4385">
        <v>2021</v>
      </c>
      <c r="C4385" t="s">
        <v>816</v>
      </c>
      <c r="D4385" t="s">
        <v>820</v>
      </c>
      <c r="E4385" t="s">
        <v>34</v>
      </c>
      <c r="F4385" t="s">
        <v>555</v>
      </c>
      <c r="G4385">
        <v>-33.450000000000003</v>
      </c>
      <c r="H4385">
        <v>-72</v>
      </c>
      <c r="I4385" t="s">
        <v>764</v>
      </c>
      <c r="J4385" s="2" t="s">
        <v>7</v>
      </c>
      <c r="K4385" t="s">
        <v>351</v>
      </c>
      <c r="L4385" t="s">
        <v>143</v>
      </c>
      <c r="M4385" t="s">
        <v>73</v>
      </c>
      <c r="N4385" t="s">
        <v>85</v>
      </c>
      <c r="O4385" s="6" t="s">
        <v>834</v>
      </c>
      <c r="P4385" t="s">
        <v>556</v>
      </c>
      <c r="Q4385">
        <v>21</v>
      </c>
      <c r="R4385" t="s">
        <v>213</v>
      </c>
      <c r="S4385" s="2" t="s">
        <v>7</v>
      </c>
      <c r="T4385">
        <v>6</v>
      </c>
      <c r="U4385">
        <f>AVERAGE(7.72, 7.8)</f>
        <v>7.76</v>
      </c>
      <c r="V4385">
        <f>AVERAGE(926.28,726)</f>
        <v>826.14</v>
      </c>
      <c r="W4385">
        <v>12</v>
      </c>
      <c r="X4385">
        <v>15.653</v>
      </c>
      <c r="Y4385">
        <v>5.3179999999999996</v>
      </c>
    </row>
    <row r="4386" spans="1:25" x14ac:dyDescent="0.2">
      <c r="A4386" t="s">
        <v>554</v>
      </c>
      <c r="B4386">
        <v>2021</v>
      </c>
      <c r="C4386" t="s">
        <v>816</v>
      </c>
      <c r="D4386" t="s">
        <v>820</v>
      </c>
      <c r="E4386" t="s">
        <v>34</v>
      </c>
      <c r="F4386" t="s">
        <v>315</v>
      </c>
      <c r="G4386">
        <v>-33.133333</v>
      </c>
      <c r="H4386">
        <v>-71.7</v>
      </c>
      <c r="I4386" t="s">
        <v>771</v>
      </c>
      <c r="J4386" s="2" t="s">
        <v>5</v>
      </c>
      <c r="K4386" t="s">
        <v>351</v>
      </c>
      <c r="L4386" t="s">
        <v>143</v>
      </c>
      <c r="M4386" t="s">
        <v>73</v>
      </c>
      <c r="N4386" t="s">
        <v>85</v>
      </c>
      <c r="O4386" s="6" t="s">
        <v>834</v>
      </c>
      <c r="P4386" t="s">
        <v>556</v>
      </c>
      <c r="Q4386">
        <v>21</v>
      </c>
      <c r="R4386" t="s">
        <v>213</v>
      </c>
      <c r="S4386" s="2" t="s">
        <v>9</v>
      </c>
      <c r="T4386">
        <v>6</v>
      </c>
      <c r="U4386">
        <f>AVERAGE(7.49,7.46)</f>
        <v>7.4749999999999996</v>
      </c>
      <c r="V4386">
        <f>AVERAGE(1587,1732)</f>
        <v>1659.5</v>
      </c>
      <c r="W4386" t="s">
        <v>28</v>
      </c>
      <c r="X4386">
        <v>11.548999999999999</v>
      </c>
      <c r="Y4386">
        <v>3.2959999999999998</v>
      </c>
    </row>
    <row r="4387" spans="1:25" x14ac:dyDescent="0.2">
      <c r="A4387" t="s">
        <v>554</v>
      </c>
      <c r="B4387">
        <v>2021</v>
      </c>
      <c r="C4387" t="s">
        <v>816</v>
      </c>
      <c r="D4387" t="s">
        <v>820</v>
      </c>
      <c r="E4387" t="s">
        <v>34</v>
      </c>
      <c r="F4387" t="s">
        <v>315</v>
      </c>
      <c r="G4387">
        <v>-33.133333</v>
      </c>
      <c r="H4387">
        <v>-71.7</v>
      </c>
      <c r="I4387" t="s">
        <v>764</v>
      </c>
      <c r="J4387" s="2" t="s">
        <v>5</v>
      </c>
      <c r="K4387" t="s">
        <v>351</v>
      </c>
      <c r="L4387" t="s">
        <v>143</v>
      </c>
      <c r="M4387" t="s">
        <v>73</v>
      </c>
      <c r="N4387" t="s">
        <v>85</v>
      </c>
      <c r="O4387" s="6" t="s">
        <v>834</v>
      </c>
      <c r="P4387" t="s">
        <v>556</v>
      </c>
      <c r="Q4387">
        <v>21</v>
      </c>
      <c r="R4387" t="s">
        <v>213</v>
      </c>
      <c r="S4387" s="2" t="s">
        <v>9</v>
      </c>
      <c r="T4387">
        <v>6</v>
      </c>
      <c r="U4387">
        <f>AVERAGE(7.49,7.46)</f>
        <v>7.4749999999999996</v>
      </c>
      <c r="V4387">
        <f>AVERAGE(1587,1732)</f>
        <v>1659.5</v>
      </c>
      <c r="W4387" t="s">
        <v>28</v>
      </c>
      <c r="X4387">
        <v>9.423</v>
      </c>
      <c r="Y4387">
        <v>1.341</v>
      </c>
    </row>
    <row r="4388" spans="1:25" x14ac:dyDescent="0.2">
      <c r="A4388" t="s">
        <v>554</v>
      </c>
      <c r="B4388">
        <v>2021</v>
      </c>
      <c r="C4388" t="s">
        <v>816</v>
      </c>
      <c r="D4388" t="s">
        <v>820</v>
      </c>
      <c r="E4388" t="s">
        <v>34</v>
      </c>
      <c r="F4388" t="s">
        <v>555</v>
      </c>
      <c r="G4388">
        <v>-33.450000000000003</v>
      </c>
      <c r="H4388">
        <v>-72</v>
      </c>
      <c r="I4388" t="s">
        <v>771</v>
      </c>
      <c r="J4388" s="2" t="s">
        <v>5</v>
      </c>
      <c r="K4388" t="s">
        <v>351</v>
      </c>
      <c r="L4388" t="s">
        <v>143</v>
      </c>
      <c r="M4388" t="s">
        <v>73</v>
      </c>
      <c r="N4388" t="s">
        <v>85</v>
      </c>
      <c r="O4388" s="6" t="s">
        <v>834</v>
      </c>
      <c r="P4388" t="s">
        <v>556</v>
      </c>
      <c r="Q4388">
        <v>21</v>
      </c>
      <c r="R4388" t="s">
        <v>213</v>
      </c>
      <c r="S4388" s="2" t="s">
        <v>9</v>
      </c>
      <c r="T4388">
        <v>6</v>
      </c>
      <c r="U4388">
        <f>AVERAGE(7.49,7.46)</f>
        <v>7.4749999999999996</v>
      </c>
      <c r="V4388">
        <f>AVERAGE(1587,1732)</f>
        <v>1659.5</v>
      </c>
      <c r="W4388" t="s">
        <v>28</v>
      </c>
      <c r="X4388">
        <v>7.64</v>
      </c>
      <c r="Y4388">
        <v>1.151</v>
      </c>
    </row>
    <row r="4389" spans="1:25" x14ac:dyDescent="0.2">
      <c r="A4389" t="s">
        <v>554</v>
      </c>
      <c r="B4389">
        <v>2021</v>
      </c>
      <c r="C4389" t="s">
        <v>816</v>
      </c>
      <c r="D4389" t="s">
        <v>820</v>
      </c>
      <c r="E4389" t="s">
        <v>34</v>
      </c>
      <c r="F4389" t="s">
        <v>555</v>
      </c>
      <c r="G4389">
        <v>-33.450000000000003</v>
      </c>
      <c r="H4389">
        <v>-72</v>
      </c>
      <c r="I4389" t="s">
        <v>764</v>
      </c>
      <c r="J4389" s="2" t="s">
        <v>5</v>
      </c>
      <c r="K4389" t="s">
        <v>351</v>
      </c>
      <c r="L4389" t="s">
        <v>143</v>
      </c>
      <c r="M4389" t="s">
        <v>73</v>
      </c>
      <c r="N4389" t="s">
        <v>85</v>
      </c>
      <c r="O4389" s="6" t="s">
        <v>834</v>
      </c>
      <c r="P4389" t="s">
        <v>556</v>
      </c>
      <c r="Q4389">
        <v>21</v>
      </c>
      <c r="R4389" t="s">
        <v>213</v>
      </c>
      <c r="S4389" s="2" t="s">
        <v>9</v>
      </c>
      <c r="T4389">
        <v>6</v>
      </c>
      <c r="U4389">
        <f>AVERAGE(7.49,7.46)</f>
        <v>7.4749999999999996</v>
      </c>
      <c r="V4389">
        <f>AVERAGE(1587,1732)</f>
        <v>1659.5</v>
      </c>
      <c r="W4389" t="s">
        <v>28</v>
      </c>
      <c r="X4389">
        <v>16.125</v>
      </c>
      <c r="Y4389">
        <v>3.1520000000000001</v>
      </c>
    </row>
    <row r="4390" spans="1:25" x14ac:dyDescent="0.2">
      <c r="A4390" t="s">
        <v>554</v>
      </c>
      <c r="B4390">
        <v>2021</v>
      </c>
      <c r="C4390" t="s">
        <v>816</v>
      </c>
      <c r="D4390" t="s">
        <v>820</v>
      </c>
      <c r="E4390" t="s">
        <v>34</v>
      </c>
      <c r="F4390" t="s">
        <v>315</v>
      </c>
      <c r="G4390">
        <v>-33.133333</v>
      </c>
      <c r="H4390">
        <v>-71.7</v>
      </c>
      <c r="I4390" t="s">
        <v>771</v>
      </c>
      <c r="J4390" s="2" t="s">
        <v>14</v>
      </c>
      <c r="K4390" t="s">
        <v>351</v>
      </c>
      <c r="L4390" t="s">
        <v>143</v>
      </c>
      <c r="M4390" t="s">
        <v>73</v>
      </c>
      <c r="N4390" t="s">
        <v>85</v>
      </c>
      <c r="O4390" s="6" t="s">
        <v>834</v>
      </c>
      <c r="P4390" t="s">
        <v>556</v>
      </c>
      <c r="Q4390">
        <v>21</v>
      </c>
      <c r="R4390" t="s">
        <v>213</v>
      </c>
      <c r="S4390" s="2" t="s">
        <v>27</v>
      </c>
      <c r="T4390">
        <v>6</v>
      </c>
      <c r="U4390" t="s">
        <v>28</v>
      </c>
      <c r="V4390" t="s">
        <v>28</v>
      </c>
      <c r="W4390">
        <v>16</v>
      </c>
      <c r="X4390">
        <v>10.279</v>
      </c>
      <c r="Y4390">
        <v>3.6890000000000001</v>
      </c>
    </row>
    <row r="4391" spans="1:25" x14ac:dyDescent="0.2">
      <c r="A4391" t="s">
        <v>554</v>
      </c>
      <c r="B4391">
        <v>2021</v>
      </c>
      <c r="C4391" t="s">
        <v>816</v>
      </c>
      <c r="D4391" t="s">
        <v>820</v>
      </c>
      <c r="E4391" t="s">
        <v>34</v>
      </c>
      <c r="F4391" t="s">
        <v>315</v>
      </c>
      <c r="G4391">
        <v>-33.133333</v>
      </c>
      <c r="H4391">
        <v>-71.7</v>
      </c>
      <c r="I4391" t="s">
        <v>764</v>
      </c>
      <c r="J4391" s="2" t="s">
        <v>14</v>
      </c>
      <c r="K4391" t="s">
        <v>351</v>
      </c>
      <c r="L4391" t="s">
        <v>143</v>
      </c>
      <c r="M4391" t="s">
        <v>73</v>
      </c>
      <c r="N4391" t="s">
        <v>85</v>
      </c>
      <c r="O4391" s="6" t="s">
        <v>834</v>
      </c>
      <c r="P4391" t="s">
        <v>556</v>
      </c>
      <c r="Q4391">
        <v>21</v>
      </c>
      <c r="R4391" t="s">
        <v>213</v>
      </c>
      <c r="S4391" s="2" t="s">
        <v>27</v>
      </c>
      <c r="T4391">
        <v>6</v>
      </c>
      <c r="U4391" t="s">
        <v>28</v>
      </c>
      <c r="V4391" t="s">
        <v>28</v>
      </c>
      <c r="W4391">
        <v>16</v>
      </c>
      <c r="X4391">
        <v>12.257</v>
      </c>
      <c r="Y4391">
        <v>0.23799999999999999</v>
      </c>
    </row>
    <row r="4392" spans="1:25" x14ac:dyDescent="0.2">
      <c r="A4392" t="s">
        <v>554</v>
      </c>
      <c r="B4392">
        <v>2021</v>
      </c>
      <c r="C4392" t="s">
        <v>816</v>
      </c>
      <c r="D4392" t="s">
        <v>820</v>
      </c>
      <c r="E4392" t="s">
        <v>34</v>
      </c>
      <c r="F4392" t="s">
        <v>555</v>
      </c>
      <c r="G4392">
        <v>-33.450000000000003</v>
      </c>
      <c r="H4392">
        <v>-72</v>
      </c>
      <c r="I4392" t="s">
        <v>771</v>
      </c>
      <c r="J4392" s="2" t="s">
        <v>14</v>
      </c>
      <c r="K4392" t="s">
        <v>351</v>
      </c>
      <c r="L4392" t="s">
        <v>143</v>
      </c>
      <c r="M4392" t="s">
        <v>73</v>
      </c>
      <c r="N4392" t="s">
        <v>85</v>
      </c>
      <c r="O4392" s="6" t="s">
        <v>834</v>
      </c>
      <c r="P4392" t="s">
        <v>556</v>
      </c>
      <c r="Q4392">
        <v>21</v>
      </c>
      <c r="R4392" t="s">
        <v>213</v>
      </c>
      <c r="S4392" s="2" t="s">
        <v>27</v>
      </c>
      <c r="T4392">
        <v>6</v>
      </c>
      <c r="U4392" t="s">
        <v>28</v>
      </c>
      <c r="V4392" t="s">
        <v>28</v>
      </c>
      <c r="W4392">
        <v>16</v>
      </c>
      <c r="X4392">
        <v>9.8279999999999994</v>
      </c>
      <c r="Y4392">
        <v>1.722</v>
      </c>
    </row>
    <row r="4393" spans="1:25" x14ac:dyDescent="0.2">
      <c r="A4393" t="s">
        <v>554</v>
      </c>
      <c r="B4393">
        <v>2021</v>
      </c>
      <c r="C4393" t="s">
        <v>816</v>
      </c>
      <c r="D4393" t="s">
        <v>820</v>
      </c>
      <c r="E4393" t="s">
        <v>34</v>
      </c>
      <c r="F4393" t="s">
        <v>555</v>
      </c>
      <c r="G4393">
        <v>-33.450000000000003</v>
      </c>
      <c r="H4393">
        <v>-72</v>
      </c>
      <c r="I4393" t="s">
        <v>764</v>
      </c>
      <c r="J4393" s="2" t="s">
        <v>14</v>
      </c>
      <c r="K4393" t="s">
        <v>351</v>
      </c>
      <c r="L4393" t="s">
        <v>143</v>
      </c>
      <c r="M4393" t="s">
        <v>73</v>
      </c>
      <c r="N4393" t="s">
        <v>85</v>
      </c>
      <c r="O4393" s="6" t="s">
        <v>834</v>
      </c>
      <c r="P4393" t="s">
        <v>556</v>
      </c>
      <c r="Q4393">
        <v>21</v>
      </c>
      <c r="R4393" t="s">
        <v>213</v>
      </c>
      <c r="S4393" s="2" t="s">
        <v>27</v>
      </c>
      <c r="T4393">
        <v>6</v>
      </c>
      <c r="U4393" t="s">
        <v>28</v>
      </c>
      <c r="V4393" t="s">
        <v>28</v>
      </c>
      <c r="W4393">
        <v>16</v>
      </c>
      <c r="X4393">
        <v>15.821</v>
      </c>
      <c r="Y4393">
        <v>2.8</v>
      </c>
    </row>
    <row r="4394" spans="1:25" x14ac:dyDescent="0.2">
      <c r="A4394" t="s">
        <v>554</v>
      </c>
      <c r="B4394">
        <v>2021</v>
      </c>
      <c r="C4394" t="s">
        <v>816</v>
      </c>
      <c r="D4394" t="s">
        <v>820</v>
      </c>
      <c r="E4394" t="s">
        <v>34</v>
      </c>
      <c r="F4394" t="s">
        <v>315</v>
      </c>
      <c r="G4394">
        <v>-33.133333</v>
      </c>
      <c r="H4394">
        <v>-71.7</v>
      </c>
      <c r="I4394" t="s">
        <v>771</v>
      </c>
      <c r="J4394" s="2" t="s">
        <v>16</v>
      </c>
      <c r="K4394" t="s">
        <v>351</v>
      </c>
      <c r="L4394" t="s">
        <v>143</v>
      </c>
      <c r="M4394" t="s">
        <v>73</v>
      </c>
      <c r="N4394" t="s">
        <v>85</v>
      </c>
      <c r="O4394" s="6" t="s">
        <v>834</v>
      </c>
      <c r="P4394" t="s">
        <v>556</v>
      </c>
      <c r="Q4394">
        <v>21</v>
      </c>
      <c r="R4394" t="s">
        <v>213</v>
      </c>
      <c r="S4394" s="2" t="s">
        <v>13</v>
      </c>
      <c r="T4394">
        <v>6</v>
      </c>
      <c r="U4394">
        <f>AVERAGE(7.46,7.47)</f>
        <v>7.4649999999999999</v>
      </c>
      <c r="V4394">
        <f>AVERAGE(1727,1689)</f>
        <v>1708</v>
      </c>
      <c r="W4394">
        <v>16</v>
      </c>
      <c r="X4394">
        <v>16.52</v>
      </c>
      <c r="Y4394">
        <v>4.2329999999999997</v>
      </c>
    </row>
    <row r="4395" spans="1:25" x14ac:dyDescent="0.2">
      <c r="A4395" t="s">
        <v>554</v>
      </c>
      <c r="B4395">
        <v>2021</v>
      </c>
      <c r="C4395" t="s">
        <v>816</v>
      </c>
      <c r="D4395" t="s">
        <v>820</v>
      </c>
      <c r="E4395" t="s">
        <v>34</v>
      </c>
      <c r="F4395" t="s">
        <v>315</v>
      </c>
      <c r="G4395">
        <v>-33.133333</v>
      </c>
      <c r="H4395">
        <v>-71.7</v>
      </c>
      <c r="I4395" t="s">
        <v>764</v>
      </c>
      <c r="J4395" s="2" t="s">
        <v>16</v>
      </c>
      <c r="K4395" t="s">
        <v>351</v>
      </c>
      <c r="L4395" t="s">
        <v>143</v>
      </c>
      <c r="M4395" t="s">
        <v>73</v>
      </c>
      <c r="N4395" t="s">
        <v>85</v>
      </c>
      <c r="O4395" s="6" t="s">
        <v>834</v>
      </c>
      <c r="P4395" t="s">
        <v>556</v>
      </c>
      <c r="Q4395">
        <v>21</v>
      </c>
      <c r="R4395" t="s">
        <v>213</v>
      </c>
      <c r="S4395" s="2" t="s">
        <v>13</v>
      </c>
      <c r="T4395">
        <v>6</v>
      </c>
      <c r="U4395">
        <f>AVERAGE(7.46,7.47)</f>
        <v>7.4649999999999999</v>
      </c>
      <c r="V4395">
        <f>AVERAGE(1727,1689)</f>
        <v>1708</v>
      </c>
      <c r="W4395">
        <v>16</v>
      </c>
      <c r="X4395">
        <v>11.726000000000001</v>
      </c>
      <c r="Y4395">
        <v>1.9690000000000001</v>
      </c>
    </row>
    <row r="4396" spans="1:25" x14ac:dyDescent="0.2">
      <c r="A4396" t="s">
        <v>554</v>
      </c>
      <c r="B4396">
        <v>2021</v>
      </c>
      <c r="C4396" t="s">
        <v>816</v>
      </c>
      <c r="D4396" t="s">
        <v>820</v>
      </c>
      <c r="E4396" t="s">
        <v>34</v>
      </c>
      <c r="F4396" t="s">
        <v>555</v>
      </c>
      <c r="G4396">
        <v>-33.450000000000003</v>
      </c>
      <c r="H4396">
        <v>-72</v>
      </c>
      <c r="I4396" t="s">
        <v>771</v>
      </c>
      <c r="J4396" s="2" t="s">
        <v>16</v>
      </c>
      <c r="K4396" t="s">
        <v>351</v>
      </c>
      <c r="L4396" t="s">
        <v>143</v>
      </c>
      <c r="M4396" t="s">
        <v>73</v>
      </c>
      <c r="N4396" t="s">
        <v>85</v>
      </c>
      <c r="O4396" s="6" t="s">
        <v>834</v>
      </c>
      <c r="P4396" t="s">
        <v>556</v>
      </c>
      <c r="Q4396">
        <v>21</v>
      </c>
      <c r="R4396" t="s">
        <v>213</v>
      </c>
      <c r="S4396" s="2" t="s">
        <v>13</v>
      </c>
      <c r="T4396">
        <v>6</v>
      </c>
      <c r="U4396">
        <f>AVERAGE(7.46,7.47)</f>
        <v>7.4649999999999999</v>
      </c>
      <c r="V4396">
        <f>AVERAGE(1727,1689)</f>
        <v>1708</v>
      </c>
      <c r="W4396">
        <v>16</v>
      </c>
      <c r="X4396">
        <v>13.159000000000001</v>
      </c>
      <c r="Y4396">
        <v>2.6819999999999999</v>
      </c>
    </row>
    <row r="4397" spans="1:25" x14ac:dyDescent="0.2">
      <c r="A4397" t="s">
        <v>554</v>
      </c>
      <c r="B4397">
        <v>2021</v>
      </c>
      <c r="C4397" t="s">
        <v>816</v>
      </c>
      <c r="D4397" t="s">
        <v>820</v>
      </c>
      <c r="E4397" t="s">
        <v>34</v>
      </c>
      <c r="F4397" t="s">
        <v>555</v>
      </c>
      <c r="G4397">
        <v>-33.450000000000003</v>
      </c>
      <c r="H4397">
        <v>-72</v>
      </c>
      <c r="I4397" t="s">
        <v>764</v>
      </c>
      <c r="J4397" s="2" t="s">
        <v>16</v>
      </c>
      <c r="K4397" t="s">
        <v>351</v>
      </c>
      <c r="L4397" t="s">
        <v>143</v>
      </c>
      <c r="M4397" t="s">
        <v>73</v>
      </c>
      <c r="N4397" t="s">
        <v>85</v>
      </c>
      <c r="O4397" s="6" t="s">
        <v>834</v>
      </c>
      <c r="P4397" t="s">
        <v>556</v>
      </c>
      <c r="Q4397">
        <v>21</v>
      </c>
      <c r="R4397" t="s">
        <v>213</v>
      </c>
      <c r="S4397" s="2" t="s">
        <v>13</v>
      </c>
      <c r="T4397">
        <v>6</v>
      </c>
      <c r="U4397">
        <f>AVERAGE(7.46,7.47)</f>
        <v>7.4649999999999999</v>
      </c>
      <c r="V4397">
        <f>AVERAGE(1727,1689)</f>
        <v>1708</v>
      </c>
      <c r="W4397">
        <v>16</v>
      </c>
      <c r="X4397">
        <v>10.198</v>
      </c>
      <c r="Y4397">
        <v>0.45100000000000001</v>
      </c>
    </row>
    <row r="4398" spans="1:25" x14ac:dyDescent="0.2">
      <c r="A4398" t="s">
        <v>554</v>
      </c>
      <c r="B4398">
        <v>2021</v>
      </c>
      <c r="C4398" t="s">
        <v>816</v>
      </c>
      <c r="D4398" t="s">
        <v>820</v>
      </c>
      <c r="E4398" t="s">
        <v>34</v>
      </c>
      <c r="F4398" t="s">
        <v>315</v>
      </c>
      <c r="G4398">
        <v>-33.133333</v>
      </c>
      <c r="H4398">
        <v>-71.7</v>
      </c>
      <c r="I4398" t="s">
        <v>771</v>
      </c>
      <c r="J4398" s="2" t="s">
        <v>14</v>
      </c>
      <c r="K4398" t="s">
        <v>351</v>
      </c>
      <c r="L4398" t="s">
        <v>143</v>
      </c>
      <c r="M4398" t="s">
        <v>73</v>
      </c>
      <c r="N4398" t="s">
        <v>85</v>
      </c>
      <c r="O4398" s="6" t="s">
        <v>834</v>
      </c>
      <c r="P4398" t="s">
        <v>556</v>
      </c>
      <c r="Q4398">
        <v>21</v>
      </c>
      <c r="R4398" t="s">
        <v>213</v>
      </c>
      <c r="S4398" s="2" t="s">
        <v>15</v>
      </c>
      <c r="T4398">
        <v>6</v>
      </c>
      <c r="U4398" t="s">
        <v>28</v>
      </c>
      <c r="V4398" t="s">
        <v>28</v>
      </c>
      <c r="W4398">
        <v>20</v>
      </c>
      <c r="X4398">
        <v>7.1719999999999997</v>
      </c>
      <c r="Y4398">
        <v>2.6909999999999998</v>
      </c>
    </row>
    <row r="4399" spans="1:25" x14ac:dyDescent="0.2">
      <c r="A4399" t="s">
        <v>554</v>
      </c>
      <c r="B4399">
        <v>2021</v>
      </c>
      <c r="C4399" t="s">
        <v>816</v>
      </c>
      <c r="D4399" t="s">
        <v>820</v>
      </c>
      <c r="E4399" t="s">
        <v>34</v>
      </c>
      <c r="F4399" t="s">
        <v>315</v>
      </c>
      <c r="G4399">
        <v>-33.133333</v>
      </c>
      <c r="H4399">
        <v>-71.7</v>
      </c>
      <c r="I4399" t="s">
        <v>764</v>
      </c>
      <c r="J4399" s="2" t="s">
        <v>14</v>
      </c>
      <c r="K4399" t="s">
        <v>351</v>
      </c>
      <c r="L4399" t="s">
        <v>143</v>
      </c>
      <c r="M4399" t="s">
        <v>73</v>
      </c>
      <c r="N4399" t="s">
        <v>85</v>
      </c>
      <c r="O4399" s="6" t="s">
        <v>834</v>
      </c>
      <c r="P4399" t="s">
        <v>556</v>
      </c>
      <c r="Q4399">
        <v>21</v>
      </c>
      <c r="R4399" t="s">
        <v>213</v>
      </c>
      <c r="S4399" s="2" t="s">
        <v>15</v>
      </c>
      <c r="T4399">
        <v>6</v>
      </c>
      <c r="U4399" t="s">
        <v>28</v>
      </c>
      <c r="V4399" t="s">
        <v>28</v>
      </c>
      <c r="W4399">
        <v>20</v>
      </c>
      <c r="X4399">
        <v>13.493</v>
      </c>
      <c r="Y4399">
        <v>2.71</v>
      </c>
    </row>
    <row r="4400" spans="1:25" x14ac:dyDescent="0.2">
      <c r="A4400" t="s">
        <v>554</v>
      </c>
      <c r="B4400">
        <v>2021</v>
      </c>
      <c r="C4400" t="s">
        <v>816</v>
      </c>
      <c r="D4400" t="s">
        <v>820</v>
      </c>
      <c r="E4400" t="s">
        <v>34</v>
      </c>
      <c r="F4400" t="s">
        <v>555</v>
      </c>
      <c r="G4400">
        <v>-33.450000000000003</v>
      </c>
      <c r="H4400">
        <v>-72</v>
      </c>
      <c r="I4400" t="s">
        <v>771</v>
      </c>
      <c r="J4400" s="2" t="s">
        <v>14</v>
      </c>
      <c r="K4400" t="s">
        <v>351</v>
      </c>
      <c r="L4400" t="s">
        <v>143</v>
      </c>
      <c r="M4400" t="s">
        <v>73</v>
      </c>
      <c r="N4400" t="s">
        <v>85</v>
      </c>
      <c r="O4400" s="6" t="s">
        <v>834</v>
      </c>
      <c r="P4400" t="s">
        <v>556</v>
      </c>
      <c r="Q4400">
        <v>21</v>
      </c>
      <c r="R4400" t="s">
        <v>213</v>
      </c>
      <c r="S4400" s="2" t="s">
        <v>15</v>
      </c>
      <c r="T4400">
        <v>6</v>
      </c>
      <c r="U4400" t="s">
        <v>28</v>
      </c>
      <c r="V4400" t="s">
        <v>28</v>
      </c>
      <c r="W4400">
        <v>20</v>
      </c>
      <c r="X4400">
        <v>14.35</v>
      </c>
      <c r="Y4400">
        <v>3.9609999999999999</v>
      </c>
    </row>
    <row r="4401" spans="1:28" x14ac:dyDescent="0.2">
      <c r="A4401" t="s">
        <v>554</v>
      </c>
      <c r="B4401">
        <v>2021</v>
      </c>
      <c r="C4401" t="s">
        <v>816</v>
      </c>
      <c r="D4401" t="s">
        <v>820</v>
      </c>
      <c r="E4401" t="s">
        <v>34</v>
      </c>
      <c r="F4401" t="s">
        <v>555</v>
      </c>
      <c r="G4401">
        <v>-33.450000000000003</v>
      </c>
      <c r="H4401">
        <v>-72</v>
      </c>
      <c r="I4401" t="s">
        <v>764</v>
      </c>
      <c r="J4401" s="2" t="s">
        <v>14</v>
      </c>
      <c r="K4401" t="s">
        <v>351</v>
      </c>
      <c r="L4401" t="s">
        <v>143</v>
      </c>
      <c r="M4401" t="s">
        <v>73</v>
      </c>
      <c r="N4401" t="s">
        <v>85</v>
      </c>
      <c r="O4401" s="6" t="s">
        <v>834</v>
      </c>
      <c r="P4401" t="s">
        <v>556</v>
      </c>
      <c r="Q4401">
        <v>21</v>
      </c>
      <c r="R4401" t="s">
        <v>213</v>
      </c>
      <c r="S4401" s="2" t="s">
        <v>15</v>
      </c>
      <c r="T4401">
        <v>6</v>
      </c>
      <c r="U4401" t="s">
        <v>28</v>
      </c>
      <c r="V4401" t="s">
        <v>28</v>
      </c>
      <c r="W4401">
        <v>20</v>
      </c>
      <c r="X4401">
        <v>14.83</v>
      </c>
      <c r="Y4401">
        <v>1.581</v>
      </c>
    </row>
    <row r="4402" spans="1:28" x14ac:dyDescent="0.2">
      <c r="A4402" t="s">
        <v>554</v>
      </c>
      <c r="B4402">
        <v>2021</v>
      </c>
      <c r="C4402" t="s">
        <v>816</v>
      </c>
      <c r="D4402" t="s">
        <v>820</v>
      </c>
      <c r="E4402" t="s">
        <v>34</v>
      </c>
      <c r="F4402" t="s">
        <v>315</v>
      </c>
      <c r="G4402">
        <v>-33.133333</v>
      </c>
      <c r="H4402">
        <v>-71.7</v>
      </c>
      <c r="I4402" t="s">
        <v>771</v>
      </c>
      <c r="J4402" s="2" t="s">
        <v>16</v>
      </c>
      <c r="K4402" t="s">
        <v>351</v>
      </c>
      <c r="L4402" t="s">
        <v>143</v>
      </c>
      <c r="M4402" t="s">
        <v>73</v>
      </c>
      <c r="N4402" t="s">
        <v>85</v>
      </c>
      <c r="O4402" s="6" t="s">
        <v>834</v>
      </c>
      <c r="P4402" t="s">
        <v>556</v>
      </c>
      <c r="Q4402">
        <v>21</v>
      </c>
      <c r="R4402" t="s">
        <v>213</v>
      </c>
      <c r="S4402" s="2" t="s">
        <v>37</v>
      </c>
      <c r="T4402">
        <v>6</v>
      </c>
      <c r="U4402">
        <f>AVERAGE(7.54,7.55)</f>
        <v>7.5449999999999999</v>
      </c>
      <c r="V4402">
        <f>AVERAGE(1442,1414)</f>
        <v>1428</v>
      </c>
      <c r="W4402">
        <v>20</v>
      </c>
      <c r="X4402">
        <v>8.8249999999999993</v>
      </c>
      <c r="Y4402">
        <v>0.64</v>
      </c>
    </row>
    <row r="4403" spans="1:28" x14ac:dyDescent="0.2">
      <c r="A4403" t="s">
        <v>554</v>
      </c>
      <c r="B4403">
        <v>2021</v>
      </c>
      <c r="C4403" t="s">
        <v>816</v>
      </c>
      <c r="D4403" t="s">
        <v>820</v>
      </c>
      <c r="E4403" t="s">
        <v>34</v>
      </c>
      <c r="F4403" t="s">
        <v>315</v>
      </c>
      <c r="G4403">
        <v>-33.133333</v>
      </c>
      <c r="H4403">
        <v>-71.7</v>
      </c>
      <c r="I4403" t="s">
        <v>764</v>
      </c>
      <c r="J4403" s="2" t="s">
        <v>16</v>
      </c>
      <c r="K4403" t="s">
        <v>351</v>
      </c>
      <c r="L4403" t="s">
        <v>143</v>
      </c>
      <c r="M4403" t="s">
        <v>73</v>
      </c>
      <c r="N4403" t="s">
        <v>85</v>
      </c>
      <c r="O4403" s="6" t="s">
        <v>834</v>
      </c>
      <c r="P4403" t="s">
        <v>556</v>
      </c>
      <c r="Q4403">
        <v>21</v>
      </c>
      <c r="R4403" t="s">
        <v>213</v>
      </c>
      <c r="S4403" s="2" t="s">
        <v>37</v>
      </c>
      <c r="T4403">
        <v>6</v>
      </c>
      <c r="U4403">
        <f>AVERAGE(7.54,7.55)</f>
        <v>7.5449999999999999</v>
      </c>
      <c r="V4403">
        <f>AVERAGE(1442,1414)</f>
        <v>1428</v>
      </c>
      <c r="W4403">
        <v>20</v>
      </c>
      <c r="X4403">
        <v>10.847</v>
      </c>
      <c r="Y4403">
        <v>3.2530000000000001</v>
      </c>
    </row>
    <row r="4404" spans="1:28" x14ac:dyDescent="0.2">
      <c r="A4404" t="s">
        <v>554</v>
      </c>
      <c r="B4404">
        <v>2021</v>
      </c>
      <c r="C4404" t="s">
        <v>816</v>
      </c>
      <c r="D4404" t="s">
        <v>820</v>
      </c>
      <c r="E4404" t="s">
        <v>34</v>
      </c>
      <c r="F4404" t="s">
        <v>555</v>
      </c>
      <c r="G4404">
        <v>-33.450000000000003</v>
      </c>
      <c r="H4404">
        <v>-72</v>
      </c>
      <c r="I4404" t="s">
        <v>771</v>
      </c>
      <c r="J4404" s="2" t="s">
        <v>16</v>
      </c>
      <c r="K4404" t="s">
        <v>351</v>
      </c>
      <c r="L4404" t="s">
        <v>143</v>
      </c>
      <c r="M4404" t="s">
        <v>73</v>
      </c>
      <c r="N4404" t="s">
        <v>85</v>
      </c>
      <c r="O4404" s="6" t="s">
        <v>834</v>
      </c>
      <c r="P4404" t="s">
        <v>556</v>
      </c>
      <c r="Q4404">
        <v>21</v>
      </c>
      <c r="R4404" t="s">
        <v>213</v>
      </c>
      <c r="S4404" s="2" t="s">
        <v>37</v>
      </c>
      <c r="T4404">
        <v>6</v>
      </c>
      <c r="U4404">
        <f>AVERAGE(7.54,7.55)</f>
        <v>7.5449999999999999</v>
      </c>
      <c r="V4404">
        <f>AVERAGE(1442,1414)</f>
        <v>1428</v>
      </c>
      <c r="W4404">
        <v>20</v>
      </c>
      <c r="X4404">
        <v>12.287000000000001</v>
      </c>
      <c r="Y4404">
        <v>3.1339999999999999</v>
      </c>
    </row>
    <row r="4405" spans="1:28" x14ac:dyDescent="0.2">
      <c r="A4405" t="s">
        <v>554</v>
      </c>
      <c r="B4405">
        <v>2021</v>
      </c>
      <c r="C4405" t="s">
        <v>816</v>
      </c>
      <c r="D4405" t="s">
        <v>820</v>
      </c>
      <c r="E4405" t="s">
        <v>34</v>
      </c>
      <c r="F4405" t="s">
        <v>555</v>
      </c>
      <c r="G4405">
        <v>-33.450000000000003</v>
      </c>
      <c r="H4405">
        <v>-72</v>
      </c>
      <c r="I4405" t="s">
        <v>764</v>
      </c>
      <c r="J4405" s="2" t="s">
        <v>16</v>
      </c>
      <c r="K4405" t="s">
        <v>351</v>
      </c>
      <c r="L4405" t="s">
        <v>143</v>
      </c>
      <c r="M4405" t="s">
        <v>73</v>
      </c>
      <c r="N4405" t="s">
        <v>85</v>
      </c>
      <c r="O4405" s="6" t="s">
        <v>834</v>
      </c>
      <c r="P4405" t="s">
        <v>556</v>
      </c>
      <c r="Q4405">
        <v>21</v>
      </c>
      <c r="R4405" t="s">
        <v>213</v>
      </c>
      <c r="S4405" s="2" t="s">
        <v>37</v>
      </c>
      <c r="T4405">
        <v>6</v>
      </c>
      <c r="U4405">
        <f>AVERAGE(7.54,7.55)</f>
        <v>7.5449999999999999</v>
      </c>
      <c r="V4405">
        <f>AVERAGE(1442,1414)</f>
        <v>1428</v>
      </c>
      <c r="W4405">
        <v>20</v>
      </c>
      <c r="X4405">
        <v>8.7439999999999998</v>
      </c>
      <c r="Y4405">
        <v>1.3740000000000001</v>
      </c>
    </row>
    <row r="4406" spans="1:28" x14ac:dyDescent="0.2">
      <c r="A4406" t="s">
        <v>554</v>
      </c>
      <c r="B4406">
        <v>2021</v>
      </c>
      <c r="C4406" t="s">
        <v>816</v>
      </c>
      <c r="D4406" t="s">
        <v>820</v>
      </c>
      <c r="E4406" t="s">
        <v>34</v>
      </c>
      <c r="F4406" t="s">
        <v>315</v>
      </c>
      <c r="G4406">
        <v>-33.133333</v>
      </c>
      <c r="H4406">
        <v>-71.7</v>
      </c>
      <c r="I4406" t="s">
        <v>771</v>
      </c>
      <c r="J4406" s="2" t="s">
        <v>7</v>
      </c>
      <c r="K4406" t="s">
        <v>351</v>
      </c>
      <c r="L4406" t="s">
        <v>143</v>
      </c>
      <c r="M4406" t="s">
        <v>726</v>
      </c>
      <c r="N4406" t="s">
        <v>85</v>
      </c>
      <c r="O4406" s="6" t="s">
        <v>58</v>
      </c>
      <c r="Q4406">
        <v>21</v>
      </c>
      <c r="R4406" t="s">
        <v>213</v>
      </c>
      <c r="S4406" s="2" t="s">
        <v>7</v>
      </c>
      <c r="T4406">
        <v>6</v>
      </c>
      <c r="U4406">
        <f>AVERAGE(7.72, 7.8)</f>
        <v>7.76</v>
      </c>
      <c r="V4406">
        <f>AVERAGE(926.28,726)</f>
        <v>826.14</v>
      </c>
      <c r="W4406">
        <v>12</v>
      </c>
      <c r="X4406">
        <v>0.4</v>
      </c>
      <c r="Y4406">
        <v>0.05</v>
      </c>
      <c r="AA4406" s="6"/>
      <c r="AB4406" s="6"/>
    </row>
    <row r="4407" spans="1:28" x14ac:dyDescent="0.2">
      <c r="A4407" t="s">
        <v>554</v>
      </c>
      <c r="B4407">
        <v>2021</v>
      </c>
      <c r="C4407" t="s">
        <v>816</v>
      </c>
      <c r="D4407" t="s">
        <v>820</v>
      </c>
      <c r="E4407" t="s">
        <v>34</v>
      </c>
      <c r="F4407" t="s">
        <v>315</v>
      </c>
      <c r="G4407">
        <v>-33.133333</v>
      </c>
      <c r="H4407">
        <v>-71.7</v>
      </c>
      <c r="I4407" t="s">
        <v>771</v>
      </c>
      <c r="J4407" s="2" t="s">
        <v>14</v>
      </c>
      <c r="K4407" t="s">
        <v>351</v>
      </c>
      <c r="L4407" t="s">
        <v>143</v>
      </c>
      <c r="M4407" t="s">
        <v>726</v>
      </c>
      <c r="N4407" t="s">
        <v>85</v>
      </c>
      <c r="O4407" s="6" t="s">
        <v>58</v>
      </c>
      <c r="Q4407">
        <v>21</v>
      </c>
      <c r="R4407" t="s">
        <v>213</v>
      </c>
      <c r="S4407" s="2" t="s">
        <v>27</v>
      </c>
      <c r="T4407">
        <v>6</v>
      </c>
      <c r="U4407" t="s">
        <v>28</v>
      </c>
      <c r="V4407" t="s">
        <v>28</v>
      </c>
      <c r="W4407">
        <v>16</v>
      </c>
      <c r="X4407">
        <v>0.49</v>
      </c>
      <c r="Y4407">
        <v>0.04</v>
      </c>
      <c r="AA4407" s="6"/>
      <c r="AB4407" s="6"/>
    </row>
    <row r="4408" spans="1:28" x14ac:dyDescent="0.2">
      <c r="A4408" t="s">
        <v>554</v>
      </c>
      <c r="B4408">
        <v>2021</v>
      </c>
      <c r="C4408" t="s">
        <v>816</v>
      </c>
      <c r="D4408" t="s">
        <v>820</v>
      </c>
      <c r="E4408" t="s">
        <v>34</v>
      </c>
      <c r="F4408" t="s">
        <v>315</v>
      </c>
      <c r="G4408">
        <v>-33.133333</v>
      </c>
      <c r="H4408">
        <v>-71.7</v>
      </c>
      <c r="I4408" t="s">
        <v>771</v>
      </c>
      <c r="J4408" s="2" t="s">
        <v>14</v>
      </c>
      <c r="K4408" t="s">
        <v>351</v>
      </c>
      <c r="L4408" t="s">
        <v>143</v>
      </c>
      <c r="M4408" t="s">
        <v>726</v>
      </c>
      <c r="N4408" t="s">
        <v>85</v>
      </c>
      <c r="O4408" s="6" t="s">
        <v>58</v>
      </c>
      <c r="Q4408">
        <v>21</v>
      </c>
      <c r="R4408" t="s">
        <v>213</v>
      </c>
      <c r="S4408" s="2" t="s">
        <v>15</v>
      </c>
      <c r="T4408">
        <v>6</v>
      </c>
      <c r="U4408" t="s">
        <v>28</v>
      </c>
      <c r="V4408" t="s">
        <v>28</v>
      </c>
      <c r="W4408">
        <v>20</v>
      </c>
      <c r="X4408">
        <v>0.34</v>
      </c>
      <c r="Y4408">
        <v>7.0000000000000007E-2</v>
      </c>
      <c r="AA4408" s="6"/>
      <c r="AB4408" s="6"/>
    </row>
    <row r="4409" spans="1:28" x14ac:dyDescent="0.2">
      <c r="A4409" t="s">
        <v>554</v>
      </c>
      <c r="B4409">
        <v>2021</v>
      </c>
      <c r="C4409" t="s">
        <v>816</v>
      </c>
      <c r="D4409" t="s">
        <v>820</v>
      </c>
      <c r="E4409" t="s">
        <v>34</v>
      </c>
      <c r="F4409" t="s">
        <v>315</v>
      </c>
      <c r="G4409">
        <v>-33.133333</v>
      </c>
      <c r="H4409">
        <v>-71.7</v>
      </c>
      <c r="I4409" t="s">
        <v>771</v>
      </c>
      <c r="J4409" s="2" t="s">
        <v>5</v>
      </c>
      <c r="K4409" t="s">
        <v>351</v>
      </c>
      <c r="L4409" t="s">
        <v>143</v>
      </c>
      <c r="M4409" t="s">
        <v>726</v>
      </c>
      <c r="N4409" t="s">
        <v>85</v>
      </c>
      <c r="O4409" s="6" t="s">
        <v>58</v>
      </c>
      <c r="Q4409">
        <v>21</v>
      </c>
      <c r="R4409" t="s">
        <v>213</v>
      </c>
      <c r="S4409" s="2" t="s">
        <v>9</v>
      </c>
      <c r="T4409">
        <v>6</v>
      </c>
      <c r="U4409">
        <f>AVERAGE(7.49,7.46)</f>
        <v>7.4749999999999996</v>
      </c>
      <c r="V4409">
        <f>AVERAGE(1587,1732)</f>
        <v>1659.5</v>
      </c>
      <c r="W4409" t="s">
        <v>28</v>
      </c>
      <c r="X4409">
        <v>0.5</v>
      </c>
      <c r="Y4409">
        <v>0.06</v>
      </c>
      <c r="AA4409" s="6"/>
      <c r="AB4409" s="6"/>
    </row>
    <row r="4410" spans="1:28" x14ac:dyDescent="0.2">
      <c r="A4410" t="s">
        <v>554</v>
      </c>
      <c r="B4410">
        <v>2021</v>
      </c>
      <c r="C4410" t="s">
        <v>816</v>
      </c>
      <c r="D4410" t="s">
        <v>820</v>
      </c>
      <c r="E4410" t="s">
        <v>34</v>
      </c>
      <c r="F4410" t="s">
        <v>315</v>
      </c>
      <c r="G4410">
        <v>-33.133333</v>
      </c>
      <c r="H4410">
        <v>-71.7</v>
      </c>
      <c r="I4410" t="s">
        <v>771</v>
      </c>
      <c r="J4410" s="2" t="s">
        <v>16</v>
      </c>
      <c r="K4410" t="s">
        <v>351</v>
      </c>
      <c r="L4410" t="s">
        <v>143</v>
      </c>
      <c r="M4410" t="s">
        <v>726</v>
      </c>
      <c r="N4410" t="s">
        <v>85</v>
      </c>
      <c r="O4410" s="6" t="s">
        <v>58</v>
      </c>
      <c r="Q4410">
        <v>21</v>
      </c>
      <c r="R4410" t="s">
        <v>213</v>
      </c>
      <c r="S4410" s="2" t="s">
        <v>13</v>
      </c>
      <c r="T4410">
        <v>6</v>
      </c>
      <c r="U4410">
        <f>AVERAGE(7.46,7.47)</f>
        <v>7.4649999999999999</v>
      </c>
      <c r="V4410">
        <f>AVERAGE(1727,1689)</f>
        <v>1708</v>
      </c>
      <c r="W4410">
        <v>16</v>
      </c>
      <c r="X4410">
        <v>0.44</v>
      </c>
      <c r="Y4410">
        <v>0.06</v>
      </c>
      <c r="AA4410" s="6"/>
      <c r="AB4410" s="6"/>
    </row>
    <row r="4411" spans="1:28" x14ac:dyDescent="0.2">
      <c r="A4411" t="s">
        <v>554</v>
      </c>
      <c r="B4411">
        <v>2021</v>
      </c>
      <c r="C4411" t="s">
        <v>816</v>
      </c>
      <c r="D4411" t="s">
        <v>820</v>
      </c>
      <c r="E4411" t="s">
        <v>34</v>
      </c>
      <c r="F4411" t="s">
        <v>315</v>
      </c>
      <c r="G4411">
        <v>-33.133333</v>
      </c>
      <c r="H4411">
        <v>-71.7</v>
      </c>
      <c r="I4411" t="s">
        <v>771</v>
      </c>
      <c r="J4411" s="2" t="s">
        <v>16</v>
      </c>
      <c r="K4411" t="s">
        <v>351</v>
      </c>
      <c r="L4411" t="s">
        <v>143</v>
      </c>
      <c r="M4411" t="s">
        <v>726</v>
      </c>
      <c r="N4411" t="s">
        <v>85</v>
      </c>
      <c r="O4411" s="6" t="s">
        <v>58</v>
      </c>
      <c r="Q4411">
        <v>21</v>
      </c>
      <c r="R4411" t="s">
        <v>213</v>
      </c>
      <c r="S4411" s="2" t="s">
        <v>37</v>
      </c>
      <c r="T4411">
        <v>6</v>
      </c>
      <c r="U4411">
        <f>AVERAGE(7.54,7.55)</f>
        <v>7.5449999999999999</v>
      </c>
      <c r="V4411">
        <f>AVERAGE(1442,1414)</f>
        <v>1428</v>
      </c>
      <c r="W4411">
        <v>20</v>
      </c>
      <c r="X4411">
        <v>0.51</v>
      </c>
      <c r="Y4411">
        <v>0.12</v>
      </c>
      <c r="AA4411" s="6"/>
      <c r="AB4411" s="6"/>
    </row>
    <row r="4412" spans="1:28" x14ac:dyDescent="0.2">
      <c r="A4412" t="s">
        <v>554</v>
      </c>
      <c r="B4412">
        <v>2021</v>
      </c>
      <c r="C4412" t="s">
        <v>816</v>
      </c>
      <c r="D4412" t="s">
        <v>820</v>
      </c>
      <c r="E4412" t="s">
        <v>34</v>
      </c>
      <c r="F4412" t="s">
        <v>315</v>
      </c>
      <c r="G4412">
        <v>-33.133333</v>
      </c>
      <c r="H4412">
        <v>-71.7</v>
      </c>
      <c r="I4412" t="s">
        <v>764</v>
      </c>
      <c r="J4412" s="2" t="s">
        <v>7</v>
      </c>
      <c r="K4412" t="s">
        <v>351</v>
      </c>
      <c r="L4412" t="s">
        <v>143</v>
      </c>
      <c r="M4412" t="s">
        <v>726</v>
      </c>
      <c r="N4412" t="s">
        <v>85</v>
      </c>
      <c r="O4412" s="6" t="s">
        <v>58</v>
      </c>
      <c r="Q4412">
        <v>21</v>
      </c>
      <c r="R4412" t="s">
        <v>213</v>
      </c>
      <c r="S4412" s="2" t="s">
        <v>7</v>
      </c>
      <c r="T4412">
        <v>6</v>
      </c>
      <c r="U4412">
        <f>AVERAGE(7.72, 7.8)</f>
        <v>7.76</v>
      </c>
      <c r="V4412">
        <f>AVERAGE(926.28,726)</f>
        <v>826.14</v>
      </c>
      <c r="W4412">
        <v>12</v>
      </c>
      <c r="X4412">
        <v>0.43</v>
      </c>
      <c r="Y4412">
        <v>0.14000000000000001</v>
      </c>
      <c r="AA4412" s="6"/>
      <c r="AB4412" s="6"/>
    </row>
    <row r="4413" spans="1:28" x14ac:dyDescent="0.2">
      <c r="A4413" t="s">
        <v>554</v>
      </c>
      <c r="B4413">
        <v>2021</v>
      </c>
      <c r="C4413" t="s">
        <v>816</v>
      </c>
      <c r="D4413" t="s">
        <v>820</v>
      </c>
      <c r="E4413" t="s">
        <v>34</v>
      </c>
      <c r="F4413" t="s">
        <v>315</v>
      </c>
      <c r="G4413">
        <v>-33.133333</v>
      </c>
      <c r="H4413">
        <v>-71.7</v>
      </c>
      <c r="I4413" t="s">
        <v>764</v>
      </c>
      <c r="J4413" s="2" t="s">
        <v>14</v>
      </c>
      <c r="K4413" t="s">
        <v>351</v>
      </c>
      <c r="L4413" t="s">
        <v>143</v>
      </c>
      <c r="M4413" t="s">
        <v>726</v>
      </c>
      <c r="N4413" t="s">
        <v>85</v>
      </c>
      <c r="O4413" s="6" t="s">
        <v>58</v>
      </c>
      <c r="Q4413">
        <v>21</v>
      </c>
      <c r="R4413" t="s">
        <v>213</v>
      </c>
      <c r="S4413" s="2" t="s">
        <v>27</v>
      </c>
      <c r="T4413">
        <v>6</v>
      </c>
      <c r="U4413" t="s">
        <v>28</v>
      </c>
      <c r="V4413" t="s">
        <v>28</v>
      </c>
      <c r="W4413">
        <v>16</v>
      </c>
      <c r="X4413">
        <v>0.43</v>
      </c>
      <c r="Y4413">
        <v>0.12</v>
      </c>
      <c r="AA4413" s="6"/>
      <c r="AB4413" s="6"/>
    </row>
    <row r="4414" spans="1:28" x14ac:dyDescent="0.2">
      <c r="A4414" t="s">
        <v>554</v>
      </c>
      <c r="B4414">
        <v>2021</v>
      </c>
      <c r="C4414" t="s">
        <v>816</v>
      </c>
      <c r="D4414" t="s">
        <v>820</v>
      </c>
      <c r="E4414" t="s">
        <v>34</v>
      </c>
      <c r="F4414" t="s">
        <v>315</v>
      </c>
      <c r="G4414">
        <v>-33.133333</v>
      </c>
      <c r="H4414">
        <v>-71.7</v>
      </c>
      <c r="I4414" t="s">
        <v>764</v>
      </c>
      <c r="J4414" s="2" t="s">
        <v>14</v>
      </c>
      <c r="K4414" t="s">
        <v>351</v>
      </c>
      <c r="L4414" t="s">
        <v>143</v>
      </c>
      <c r="M4414" t="s">
        <v>726</v>
      </c>
      <c r="N4414" t="s">
        <v>85</v>
      </c>
      <c r="O4414" s="6" t="s">
        <v>58</v>
      </c>
      <c r="Q4414">
        <v>21</v>
      </c>
      <c r="R4414" t="s">
        <v>213</v>
      </c>
      <c r="S4414" s="2" t="s">
        <v>15</v>
      </c>
      <c r="T4414">
        <v>6</v>
      </c>
      <c r="U4414" t="s">
        <v>28</v>
      </c>
      <c r="V4414" t="s">
        <v>28</v>
      </c>
      <c r="W4414">
        <v>20</v>
      </c>
      <c r="X4414">
        <v>0.34</v>
      </c>
      <c r="Y4414">
        <v>0.1</v>
      </c>
      <c r="AA4414" s="6"/>
      <c r="AB4414" s="6"/>
    </row>
    <row r="4415" spans="1:28" x14ac:dyDescent="0.2">
      <c r="A4415" t="s">
        <v>554</v>
      </c>
      <c r="B4415">
        <v>2021</v>
      </c>
      <c r="C4415" t="s">
        <v>816</v>
      </c>
      <c r="D4415" t="s">
        <v>820</v>
      </c>
      <c r="E4415" t="s">
        <v>34</v>
      </c>
      <c r="F4415" t="s">
        <v>315</v>
      </c>
      <c r="G4415">
        <v>-33.133333</v>
      </c>
      <c r="H4415">
        <v>-71.7</v>
      </c>
      <c r="I4415" t="s">
        <v>764</v>
      </c>
      <c r="J4415" s="2" t="s">
        <v>5</v>
      </c>
      <c r="K4415" t="s">
        <v>351</v>
      </c>
      <c r="L4415" t="s">
        <v>143</v>
      </c>
      <c r="M4415" t="s">
        <v>726</v>
      </c>
      <c r="N4415" t="s">
        <v>85</v>
      </c>
      <c r="O4415" s="6" t="s">
        <v>58</v>
      </c>
      <c r="Q4415">
        <v>21</v>
      </c>
      <c r="R4415" t="s">
        <v>213</v>
      </c>
      <c r="S4415" s="2" t="s">
        <v>9</v>
      </c>
      <c r="T4415">
        <v>6</v>
      </c>
      <c r="U4415">
        <f>AVERAGE(7.49,7.46)</f>
        <v>7.4749999999999996</v>
      </c>
      <c r="V4415">
        <f>AVERAGE(1587,1732)</f>
        <v>1659.5</v>
      </c>
      <c r="W4415" t="s">
        <v>28</v>
      </c>
      <c r="X4415">
        <v>0.36</v>
      </c>
      <c r="Y4415">
        <v>0.11</v>
      </c>
      <c r="AA4415" s="6"/>
      <c r="AB4415" s="6"/>
    </row>
    <row r="4416" spans="1:28" x14ac:dyDescent="0.2">
      <c r="A4416" t="s">
        <v>554</v>
      </c>
      <c r="B4416">
        <v>2021</v>
      </c>
      <c r="C4416" t="s">
        <v>816</v>
      </c>
      <c r="D4416" t="s">
        <v>820</v>
      </c>
      <c r="E4416" t="s">
        <v>34</v>
      </c>
      <c r="F4416" t="s">
        <v>315</v>
      </c>
      <c r="G4416">
        <v>-33.133333</v>
      </c>
      <c r="H4416">
        <v>-71.7</v>
      </c>
      <c r="I4416" t="s">
        <v>764</v>
      </c>
      <c r="J4416" s="2" t="s">
        <v>16</v>
      </c>
      <c r="K4416" t="s">
        <v>351</v>
      </c>
      <c r="L4416" t="s">
        <v>143</v>
      </c>
      <c r="M4416" t="s">
        <v>726</v>
      </c>
      <c r="N4416" t="s">
        <v>85</v>
      </c>
      <c r="O4416" s="6" t="s">
        <v>58</v>
      </c>
      <c r="Q4416">
        <v>21</v>
      </c>
      <c r="R4416" t="s">
        <v>213</v>
      </c>
      <c r="S4416" s="2" t="s">
        <v>13</v>
      </c>
      <c r="T4416">
        <v>6</v>
      </c>
      <c r="U4416">
        <f>AVERAGE(7.46,7.47)</f>
        <v>7.4649999999999999</v>
      </c>
      <c r="V4416">
        <f>AVERAGE(1727,1689)</f>
        <v>1708</v>
      </c>
      <c r="W4416">
        <v>16</v>
      </c>
      <c r="X4416">
        <v>0.48599999999999999</v>
      </c>
      <c r="Y4416">
        <v>0.03</v>
      </c>
      <c r="AA4416" s="6"/>
      <c r="AB4416" s="6"/>
    </row>
    <row r="4417" spans="1:28" x14ac:dyDescent="0.2">
      <c r="A4417" t="s">
        <v>554</v>
      </c>
      <c r="B4417">
        <v>2021</v>
      </c>
      <c r="C4417" t="s">
        <v>816</v>
      </c>
      <c r="D4417" t="s">
        <v>820</v>
      </c>
      <c r="E4417" t="s">
        <v>34</v>
      </c>
      <c r="F4417" t="s">
        <v>315</v>
      </c>
      <c r="G4417">
        <v>-33.133333</v>
      </c>
      <c r="H4417">
        <v>-71.7</v>
      </c>
      <c r="I4417" t="s">
        <v>764</v>
      </c>
      <c r="J4417" s="2" t="s">
        <v>16</v>
      </c>
      <c r="K4417" t="s">
        <v>351</v>
      </c>
      <c r="L4417" t="s">
        <v>143</v>
      </c>
      <c r="M4417" t="s">
        <v>726</v>
      </c>
      <c r="N4417" t="s">
        <v>85</v>
      </c>
      <c r="O4417" s="6" t="s">
        <v>58</v>
      </c>
      <c r="Q4417">
        <v>21</v>
      </c>
      <c r="R4417" t="s">
        <v>213</v>
      </c>
      <c r="S4417" s="2" t="s">
        <v>37</v>
      </c>
      <c r="T4417">
        <v>6</v>
      </c>
      <c r="U4417">
        <f>AVERAGE(7.54,7.55)</f>
        <v>7.5449999999999999</v>
      </c>
      <c r="V4417">
        <f>AVERAGE(1442,1414)</f>
        <v>1428</v>
      </c>
      <c r="W4417">
        <v>20</v>
      </c>
      <c r="X4417">
        <v>0.34</v>
      </c>
      <c r="Y4417">
        <v>0.03</v>
      </c>
      <c r="AA4417" s="6"/>
      <c r="AB4417" s="6"/>
    </row>
    <row r="4418" spans="1:28" x14ac:dyDescent="0.2">
      <c r="A4418" t="s">
        <v>554</v>
      </c>
      <c r="B4418">
        <v>2021</v>
      </c>
      <c r="C4418" t="s">
        <v>816</v>
      </c>
      <c r="D4418" t="s">
        <v>820</v>
      </c>
      <c r="E4418" t="s">
        <v>34</v>
      </c>
      <c r="F4418" t="s">
        <v>555</v>
      </c>
      <c r="G4418">
        <v>-33.450000000000003</v>
      </c>
      <c r="H4418">
        <v>-72</v>
      </c>
      <c r="I4418" t="s">
        <v>771</v>
      </c>
      <c r="J4418" s="2" t="s">
        <v>7</v>
      </c>
      <c r="K4418" t="s">
        <v>351</v>
      </c>
      <c r="L4418" t="s">
        <v>143</v>
      </c>
      <c r="M4418" t="s">
        <v>726</v>
      </c>
      <c r="N4418" t="s">
        <v>85</v>
      </c>
      <c r="O4418" s="6" t="s">
        <v>58</v>
      </c>
      <c r="Q4418">
        <v>21</v>
      </c>
      <c r="R4418" t="s">
        <v>213</v>
      </c>
      <c r="S4418" s="2" t="s">
        <v>7</v>
      </c>
      <c r="T4418">
        <v>6</v>
      </c>
      <c r="U4418">
        <f>AVERAGE(7.72, 7.8)</f>
        <v>7.76</v>
      </c>
      <c r="V4418">
        <f>AVERAGE(926.28,726)</f>
        <v>826.14</v>
      </c>
      <c r="W4418">
        <v>12</v>
      </c>
      <c r="X4418">
        <v>0.38</v>
      </c>
      <c r="Y4418">
        <v>0.09</v>
      </c>
      <c r="AA4418" s="6"/>
      <c r="AB4418" s="6"/>
    </row>
    <row r="4419" spans="1:28" x14ac:dyDescent="0.2">
      <c r="A4419" t="s">
        <v>554</v>
      </c>
      <c r="B4419">
        <v>2021</v>
      </c>
      <c r="C4419" t="s">
        <v>816</v>
      </c>
      <c r="D4419" t="s">
        <v>820</v>
      </c>
      <c r="E4419" t="s">
        <v>34</v>
      </c>
      <c r="F4419" t="s">
        <v>555</v>
      </c>
      <c r="G4419">
        <v>-33.450000000000003</v>
      </c>
      <c r="H4419">
        <v>-72</v>
      </c>
      <c r="I4419" t="s">
        <v>771</v>
      </c>
      <c r="J4419" s="2" t="s">
        <v>14</v>
      </c>
      <c r="K4419" t="s">
        <v>351</v>
      </c>
      <c r="L4419" t="s">
        <v>143</v>
      </c>
      <c r="M4419" t="s">
        <v>726</v>
      </c>
      <c r="N4419" t="s">
        <v>85</v>
      </c>
      <c r="O4419" s="6" t="s">
        <v>58</v>
      </c>
      <c r="Q4419">
        <v>21</v>
      </c>
      <c r="R4419" t="s">
        <v>213</v>
      </c>
      <c r="S4419" s="2" t="s">
        <v>27</v>
      </c>
      <c r="T4419">
        <v>6</v>
      </c>
      <c r="U4419" t="s">
        <v>28</v>
      </c>
      <c r="V4419" t="s">
        <v>28</v>
      </c>
      <c r="W4419">
        <v>16</v>
      </c>
      <c r="X4419">
        <v>0.38</v>
      </c>
      <c r="Y4419">
        <v>0.03</v>
      </c>
      <c r="AA4419" s="6"/>
      <c r="AB4419" s="6"/>
    </row>
    <row r="4420" spans="1:28" x14ac:dyDescent="0.2">
      <c r="A4420" t="s">
        <v>554</v>
      </c>
      <c r="B4420">
        <v>2021</v>
      </c>
      <c r="C4420" t="s">
        <v>816</v>
      </c>
      <c r="D4420" t="s">
        <v>820</v>
      </c>
      <c r="E4420" t="s">
        <v>34</v>
      </c>
      <c r="F4420" t="s">
        <v>555</v>
      </c>
      <c r="G4420">
        <v>-33.450000000000003</v>
      </c>
      <c r="H4420">
        <v>-72</v>
      </c>
      <c r="I4420" t="s">
        <v>771</v>
      </c>
      <c r="J4420" s="2" t="s">
        <v>14</v>
      </c>
      <c r="K4420" t="s">
        <v>351</v>
      </c>
      <c r="L4420" t="s">
        <v>143</v>
      </c>
      <c r="M4420" t="s">
        <v>726</v>
      </c>
      <c r="N4420" t="s">
        <v>85</v>
      </c>
      <c r="O4420" s="6" t="s">
        <v>58</v>
      </c>
      <c r="Q4420">
        <v>21</v>
      </c>
      <c r="R4420" t="s">
        <v>213</v>
      </c>
      <c r="S4420" s="2" t="s">
        <v>15</v>
      </c>
      <c r="T4420">
        <v>6</v>
      </c>
      <c r="U4420" t="s">
        <v>28</v>
      </c>
      <c r="V4420" t="s">
        <v>28</v>
      </c>
      <c r="W4420">
        <v>20</v>
      </c>
      <c r="X4420">
        <v>0.37</v>
      </c>
      <c r="Y4420">
        <v>7.0000000000000007E-2</v>
      </c>
      <c r="AA4420" s="6"/>
      <c r="AB4420" s="6"/>
    </row>
    <row r="4421" spans="1:28" x14ac:dyDescent="0.2">
      <c r="A4421" t="s">
        <v>554</v>
      </c>
      <c r="B4421">
        <v>2021</v>
      </c>
      <c r="C4421" t="s">
        <v>816</v>
      </c>
      <c r="D4421" t="s">
        <v>820</v>
      </c>
      <c r="E4421" t="s">
        <v>34</v>
      </c>
      <c r="F4421" t="s">
        <v>555</v>
      </c>
      <c r="G4421">
        <v>-33.450000000000003</v>
      </c>
      <c r="H4421">
        <v>-72</v>
      </c>
      <c r="I4421" t="s">
        <v>771</v>
      </c>
      <c r="J4421" s="2" t="s">
        <v>5</v>
      </c>
      <c r="K4421" t="s">
        <v>351</v>
      </c>
      <c r="L4421" t="s">
        <v>143</v>
      </c>
      <c r="M4421" t="s">
        <v>726</v>
      </c>
      <c r="N4421" t="s">
        <v>85</v>
      </c>
      <c r="O4421" s="6" t="s">
        <v>58</v>
      </c>
      <c r="Q4421">
        <v>21</v>
      </c>
      <c r="R4421" t="s">
        <v>213</v>
      </c>
      <c r="S4421" s="2" t="s">
        <v>9</v>
      </c>
      <c r="T4421">
        <v>6</v>
      </c>
      <c r="U4421">
        <f>AVERAGE(7.49,7.46)</f>
        <v>7.4749999999999996</v>
      </c>
      <c r="V4421">
        <f>AVERAGE(1587,1732)</f>
        <v>1659.5</v>
      </c>
      <c r="W4421" t="s">
        <v>28</v>
      </c>
      <c r="X4421">
        <v>0.4</v>
      </c>
      <c r="Y4421">
        <v>0.06</v>
      </c>
      <c r="AA4421" s="6"/>
      <c r="AB4421" s="6"/>
    </row>
    <row r="4422" spans="1:28" x14ac:dyDescent="0.2">
      <c r="A4422" t="s">
        <v>554</v>
      </c>
      <c r="B4422">
        <v>2021</v>
      </c>
      <c r="C4422" t="s">
        <v>816</v>
      </c>
      <c r="D4422" t="s">
        <v>820</v>
      </c>
      <c r="E4422" t="s">
        <v>34</v>
      </c>
      <c r="F4422" t="s">
        <v>555</v>
      </c>
      <c r="G4422">
        <v>-33.450000000000003</v>
      </c>
      <c r="H4422">
        <v>-72</v>
      </c>
      <c r="I4422" t="s">
        <v>771</v>
      </c>
      <c r="J4422" s="2" t="s">
        <v>16</v>
      </c>
      <c r="K4422" t="s">
        <v>351</v>
      </c>
      <c r="L4422" t="s">
        <v>143</v>
      </c>
      <c r="M4422" t="s">
        <v>726</v>
      </c>
      <c r="N4422" t="s">
        <v>85</v>
      </c>
      <c r="O4422" s="6" t="s">
        <v>58</v>
      </c>
      <c r="Q4422">
        <v>21</v>
      </c>
      <c r="R4422" t="s">
        <v>213</v>
      </c>
      <c r="S4422" s="2" t="s">
        <v>13</v>
      </c>
      <c r="T4422">
        <v>6</v>
      </c>
      <c r="U4422">
        <f>AVERAGE(7.46,7.47)</f>
        <v>7.4649999999999999</v>
      </c>
      <c r="V4422">
        <f>AVERAGE(1727,1689)</f>
        <v>1708</v>
      </c>
      <c r="W4422">
        <v>16</v>
      </c>
      <c r="X4422">
        <v>0.42</v>
      </c>
      <c r="Y4422">
        <v>0.02</v>
      </c>
      <c r="AA4422" s="6"/>
      <c r="AB4422" s="6"/>
    </row>
    <row r="4423" spans="1:28" x14ac:dyDescent="0.2">
      <c r="A4423" t="s">
        <v>554</v>
      </c>
      <c r="B4423">
        <v>2021</v>
      </c>
      <c r="C4423" t="s">
        <v>816</v>
      </c>
      <c r="D4423" t="s">
        <v>820</v>
      </c>
      <c r="E4423" t="s">
        <v>34</v>
      </c>
      <c r="F4423" t="s">
        <v>555</v>
      </c>
      <c r="G4423">
        <v>-33.450000000000003</v>
      </c>
      <c r="H4423">
        <v>-72</v>
      </c>
      <c r="I4423" t="s">
        <v>771</v>
      </c>
      <c r="J4423" s="2" t="s">
        <v>16</v>
      </c>
      <c r="K4423" t="s">
        <v>351</v>
      </c>
      <c r="L4423" t="s">
        <v>143</v>
      </c>
      <c r="M4423" t="s">
        <v>726</v>
      </c>
      <c r="N4423" t="s">
        <v>85</v>
      </c>
      <c r="O4423" s="6" t="s">
        <v>58</v>
      </c>
      <c r="Q4423">
        <v>21</v>
      </c>
      <c r="R4423" t="s">
        <v>213</v>
      </c>
      <c r="S4423" s="2" t="s">
        <v>37</v>
      </c>
      <c r="T4423">
        <v>6</v>
      </c>
      <c r="U4423">
        <f>AVERAGE(7.54,7.55)</f>
        <v>7.5449999999999999</v>
      </c>
      <c r="V4423">
        <f>AVERAGE(1442,1414)</f>
        <v>1428</v>
      </c>
      <c r="W4423">
        <v>20</v>
      </c>
      <c r="X4423">
        <v>0.45</v>
      </c>
      <c r="Y4423">
        <v>0.06</v>
      </c>
      <c r="AA4423" s="6"/>
      <c r="AB4423" s="6"/>
    </row>
    <row r="4424" spans="1:28" x14ac:dyDescent="0.2">
      <c r="A4424" t="s">
        <v>554</v>
      </c>
      <c r="B4424">
        <v>2021</v>
      </c>
      <c r="C4424" t="s">
        <v>816</v>
      </c>
      <c r="D4424" t="s">
        <v>820</v>
      </c>
      <c r="E4424" t="s">
        <v>34</v>
      </c>
      <c r="F4424" t="s">
        <v>555</v>
      </c>
      <c r="G4424">
        <v>-33.450000000000003</v>
      </c>
      <c r="H4424">
        <v>-72</v>
      </c>
      <c r="I4424" t="s">
        <v>764</v>
      </c>
      <c r="J4424" s="2" t="s">
        <v>7</v>
      </c>
      <c r="K4424" t="s">
        <v>351</v>
      </c>
      <c r="L4424" t="s">
        <v>143</v>
      </c>
      <c r="M4424" t="s">
        <v>726</v>
      </c>
      <c r="N4424" t="s">
        <v>85</v>
      </c>
      <c r="O4424" s="6" t="s">
        <v>58</v>
      </c>
      <c r="Q4424">
        <v>21</v>
      </c>
      <c r="R4424" t="s">
        <v>213</v>
      </c>
      <c r="S4424" s="2" t="s">
        <v>7</v>
      </c>
      <c r="T4424">
        <v>6</v>
      </c>
      <c r="U4424">
        <f>AVERAGE(7.72, 7.8)</f>
        <v>7.76</v>
      </c>
      <c r="V4424">
        <f>AVERAGE(926.28,726)</f>
        <v>826.14</v>
      </c>
      <c r="W4424">
        <v>12</v>
      </c>
      <c r="X4424">
        <v>0.43</v>
      </c>
      <c r="Y4424">
        <v>0.02</v>
      </c>
      <c r="AA4424" s="6"/>
      <c r="AB4424" s="6"/>
    </row>
    <row r="4425" spans="1:28" x14ac:dyDescent="0.2">
      <c r="A4425" t="s">
        <v>554</v>
      </c>
      <c r="B4425">
        <v>2021</v>
      </c>
      <c r="C4425" t="s">
        <v>816</v>
      </c>
      <c r="D4425" t="s">
        <v>820</v>
      </c>
      <c r="E4425" t="s">
        <v>34</v>
      </c>
      <c r="F4425" t="s">
        <v>555</v>
      </c>
      <c r="G4425">
        <v>-33.450000000000003</v>
      </c>
      <c r="H4425">
        <v>-72</v>
      </c>
      <c r="I4425" t="s">
        <v>764</v>
      </c>
      <c r="J4425" s="2" t="s">
        <v>14</v>
      </c>
      <c r="K4425" t="s">
        <v>351</v>
      </c>
      <c r="L4425" t="s">
        <v>143</v>
      </c>
      <c r="M4425" t="s">
        <v>726</v>
      </c>
      <c r="N4425" t="s">
        <v>85</v>
      </c>
      <c r="O4425" s="6" t="s">
        <v>58</v>
      </c>
      <c r="Q4425">
        <v>21</v>
      </c>
      <c r="R4425" t="s">
        <v>213</v>
      </c>
      <c r="S4425" s="2" t="s">
        <v>27</v>
      </c>
      <c r="T4425">
        <v>6</v>
      </c>
      <c r="U4425" t="s">
        <v>28</v>
      </c>
      <c r="V4425" t="s">
        <v>28</v>
      </c>
      <c r="W4425">
        <v>16</v>
      </c>
      <c r="X4425">
        <v>0.43</v>
      </c>
      <c r="Y4425">
        <v>0.04</v>
      </c>
      <c r="AA4425" s="6"/>
      <c r="AB4425" s="6"/>
    </row>
    <row r="4426" spans="1:28" x14ac:dyDescent="0.2">
      <c r="A4426" t="s">
        <v>554</v>
      </c>
      <c r="B4426">
        <v>2021</v>
      </c>
      <c r="C4426" t="s">
        <v>816</v>
      </c>
      <c r="D4426" t="s">
        <v>820</v>
      </c>
      <c r="E4426" t="s">
        <v>34</v>
      </c>
      <c r="F4426" t="s">
        <v>555</v>
      </c>
      <c r="G4426">
        <v>-33.450000000000003</v>
      </c>
      <c r="H4426">
        <v>-72</v>
      </c>
      <c r="I4426" t="s">
        <v>764</v>
      </c>
      <c r="J4426" s="2" t="s">
        <v>14</v>
      </c>
      <c r="K4426" t="s">
        <v>351</v>
      </c>
      <c r="L4426" t="s">
        <v>143</v>
      </c>
      <c r="M4426" t="s">
        <v>726</v>
      </c>
      <c r="N4426" t="s">
        <v>85</v>
      </c>
      <c r="O4426" s="6" t="s">
        <v>58</v>
      </c>
      <c r="Q4426">
        <v>21</v>
      </c>
      <c r="R4426" t="s">
        <v>213</v>
      </c>
      <c r="S4426" s="2" t="s">
        <v>15</v>
      </c>
      <c r="T4426">
        <v>6</v>
      </c>
      <c r="U4426" t="s">
        <v>28</v>
      </c>
      <c r="V4426" t="s">
        <v>28</v>
      </c>
      <c r="W4426">
        <v>20</v>
      </c>
      <c r="X4426">
        <v>0.45</v>
      </c>
      <c r="Y4426">
        <v>0.04</v>
      </c>
      <c r="AA4426" s="6"/>
      <c r="AB4426" s="6"/>
    </row>
    <row r="4427" spans="1:28" x14ac:dyDescent="0.2">
      <c r="A4427" t="s">
        <v>554</v>
      </c>
      <c r="B4427">
        <v>2021</v>
      </c>
      <c r="C4427" t="s">
        <v>816</v>
      </c>
      <c r="D4427" t="s">
        <v>820</v>
      </c>
      <c r="E4427" t="s">
        <v>34</v>
      </c>
      <c r="F4427" t="s">
        <v>555</v>
      </c>
      <c r="G4427">
        <v>-33.450000000000003</v>
      </c>
      <c r="H4427">
        <v>-72</v>
      </c>
      <c r="I4427" t="s">
        <v>764</v>
      </c>
      <c r="J4427" s="2" t="s">
        <v>5</v>
      </c>
      <c r="K4427" t="s">
        <v>351</v>
      </c>
      <c r="L4427" t="s">
        <v>143</v>
      </c>
      <c r="M4427" t="s">
        <v>726</v>
      </c>
      <c r="N4427" t="s">
        <v>85</v>
      </c>
      <c r="O4427" s="6" t="s">
        <v>58</v>
      </c>
      <c r="Q4427">
        <v>21</v>
      </c>
      <c r="R4427" t="s">
        <v>213</v>
      </c>
      <c r="S4427" s="2" t="s">
        <v>9</v>
      </c>
      <c r="T4427">
        <v>6</v>
      </c>
      <c r="U4427">
        <f>AVERAGE(7.49,7.46)</f>
        <v>7.4749999999999996</v>
      </c>
      <c r="V4427">
        <f>AVERAGE(1587,1732)</f>
        <v>1659.5</v>
      </c>
      <c r="W4427" t="s">
        <v>28</v>
      </c>
      <c r="X4427">
        <v>0.41</v>
      </c>
      <c r="Y4427">
        <v>0.14000000000000001</v>
      </c>
      <c r="AA4427" s="6"/>
      <c r="AB4427" s="6"/>
    </row>
    <row r="4428" spans="1:28" x14ac:dyDescent="0.2">
      <c r="A4428" t="s">
        <v>554</v>
      </c>
      <c r="B4428">
        <v>2021</v>
      </c>
      <c r="C4428" t="s">
        <v>816</v>
      </c>
      <c r="D4428" t="s">
        <v>820</v>
      </c>
      <c r="E4428" t="s">
        <v>34</v>
      </c>
      <c r="F4428" t="s">
        <v>555</v>
      </c>
      <c r="G4428">
        <v>-33.450000000000003</v>
      </c>
      <c r="H4428">
        <v>-72</v>
      </c>
      <c r="I4428" t="s">
        <v>764</v>
      </c>
      <c r="J4428" s="2" t="s">
        <v>16</v>
      </c>
      <c r="K4428" t="s">
        <v>351</v>
      </c>
      <c r="L4428" t="s">
        <v>143</v>
      </c>
      <c r="M4428" t="s">
        <v>726</v>
      </c>
      <c r="N4428" t="s">
        <v>85</v>
      </c>
      <c r="O4428" s="6" t="s">
        <v>58</v>
      </c>
      <c r="Q4428">
        <v>21</v>
      </c>
      <c r="R4428" t="s">
        <v>213</v>
      </c>
      <c r="S4428" s="2" t="s">
        <v>13</v>
      </c>
      <c r="T4428">
        <v>6</v>
      </c>
      <c r="U4428">
        <f>AVERAGE(7.46,7.47)</f>
        <v>7.4649999999999999</v>
      </c>
      <c r="V4428">
        <f>AVERAGE(1727,1689)</f>
        <v>1708</v>
      </c>
      <c r="W4428">
        <v>16</v>
      </c>
      <c r="X4428">
        <v>0.32</v>
      </c>
      <c r="Y4428">
        <v>0.06</v>
      </c>
      <c r="AA4428" s="6"/>
      <c r="AB4428" s="6"/>
    </row>
    <row r="4429" spans="1:28" x14ac:dyDescent="0.2">
      <c r="A4429" t="s">
        <v>554</v>
      </c>
      <c r="B4429">
        <v>2021</v>
      </c>
      <c r="C4429" t="s">
        <v>816</v>
      </c>
      <c r="D4429" t="s">
        <v>820</v>
      </c>
      <c r="E4429" t="s">
        <v>34</v>
      </c>
      <c r="F4429" t="s">
        <v>555</v>
      </c>
      <c r="G4429">
        <v>-33.450000000000003</v>
      </c>
      <c r="H4429">
        <v>-72</v>
      </c>
      <c r="I4429" t="s">
        <v>764</v>
      </c>
      <c r="J4429" s="2" t="s">
        <v>16</v>
      </c>
      <c r="K4429" t="s">
        <v>351</v>
      </c>
      <c r="L4429" t="s">
        <v>143</v>
      </c>
      <c r="M4429" t="s">
        <v>726</v>
      </c>
      <c r="N4429" t="s">
        <v>85</v>
      </c>
      <c r="O4429" s="6" t="s">
        <v>58</v>
      </c>
      <c r="Q4429">
        <v>21</v>
      </c>
      <c r="R4429" t="s">
        <v>213</v>
      </c>
      <c r="S4429" s="2" t="s">
        <v>37</v>
      </c>
      <c r="T4429">
        <v>6</v>
      </c>
      <c r="U4429">
        <f>AVERAGE(7.54,7.55)</f>
        <v>7.5449999999999999</v>
      </c>
      <c r="V4429">
        <f>AVERAGE(1442,1414)</f>
        <v>1428</v>
      </c>
      <c r="W4429">
        <v>20</v>
      </c>
      <c r="X4429">
        <v>0.33</v>
      </c>
      <c r="Y4429">
        <v>0.1</v>
      </c>
      <c r="AA4429" s="6"/>
      <c r="AB4429" s="6"/>
    </row>
    <row r="4430" spans="1:28" x14ac:dyDescent="0.2">
      <c r="A4430" t="s">
        <v>554</v>
      </c>
      <c r="B4430">
        <v>2021</v>
      </c>
      <c r="C4430" t="s">
        <v>816</v>
      </c>
      <c r="D4430" t="s">
        <v>820</v>
      </c>
      <c r="E4430" t="s">
        <v>34</v>
      </c>
      <c r="F4430" t="s">
        <v>315</v>
      </c>
      <c r="G4430">
        <v>-33.133333</v>
      </c>
      <c r="H4430">
        <v>-71.7</v>
      </c>
      <c r="I4430" t="s">
        <v>771</v>
      </c>
      <c r="J4430" s="2" t="s">
        <v>7</v>
      </c>
      <c r="K4430" t="s">
        <v>351</v>
      </c>
      <c r="L4430" t="s">
        <v>143</v>
      </c>
      <c r="M4430" t="s">
        <v>726</v>
      </c>
      <c r="N4430" t="s">
        <v>85</v>
      </c>
      <c r="O4430" s="6" t="s">
        <v>112</v>
      </c>
      <c r="Q4430">
        <v>21</v>
      </c>
      <c r="R4430" t="s">
        <v>213</v>
      </c>
      <c r="S4430" s="2" t="s">
        <v>7</v>
      </c>
      <c r="T4430">
        <v>6</v>
      </c>
      <c r="U4430">
        <f>AVERAGE(7.72, 7.8)</f>
        <v>7.76</v>
      </c>
      <c r="V4430">
        <f>AVERAGE(926.28,726)</f>
        <v>826.14</v>
      </c>
      <c r="W4430">
        <v>12</v>
      </c>
      <c r="X4430">
        <v>132.80000000000001</v>
      </c>
      <c r="Y4430">
        <v>48.6</v>
      </c>
      <c r="AA4430" s="6"/>
      <c r="AB4430" s="6"/>
    </row>
    <row r="4431" spans="1:28" x14ac:dyDescent="0.2">
      <c r="A4431" t="s">
        <v>554</v>
      </c>
      <c r="B4431">
        <v>2021</v>
      </c>
      <c r="C4431" t="s">
        <v>816</v>
      </c>
      <c r="D4431" t="s">
        <v>820</v>
      </c>
      <c r="E4431" t="s">
        <v>34</v>
      </c>
      <c r="F4431" t="s">
        <v>315</v>
      </c>
      <c r="G4431">
        <v>-33.133333</v>
      </c>
      <c r="H4431">
        <v>-71.7</v>
      </c>
      <c r="I4431" t="s">
        <v>771</v>
      </c>
      <c r="J4431" s="2" t="s">
        <v>14</v>
      </c>
      <c r="K4431" t="s">
        <v>351</v>
      </c>
      <c r="L4431" t="s">
        <v>143</v>
      </c>
      <c r="M4431" t="s">
        <v>726</v>
      </c>
      <c r="N4431" t="s">
        <v>85</v>
      </c>
      <c r="O4431" s="6" t="s">
        <v>112</v>
      </c>
      <c r="Q4431">
        <v>21</v>
      </c>
      <c r="R4431" t="s">
        <v>213</v>
      </c>
      <c r="S4431" s="2" t="s">
        <v>27</v>
      </c>
      <c r="T4431">
        <v>6</v>
      </c>
      <c r="U4431" t="s">
        <v>28</v>
      </c>
      <c r="V4431" t="s">
        <v>28</v>
      </c>
      <c r="W4431">
        <v>16</v>
      </c>
      <c r="X4431">
        <v>132.5</v>
      </c>
      <c r="Y4431">
        <v>11.1</v>
      </c>
      <c r="AA4431" s="6"/>
      <c r="AB4431" s="6"/>
    </row>
    <row r="4432" spans="1:28" x14ac:dyDescent="0.2">
      <c r="A4432" t="s">
        <v>554</v>
      </c>
      <c r="B4432">
        <v>2021</v>
      </c>
      <c r="C4432" t="s">
        <v>816</v>
      </c>
      <c r="D4432" t="s">
        <v>820</v>
      </c>
      <c r="E4432" t="s">
        <v>34</v>
      </c>
      <c r="F4432" t="s">
        <v>315</v>
      </c>
      <c r="G4432">
        <v>-33.133333</v>
      </c>
      <c r="H4432">
        <v>-71.7</v>
      </c>
      <c r="I4432" t="s">
        <v>771</v>
      </c>
      <c r="J4432" s="2" t="s">
        <v>14</v>
      </c>
      <c r="K4432" t="s">
        <v>351</v>
      </c>
      <c r="L4432" t="s">
        <v>143</v>
      </c>
      <c r="M4432" t="s">
        <v>726</v>
      </c>
      <c r="N4432" t="s">
        <v>85</v>
      </c>
      <c r="O4432" s="6" t="s">
        <v>112</v>
      </c>
      <c r="Q4432">
        <v>21</v>
      </c>
      <c r="R4432" t="s">
        <v>213</v>
      </c>
      <c r="S4432" s="2" t="s">
        <v>15</v>
      </c>
      <c r="T4432">
        <v>6</v>
      </c>
      <c r="U4432" t="s">
        <v>28</v>
      </c>
      <c r="V4432" t="s">
        <v>28</v>
      </c>
      <c r="W4432">
        <v>20</v>
      </c>
      <c r="X4432">
        <v>141.19999999999999</v>
      </c>
      <c r="Y4432">
        <v>29.5</v>
      </c>
      <c r="AA4432" s="6"/>
      <c r="AB4432" s="6"/>
    </row>
    <row r="4433" spans="1:28" x14ac:dyDescent="0.2">
      <c r="A4433" t="s">
        <v>554</v>
      </c>
      <c r="B4433">
        <v>2021</v>
      </c>
      <c r="C4433" t="s">
        <v>816</v>
      </c>
      <c r="D4433" t="s">
        <v>820</v>
      </c>
      <c r="E4433" t="s">
        <v>34</v>
      </c>
      <c r="F4433" t="s">
        <v>315</v>
      </c>
      <c r="G4433">
        <v>-33.133333</v>
      </c>
      <c r="H4433">
        <v>-71.7</v>
      </c>
      <c r="I4433" t="s">
        <v>771</v>
      </c>
      <c r="J4433" s="2" t="s">
        <v>5</v>
      </c>
      <c r="K4433" t="s">
        <v>351</v>
      </c>
      <c r="L4433" t="s">
        <v>143</v>
      </c>
      <c r="M4433" t="s">
        <v>726</v>
      </c>
      <c r="N4433" t="s">
        <v>85</v>
      </c>
      <c r="O4433" s="6" t="s">
        <v>112</v>
      </c>
      <c r="Q4433">
        <v>21</v>
      </c>
      <c r="R4433" t="s">
        <v>213</v>
      </c>
      <c r="S4433" s="2" t="s">
        <v>9</v>
      </c>
      <c r="T4433">
        <v>6</v>
      </c>
      <c r="U4433">
        <f>AVERAGE(7.49,7.46)</f>
        <v>7.4749999999999996</v>
      </c>
      <c r="V4433">
        <f>AVERAGE(1587,1732)</f>
        <v>1659.5</v>
      </c>
      <c r="W4433" t="s">
        <v>28</v>
      </c>
      <c r="X4433">
        <v>117.4</v>
      </c>
      <c r="Y4433">
        <v>27.6</v>
      </c>
      <c r="AA4433" s="6"/>
      <c r="AB4433" s="6"/>
    </row>
    <row r="4434" spans="1:28" x14ac:dyDescent="0.2">
      <c r="A4434" t="s">
        <v>554</v>
      </c>
      <c r="B4434">
        <v>2021</v>
      </c>
      <c r="C4434" t="s">
        <v>816</v>
      </c>
      <c r="D4434" t="s">
        <v>820</v>
      </c>
      <c r="E4434" t="s">
        <v>34</v>
      </c>
      <c r="F4434" t="s">
        <v>315</v>
      </c>
      <c r="G4434">
        <v>-33.133333</v>
      </c>
      <c r="H4434">
        <v>-71.7</v>
      </c>
      <c r="I4434" t="s">
        <v>771</v>
      </c>
      <c r="J4434" s="2" t="s">
        <v>16</v>
      </c>
      <c r="K4434" t="s">
        <v>351</v>
      </c>
      <c r="L4434" t="s">
        <v>143</v>
      </c>
      <c r="M4434" t="s">
        <v>726</v>
      </c>
      <c r="N4434" t="s">
        <v>85</v>
      </c>
      <c r="O4434" s="6" t="s">
        <v>112</v>
      </c>
      <c r="Q4434">
        <v>21</v>
      </c>
      <c r="R4434" t="s">
        <v>213</v>
      </c>
      <c r="S4434" s="2" t="s">
        <v>13</v>
      </c>
      <c r="T4434">
        <v>6</v>
      </c>
      <c r="U4434">
        <f>AVERAGE(7.46,7.47)</f>
        <v>7.4649999999999999</v>
      </c>
      <c r="V4434">
        <f>AVERAGE(1727,1689)</f>
        <v>1708</v>
      </c>
      <c r="W4434">
        <v>16</v>
      </c>
      <c r="X4434">
        <v>182.7</v>
      </c>
      <c r="Y4434">
        <v>70.3</v>
      </c>
      <c r="AA4434" s="6"/>
      <c r="AB4434" s="6"/>
    </row>
    <row r="4435" spans="1:28" x14ac:dyDescent="0.2">
      <c r="A4435" t="s">
        <v>554</v>
      </c>
      <c r="B4435">
        <v>2021</v>
      </c>
      <c r="C4435" t="s">
        <v>816</v>
      </c>
      <c r="D4435" t="s">
        <v>820</v>
      </c>
      <c r="E4435" t="s">
        <v>34</v>
      </c>
      <c r="F4435" t="s">
        <v>315</v>
      </c>
      <c r="G4435">
        <v>-33.133333</v>
      </c>
      <c r="H4435">
        <v>-71.7</v>
      </c>
      <c r="I4435" t="s">
        <v>771</v>
      </c>
      <c r="J4435" s="2" t="s">
        <v>16</v>
      </c>
      <c r="K4435" t="s">
        <v>351</v>
      </c>
      <c r="L4435" t="s">
        <v>143</v>
      </c>
      <c r="M4435" t="s">
        <v>726</v>
      </c>
      <c r="N4435" t="s">
        <v>85</v>
      </c>
      <c r="O4435" s="6" t="s">
        <v>112</v>
      </c>
      <c r="Q4435">
        <v>21</v>
      </c>
      <c r="R4435" t="s">
        <v>213</v>
      </c>
      <c r="S4435" s="2" t="s">
        <v>37</v>
      </c>
      <c r="T4435">
        <v>6</v>
      </c>
      <c r="U4435">
        <f>AVERAGE(7.54,7.55)</f>
        <v>7.5449999999999999</v>
      </c>
      <c r="V4435">
        <f>AVERAGE(1442,1414)</f>
        <v>1428</v>
      </c>
      <c r="W4435">
        <v>20</v>
      </c>
      <c r="X4435">
        <v>142.30000000000001</v>
      </c>
      <c r="Y4435">
        <v>55.5</v>
      </c>
      <c r="AA4435" s="6"/>
      <c r="AB4435" s="6"/>
    </row>
    <row r="4436" spans="1:28" x14ac:dyDescent="0.2">
      <c r="A4436" t="s">
        <v>554</v>
      </c>
      <c r="B4436">
        <v>2021</v>
      </c>
      <c r="C4436" t="s">
        <v>816</v>
      </c>
      <c r="D4436" t="s">
        <v>820</v>
      </c>
      <c r="E4436" t="s">
        <v>34</v>
      </c>
      <c r="F4436" t="s">
        <v>315</v>
      </c>
      <c r="G4436">
        <v>-33.133333</v>
      </c>
      <c r="H4436">
        <v>-71.7</v>
      </c>
      <c r="I4436" t="s">
        <v>764</v>
      </c>
      <c r="J4436" s="2" t="s">
        <v>7</v>
      </c>
      <c r="K4436" t="s">
        <v>351</v>
      </c>
      <c r="L4436" t="s">
        <v>143</v>
      </c>
      <c r="M4436" t="s">
        <v>726</v>
      </c>
      <c r="N4436" t="s">
        <v>85</v>
      </c>
      <c r="O4436" s="6" t="s">
        <v>112</v>
      </c>
      <c r="Q4436">
        <v>21</v>
      </c>
      <c r="R4436" t="s">
        <v>213</v>
      </c>
      <c r="S4436" s="2" t="s">
        <v>7</v>
      </c>
      <c r="T4436">
        <v>6</v>
      </c>
      <c r="U4436">
        <f>AVERAGE(7.72, 7.8)</f>
        <v>7.76</v>
      </c>
      <c r="V4436">
        <f>AVERAGE(926.28,726)</f>
        <v>826.14</v>
      </c>
      <c r="W4436">
        <v>12</v>
      </c>
      <c r="X4436">
        <v>123.3</v>
      </c>
      <c r="Y4436">
        <v>33.700000000000003</v>
      </c>
      <c r="AA4436" s="6"/>
      <c r="AB4436" s="6"/>
    </row>
    <row r="4437" spans="1:28" x14ac:dyDescent="0.2">
      <c r="A4437" t="s">
        <v>554</v>
      </c>
      <c r="B4437">
        <v>2021</v>
      </c>
      <c r="C4437" t="s">
        <v>816</v>
      </c>
      <c r="D4437" t="s">
        <v>820</v>
      </c>
      <c r="E4437" t="s">
        <v>34</v>
      </c>
      <c r="F4437" t="s">
        <v>315</v>
      </c>
      <c r="G4437">
        <v>-33.133333</v>
      </c>
      <c r="H4437">
        <v>-71.7</v>
      </c>
      <c r="I4437" t="s">
        <v>764</v>
      </c>
      <c r="J4437" s="2" t="s">
        <v>14</v>
      </c>
      <c r="K4437" t="s">
        <v>351</v>
      </c>
      <c r="L4437" t="s">
        <v>143</v>
      </c>
      <c r="M4437" t="s">
        <v>726</v>
      </c>
      <c r="N4437" t="s">
        <v>85</v>
      </c>
      <c r="O4437" s="6" t="s">
        <v>112</v>
      </c>
      <c r="Q4437">
        <v>21</v>
      </c>
      <c r="R4437" t="s">
        <v>213</v>
      </c>
      <c r="S4437" s="2" t="s">
        <v>27</v>
      </c>
      <c r="T4437">
        <v>6</v>
      </c>
      <c r="U4437" t="s">
        <v>28</v>
      </c>
      <c r="V4437" t="s">
        <v>28</v>
      </c>
      <c r="W4437">
        <v>16</v>
      </c>
      <c r="X4437">
        <v>171.9</v>
      </c>
      <c r="Y4437">
        <v>63.2</v>
      </c>
      <c r="AA4437" s="6"/>
      <c r="AB4437" s="6"/>
    </row>
    <row r="4438" spans="1:28" x14ac:dyDescent="0.2">
      <c r="A4438" t="s">
        <v>554</v>
      </c>
      <c r="B4438">
        <v>2021</v>
      </c>
      <c r="C4438" t="s">
        <v>816</v>
      </c>
      <c r="D4438" t="s">
        <v>820</v>
      </c>
      <c r="E4438" t="s">
        <v>34</v>
      </c>
      <c r="F4438" t="s">
        <v>315</v>
      </c>
      <c r="G4438">
        <v>-33.133333</v>
      </c>
      <c r="H4438">
        <v>-71.7</v>
      </c>
      <c r="I4438" t="s">
        <v>764</v>
      </c>
      <c r="J4438" s="2" t="s">
        <v>14</v>
      </c>
      <c r="K4438" t="s">
        <v>351</v>
      </c>
      <c r="L4438" t="s">
        <v>143</v>
      </c>
      <c r="M4438" t="s">
        <v>726</v>
      </c>
      <c r="N4438" t="s">
        <v>85</v>
      </c>
      <c r="O4438" s="6" t="s">
        <v>112</v>
      </c>
      <c r="Q4438">
        <v>21</v>
      </c>
      <c r="R4438" t="s">
        <v>213</v>
      </c>
      <c r="S4438" s="2" t="s">
        <v>15</v>
      </c>
      <c r="T4438">
        <v>6</v>
      </c>
      <c r="U4438" t="s">
        <v>28</v>
      </c>
      <c r="V4438" t="s">
        <v>28</v>
      </c>
      <c r="W4438">
        <v>20</v>
      </c>
      <c r="X4438">
        <v>139.69999999999999</v>
      </c>
      <c r="Y4438">
        <v>40</v>
      </c>
      <c r="AA4438" s="6"/>
      <c r="AB4438" s="6"/>
    </row>
    <row r="4439" spans="1:28" x14ac:dyDescent="0.2">
      <c r="A4439" t="s">
        <v>554</v>
      </c>
      <c r="B4439">
        <v>2021</v>
      </c>
      <c r="C4439" t="s">
        <v>816</v>
      </c>
      <c r="D4439" t="s">
        <v>820</v>
      </c>
      <c r="E4439" t="s">
        <v>34</v>
      </c>
      <c r="F4439" t="s">
        <v>315</v>
      </c>
      <c r="G4439">
        <v>-33.133333</v>
      </c>
      <c r="H4439">
        <v>-71.7</v>
      </c>
      <c r="I4439" t="s">
        <v>764</v>
      </c>
      <c r="J4439" s="2" t="s">
        <v>5</v>
      </c>
      <c r="K4439" t="s">
        <v>351</v>
      </c>
      <c r="L4439" t="s">
        <v>143</v>
      </c>
      <c r="M4439" t="s">
        <v>726</v>
      </c>
      <c r="N4439" t="s">
        <v>85</v>
      </c>
      <c r="O4439" s="6" t="s">
        <v>112</v>
      </c>
      <c r="Q4439">
        <v>21</v>
      </c>
      <c r="R4439" t="s">
        <v>213</v>
      </c>
      <c r="S4439" s="2" t="s">
        <v>9</v>
      </c>
      <c r="T4439">
        <v>6</v>
      </c>
      <c r="U4439">
        <f>AVERAGE(7.49,7.46)</f>
        <v>7.4749999999999996</v>
      </c>
      <c r="V4439">
        <f>AVERAGE(1587,1732)</f>
        <v>1659.5</v>
      </c>
      <c r="W4439" t="s">
        <v>28</v>
      </c>
      <c r="X4439">
        <v>177.3</v>
      </c>
      <c r="Y4439">
        <v>63.4</v>
      </c>
      <c r="AA4439" s="6"/>
      <c r="AB4439" s="6"/>
    </row>
    <row r="4440" spans="1:28" x14ac:dyDescent="0.2">
      <c r="A4440" t="s">
        <v>554</v>
      </c>
      <c r="B4440">
        <v>2021</v>
      </c>
      <c r="C4440" t="s">
        <v>816</v>
      </c>
      <c r="D4440" t="s">
        <v>820</v>
      </c>
      <c r="E4440" t="s">
        <v>34</v>
      </c>
      <c r="F4440" t="s">
        <v>315</v>
      </c>
      <c r="G4440">
        <v>-33.133333</v>
      </c>
      <c r="H4440">
        <v>-71.7</v>
      </c>
      <c r="I4440" t="s">
        <v>764</v>
      </c>
      <c r="J4440" s="2" t="s">
        <v>16</v>
      </c>
      <c r="K4440" t="s">
        <v>351</v>
      </c>
      <c r="L4440" t="s">
        <v>143</v>
      </c>
      <c r="M4440" t="s">
        <v>726</v>
      </c>
      <c r="N4440" t="s">
        <v>85</v>
      </c>
      <c r="O4440" s="6" t="s">
        <v>112</v>
      </c>
      <c r="Q4440">
        <v>21</v>
      </c>
      <c r="R4440" t="s">
        <v>213</v>
      </c>
      <c r="S4440" s="2" t="s">
        <v>13</v>
      </c>
      <c r="T4440">
        <v>6</v>
      </c>
      <c r="U4440">
        <f>AVERAGE(7.46,7.47)</f>
        <v>7.4649999999999999</v>
      </c>
      <c r="V4440">
        <f>AVERAGE(1727,1689)</f>
        <v>1708</v>
      </c>
      <c r="W4440">
        <v>16</v>
      </c>
      <c r="X4440">
        <v>148.9</v>
      </c>
      <c r="Y4440">
        <v>45</v>
      </c>
      <c r="AA4440" s="6"/>
      <c r="AB4440" s="6"/>
    </row>
    <row r="4441" spans="1:28" x14ac:dyDescent="0.2">
      <c r="A4441" t="s">
        <v>554</v>
      </c>
      <c r="B4441">
        <v>2021</v>
      </c>
      <c r="C4441" t="s">
        <v>816</v>
      </c>
      <c r="D4441" t="s">
        <v>820</v>
      </c>
      <c r="E4441" t="s">
        <v>34</v>
      </c>
      <c r="F4441" t="s">
        <v>315</v>
      </c>
      <c r="G4441">
        <v>-33.133333</v>
      </c>
      <c r="H4441">
        <v>-71.7</v>
      </c>
      <c r="I4441" t="s">
        <v>764</v>
      </c>
      <c r="J4441" s="2" t="s">
        <v>16</v>
      </c>
      <c r="K4441" t="s">
        <v>351</v>
      </c>
      <c r="L4441" t="s">
        <v>143</v>
      </c>
      <c r="M4441" t="s">
        <v>726</v>
      </c>
      <c r="N4441" t="s">
        <v>85</v>
      </c>
      <c r="O4441" s="6" t="s">
        <v>112</v>
      </c>
      <c r="Q4441">
        <v>21</v>
      </c>
      <c r="R4441" t="s">
        <v>213</v>
      </c>
      <c r="S4441" s="2" t="s">
        <v>37</v>
      </c>
      <c r="T4441">
        <v>6</v>
      </c>
      <c r="U4441">
        <f>AVERAGE(7.54,7.55)</f>
        <v>7.5449999999999999</v>
      </c>
      <c r="V4441">
        <f>AVERAGE(1442,1414)</f>
        <v>1428</v>
      </c>
      <c r="W4441">
        <v>20</v>
      </c>
      <c r="X4441">
        <v>119.6</v>
      </c>
      <c r="Y4441">
        <v>29.2</v>
      </c>
      <c r="AA4441" s="6"/>
      <c r="AB4441" s="6"/>
    </row>
    <row r="4442" spans="1:28" x14ac:dyDescent="0.2">
      <c r="A4442" t="s">
        <v>554</v>
      </c>
      <c r="B4442">
        <v>2021</v>
      </c>
      <c r="C4442" t="s">
        <v>816</v>
      </c>
      <c r="D4442" t="s">
        <v>820</v>
      </c>
      <c r="E4442" t="s">
        <v>34</v>
      </c>
      <c r="F4442" t="s">
        <v>555</v>
      </c>
      <c r="G4442">
        <v>-33.450000000000003</v>
      </c>
      <c r="H4442">
        <v>-72</v>
      </c>
      <c r="I4442" t="s">
        <v>771</v>
      </c>
      <c r="J4442" s="2" t="s">
        <v>7</v>
      </c>
      <c r="K4442" t="s">
        <v>351</v>
      </c>
      <c r="L4442" t="s">
        <v>143</v>
      </c>
      <c r="M4442" t="s">
        <v>726</v>
      </c>
      <c r="N4442" t="s">
        <v>85</v>
      </c>
      <c r="O4442" s="6" t="s">
        <v>112</v>
      </c>
      <c r="Q4442">
        <v>21</v>
      </c>
      <c r="R4442" t="s">
        <v>213</v>
      </c>
      <c r="S4442" s="2" t="s">
        <v>7</v>
      </c>
      <c r="T4442">
        <v>6</v>
      </c>
      <c r="U4442">
        <f>AVERAGE(7.72, 7.8)</f>
        <v>7.76</v>
      </c>
      <c r="V4442">
        <f>AVERAGE(926.28,726)</f>
        <v>826.14</v>
      </c>
      <c r="W4442">
        <v>12</v>
      </c>
      <c r="X4442">
        <v>209.56</v>
      </c>
      <c r="Y4442">
        <v>73.7</v>
      </c>
      <c r="AA4442" s="6"/>
      <c r="AB4442" s="6"/>
    </row>
    <row r="4443" spans="1:28" x14ac:dyDescent="0.2">
      <c r="A4443" t="s">
        <v>554</v>
      </c>
      <c r="B4443">
        <v>2021</v>
      </c>
      <c r="C4443" t="s">
        <v>816</v>
      </c>
      <c r="D4443" t="s">
        <v>820</v>
      </c>
      <c r="E4443" t="s">
        <v>34</v>
      </c>
      <c r="F4443" t="s">
        <v>555</v>
      </c>
      <c r="G4443">
        <v>-33.450000000000003</v>
      </c>
      <c r="H4443">
        <v>-72</v>
      </c>
      <c r="I4443" t="s">
        <v>771</v>
      </c>
      <c r="J4443" s="2" t="s">
        <v>14</v>
      </c>
      <c r="K4443" t="s">
        <v>351</v>
      </c>
      <c r="L4443" t="s">
        <v>143</v>
      </c>
      <c r="M4443" t="s">
        <v>726</v>
      </c>
      <c r="N4443" t="s">
        <v>85</v>
      </c>
      <c r="O4443" s="6" t="s">
        <v>112</v>
      </c>
      <c r="Q4443">
        <v>21</v>
      </c>
      <c r="R4443" t="s">
        <v>213</v>
      </c>
      <c r="S4443" s="2" t="s">
        <v>27</v>
      </c>
      <c r="T4443">
        <v>6</v>
      </c>
      <c r="U4443" t="s">
        <v>28</v>
      </c>
      <c r="V4443" t="s">
        <v>28</v>
      </c>
      <c r="W4443">
        <v>16</v>
      </c>
      <c r="X4443">
        <v>238</v>
      </c>
      <c r="Y4443">
        <v>27.17</v>
      </c>
      <c r="AA4443" s="6"/>
      <c r="AB4443" s="6"/>
    </row>
    <row r="4444" spans="1:28" x14ac:dyDescent="0.2">
      <c r="A4444" t="s">
        <v>554</v>
      </c>
      <c r="B4444">
        <v>2021</v>
      </c>
      <c r="C4444" t="s">
        <v>816</v>
      </c>
      <c r="D4444" t="s">
        <v>820</v>
      </c>
      <c r="E4444" t="s">
        <v>34</v>
      </c>
      <c r="F4444" t="s">
        <v>555</v>
      </c>
      <c r="G4444">
        <v>-33.450000000000003</v>
      </c>
      <c r="H4444">
        <v>-72</v>
      </c>
      <c r="I4444" t="s">
        <v>771</v>
      </c>
      <c r="J4444" s="2" t="s">
        <v>14</v>
      </c>
      <c r="K4444" t="s">
        <v>351</v>
      </c>
      <c r="L4444" t="s">
        <v>143</v>
      </c>
      <c r="M4444" t="s">
        <v>726</v>
      </c>
      <c r="N4444" t="s">
        <v>85</v>
      </c>
      <c r="O4444" s="6" t="s">
        <v>112</v>
      </c>
      <c r="Q4444">
        <v>21</v>
      </c>
      <c r="R4444" t="s">
        <v>213</v>
      </c>
      <c r="S4444" s="2" t="s">
        <v>15</v>
      </c>
      <c r="T4444">
        <v>6</v>
      </c>
      <c r="U4444" t="s">
        <v>28</v>
      </c>
      <c r="V4444" t="s">
        <v>28</v>
      </c>
      <c r="W4444">
        <v>20</v>
      </c>
      <c r="X4444">
        <v>127.8</v>
      </c>
      <c r="Y4444">
        <v>26.5</v>
      </c>
      <c r="AA4444" s="6"/>
      <c r="AB4444" s="6"/>
    </row>
    <row r="4445" spans="1:28" x14ac:dyDescent="0.2">
      <c r="A4445" t="s">
        <v>554</v>
      </c>
      <c r="B4445">
        <v>2021</v>
      </c>
      <c r="C4445" t="s">
        <v>816</v>
      </c>
      <c r="D4445" t="s">
        <v>820</v>
      </c>
      <c r="E4445" t="s">
        <v>34</v>
      </c>
      <c r="F4445" t="s">
        <v>555</v>
      </c>
      <c r="G4445">
        <v>-33.450000000000003</v>
      </c>
      <c r="H4445">
        <v>-72</v>
      </c>
      <c r="I4445" t="s">
        <v>771</v>
      </c>
      <c r="J4445" s="2" t="s">
        <v>5</v>
      </c>
      <c r="K4445" t="s">
        <v>351</v>
      </c>
      <c r="L4445" t="s">
        <v>143</v>
      </c>
      <c r="M4445" t="s">
        <v>726</v>
      </c>
      <c r="N4445" t="s">
        <v>85</v>
      </c>
      <c r="O4445" s="6" t="s">
        <v>112</v>
      </c>
      <c r="Q4445">
        <v>21</v>
      </c>
      <c r="R4445" t="s">
        <v>213</v>
      </c>
      <c r="S4445" s="2" t="s">
        <v>9</v>
      </c>
      <c r="T4445">
        <v>6</v>
      </c>
      <c r="U4445">
        <f>AVERAGE(7.49,7.46)</f>
        <v>7.4749999999999996</v>
      </c>
      <c r="V4445">
        <f>AVERAGE(1587,1732)</f>
        <v>1659.5</v>
      </c>
      <c r="W4445" t="s">
        <v>28</v>
      </c>
      <c r="X4445">
        <v>203.7</v>
      </c>
      <c r="Y4445">
        <v>23.7</v>
      </c>
      <c r="AA4445" s="6"/>
      <c r="AB4445" s="6"/>
    </row>
    <row r="4446" spans="1:28" x14ac:dyDescent="0.2">
      <c r="A4446" t="s">
        <v>554</v>
      </c>
      <c r="B4446">
        <v>2021</v>
      </c>
      <c r="C4446" t="s">
        <v>816</v>
      </c>
      <c r="D4446" t="s">
        <v>820</v>
      </c>
      <c r="E4446" t="s">
        <v>34</v>
      </c>
      <c r="F4446" t="s">
        <v>555</v>
      </c>
      <c r="G4446">
        <v>-33.450000000000003</v>
      </c>
      <c r="H4446">
        <v>-72</v>
      </c>
      <c r="I4446" t="s">
        <v>771</v>
      </c>
      <c r="J4446" s="2" t="s">
        <v>16</v>
      </c>
      <c r="K4446" t="s">
        <v>351</v>
      </c>
      <c r="L4446" t="s">
        <v>143</v>
      </c>
      <c r="M4446" t="s">
        <v>726</v>
      </c>
      <c r="N4446" t="s">
        <v>85</v>
      </c>
      <c r="O4446" s="6" t="s">
        <v>112</v>
      </c>
      <c r="Q4446">
        <v>21</v>
      </c>
      <c r="R4446" t="s">
        <v>213</v>
      </c>
      <c r="S4446" s="2" t="s">
        <v>13</v>
      </c>
      <c r="T4446">
        <v>6</v>
      </c>
      <c r="U4446">
        <f>AVERAGE(7.46,7.47)</f>
        <v>7.4649999999999999</v>
      </c>
      <c r="V4446">
        <f>AVERAGE(1727,1689)</f>
        <v>1708</v>
      </c>
      <c r="W4446">
        <v>16</v>
      </c>
      <c r="X4446">
        <v>179.6</v>
      </c>
      <c r="Y4446">
        <v>18.7</v>
      </c>
      <c r="AA4446" s="6"/>
      <c r="AB4446" s="6"/>
    </row>
    <row r="4447" spans="1:28" x14ac:dyDescent="0.2">
      <c r="A4447" t="s">
        <v>554</v>
      </c>
      <c r="B4447">
        <v>2021</v>
      </c>
      <c r="C4447" t="s">
        <v>816</v>
      </c>
      <c r="D4447" t="s">
        <v>820</v>
      </c>
      <c r="E4447" t="s">
        <v>34</v>
      </c>
      <c r="F4447" t="s">
        <v>555</v>
      </c>
      <c r="G4447">
        <v>-33.450000000000003</v>
      </c>
      <c r="H4447">
        <v>-72</v>
      </c>
      <c r="I4447" t="s">
        <v>771</v>
      </c>
      <c r="J4447" s="2" t="s">
        <v>16</v>
      </c>
      <c r="K4447" t="s">
        <v>351</v>
      </c>
      <c r="L4447" t="s">
        <v>143</v>
      </c>
      <c r="M4447" t="s">
        <v>726</v>
      </c>
      <c r="N4447" t="s">
        <v>85</v>
      </c>
      <c r="O4447" s="6" t="s">
        <v>112</v>
      </c>
      <c r="Q4447">
        <v>21</v>
      </c>
      <c r="R4447" t="s">
        <v>213</v>
      </c>
      <c r="S4447" s="2" t="s">
        <v>37</v>
      </c>
      <c r="T4447">
        <v>6</v>
      </c>
      <c r="U4447">
        <f>AVERAGE(7.54,7.55)</f>
        <v>7.5449999999999999</v>
      </c>
      <c r="V4447">
        <f>AVERAGE(1442,1414)</f>
        <v>1428</v>
      </c>
      <c r="W4447">
        <v>20</v>
      </c>
      <c r="X4447">
        <v>138.1</v>
      </c>
      <c r="Y4447">
        <v>84.4</v>
      </c>
      <c r="AA4447" s="6"/>
      <c r="AB4447" s="6"/>
    </row>
    <row r="4448" spans="1:28" x14ac:dyDescent="0.2">
      <c r="A4448" t="s">
        <v>554</v>
      </c>
      <c r="B4448">
        <v>2021</v>
      </c>
      <c r="C4448" t="s">
        <v>816</v>
      </c>
      <c r="D4448" t="s">
        <v>820</v>
      </c>
      <c r="E4448" t="s">
        <v>34</v>
      </c>
      <c r="F4448" t="s">
        <v>555</v>
      </c>
      <c r="G4448">
        <v>-33.450000000000003</v>
      </c>
      <c r="H4448">
        <v>-72</v>
      </c>
      <c r="I4448" t="s">
        <v>764</v>
      </c>
      <c r="J4448" s="2" t="s">
        <v>7</v>
      </c>
      <c r="K4448" t="s">
        <v>351</v>
      </c>
      <c r="L4448" t="s">
        <v>143</v>
      </c>
      <c r="M4448" t="s">
        <v>726</v>
      </c>
      <c r="N4448" t="s">
        <v>85</v>
      </c>
      <c r="O4448" s="6" t="s">
        <v>112</v>
      </c>
      <c r="Q4448">
        <v>21</v>
      </c>
      <c r="R4448" t="s">
        <v>213</v>
      </c>
      <c r="S4448" s="2" t="s">
        <v>7</v>
      </c>
      <c r="T4448">
        <v>6</v>
      </c>
      <c r="U4448">
        <f>AVERAGE(7.72, 7.8)</f>
        <v>7.76</v>
      </c>
      <c r="V4448">
        <f>AVERAGE(926.28,726)</f>
        <v>826.14</v>
      </c>
      <c r="W4448">
        <v>12</v>
      </c>
      <c r="X4448">
        <v>152.9</v>
      </c>
      <c r="Y4448">
        <v>70.599999999999994</v>
      </c>
      <c r="AA4448" s="6"/>
      <c r="AB4448" s="6"/>
    </row>
    <row r="4449" spans="1:28" x14ac:dyDescent="0.2">
      <c r="A4449" t="s">
        <v>554</v>
      </c>
      <c r="B4449">
        <v>2021</v>
      </c>
      <c r="C4449" t="s">
        <v>816</v>
      </c>
      <c r="D4449" t="s">
        <v>820</v>
      </c>
      <c r="E4449" t="s">
        <v>34</v>
      </c>
      <c r="F4449" t="s">
        <v>555</v>
      </c>
      <c r="G4449">
        <v>-33.450000000000003</v>
      </c>
      <c r="H4449">
        <v>-72</v>
      </c>
      <c r="I4449" t="s">
        <v>764</v>
      </c>
      <c r="J4449" s="2" t="s">
        <v>14</v>
      </c>
      <c r="K4449" t="s">
        <v>351</v>
      </c>
      <c r="L4449" t="s">
        <v>143</v>
      </c>
      <c r="M4449" t="s">
        <v>726</v>
      </c>
      <c r="N4449" t="s">
        <v>85</v>
      </c>
      <c r="O4449" s="6" t="s">
        <v>112</v>
      </c>
      <c r="Q4449">
        <v>21</v>
      </c>
      <c r="R4449" t="s">
        <v>213</v>
      </c>
      <c r="S4449" s="2" t="s">
        <v>27</v>
      </c>
      <c r="T4449">
        <v>6</v>
      </c>
      <c r="U4449" t="s">
        <v>28</v>
      </c>
      <c r="V4449" t="s">
        <v>28</v>
      </c>
      <c r="W4449">
        <v>16</v>
      </c>
      <c r="X4449">
        <v>91.1</v>
      </c>
      <c r="Y4449">
        <v>34.5</v>
      </c>
      <c r="AA4449" s="6"/>
      <c r="AB4449" s="6"/>
    </row>
    <row r="4450" spans="1:28" x14ac:dyDescent="0.2">
      <c r="A4450" t="s">
        <v>554</v>
      </c>
      <c r="B4450">
        <v>2021</v>
      </c>
      <c r="C4450" t="s">
        <v>816</v>
      </c>
      <c r="D4450" t="s">
        <v>820</v>
      </c>
      <c r="E4450" t="s">
        <v>34</v>
      </c>
      <c r="F4450" t="s">
        <v>555</v>
      </c>
      <c r="G4450">
        <v>-33.450000000000003</v>
      </c>
      <c r="H4450">
        <v>-72</v>
      </c>
      <c r="I4450" t="s">
        <v>764</v>
      </c>
      <c r="J4450" s="2" t="s">
        <v>14</v>
      </c>
      <c r="K4450" t="s">
        <v>351</v>
      </c>
      <c r="L4450" t="s">
        <v>143</v>
      </c>
      <c r="M4450" t="s">
        <v>726</v>
      </c>
      <c r="N4450" t="s">
        <v>85</v>
      </c>
      <c r="O4450" s="6" t="s">
        <v>112</v>
      </c>
      <c r="Q4450">
        <v>21</v>
      </c>
      <c r="R4450" t="s">
        <v>213</v>
      </c>
      <c r="S4450" s="2" t="s">
        <v>15</v>
      </c>
      <c r="T4450">
        <v>6</v>
      </c>
      <c r="U4450" t="s">
        <v>28</v>
      </c>
      <c r="V4450" t="s">
        <v>28</v>
      </c>
      <c r="W4450">
        <v>20</v>
      </c>
      <c r="X4450">
        <v>126.2</v>
      </c>
      <c r="Y4450">
        <v>38.299999999999997</v>
      </c>
      <c r="AA4450" s="6"/>
      <c r="AB4450" s="6"/>
    </row>
    <row r="4451" spans="1:28" x14ac:dyDescent="0.2">
      <c r="A4451" t="s">
        <v>554</v>
      </c>
      <c r="B4451">
        <v>2021</v>
      </c>
      <c r="C4451" t="s">
        <v>816</v>
      </c>
      <c r="D4451" t="s">
        <v>820</v>
      </c>
      <c r="E4451" t="s">
        <v>34</v>
      </c>
      <c r="F4451" t="s">
        <v>555</v>
      </c>
      <c r="G4451">
        <v>-33.450000000000003</v>
      </c>
      <c r="H4451">
        <v>-72</v>
      </c>
      <c r="I4451" t="s">
        <v>764</v>
      </c>
      <c r="J4451" s="2" t="s">
        <v>5</v>
      </c>
      <c r="K4451" t="s">
        <v>351</v>
      </c>
      <c r="L4451" t="s">
        <v>143</v>
      </c>
      <c r="M4451" t="s">
        <v>726</v>
      </c>
      <c r="N4451" t="s">
        <v>85</v>
      </c>
      <c r="O4451" s="6" t="s">
        <v>112</v>
      </c>
      <c r="Q4451">
        <v>21</v>
      </c>
      <c r="R4451" t="s">
        <v>213</v>
      </c>
      <c r="S4451" s="2" t="s">
        <v>9</v>
      </c>
      <c r="T4451">
        <v>6</v>
      </c>
      <c r="U4451">
        <f>AVERAGE(7.49,7.46)</f>
        <v>7.4749999999999996</v>
      </c>
      <c r="V4451">
        <f>AVERAGE(1587,1732)</f>
        <v>1659.5</v>
      </c>
      <c r="W4451" t="s">
        <v>28</v>
      </c>
      <c r="X4451">
        <v>109.5</v>
      </c>
      <c r="Y4451">
        <v>20.399999999999999</v>
      </c>
      <c r="AA4451" s="6"/>
      <c r="AB4451" s="6"/>
    </row>
    <row r="4452" spans="1:28" x14ac:dyDescent="0.2">
      <c r="A4452" t="s">
        <v>554</v>
      </c>
      <c r="B4452">
        <v>2021</v>
      </c>
      <c r="C4452" t="s">
        <v>816</v>
      </c>
      <c r="D4452" t="s">
        <v>820</v>
      </c>
      <c r="E4452" t="s">
        <v>34</v>
      </c>
      <c r="F4452" t="s">
        <v>555</v>
      </c>
      <c r="G4452">
        <v>-33.450000000000003</v>
      </c>
      <c r="H4452">
        <v>-72</v>
      </c>
      <c r="I4452" t="s">
        <v>764</v>
      </c>
      <c r="J4452" s="2" t="s">
        <v>16</v>
      </c>
      <c r="K4452" t="s">
        <v>351</v>
      </c>
      <c r="L4452" t="s">
        <v>143</v>
      </c>
      <c r="M4452" t="s">
        <v>726</v>
      </c>
      <c r="N4452" t="s">
        <v>85</v>
      </c>
      <c r="O4452" s="6" t="s">
        <v>112</v>
      </c>
      <c r="Q4452">
        <v>21</v>
      </c>
      <c r="R4452" t="s">
        <v>213</v>
      </c>
      <c r="S4452" s="2" t="s">
        <v>13</v>
      </c>
      <c r="T4452">
        <v>6</v>
      </c>
      <c r="U4452">
        <f>AVERAGE(7.46,7.47)</f>
        <v>7.4649999999999999</v>
      </c>
      <c r="V4452">
        <f>AVERAGE(1727,1689)</f>
        <v>1708</v>
      </c>
      <c r="W4452">
        <v>16</v>
      </c>
      <c r="X4452">
        <v>184.3</v>
      </c>
      <c r="Y4452">
        <v>69.099999999999994</v>
      </c>
      <c r="AA4452" s="6"/>
      <c r="AB4452" s="6"/>
    </row>
    <row r="4453" spans="1:28" x14ac:dyDescent="0.2">
      <c r="A4453" t="s">
        <v>554</v>
      </c>
      <c r="B4453">
        <v>2021</v>
      </c>
      <c r="C4453" t="s">
        <v>816</v>
      </c>
      <c r="D4453" t="s">
        <v>820</v>
      </c>
      <c r="E4453" t="s">
        <v>34</v>
      </c>
      <c r="F4453" t="s">
        <v>555</v>
      </c>
      <c r="G4453">
        <v>-33.450000000000003</v>
      </c>
      <c r="H4453">
        <v>-72</v>
      </c>
      <c r="I4453" t="s">
        <v>764</v>
      </c>
      <c r="J4453" s="2" t="s">
        <v>16</v>
      </c>
      <c r="K4453" t="s">
        <v>351</v>
      </c>
      <c r="L4453" t="s">
        <v>143</v>
      </c>
      <c r="M4453" t="s">
        <v>726</v>
      </c>
      <c r="N4453" t="s">
        <v>85</v>
      </c>
      <c r="O4453" s="6" t="s">
        <v>112</v>
      </c>
      <c r="Q4453">
        <v>21</v>
      </c>
      <c r="R4453" t="s">
        <v>213</v>
      </c>
      <c r="S4453" s="2" t="s">
        <v>37</v>
      </c>
      <c r="T4453">
        <v>6</v>
      </c>
      <c r="U4453">
        <f>AVERAGE(7.54,7.55)</f>
        <v>7.5449999999999999</v>
      </c>
      <c r="V4453">
        <f>AVERAGE(1442,1414)</f>
        <v>1428</v>
      </c>
      <c r="W4453">
        <v>20</v>
      </c>
      <c r="X4453">
        <v>94.78</v>
      </c>
      <c r="Y4453">
        <v>56.7</v>
      </c>
      <c r="AA4453" s="6"/>
      <c r="AB4453" s="6"/>
    </row>
    <row r="4454" spans="1:28" x14ac:dyDescent="0.2">
      <c r="A4454" t="s">
        <v>554</v>
      </c>
      <c r="B4454">
        <v>2021</v>
      </c>
      <c r="C4454" t="s">
        <v>816</v>
      </c>
      <c r="D4454" t="s">
        <v>820</v>
      </c>
      <c r="E4454" t="s">
        <v>34</v>
      </c>
      <c r="F4454" t="s">
        <v>315</v>
      </c>
      <c r="G4454">
        <v>-33.133333</v>
      </c>
      <c r="H4454">
        <v>-71.7</v>
      </c>
      <c r="I4454" t="s">
        <v>771</v>
      </c>
      <c r="J4454" s="2" t="s">
        <v>7</v>
      </c>
      <c r="K4454" t="s">
        <v>351</v>
      </c>
      <c r="L4454" t="s">
        <v>143</v>
      </c>
      <c r="M4454" t="s">
        <v>726</v>
      </c>
      <c r="N4454" t="s">
        <v>85</v>
      </c>
      <c r="O4454" s="6" t="s">
        <v>196</v>
      </c>
      <c r="Q4454">
        <v>21</v>
      </c>
      <c r="R4454" t="s">
        <v>213</v>
      </c>
      <c r="S4454" s="2" t="s">
        <v>7</v>
      </c>
      <c r="T4454">
        <v>6</v>
      </c>
      <c r="U4454">
        <f>AVERAGE(7.72, 7.8)</f>
        <v>7.76</v>
      </c>
      <c r="V4454">
        <f>AVERAGE(926.28,726)</f>
        <v>826.14</v>
      </c>
      <c r="W4454">
        <v>12</v>
      </c>
      <c r="X4454">
        <v>347.61</v>
      </c>
      <c r="Y4454">
        <v>176.6</v>
      </c>
      <c r="AA4454" s="6"/>
      <c r="AB4454" s="6"/>
    </row>
    <row r="4455" spans="1:28" x14ac:dyDescent="0.2">
      <c r="A4455" t="s">
        <v>554</v>
      </c>
      <c r="B4455">
        <v>2021</v>
      </c>
      <c r="C4455" t="s">
        <v>816</v>
      </c>
      <c r="D4455" t="s">
        <v>820</v>
      </c>
      <c r="E4455" t="s">
        <v>34</v>
      </c>
      <c r="F4455" t="s">
        <v>315</v>
      </c>
      <c r="G4455">
        <v>-33.133333</v>
      </c>
      <c r="H4455">
        <v>-71.7</v>
      </c>
      <c r="I4455" t="s">
        <v>771</v>
      </c>
      <c r="J4455" s="2" t="s">
        <v>14</v>
      </c>
      <c r="K4455" t="s">
        <v>351</v>
      </c>
      <c r="L4455" t="s">
        <v>143</v>
      </c>
      <c r="M4455" t="s">
        <v>726</v>
      </c>
      <c r="N4455" t="s">
        <v>85</v>
      </c>
      <c r="O4455" s="6" t="s">
        <v>196</v>
      </c>
      <c r="Q4455">
        <v>21</v>
      </c>
      <c r="R4455" t="s">
        <v>213</v>
      </c>
      <c r="S4455" s="2" t="s">
        <v>27</v>
      </c>
      <c r="T4455">
        <v>6</v>
      </c>
      <c r="U4455" t="s">
        <v>28</v>
      </c>
      <c r="V4455" t="s">
        <v>28</v>
      </c>
      <c r="W4455">
        <v>16</v>
      </c>
      <c r="X4455">
        <v>267</v>
      </c>
      <c r="Y4455">
        <v>14.4</v>
      </c>
      <c r="AA4455" s="6"/>
      <c r="AB4455" s="6"/>
    </row>
    <row r="4456" spans="1:28" x14ac:dyDescent="0.2">
      <c r="A4456" t="s">
        <v>554</v>
      </c>
      <c r="B4456">
        <v>2021</v>
      </c>
      <c r="C4456" t="s">
        <v>816</v>
      </c>
      <c r="D4456" t="s">
        <v>820</v>
      </c>
      <c r="E4456" t="s">
        <v>34</v>
      </c>
      <c r="F4456" t="s">
        <v>315</v>
      </c>
      <c r="G4456">
        <v>-33.133333</v>
      </c>
      <c r="H4456">
        <v>-71.7</v>
      </c>
      <c r="I4456" t="s">
        <v>771</v>
      </c>
      <c r="J4456" s="2" t="s">
        <v>14</v>
      </c>
      <c r="K4456" t="s">
        <v>351</v>
      </c>
      <c r="L4456" t="s">
        <v>143</v>
      </c>
      <c r="M4456" t="s">
        <v>726</v>
      </c>
      <c r="N4456" t="s">
        <v>85</v>
      </c>
      <c r="O4456" s="6" t="s">
        <v>196</v>
      </c>
      <c r="Q4456">
        <v>21</v>
      </c>
      <c r="R4456" t="s">
        <v>213</v>
      </c>
      <c r="S4456" s="2" t="s">
        <v>15</v>
      </c>
      <c r="T4456">
        <v>6</v>
      </c>
      <c r="U4456" t="s">
        <v>28</v>
      </c>
      <c r="V4456" t="s">
        <v>28</v>
      </c>
      <c r="W4456">
        <v>20</v>
      </c>
      <c r="X4456">
        <v>423.2</v>
      </c>
      <c r="Y4456">
        <v>92.7</v>
      </c>
      <c r="AA4456" s="6"/>
      <c r="AB4456" s="6"/>
    </row>
    <row r="4457" spans="1:28" x14ac:dyDescent="0.2">
      <c r="A4457" t="s">
        <v>554</v>
      </c>
      <c r="B4457">
        <v>2021</v>
      </c>
      <c r="C4457" t="s">
        <v>816</v>
      </c>
      <c r="D4457" t="s">
        <v>820</v>
      </c>
      <c r="E4457" t="s">
        <v>34</v>
      </c>
      <c r="F4457" t="s">
        <v>315</v>
      </c>
      <c r="G4457">
        <v>-33.133333</v>
      </c>
      <c r="H4457">
        <v>-71.7</v>
      </c>
      <c r="I4457" t="s">
        <v>771</v>
      </c>
      <c r="J4457" s="2" t="s">
        <v>5</v>
      </c>
      <c r="K4457" t="s">
        <v>351</v>
      </c>
      <c r="L4457" t="s">
        <v>143</v>
      </c>
      <c r="M4457" t="s">
        <v>726</v>
      </c>
      <c r="N4457" t="s">
        <v>85</v>
      </c>
      <c r="O4457" s="6" t="s">
        <v>196</v>
      </c>
      <c r="Q4457">
        <v>21</v>
      </c>
      <c r="R4457" t="s">
        <v>213</v>
      </c>
      <c r="S4457" s="2" t="s">
        <v>9</v>
      </c>
      <c r="T4457">
        <v>6</v>
      </c>
      <c r="U4457">
        <f>AVERAGE(7.49,7.46)</f>
        <v>7.4749999999999996</v>
      </c>
      <c r="V4457">
        <f>AVERAGE(1587,1732)</f>
        <v>1659.5</v>
      </c>
      <c r="W4457" t="s">
        <v>28</v>
      </c>
      <c r="X4457">
        <v>241.1</v>
      </c>
      <c r="Y4457">
        <v>78.900000000000006</v>
      </c>
      <c r="AA4457" s="6"/>
      <c r="AB4457" s="6"/>
    </row>
    <row r="4458" spans="1:28" x14ac:dyDescent="0.2">
      <c r="A4458" t="s">
        <v>554</v>
      </c>
      <c r="B4458">
        <v>2021</v>
      </c>
      <c r="C4458" t="s">
        <v>816</v>
      </c>
      <c r="D4458" t="s">
        <v>820</v>
      </c>
      <c r="E4458" t="s">
        <v>34</v>
      </c>
      <c r="F4458" t="s">
        <v>315</v>
      </c>
      <c r="G4458">
        <v>-33.133333</v>
      </c>
      <c r="H4458">
        <v>-71.7</v>
      </c>
      <c r="I4458" t="s">
        <v>771</v>
      </c>
      <c r="J4458" s="2" t="s">
        <v>16</v>
      </c>
      <c r="K4458" t="s">
        <v>351</v>
      </c>
      <c r="L4458" t="s">
        <v>143</v>
      </c>
      <c r="M4458" t="s">
        <v>726</v>
      </c>
      <c r="N4458" t="s">
        <v>85</v>
      </c>
      <c r="O4458" s="6" t="s">
        <v>196</v>
      </c>
      <c r="Q4458">
        <v>21</v>
      </c>
      <c r="R4458" t="s">
        <v>213</v>
      </c>
      <c r="S4458" s="2" t="s">
        <v>13</v>
      </c>
      <c r="T4458">
        <v>6</v>
      </c>
      <c r="U4458">
        <f>AVERAGE(7.46,7.47)</f>
        <v>7.4649999999999999</v>
      </c>
      <c r="V4458">
        <f>AVERAGE(1727,1689)</f>
        <v>1708</v>
      </c>
      <c r="W4458">
        <v>16</v>
      </c>
      <c r="X4458">
        <v>406.6</v>
      </c>
      <c r="Y4458">
        <v>135.4</v>
      </c>
      <c r="AA4458" s="6"/>
      <c r="AB4458" s="6"/>
    </row>
    <row r="4459" spans="1:28" x14ac:dyDescent="0.2">
      <c r="A4459" t="s">
        <v>554</v>
      </c>
      <c r="B4459">
        <v>2021</v>
      </c>
      <c r="C4459" t="s">
        <v>816</v>
      </c>
      <c r="D4459" t="s">
        <v>820</v>
      </c>
      <c r="E4459" t="s">
        <v>34</v>
      </c>
      <c r="F4459" t="s">
        <v>315</v>
      </c>
      <c r="G4459">
        <v>-33.133333</v>
      </c>
      <c r="H4459">
        <v>-71.7</v>
      </c>
      <c r="I4459" t="s">
        <v>771</v>
      </c>
      <c r="J4459" s="2" t="s">
        <v>16</v>
      </c>
      <c r="K4459" t="s">
        <v>351</v>
      </c>
      <c r="L4459" t="s">
        <v>143</v>
      </c>
      <c r="M4459" t="s">
        <v>726</v>
      </c>
      <c r="N4459" t="s">
        <v>85</v>
      </c>
      <c r="O4459" s="6" t="s">
        <v>196</v>
      </c>
      <c r="Q4459">
        <v>21</v>
      </c>
      <c r="R4459" t="s">
        <v>213</v>
      </c>
      <c r="S4459" s="2" t="s">
        <v>37</v>
      </c>
      <c r="T4459">
        <v>6</v>
      </c>
      <c r="U4459">
        <f>AVERAGE(7.54,7.55)</f>
        <v>7.5449999999999999</v>
      </c>
      <c r="V4459">
        <f>AVERAGE(1442,1414)</f>
        <v>1428</v>
      </c>
      <c r="W4459">
        <v>20</v>
      </c>
      <c r="X4459">
        <v>302.3</v>
      </c>
      <c r="Y4459">
        <v>179</v>
      </c>
      <c r="AA4459" s="6"/>
      <c r="AB4459" s="6"/>
    </row>
    <row r="4460" spans="1:28" x14ac:dyDescent="0.2">
      <c r="A4460" t="s">
        <v>554</v>
      </c>
      <c r="B4460">
        <v>2021</v>
      </c>
      <c r="C4460" t="s">
        <v>816</v>
      </c>
      <c r="D4460" t="s">
        <v>820</v>
      </c>
      <c r="E4460" t="s">
        <v>34</v>
      </c>
      <c r="F4460" t="s">
        <v>315</v>
      </c>
      <c r="G4460">
        <v>-33.133333</v>
      </c>
      <c r="H4460">
        <v>-71.7</v>
      </c>
      <c r="I4460" t="s">
        <v>764</v>
      </c>
      <c r="J4460" s="2" t="s">
        <v>7</v>
      </c>
      <c r="K4460" t="s">
        <v>351</v>
      </c>
      <c r="L4460" t="s">
        <v>143</v>
      </c>
      <c r="M4460" t="s">
        <v>726</v>
      </c>
      <c r="N4460" t="s">
        <v>85</v>
      </c>
      <c r="O4460" s="6" t="s">
        <v>196</v>
      </c>
      <c r="Q4460">
        <v>21</v>
      </c>
      <c r="R4460" t="s">
        <v>213</v>
      </c>
      <c r="S4460" s="2" t="s">
        <v>7</v>
      </c>
      <c r="T4460">
        <v>6</v>
      </c>
      <c r="U4460">
        <f>AVERAGE(7.72, 7.8)</f>
        <v>7.76</v>
      </c>
      <c r="V4460">
        <f>AVERAGE(926.28,726)</f>
        <v>826.14</v>
      </c>
      <c r="W4460">
        <v>12</v>
      </c>
      <c r="X4460">
        <v>308.10000000000002</v>
      </c>
      <c r="Y4460">
        <v>128.1</v>
      </c>
      <c r="AA4460" s="6"/>
      <c r="AB4460" s="6"/>
    </row>
    <row r="4461" spans="1:28" x14ac:dyDescent="0.2">
      <c r="A4461" t="s">
        <v>554</v>
      </c>
      <c r="B4461">
        <v>2021</v>
      </c>
      <c r="C4461" t="s">
        <v>816</v>
      </c>
      <c r="D4461" t="s">
        <v>820</v>
      </c>
      <c r="E4461" t="s">
        <v>34</v>
      </c>
      <c r="F4461" t="s">
        <v>315</v>
      </c>
      <c r="G4461">
        <v>-33.133333</v>
      </c>
      <c r="H4461">
        <v>-71.7</v>
      </c>
      <c r="I4461" t="s">
        <v>764</v>
      </c>
      <c r="J4461" s="2" t="s">
        <v>14</v>
      </c>
      <c r="K4461" t="s">
        <v>351</v>
      </c>
      <c r="L4461" t="s">
        <v>143</v>
      </c>
      <c r="M4461" t="s">
        <v>726</v>
      </c>
      <c r="N4461" t="s">
        <v>85</v>
      </c>
      <c r="O4461" s="6" t="s">
        <v>196</v>
      </c>
      <c r="Q4461">
        <v>21</v>
      </c>
      <c r="R4461" t="s">
        <v>213</v>
      </c>
      <c r="S4461" s="2" t="s">
        <v>27</v>
      </c>
      <c r="T4461">
        <v>6</v>
      </c>
      <c r="U4461" t="s">
        <v>28</v>
      </c>
      <c r="V4461" t="s">
        <v>28</v>
      </c>
      <c r="W4461">
        <v>16</v>
      </c>
      <c r="X4461">
        <v>418.4</v>
      </c>
      <c r="Y4461">
        <v>152.30000000000001</v>
      </c>
      <c r="AA4461" s="6"/>
      <c r="AB4461" s="6"/>
    </row>
    <row r="4462" spans="1:28" x14ac:dyDescent="0.2">
      <c r="A4462" t="s">
        <v>554</v>
      </c>
      <c r="B4462">
        <v>2021</v>
      </c>
      <c r="C4462" t="s">
        <v>816</v>
      </c>
      <c r="D4462" t="s">
        <v>820</v>
      </c>
      <c r="E4462" t="s">
        <v>34</v>
      </c>
      <c r="F4462" t="s">
        <v>315</v>
      </c>
      <c r="G4462">
        <v>-33.133333</v>
      </c>
      <c r="H4462">
        <v>-71.7</v>
      </c>
      <c r="I4462" t="s">
        <v>764</v>
      </c>
      <c r="J4462" s="2" t="s">
        <v>14</v>
      </c>
      <c r="K4462" t="s">
        <v>351</v>
      </c>
      <c r="L4462" t="s">
        <v>143</v>
      </c>
      <c r="M4462" t="s">
        <v>726</v>
      </c>
      <c r="N4462" t="s">
        <v>85</v>
      </c>
      <c r="O4462" s="6" t="s">
        <v>196</v>
      </c>
      <c r="Q4462">
        <v>21</v>
      </c>
      <c r="R4462" t="s">
        <v>213</v>
      </c>
      <c r="S4462" s="2" t="s">
        <v>15</v>
      </c>
      <c r="T4462">
        <v>6</v>
      </c>
      <c r="U4462" t="s">
        <v>28</v>
      </c>
      <c r="V4462" t="s">
        <v>28</v>
      </c>
      <c r="W4462">
        <v>20</v>
      </c>
      <c r="X4462">
        <v>410.2</v>
      </c>
      <c r="Y4462">
        <v>63.1</v>
      </c>
      <c r="AA4462" s="6"/>
      <c r="AB4462" s="6"/>
    </row>
    <row r="4463" spans="1:28" x14ac:dyDescent="0.2">
      <c r="A4463" t="s">
        <v>554</v>
      </c>
      <c r="B4463">
        <v>2021</v>
      </c>
      <c r="C4463" t="s">
        <v>816</v>
      </c>
      <c r="D4463" t="s">
        <v>820</v>
      </c>
      <c r="E4463" t="s">
        <v>34</v>
      </c>
      <c r="F4463" t="s">
        <v>315</v>
      </c>
      <c r="G4463">
        <v>-33.133333</v>
      </c>
      <c r="H4463">
        <v>-71.7</v>
      </c>
      <c r="I4463" t="s">
        <v>764</v>
      </c>
      <c r="J4463" s="2" t="s">
        <v>5</v>
      </c>
      <c r="K4463" t="s">
        <v>351</v>
      </c>
      <c r="L4463" t="s">
        <v>143</v>
      </c>
      <c r="M4463" t="s">
        <v>726</v>
      </c>
      <c r="N4463" t="s">
        <v>85</v>
      </c>
      <c r="O4463" s="6" t="s">
        <v>196</v>
      </c>
      <c r="Q4463">
        <v>21</v>
      </c>
      <c r="R4463" t="s">
        <v>213</v>
      </c>
      <c r="S4463" s="2" t="s">
        <v>9</v>
      </c>
      <c r="T4463">
        <v>6</v>
      </c>
      <c r="U4463">
        <f>AVERAGE(7.49,7.46)</f>
        <v>7.4749999999999996</v>
      </c>
      <c r="V4463">
        <f>AVERAGE(1587,1732)</f>
        <v>1659.5</v>
      </c>
      <c r="W4463" t="s">
        <v>28</v>
      </c>
      <c r="X4463">
        <v>614.9</v>
      </c>
      <c r="Y4463">
        <v>483.1</v>
      </c>
      <c r="AA4463" s="6"/>
      <c r="AB4463" s="6"/>
    </row>
    <row r="4464" spans="1:28" x14ac:dyDescent="0.2">
      <c r="A4464" t="s">
        <v>554</v>
      </c>
      <c r="B4464">
        <v>2021</v>
      </c>
      <c r="C4464" t="s">
        <v>816</v>
      </c>
      <c r="D4464" t="s">
        <v>820</v>
      </c>
      <c r="E4464" t="s">
        <v>34</v>
      </c>
      <c r="F4464" t="s">
        <v>315</v>
      </c>
      <c r="G4464">
        <v>-33.133333</v>
      </c>
      <c r="H4464">
        <v>-71.7</v>
      </c>
      <c r="I4464" t="s">
        <v>764</v>
      </c>
      <c r="J4464" s="2" t="s">
        <v>16</v>
      </c>
      <c r="K4464" t="s">
        <v>351</v>
      </c>
      <c r="L4464" t="s">
        <v>143</v>
      </c>
      <c r="M4464" t="s">
        <v>726</v>
      </c>
      <c r="N4464" t="s">
        <v>85</v>
      </c>
      <c r="O4464" s="6" t="s">
        <v>196</v>
      </c>
      <c r="Q4464">
        <v>21</v>
      </c>
      <c r="R4464" t="s">
        <v>213</v>
      </c>
      <c r="S4464" s="2" t="s">
        <v>13</v>
      </c>
      <c r="T4464">
        <v>6</v>
      </c>
      <c r="U4464">
        <f>AVERAGE(7.46,7.47)</f>
        <v>7.4649999999999999</v>
      </c>
      <c r="V4464">
        <f>AVERAGE(1727,1689)</f>
        <v>1708</v>
      </c>
      <c r="W4464">
        <v>16</v>
      </c>
      <c r="X4464">
        <v>305.7</v>
      </c>
      <c r="Y4464">
        <v>90.2</v>
      </c>
      <c r="AA4464" s="6"/>
      <c r="AB4464" s="6"/>
    </row>
    <row r="4465" spans="1:28" x14ac:dyDescent="0.2">
      <c r="A4465" t="s">
        <v>554</v>
      </c>
      <c r="B4465">
        <v>2021</v>
      </c>
      <c r="C4465" t="s">
        <v>816</v>
      </c>
      <c r="D4465" t="s">
        <v>820</v>
      </c>
      <c r="E4465" t="s">
        <v>34</v>
      </c>
      <c r="F4465" t="s">
        <v>315</v>
      </c>
      <c r="G4465">
        <v>-33.133333</v>
      </c>
      <c r="H4465">
        <v>-71.7</v>
      </c>
      <c r="I4465" t="s">
        <v>764</v>
      </c>
      <c r="J4465" s="2" t="s">
        <v>16</v>
      </c>
      <c r="K4465" t="s">
        <v>351</v>
      </c>
      <c r="L4465" t="s">
        <v>143</v>
      </c>
      <c r="M4465" t="s">
        <v>726</v>
      </c>
      <c r="N4465" t="s">
        <v>85</v>
      </c>
      <c r="O4465" s="6" t="s">
        <v>196</v>
      </c>
      <c r="Q4465">
        <v>21</v>
      </c>
      <c r="R4465" t="s">
        <v>213</v>
      </c>
      <c r="S4465" s="2" t="s">
        <v>37</v>
      </c>
      <c r="T4465">
        <v>6</v>
      </c>
      <c r="U4465">
        <f>AVERAGE(7.54,7.55)</f>
        <v>7.5449999999999999</v>
      </c>
      <c r="V4465">
        <f>AVERAGE(1442,1414)</f>
        <v>1428</v>
      </c>
      <c r="W4465">
        <v>20</v>
      </c>
      <c r="X4465">
        <v>354.9</v>
      </c>
      <c r="Y4465">
        <v>118.9</v>
      </c>
      <c r="AA4465" s="6"/>
      <c r="AB4465" s="6"/>
    </row>
    <row r="4466" spans="1:28" x14ac:dyDescent="0.2">
      <c r="A4466" t="s">
        <v>554</v>
      </c>
      <c r="B4466">
        <v>2021</v>
      </c>
      <c r="C4466" t="s">
        <v>816</v>
      </c>
      <c r="D4466" t="s">
        <v>820</v>
      </c>
      <c r="E4466" t="s">
        <v>34</v>
      </c>
      <c r="F4466" t="s">
        <v>555</v>
      </c>
      <c r="G4466">
        <v>-33.450000000000003</v>
      </c>
      <c r="H4466">
        <v>-72</v>
      </c>
      <c r="I4466" t="s">
        <v>771</v>
      </c>
      <c r="J4466" s="2" t="s">
        <v>7</v>
      </c>
      <c r="K4466" t="s">
        <v>351</v>
      </c>
      <c r="L4466" t="s">
        <v>143</v>
      </c>
      <c r="M4466" t="s">
        <v>726</v>
      </c>
      <c r="N4466" t="s">
        <v>85</v>
      </c>
      <c r="O4466" s="6" t="s">
        <v>196</v>
      </c>
      <c r="Q4466">
        <v>21</v>
      </c>
      <c r="R4466" t="s">
        <v>213</v>
      </c>
      <c r="S4466" s="2" t="s">
        <v>7</v>
      </c>
      <c r="T4466">
        <v>6</v>
      </c>
      <c r="U4466">
        <f>AVERAGE(7.72, 7.8)</f>
        <v>7.76</v>
      </c>
      <c r="V4466">
        <f>AVERAGE(926.28,726)</f>
        <v>826.14</v>
      </c>
      <c r="W4466">
        <v>12</v>
      </c>
      <c r="X4466">
        <v>543.20000000000005</v>
      </c>
      <c r="Y4466">
        <v>120.6</v>
      </c>
      <c r="AA4466" s="6"/>
      <c r="AB4466" s="6"/>
    </row>
    <row r="4467" spans="1:28" x14ac:dyDescent="0.2">
      <c r="A4467" t="s">
        <v>554</v>
      </c>
      <c r="B4467">
        <v>2021</v>
      </c>
      <c r="C4467" t="s">
        <v>816</v>
      </c>
      <c r="D4467" t="s">
        <v>820</v>
      </c>
      <c r="E4467" t="s">
        <v>34</v>
      </c>
      <c r="F4467" t="s">
        <v>555</v>
      </c>
      <c r="G4467">
        <v>-33.450000000000003</v>
      </c>
      <c r="H4467">
        <v>-72</v>
      </c>
      <c r="I4467" t="s">
        <v>771</v>
      </c>
      <c r="J4467" s="2" t="s">
        <v>14</v>
      </c>
      <c r="K4467" t="s">
        <v>351</v>
      </c>
      <c r="L4467" t="s">
        <v>143</v>
      </c>
      <c r="M4467" t="s">
        <v>726</v>
      </c>
      <c r="N4467" t="s">
        <v>85</v>
      </c>
      <c r="O4467" s="6" t="s">
        <v>196</v>
      </c>
      <c r="Q4467">
        <v>21</v>
      </c>
      <c r="R4467" t="s">
        <v>213</v>
      </c>
      <c r="S4467" s="2" t="s">
        <v>27</v>
      </c>
      <c r="T4467">
        <v>6</v>
      </c>
      <c r="U4467" t="s">
        <v>28</v>
      </c>
      <c r="V4467" t="s">
        <v>28</v>
      </c>
      <c r="W4467">
        <v>16</v>
      </c>
      <c r="X4467">
        <v>613.70000000000005</v>
      </c>
      <c r="Y4467">
        <v>29.87</v>
      </c>
      <c r="AA4467" s="6"/>
      <c r="AB4467" s="6"/>
    </row>
    <row r="4468" spans="1:28" x14ac:dyDescent="0.2">
      <c r="A4468" t="s">
        <v>554</v>
      </c>
      <c r="B4468">
        <v>2021</v>
      </c>
      <c r="C4468" t="s">
        <v>816</v>
      </c>
      <c r="D4468" t="s">
        <v>820</v>
      </c>
      <c r="E4468" t="s">
        <v>34</v>
      </c>
      <c r="F4468" t="s">
        <v>555</v>
      </c>
      <c r="G4468">
        <v>-33.450000000000003</v>
      </c>
      <c r="H4468">
        <v>-72</v>
      </c>
      <c r="I4468" t="s">
        <v>771</v>
      </c>
      <c r="J4468" s="2" t="s">
        <v>14</v>
      </c>
      <c r="K4468" t="s">
        <v>351</v>
      </c>
      <c r="L4468" t="s">
        <v>143</v>
      </c>
      <c r="M4468" t="s">
        <v>726</v>
      </c>
      <c r="N4468" t="s">
        <v>85</v>
      </c>
      <c r="O4468" s="6" t="s">
        <v>196</v>
      </c>
      <c r="Q4468">
        <v>21</v>
      </c>
      <c r="R4468" t="s">
        <v>213</v>
      </c>
      <c r="S4468" s="2" t="s">
        <v>15</v>
      </c>
      <c r="T4468">
        <v>6</v>
      </c>
      <c r="U4468" t="s">
        <v>28</v>
      </c>
      <c r="V4468" t="s">
        <v>28</v>
      </c>
      <c r="W4468">
        <v>20</v>
      </c>
      <c r="X4468">
        <v>360.7</v>
      </c>
      <c r="Y4468">
        <v>139.19999999999999</v>
      </c>
      <c r="AA4468" s="6"/>
      <c r="AB4468" s="6"/>
    </row>
    <row r="4469" spans="1:28" x14ac:dyDescent="0.2">
      <c r="A4469" t="s">
        <v>554</v>
      </c>
      <c r="B4469">
        <v>2021</v>
      </c>
      <c r="C4469" t="s">
        <v>816</v>
      </c>
      <c r="D4469" t="s">
        <v>820</v>
      </c>
      <c r="E4469" t="s">
        <v>34</v>
      </c>
      <c r="F4469" t="s">
        <v>555</v>
      </c>
      <c r="G4469">
        <v>-33.450000000000003</v>
      </c>
      <c r="H4469">
        <v>-72</v>
      </c>
      <c r="I4469" t="s">
        <v>771</v>
      </c>
      <c r="J4469" s="2" t="s">
        <v>5</v>
      </c>
      <c r="K4469" t="s">
        <v>351</v>
      </c>
      <c r="L4469" t="s">
        <v>143</v>
      </c>
      <c r="M4469" t="s">
        <v>726</v>
      </c>
      <c r="N4469" t="s">
        <v>85</v>
      </c>
      <c r="O4469" s="6" t="s">
        <v>196</v>
      </c>
      <c r="Q4469">
        <v>21</v>
      </c>
      <c r="R4469" t="s">
        <v>213</v>
      </c>
      <c r="S4469" s="2" t="s">
        <v>9</v>
      </c>
      <c r="T4469">
        <v>6</v>
      </c>
      <c r="U4469">
        <f>AVERAGE(7.49,7.46)</f>
        <v>7.4749999999999996</v>
      </c>
      <c r="V4469">
        <f>AVERAGE(1587,1732)</f>
        <v>1659.5</v>
      </c>
      <c r="W4469" t="s">
        <v>28</v>
      </c>
      <c r="X4469">
        <v>518.9</v>
      </c>
      <c r="Y4469">
        <v>132.19999999999999</v>
      </c>
      <c r="AA4469" s="6"/>
      <c r="AB4469" s="6"/>
    </row>
    <row r="4470" spans="1:28" x14ac:dyDescent="0.2">
      <c r="A4470" t="s">
        <v>554</v>
      </c>
      <c r="B4470">
        <v>2021</v>
      </c>
      <c r="C4470" t="s">
        <v>816</v>
      </c>
      <c r="D4470" t="s">
        <v>820</v>
      </c>
      <c r="E4470" t="s">
        <v>34</v>
      </c>
      <c r="F4470" t="s">
        <v>555</v>
      </c>
      <c r="G4470">
        <v>-33.450000000000003</v>
      </c>
      <c r="H4470">
        <v>-72</v>
      </c>
      <c r="I4470" t="s">
        <v>771</v>
      </c>
      <c r="J4470" s="2" t="s">
        <v>16</v>
      </c>
      <c r="K4470" t="s">
        <v>351</v>
      </c>
      <c r="L4470" t="s">
        <v>143</v>
      </c>
      <c r="M4470" t="s">
        <v>726</v>
      </c>
      <c r="N4470" t="s">
        <v>85</v>
      </c>
      <c r="O4470" s="6" t="s">
        <v>196</v>
      </c>
      <c r="Q4470">
        <v>21</v>
      </c>
      <c r="R4470" t="s">
        <v>213</v>
      </c>
      <c r="S4470" s="2" t="s">
        <v>13</v>
      </c>
      <c r="T4470">
        <v>6</v>
      </c>
      <c r="U4470">
        <f>AVERAGE(7.46,7.47)</f>
        <v>7.4649999999999999</v>
      </c>
      <c r="V4470">
        <f>AVERAGE(1727,1689)</f>
        <v>1708</v>
      </c>
      <c r="W4470">
        <v>16</v>
      </c>
      <c r="X4470">
        <v>417.9</v>
      </c>
      <c r="Y4470">
        <v>19.8</v>
      </c>
      <c r="AA4470" s="6"/>
      <c r="AB4470" s="6"/>
    </row>
    <row r="4471" spans="1:28" x14ac:dyDescent="0.2">
      <c r="A4471" t="s">
        <v>554</v>
      </c>
      <c r="B4471">
        <v>2021</v>
      </c>
      <c r="C4471" t="s">
        <v>816</v>
      </c>
      <c r="D4471" t="s">
        <v>820</v>
      </c>
      <c r="E4471" t="s">
        <v>34</v>
      </c>
      <c r="F4471" t="s">
        <v>555</v>
      </c>
      <c r="G4471">
        <v>-33.450000000000003</v>
      </c>
      <c r="H4471">
        <v>-72</v>
      </c>
      <c r="I4471" t="s">
        <v>771</v>
      </c>
      <c r="J4471" s="2" t="s">
        <v>16</v>
      </c>
      <c r="K4471" t="s">
        <v>351</v>
      </c>
      <c r="L4471" t="s">
        <v>143</v>
      </c>
      <c r="M4471" t="s">
        <v>726</v>
      </c>
      <c r="N4471" t="s">
        <v>85</v>
      </c>
      <c r="O4471" s="6" t="s">
        <v>196</v>
      </c>
      <c r="Q4471">
        <v>21</v>
      </c>
      <c r="R4471" t="s">
        <v>213</v>
      </c>
      <c r="S4471" s="2" t="s">
        <v>37</v>
      </c>
      <c r="T4471">
        <v>6</v>
      </c>
      <c r="U4471">
        <f>AVERAGE(7.54,7.55)</f>
        <v>7.5449999999999999</v>
      </c>
      <c r="V4471">
        <f>AVERAGE(1442,1414)</f>
        <v>1428</v>
      </c>
      <c r="W4471">
        <v>20</v>
      </c>
      <c r="X4471">
        <v>330.1</v>
      </c>
      <c r="Y4471">
        <v>253</v>
      </c>
      <c r="AA4471" s="6"/>
      <c r="AB4471" s="6"/>
    </row>
    <row r="4472" spans="1:28" x14ac:dyDescent="0.2">
      <c r="A4472" t="s">
        <v>554</v>
      </c>
      <c r="B4472">
        <v>2021</v>
      </c>
      <c r="C4472" t="s">
        <v>816</v>
      </c>
      <c r="D4472" t="s">
        <v>820</v>
      </c>
      <c r="E4472" t="s">
        <v>34</v>
      </c>
      <c r="F4472" t="s">
        <v>555</v>
      </c>
      <c r="G4472">
        <v>-33.450000000000003</v>
      </c>
      <c r="H4472">
        <v>-72</v>
      </c>
      <c r="I4472" t="s">
        <v>764</v>
      </c>
      <c r="J4472" s="2" t="s">
        <v>7</v>
      </c>
      <c r="K4472" t="s">
        <v>351</v>
      </c>
      <c r="L4472" t="s">
        <v>143</v>
      </c>
      <c r="M4472" t="s">
        <v>726</v>
      </c>
      <c r="N4472" t="s">
        <v>85</v>
      </c>
      <c r="O4472" s="6" t="s">
        <v>196</v>
      </c>
      <c r="Q4472">
        <v>21</v>
      </c>
      <c r="R4472" t="s">
        <v>213</v>
      </c>
      <c r="S4472" s="2" t="s">
        <v>7</v>
      </c>
      <c r="T4472">
        <v>6</v>
      </c>
      <c r="U4472">
        <f>AVERAGE(7.72, 7.8)</f>
        <v>7.76</v>
      </c>
      <c r="V4472">
        <f>AVERAGE(926.28,726)</f>
        <v>826.14</v>
      </c>
      <c r="W4472">
        <v>12</v>
      </c>
      <c r="X4472">
        <v>360.9</v>
      </c>
      <c r="Y4472">
        <v>177.2</v>
      </c>
      <c r="AA4472" s="6"/>
      <c r="AB4472" s="6"/>
    </row>
    <row r="4473" spans="1:28" x14ac:dyDescent="0.2">
      <c r="A4473" t="s">
        <v>554</v>
      </c>
      <c r="B4473">
        <v>2021</v>
      </c>
      <c r="C4473" t="s">
        <v>816</v>
      </c>
      <c r="D4473" t="s">
        <v>820</v>
      </c>
      <c r="E4473" t="s">
        <v>34</v>
      </c>
      <c r="F4473" t="s">
        <v>555</v>
      </c>
      <c r="G4473">
        <v>-33.450000000000003</v>
      </c>
      <c r="H4473">
        <v>-72</v>
      </c>
      <c r="I4473" t="s">
        <v>764</v>
      </c>
      <c r="J4473" s="2" t="s">
        <v>14</v>
      </c>
      <c r="K4473" t="s">
        <v>351</v>
      </c>
      <c r="L4473" t="s">
        <v>143</v>
      </c>
      <c r="M4473" t="s">
        <v>726</v>
      </c>
      <c r="N4473" t="s">
        <v>85</v>
      </c>
      <c r="O4473" s="6" t="s">
        <v>196</v>
      </c>
      <c r="Q4473">
        <v>21</v>
      </c>
      <c r="R4473" t="s">
        <v>213</v>
      </c>
      <c r="S4473" s="2" t="s">
        <v>27</v>
      </c>
      <c r="T4473">
        <v>6</v>
      </c>
      <c r="U4473" t="s">
        <v>28</v>
      </c>
      <c r="V4473" t="s">
        <v>28</v>
      </c>
      <c r="W4473">
        <v>16</v>
      </c>
      <c r="X4473">
        <v>208.3</v>
      </c>
      <c r="Y4473">
        <v>65.5</v>
      </c>
      <c r="AA4473" s="6"/>
      <c r="AB4473" s="6"/>
    </row>
    <row r="4474" spans="1:28" x14ac:dyDescent="0.2">
      <c r="A4474" t="s">
        <v>554</v>
      </c>
      <c r="B4474">
        <v>2021</v>
      </c>
      <c r="C4474" t="s">
        <v>816</v>
      </c>
      <c r="D4474" t="s">
        <v>820</v>
      </c>
      <c r="E4474" t="s">
        <v>34</v>
      </c>
      <c r="F4474" t="s">
        <v>555</v>
      </c>
      <c r="G4474">
        <v>-33.450000000000003</v>
      </c>
      <c r="H4474">
        <v>-72</v>
      </c>
      <c r="I4474" t="s">
        <v>764</v>
      </c>
      <c r="J4474" s="2" t="s">
        <v>14</v>
      </c>
      <c r="K4474" t="s">
        <v>351</v>
      </c>
      <c r="L4474" t="s">
        <v>143</v>
      </c>
      <c r="M4474" t="s">
        <v>726</v>
      </c>
      <c r="N4474" t="s">
        <v>85</v>
      </c>
      <c r="O4474" s="6" t="s">
        <v>196</v>
      </c>
      <c r="Q4474">
        <v>21</v>
      </c>
      <c r="R4474" t="s">
        <v>213</v>
      </c>
      <c r="S4474" s="2" t="s">
        <v>15</v>
      </c>
      <c r="T4474">
        <v>6</v>
      </c>
      <c r="U4474" t="s">
        <v>28</v>
      </c>
      <c r="V4474" t="s">
        <v>28</v>
      </c>
      <c r="W4474">
        <v>20</v>
      </c>
      <c r="X4474">
        <v>276.3</v>
      </c>
      <c r="Y4474">
        <v>70</v>
      </c>
      <c r="AA4474" s="6"/>
      <c r="AB4474" s="6"/>
    </row>
    <row r="4475" spans="1:28" x14ac:dyDescent="0.2">
      <c r="A4475" t="s">
        <v>554</v>
      </c>
      <c r="B4475">
        <v>2021</v>
      </c>
      <c r="C4475" t="s">
        <v>816</v>
      </c>
      <c r="D4475" t="s">
        <v>820</v>
      </c>
      <c r="E4475" t="s">
        <v>34</v>
      </c>
      <c r="F4475" t="s">
        <v>555</v>
      </c>
      <c r="G4475">
        <v>-33.450000000000003</v>
      </c>
      <c r="H4475">
        <v>-72</v>
      </c>
      <c r="I4475" t="s">
        <v>764</v>
      </c>
      <c r="J4475" s="2" t="s">
        <v>5</v>
      </c>
      <c r="K4475" t="s">
        <v>351</v>
      </c>
      <c r="L4475" t="s">
        <v>143</v>
      </c>
      <c r="M4475" t="s">
        <v>726</v>
      </c>
      <c r="N4475" t="s">
        <v>85</v>
      </c>
      <c r="O4475" s="6" t="s">
        <v>196</v>
      </c>
      <c r="Q4475">
        <v>21</v>
      </c>
      <c r="R4475" t="s">
        <v>213</v>
      </c>
      <c r="S4475" s="2" t="s">
        <v>9</v>
      </c>
      <c r="T4475">
        <v>6</v>
      </c>
      <c r="U4475">
        <f>AVERAGE(7.49,7.46)</f>
        <v>7.4749999999999996</v>
      </c>
      <c r="V4475">
        <f>AVERAGE(1587,1732)</f>
        <v>1659.5</v>
      </c>
      <c r="W4475" t="s">
        <v>28</v>
      </c>
      <c r="X4475">
        <v>286.2</v>
      </c>
      <c r="Y4475">
        <v>85.1</v>
      </c>
      <c r="AA4475" s="6"/>
      <c r="AB4475" s="6"/>
    </row>
    <row r="4476" spans="1:28" x14ac:dyDescent="0.2">
      <c r="A4476" t="s">
        <v>554</v>
      </c>
      <c r="B4476">
        <v>2021</v>
      </c>
      <c r="C4476" t="s">
        <v>816</v>
      </c>
      <c r="D4476" t="s">
        <v>820</v>
      </c>
      <c r="E4476" t="s">
        <v>34</v>
      </c>
      <c r="F4476" t="s">
        <v>555</v>
      </c>
      <c r="G4476">
        <v>-33.450000000000003</v>
      </c>
      <c r="H4476">
        <v>-72</v>
      </c>
      <c r="I4476" t="s">
        <v>764</v>
      </c>
      <c r="J4476" s="2" t="s">
        <v>16</v>
      </c>
      <c r="K4476" t="s">
        <v>351</v>
      </c>
      <c r="L4476" t="s">
        <v>143</v>
      </c>
      <c r="M4476" t="s">
        <v>726</v>
      </c>
      <c r="N4476" t="s">
        <v>85</v>
      </c>
      <c r="O4476" s="6" t="s">
        <v>196</v>
      </c>
      <c r="Q4476">
        <v>21</v>
      </c>
      <c r="R4476" t="s">
        <v>213</v>
      </c>
      <c r="S4476" s="2" t="s">
        <v>13</v>
      </c>
      <c r="T4476">
        <v>6</v>
      </c>
      <c r="U4476">
        <f>AVERAGE(7.46,7.47)</f>
        <v>7.4649999999999999</v>
      </c>
      <c r="V4476">
        <f>AVERAGE(1727,1689)</f>
        <v>1708</v>
      </c>
      <c r="W4476">
        <v>16</v>
      </c>
      <c r="X4476">
        <v>607.70000000000005</v>
      </c>
      <c r="Y4476">
        <v>337.7</v>
      </c>
      <c r="AA4476" s="6"/>
      <c r="AB4476" s="6"/>
    </row>
    <row r="4477" spans="1:28" x14ac:dyDescent="0.2">
      <c r="A4477" t="s">
        <v>554</v>
      </c>
      <c r="B4477">
        <v>2021</v>
      </c>
      <c r="C4477" t="s">
        <v>816</v>
      </c>
      <c r="D4477" t="s">
        <v>820</v>
      </c>
      <c r="E4477" t="s">
        <v>34</v>
      </c>
      <c r="F4477" t="s">
        <v>555</v>
      </c>
      <c r="G4477">
        <v>-33.450000000000003</v>
      </c>
      <c r="H4477">
        <v>-72</v>
      </c>
      <c r="I4477" t="s">
        <v>764</v>
      </c>
      <c r="J4477" s="2" t="s">
        <v>16</v>
      </c>
      <c r="K4477" t="s">
        <v>351</v>
      </c>
      <c r="L4477" t="s">
        <v>143</v>
      </c>
      <c r="M4477" t="s">
        <v>726</v>
      </c>
      <c r="N4477" t="s">
        <v>85</v>
      </c>
      <c r="O4477" s="6" t="s">
        <v>196</v>
      </c>
      <c r="Q4477">
        <v>21</v>
      </c>
      <c r="R4477" t="s">
        <v>213</v>
      </c>
      <c r="S4477" s="2" t="s">
        <v>37</v>
      </c>
      <c r="T4477">
        <v>6</v>
      </c>
      <c r="U4477">
        <f>AVERAGE(7.54,7.55)</f>
        <v>7.5449999999999999</v>
      </c>
      <c r="V4477">
        <f>AVERAGE(1442,1414)</f>
        <v>1428</v>
      </c>
      <c r="W4477">
        <v>20</v>
      </c>
      <c r="X4477">
        <v>270.7</v>
      </c>
      <c r="Y4477">
        <v>73</v>
      </c>
      <c r="AA4477" s="6"/>
      <c r="AB4477" s="6"/>
    </row>
    <row r="4478" spans="1:28" x14ac:dyDescent="0.2">
      <c r="A4478" t="s">
        <v>554</v>
      </c>
      <c r="B4478">
        <v>2021</v>
      </c>
      <c r="C4478" t="s">
        <v>816</v>
      </c>
      <c r="D4478" t="s">
        <v>820</v>
      </c>
      <c r="E4478" t="s">
        <v>34</v>
      </c>
      <c r="F4478" t="s">
        <v>315</v>
      </c>
      <c r="G4478">
        <v>-33.133333</v>
      </c>
      <c r="H4478">
        <v>-71.7</v>
      </c>
      <c r="I4478" t="s">
        <v>771</v>
      </c>
      <c r="J4478" s="2" t="s">
        <v>7</v>
      </c>
      <c r="K4478" t="s">
        <v>351</v>
      </c>
      <c r="L4478" t="s">
        <v>143</v>
      </c>
      <c r="M4478" t="s">
        <v>726</v>
      </c>
      <c r="N4478" t="s">
        <v>85</v>
      </c>
      <c r="O4478" s="6" t="s">
        <v>84</v>
      </c>
      <c r="Q4478">
        <v>21</v>
      </c>
      <c r="R4478" t="s">
        <v>213</v>
      </c>
      <c r="S4478" s="2" t="s">
        <v>7</v>
      </c>
      <c r="T4478">
        <v>6</v>
      </c>
      <c r="U4478">
        <f>AVERAGE(7.72, 7.8)</f>
        <v>7.76</v>
      </c>
      <c r="V4478">
        <f>AVERAGE(926.28,726)</f>
        <v>826.14</v>
      </c>
      <c r="W4478">
        <v>12</v>
      </c>
      <c r="X4478">
        <v>0.62</v>
      </c>
      <c r="Y4478">
        <v>0.03</v>
      </c>
      <c r="AA4478" s="6"/>
      <c r="AB4478" s="6"/>
    </row>
    <row r="4479" spans="1:28" x14ac:dyDescent="0.2">
      <c r="A4479" t="s">
        <v>554</v>
      </c>
      <c r="B4479">
        <v>2021</v>
      </c>
      <c r="C4479" t="s">
        <v>816</v>
      </c>
      <c r="D4479" t="s">
        <v>820</v>
      </c>
      <c r="E4479" t="s">
        <v>34</v>
      </c>
      <c r="F4479" t="s">
        <v>315</v>
      </c>
      <c r="G4479">
        <v>-33.133333</v>
      </c>
      <c r="H4479">
        <v>-71.7</v>
      </c>
      <c r="I4479" t="s">
        <v>771</v>
      </c>
      <c r="J4479" s="2" t="s">
        <v>14</v>
      </c>
      <c r="K4479" t="s">
        <v>351</v>
      </c>
      <c r="L4479" t="s">
        <v>143</v>
      </c>
      <c r="M4479" t="s">
        <v>726</v>
      </c>
      <c r="N4479" t="s">
        <v>85</v>
      </c>
      <c r="O4479" s="6" t="s">
        <v>84</v>
      </c>
      <c r="Q4479">
        <v>21</v>
      </c>
      <c r="R4479" t="s">
        <v>213</v>
      </c>
      <c r="S4479" s="2" t="s">
        <v>27</v>
      </c>
      <c r="T4479">
        <v>6</v>
      </c>
      <c r="U4479" t="s">
        <v>28</v>
      </c>
      <c r="V4479" t="s">
        <v>28</v>
      </c>
      <c r="W4479">
        <v>16</v>
      </c>
      <c r="X4479">
        <v>0.64</v>
      </c>
      <c r="Y4479">
        <v>0.02</v>
      </c>
      <c r="AA4479" s="6"/>
      <c r="AB4479" s="6"/>
    </row>
    <row r="4480" spans="1:28" x14ac:dyDescent="0.2">
      <c r="A4480" t="s">
        <v>554</v>
      </c>
      <c r="B4480">
        <v>2021</v>
      </c>
      <c r="C4480" t="s">
        <v>816</v>
      </c>
      <c r="D4480" t="s">
        <v>820</v>
      </c>
      <c r="E4480" t="s">
        <v>34</v>
      </c>
      <c r="F4480" t="s">
        <v>315</v>
      </c>
      <c r="G4480">
        <v>-33.133333</v>
      </c>
      <c r="H4480">
        <v>-71.7</v>
      </c>
      <c r="I4480" t="s">
        <v>771</v>
      </c>
      <c r="J4480" s="2" t="s">
        <v>14</v>
      </c>
      <c r="K4480" t="s">
        <v>351</v>
      </c>
      <c r="L4480" t="s">
        <v>143</v>
      </c>
      <c r="M4480" t="s">
        <v>726</v>
      </c>
      <c r="N4480" t="s">
        <v>85</v>
      </c>
      <c r="O4480" s="6" t="s">
        <v>84</v>
      </c>
      <c r="Q4480">
        <v>21</v>
      </c>
      <c r="R4480" t="s">
        <v>213</v>
      </c>
      <c r="S4480" s="2" t="s">
        <v>15</v>
      </c>
      <c r="T4480">
        <v>6</v>
      </c>
      <c r="U4480" t="s">
        <v>28</v>
      </c>
      <c r="V4480" t="s">
        <v>28</v>
      </c>
      <c r="W4480">
        <v>20</v>
      </c>
      <c r="X4480">
        <v>0.55000000000000004</v>
      </c>
      <c r="Y4480">
        <v>0.05</v>
      </c>
      <c r="AA4480" s="6"/>
      <c r="AB4480" s="6"/>
    </row>
    <row r="4481" spans="1:28" x14ac:dyDescent="0.2">
      <c r="A4481" t="s">
        <v>554</v>
      </c>
      <c r="B4481">
        <v>2021</v>
      </c>
      <c r="C4481" t="s">
        <v>816</v>
      </c>
      <c r="D4481" t="s">
        <v>820</v>
      </c>
      <c r="E4481" t="s">
        <v>34</v>
      </c>
      <c r="F4481" t="s">
        <v>315</v>
      </c>
      <c r="G4481">
        <v>-33.133333</v>
      </c>
      <c r="H4481">
        <v>-71.7</v>
      </c>
      <c r="I4481" t="s">
        <v>771</v>
      </c>
      <c r="J4481" s="2" t="s">
        <v>5</v>
      </c>
      <c r="K4481" t="s">
        <v>351</v>
      </c>
      <c r="L4481" t="s">
        <v>143</v>
      </c>
      <c r="M4481" t="s">
        <v>726</v>
      </c>
      <c r="N4481" t="s">
        <v>85</v>
      </c>
      <c r="O4481" s="6" t="s">
        <v>84</v>
      </c>
      <c r="Q4481">
        <v>21</v>
      </c>
      <c r="R4481" t="s">
        <v>213</v>
      </c>
      <c r="S4481" s="2" t="s">
        <v>9</v>
      </c>
      <c r="T4481">
        <v>6</v>
      </c>
      <c r="U4481">
        <f>AVERAGE(7.49,7.46)</f>
        <v>7.4749999999999996</v>
      </c>
      <c r="V4481">
        <f>AVERAGE(1587,1732)</f>
        <v>1659.5</v>
      </c>
      <c r="W4481" t="s">
        <v>28</v>
      </c>
      <c r="X4481">
        <v>0.63</v>
      </c>
      <c r="Y4481">
        <v>0.03</v>
      </c>
      <c r="AA4481" s="6"/>
      <c r="AB4481" s="6"/>
    </row>
    <row r="4482" spans="1:28" x14ac:dyDescent="0.2">
      <c r="A4482" t="s">
        <v>554</v>
      </c>
      <c r="B4482">
        <v>2021</v>
      </c>
      <c r="C4482" t="s">
        <v>816</v>
      </c>
      <c r="D4482" t="s">
        <v>820</v>
      </c>
      <c r="E4482" t="s">
        <v>34</v>
      </c>
      <c r="F4482" t="s">
        <v>315</v>
      </c>
      <c r="G4482">
        <v>-33.133333</v>
      </c>
      <c r="H4482">
        <v>-71.7</v>
      </c>
      <c r="I4482" t="s">
        <v>771</v>
      </c>
      <c r="J4482" s="2" t="s">
        <v>16</v>
      </c>
      <c r="K4482" t="s">
        <v>351</v>
      </c>
      <c r="L4482" t="s">
        <v>143</v>
      </c>
      <c r="M4482" t="s">
        <v>726</v>
      </c>
      <c r="N4482" t="s">
        <v>85</v>
      </c>
      <c r="O4482" s="6" t="s">
        <v>84</v>
      </c>
      <c r="Q4482">
        <v>21</v>
      </c>
      <c r="R4482" t="s">
        <v>213</v>
      </c>
      <c r="S4482" s="2" t="s">
        <v>13</v>
      </c>
      <c r="T4482">
        <v>6</v>
      </c>
      <c r="U4482">
        <f>AVERAGE(7.46,7.47)</f>
        <v>7.4649999999999999</v>
      </c>
      <c r="V4482">
        <f>AVERAGE(1727,1689)</f>
        <v>1708</v>
      </c>
      <c r="W4482">
        <v>16</v>
      </c>
      <c r="X4482">
        <v>0.63</v>
      </c>
      <c r="Y4482">
        <v>0.02</v>
      </c>
      <c r="AA4482" s="6"/>
      <c r="AB4482" s="6"/>
    </row>
    <row r="4483" spans="1:28" x14ac:dyDescent="0.2">
      <c r="A4483" t="s">
        <v>554</v>
      </c>
      <c r="B4483">
        <v>2021</v>
      </c>
      <c r="C4483" t="s">
        <v>816</v>
      </c>
      <c r="D4483" t="s">
        <v>820</v>
      </c>
      <c r="E4483" t="s">
        <v>34</v>
      </c>
      <c r="F4483" t="s">
        <v>315</v>
      </c>
      <c r="G4483">
        <v>-33.133333</v>
      </c>
      <c r="H4483">
        <v>-71.7</v>
      </c>
      <c r="I4483" t="s">
        <v>771</v>
      </c>
      <c r="J4483" s="2" t="s">
        <v>16</v>
      </c>
      <c r="K4483" t="s">
        <v>351</v>
      </c>
      <c r="L4483" t="s">
        <v>143</v>
      </c>
      <c r="M4483" t="s">
        <v>726</v>
      </c>
      <c r="N4483" t="s">
        <v>85</v>
      </c>
      <c r="O4483" s="6" t="s">
        <v>84</v>
      </c>
      <c r="Q4483">
        <v>21</v>
      </c>
      <c r="R4483" t="s">
        <v>213</v>
      </c>
      <c r="S4483" s="2" t="s">
        <v>37</v>
      </c>
      <c r="T4483">
        <v>6</v>
      </c>
      <c r="U4483">
        <f>AVERAGE(7.54,7.55)</f>
        <v>7.5449999999999999</v>
      </c>
      <c r="V4483">
        <f>AVERAGE(1442,1414)</f>
        <v>1428</v>
      </c>
      <c r="W4483">
        <v>20</v>
      </c>
      <c r="X4483">
        <v>0.62</v>
      </c>
      <c r="Y4483">
        <v>0.02</v>
      </c>
      <c r="AA4483" s="6"/>
      <c r="AB4483" s="6"/>
    </row>
    <row r="4484" spans="1:28" x14ac:dyDescent="0.2">
      <c r="A4484" t="s">
        <v>554</v>
      </c>
      <c r="B4484">
        <v>2021</v>
      </c>
      <c r="C4484" t="s">
        <v>816</v>
      </c>
      <c r="D4484" t="s">
        <v>820</v>
      </c>
      <c r="E4484" t="s">
        <v>34</v>
      </c>
      <c r="F4484" t="s">
        <v>315</v>
      </c>
      <c r="G4484">
        <v>-33.133333</v>
      </c>
      <c r="H4484">
        <v>-71.7</v>
      </c>
      <c r="I4484" t="s">
        <v>764</v>
      </c>
      <c r="J4484" s="2" t="s">
        <v>7</v>
      </c>
      <c r="K4484" t="s">
        <v>351</v>
      </c>
      <c r="L4484" t="s">
        <v>143</v>
      </c>
      <c r="M4484" t="s">
        <v>726</v>
      </c>
      <c r="N4484" t="s">
        <v>85</v>
      </c>
      <c r="O4484" s="6" t="s">
        <v>84</v>
      </c>
      <c r="Q4484">
        <v>21</v>
      </c>
      <c r="R4484" t="s">
        <v>213</v>
      </c>
      <c r="S4484" s="2" t="s">
        <v>7</v>
      </c>
      <c r="T4484">
        <v>6</v>
      </c>
      <c r="U4484">
        <f>AVERAGE(7.72, 7.8)</f>
        <v>7.76</v>
      </c>
      <c r="V4484">
        <f>AVERAGE(926.28,726)</f>
        <v>826.14</v>
      </c>
      <c r="W4484">
        <v>12</v>
      </c>
      <c r="X4484">
        <v>0.56999999999999995</v>
      </c>
      <c r="Y4484">
        <v>0.09</v>
      </c>
      <c r="AA4484" s="6"/>
      <c r="AB4484" s="6"/>
    </row>
    <row r="4485" spans="1:28" x14ac:dyDescent="0.2">
      <c r="A4485" t="s">
        <v>554</v>
      </c>
      <c r="B4485">
        <v>2021</v>
      </c>
      <c r="C4485" t="s">
        <v>816</v>
      </c>
      <c r="D4485" t="s">
        <v>820</v>
      </c>
      <c r="E4485" t="s">
        <v>34</v>
      </c>
      <c r="F4485" t="s">
        <v>315</v>
      </c>
      <c r="G4485">
        <v>-33.133333</v>
      </c>
      <c r="H4485">
        <v>-71.7</v>
      </c>
      <c r="I4485" t="s">
        <v>764</v>
      </c>
      <c r="J4485" s="2" t="s">
        <v>14</v>
      </c>
      <c r="K4485" t="s">
        <v>351</v>
      </c>
      <c r="L4485" t="s">
        <v>143</v>
      </c>
      <c r="M4485" t="s">
        <v>726</v>
      </c>
      <c r="N4485" t="s">
        <v>85</v>
      </c>
      <c r="O4485" s="6" t="s">
        <v>84</v>
      </c>
      <c r="Q4485">
        <v>21</v>
      </c>
      <c r="R4485" t="s">
        <v>213</v>
      </c>
      <c r="S4485" s="2" t="s">
        <v>27</v>
      </c>
      <c r="T4485">
        <v>6</v>
      </c>
      <c r="U4485" t="s">
        <v>28</v>
      </c>
      <c r="V4485" t="s">
        <v>28</v>
      </c>
      <c r="W4485">
        <v>16</v>
      </c>
      <c r="X4485">
        <v>0.61</v>
      </c>
      <c r="Y4485">
        <v>0.02</v>
      </c>
      <c r="AA4485" s="6"/>
      <c r="AB4485" s="6"/>
    </row>
    <row r="4486" spans="1:28" x14ac:dyDescent="0.2">
      <c r="A4486" t="s">
        <v>554</v>
      </c>
      <c r="B4486">
        <v>2021</v>
      </c>
      <c r="C4486" t="s">
        <v>816</v>
      </c>
      <c r="D4486" t="s">
        <v>820</v>
      </c>
      <c r="E4486" t="s">
        <v>34</v>
      </c>
      <c r="F4486" t="s">
        <v>315</v>
      </c>
      <c r="G4486">
        <v>-33.133333</v>
      </c>
      <c r="H4486">
        <v>-71.7</v>
      </c>
      <c r="I4486" t="s">
        <v>764</v>
      </c>
      <c r="J4486" s="2" t="s">
        <v>14</v>
      </c>
      <c r="K4486" t="s">
        <v>351</v>
      </c>
      <c r="L4486" t="s">
        <v>143</v>
      </c>
      <c r="M4486" t="s">
        <v>726</v>
      </c>
      <c r="N4486" t="s">
        <v>85</v>
      </c>
      <c r="O4486" s="6" t="s">
        <v>84</v>
      </c>
      <c r="Q4486">
        <v>21</v>
      </c>
      <c r="R4486" t="s">
        <v>213</v>
      </c>
      <c r="S4486" s="2" t="s">
        <v>15</v>
      </c>
      <c r="T4486">
        <v>6</v>
      </c>
      <c r="U4486" t="s">
        <v>28</v>
      </c>
      <c r="V4486" t="s">
        <v>28</v>
      </c>
      <c r="W4486">
        <v>20</v>
      </c>
      <c r="X4486">
        <v>0.55000000000000004</v>
      </c>
      <c r="Y4486">
        <v>0.1</v>
      </c>
      <c r="AA4486" s="6"/>
      <c r="AB4486" s="6"/>
    </row>
    <row r="4487" spans="1:28" x14ac:dyDescent="0.2">
      <c r="A4487" t="s">
        <v>554</v>
      </c>
      <c r="B4487">
        <v>2021</v>
      </c>
      <c r="C4487" t="s">
        <v>816</v>
      </c>
      <c r="D4487" t="s">
        <v>820</v>
      </c>
      <c r="E4487" t="s">
        <v>34</v>
      </c>
      <c r="F4487" t="s">
        <v>315</v>
      </c>
      <c r="G4487">
        <v>-33.133333</v>
      </c>
      <c r="H4487">
        <v>-71.7</v>
      </c>
      <c r="I4487" t="s">
        <v>764</v>
      </c>
      <c r="J4487" s="2" t="s">
        <v>5</v>
      </c>
      <c r="K4487" t="s">
        <v>351</v>
      </c>
      <c r="L4487" t="s">
        <v>143</v>
      </c>
      <c r="M4487" t="s">
        <v>726</v>
      </c>
      <c r="N4487" t="s">
        <v>85</v>
      </c>
      <c r="O4487" s="6" t="s">
        <v>84</v>
      </c>
      <c r="Q4487">
        <v>21</v>
      </c>
      <c r="R4487" t="s">
        <v>213</v>
      </c>
      <c r="S4487" s="2" t="s">
        <v>9</v>
      </c>
      <c r="T4487">
        <v>6</v>
      </c>
      <c r="U4487">
        <f>AVERAGE(7.49,7.46)</f>
        <v>7.4749999999999996</v>
      </c>
      <c r="V4487">
        <f>AVERAGE(1587,1732)</f>
        <v>1659.5</v>
      </c>
      <c r="W4487" t="s">
        <v>28</v>
      </c>
      <c r="X4487">
        <v>0.55000000000000004</v>
      </c>
      <c r="Y4487">
        <v>0.11</v>
      </c>
      <c r="AA4487" s="6"/>
      <c r="AB4487" s="6"/>
    </row>
    <row r="4488" spans="1:28" x14ac:dyDescent="0.2">
      <c r="A4488" t="s">
        <v>554</v>
      </c>
      <c r="B4488">
        <v>2021</v>
      </c>
      <c r="C4488" t="s">
        <v>816</v>
      </c>
      <c r="D4488" t="s">
        <v>820</v>
      </c>
      <c r="E4488" t="s">
        <v>34</v>
      </c>
      <c r="F4488" t="s">
        <v>315</v>
      </c>
      <c r="G4488">
        <v>-33.133333</v>
      </c>
      <c r="H4488">
        <v>-71.7</v>
      </c>
      <c r="I4488" t="s">
        <v>764</v>
      </c>
      <c r="J4488" s="2" t="s">
        <v>16</v>
      </c>
      <c r="K4488" t="s">
        <v>351</v>
      </c>
      <c r="L4488" t="s">
        <v>143</v>
      </c>
      <c r="M4488" t="s">
        <v>726</v>
      </c>
      <c r="N4488" t="s">
        <v>85</v>
      </c>
      <c r="O4488" s="6" t="s">
        <v>84</v>
      </c>
      <c r="Q4488">
        <v>21</v>
      </c>
      <c r="R4488" t="s">
        <v>213</v>
      </c>
      <c r="S4488" s="2" t="s">
        <v>13</v>
      </c>
      <c r="T4488">
        <v>6</v>
      </c>
      <c r="U4488">
        <f>AVERAGE(7.46,7.47)</f>
        <v>7.4649999999999999</v>
      </c>
      <c r="V4488">
        <f>AVERAGE(1727,1689)</f>
        <v>1708</v>
      </c>
      <c r="W4488">
        <v>16</v>
      </c>
      <c r="X4488">
        <v>0.64</v>
      </c>
      <c r="Y4488">
        <v>0.01</v>
      </c>
      <c r="AA4488" s="6"/>
      <c r="AB4488" s="6"/>
    </row>
    <row r="4489" spans="1:28" x14ac:dyDescent="0.2">
      <c r="A4489" t="s">
        <v>554</v>
      </c>
      <c r="B4489">
        <v>2021</v>
      </c>
      <c r="C4489" t="s">
        <v>816</v>
      </c>
      <c r="D4489" t="s">
        <v>820</v>
      </c>
      <c r="E4489" t="s">
        <v>34</v>
      </c>
      <c r="F4489" t="s">
        <v>315</v>
      </c>
      <c r="G4489">
        <v>-33.133333</v>
      </c>
      <c r="H4489">
        <v>-71.7</v>
      </c>
      <c r="I4489" t="s">
        <v>764</v>
      </c>
      <c r="J4489" s="2" t="s">
        <v>16</v>
      </c>
      <c r="K4489" t="s">
        <v>351</v>
      </c>
      <c r="L4489" t="s">
        <v>143</v>
      </c>
      <c r="M4489" t="s">
        <v>726</v>
      </c>
      <c r="N4489" t="s">
        <v>85</v>
      </c>
      <c r="O4489" s="6" t="s">
        <v>84</v>
      </c>
      <c r="Q4489">
        <v>21</v>
      </c>
      <c r="R4489" t="s">
        <v>213</v>
      </c>
      <c r="S4489" s="2" t="s">
        <v>37</v>
      </c>
      <c r="T4489">
        <v>6</v>
      </c>
      <c r="U4489">
        <f>AVERAGE(7.54,7.55)</f>
        <v>7.5449999999999999</v>
      </c>
      <c r="V4489">
        <f>AVERAGE(1442,1414)</f>
        <v>1428</v>
      </c>
      <c r="W4489">
        <v>20</v>
      </c>
      <c r="X4489">
        <v>0.56999999999999995</v>
      </c>
      <c r="Y4489">
        <v>0.04</v>
      </c>
      <c r="AA4489" s="6"/>
      <c r="AB4489" s="6"/>
    </row>
    <row r="4490" spans="1:28" x14ac:dyDescent="0.2">
      <c r="A4490" t="s">
        <v>554</v>
      </c>
      <c r="B4490">
        <v>2021</v>
      </c>
      <c r="C4490" t="s">
        <v>816</v>
      </c>
      <c r="D4490" t="s">
        <v>820</v>
      </c>
      <c r="E4490" t="s">
        <v>34</v>
      </c>
      <c r="F4490" t="s">
        <v>555</v>
      </c>
      <c r="G4490">
        <v>-33.450000000000003</v>
      </c>
      <c r="H4490">
        <v>-72</v>
      </c>
      <c r="I4490" t="s">
        <v>771</v>
      </c>
      <c r="J4490" s="2" t="s">
        <v>7</v>
      </c>
      <c r="K4490" t="s">
        <v>351</v>
      </c>
      <c r="L4490" t="s">
        <v>143</v>
      </c>
      <c r="M4490" t="s">
        <v>726</v>
      </c>
      <c r="N4490" t="s">
        <v>85</v>
      </c>
      <c r="O4490" s="6" t="s">
        <v>84</v>
      </c>
      <c r="Q4490">
        <v>21</v>
      </c>
      <c r="R4490" t="s">
        <v>213</v>
      </c>
      <c r="S4490" s="2" t="s">
        <v>7</v>
      </c>
      <c r="T4490">
        <v>6</v>
      </c>
      <c r="U4490">
        <f>AVERAGE(7.72, 7.8)</f>
        <v>7.76</v>
      </c>
      <c r="V4490">
        <f>AVERAGE(926.28,726)</f>
        <v>826.14</v>
      </c>
      <c r="W4490">
        <v>12</v>
      </c>
      <c r="X4490">
        <v>0.57999999999999996</v>
      </c>
      <c r="Y4490">
        <v>7.0000000000000007E-2</v>
      </c>
      <c r="AA4490" s="6"/>
      <c r="AB4490" s="6"/>
    </row>
    <row r="4491" spans="1:28" x14ac:dyDescent="0.2">
      <c r="A4491" t="s">
        <v>554</v>
      </c>
      <c r="B4491">
        <v>2021</v>
      </c>
      <c r="C4491" t="s">
        <v>816</v>
      </c>
      <c r="D4491" t="s">
        <v>820</v>
      </c>
      <c r="E4491" t="s">
        <v>34</v>
      </c>
      <c r="F4491" t="s">
        <v>555</v>
      </c>
      <c r="G4491">
        <v>-33.450000000000003</v>
      </c>
      <c r="H4491">
        <v>-72</v>
      </c>
      <c r="I4491" t="s">
        <v>771</v>
      </c>
      <c r="J4491" s="2" t="s">
        <v>14</v>
      </c>
      <c r="K4491" t="s">
        <v>351</v>
      </c>
      <c r="L4491" t="s">
        <v>143</v>
      </c>
      <c r="M4491" t="s">
        <v>726</v>
      </c>
      <c r="N4491" t="s">
        <v>85</v>
      </c>
      <c r="O4491" s="6" t="s">
        <v>84</v>
      </c>
      <c r="Q4491">
        <v>21</v>
      </c>
      <c r="R4491" t="s">
        <v>213</v>
      </c>
      <c r="S4491" s="2" t="s">
        <v>27</v>
      </c>
      <c r="T4491">
        <v>6</v>
      </c>
      <c r="U4491" t="s">
        <v>28</v>
      </c>
      <c r="V4491" t="s">
        <v>28</v>
      </c>
      <c r="W4491">
        <v>16</v>
      </c>
      <c r="X4491">
        <v>0.6</v>
      </c>
      <c r="Y4491">
        <v>7.0000000000000007E-2</v>
      </c>
      <c r="AA4491" s="6"/>
      <c r="AB4491" s="6"/>
    </row>
    <row r="4492" spans="1:28" x14ac:dyDescent="0.2">
      <c r="A4492" t="s">
        <v>554</v>
      </c>
      <c r="B4492">
        <v>2021</v>
      </c>
      <c r="C4492" t="s">
        <v>816</v>
      </c>
      <c r="D4492" t="s">
        <v>820</v>
      </c>
      <c r="E4492" t="s">
        <v>34</v>
      </c>
      <c r="F4492" t="s">
        <v>555</v>
      </c>
      <c r="G4492">
        <v>-33.450000000000003</v>
      </c>
      <c r="H4492">
        <v>-72</v>
      </c>
      <c r="I4492" t="s">
        <v>771</v>
      </c>
      <c r="J4492" s="2" t="s">
        <v>14</v>
      </c>
      <c r="K4492" t="s">
        <v>351</v>
      </c>
      <c r="L4492" t="s">
        <v>143</v>
      </c>
      <c r="M4492" t="s">
        <v>726</v>
      </c>
      <c r="N4492" t="s">
        <v>85</v>
      </c>
      <c r="O4492" s="6" t="s">
        <v>84</v>
      </c>
      <c r="Q4492">
        <v>21</v>
      </c>
      <c r="R4492" t="s">
        <v>213</v>
      </c>
      <c r="S4492" s="2" t="s">
        <v>15</v>
      </c>
      <c r="T4492">
        <v>6</v>
      </c>
      <c r="U4492" t="s">
        <v>28</v>
      </c>
      <c r="V4492" t="s">
        <v>28</v>
      </c>
      <c r="W4492">
        <v>20</v>
      </c>
      <c r="X4492">
        <v>0.55000000000000004</v>
      </c>
      <c r="Y4492">
        <v>0.03</v>
      </c>
      <c r="AA4492" s="6"/>
      <c r="AB4492" s="6"/>
    </row>
    <row r="4493" spans="1:28" x14ac:dyDescent="0.2">
      <c r="A4493" t="s">
        <v>554</v>
      </c>
      <c r="B4493">
        <v>2021</v>
      </c>
      <c r="C4493" t="s">
        <v>816</v>
      </c>
      <c r="D4493" t="s">
        <v>820</v>
      </c>
      <c r="E4493" t="s">
        <v>34</v>
      </c>
      <c r="F4493" t="s">
        <v>555</v>
      </c>
      <c r="G4493">
        <v>-33.450000000000003</v>
      </c>
      <c r="H4493">
        <v>-72</v>
      </c>
      <c r="I4493" t="s">
        <v>771</v>
      </c>
      <c r="J4493" s="2" t="s">
        <v>5</v>
      </c>
      <c r="K4493" t="s">
        <v>351</v>
      </c>
      <c r="L4493" t="s">
        <v>143</v>
      </c>
      <c r="M4493" t="s">
        <v>726</v>
      </c>
      <c r="N4493" t="s">
        <v>85</v>
      </c>
      <c r="O4493" s="6" t="s">
        <v>84</v>
      </c>
      <c r="Q4493">
        <v>21</v>
      </c>
      <c r="R4493" t="s">
        <v>213</v>
      </c>
      <c r="S4493" s="2" t="s">
        <v>9</v>
      </c>
      <c r="T4493">
        <v>6</v>
      </c>
      <c r="U4493">
        <f>AVERAGE(7.49,7.46)</f>
        <v>7.4749999999999996</v>
      </c>
      <c r="V4493">
        <f>AVERAGE(1587,1732)</f>
        <v>1659.5</v>
      </c>
      <c r="W4493" t="s">
        <v>28</v>
      </c>
      <c r="X4493">
        <v>0.59</v>
      </c>
      <c r="Y4493">
        <v>0.04</v>
      </c>
      <c r="AA4493" s="6"/>
      <c r="AB4493" s="6"/>
    </row>
    <row r="4494" spans="1:28" x14ac:dyDescent="0.2">
      <c r="A4494" t="s">
        <v>554</v>
      </c>
      <c r="B4494">
        <v>2021</v>
      </c>
      <c r="C4494" t="s">
        <v>816</v>
      </c>
      <c r="D4494" t="s">
        <v>820</v>
      </c>
      <c r="E4494" t="s">
        <v>34</v>
      </c>
      <c r="F4494" t="s">
        <v>555</v>
      </c>
      <c r="G4494">
        <v>-33.450000000000003</v>
      </c>
      <c r="H4494">
        <v>-72</v>
      </c>
      <c r="I4494" t="s">
        <v>771</v>
      </c>
      <c r="J4494" s="2" t="s">
        <v>16</v>
      </c>
      <c r="K4494" t="s">
        <v>351</v>
      </c>
      <c r="L4494" t="s">
        <v>143</v>
      </c>
      <c r="M4494" t="s">
        <v>726</v>
      </c>
      <c r="N4494" t="s">
        <v>85</v>
      </c>
      <c r="O4494" s="6" t="s">
        <v>84</v>
      </c>
      <c r="Q4494">
        <v>21</v>
      </c>
      <c r="R4494" t="s">
        <v>213</v>
      </c>
      <c r="S4494" s="2" t="s">
        <v>13</v>
      </c>
      <c r="T4494">
        <v>6</v>
      </c>
      <c r="U4494">
        <f>AVERAGE(7.46,7.47)</f>
        <v>7.4649999999999999</v>
      </c>
      <c r="V4494">
        <f>AVERAGE(1727,1689)</f>
        <v>1708</v>
      </c>
      <c r="W4494">
        <v>16</v>
      </c>
      <c r="X4494">
        <v>0.6</v>
      </c>
      <c r="Y4494">
        <v>8.9999999999999993E-3</v>
      </c>
      <c r="AA4494" s="6"/>
      <c r="AB4494" s="6"/>
    </row>
    <row r="4495" spans="1:28" x14ac:dyDescent="0.2">
      <c r="A4495" t="s">
        <v>554</v>
      </c>
      <c r="B4495">
        <v>2021</v>
      </c>
      <c r="C4495" t="s">
        <v>816</v>
      </c>
      <c r="D4495" t="s">
        <v>820</v>
      </c>
      <c r="E4495" t="s">
        <v>34</v>
      </c>
      <c r="F4495" t="s">
        <v>555</v>
      </c>
      <c r="G4495">
        <v>-33.450000000000003</v>
      </c>
      <c r="H4495">
        <v>-72</v>
      </c>
      <c r="I4495" t="s">
        <v>771</v>
      </c>
      <c r="J4495" s="2" t="s">
        <v>16</v>
      </c>
      <c r="K4495" t="s">
        <v>351</v>
      </c>
      <c r="L4495" t="s">
        <v>143</v>
      </c>
      <c r="M4495" t="s">
        <v>726</v>
      </c>
      <c r="N4495" t="s">
        <v>85</v>
      </c>
      <c r="O4495" s="6" t="s">
        <v>84</v>
      </c>
      <c r="Q4495">
        <v>21</v>
      </c>
      <c r="R4495" t="s">
        <v>213</v>
      </c>
      <c r="S4495" s="2" t="s">
        <v>37</v>
      </c>
      <c r="T4495">
        <v>6</v>
      </c>
      <c r="U4495">
        <f>AVERAGE(7.54,7.55)</f>
        <v>7.5449999999999999</v>
      </c>
      <c r="V4495">
        <f>AVERAGE(1442,1414)</f>
        <v>1428</v>
      </c>
      <c r="W4495">
        <v>20</v>
      </c>
      <c r="X4495">
        <v>0.6</v>
      </c>
      <c r="Y4495">
        <v>0.04</v>
      </c>
      <c r="AA4495" s="6"/>
      <c r="AB4495" s="6"/>
    </row>
    <row r="4496" spans="1:28" x14ac:dyDescent="0.2">
      <c r="A4496" t="s">
        <v>554</v>
      </c>
      <c r="B4496">
        <v>2021</v>
      </c>
      <c r="C4496" t="s">
        <v>816</v>
      </c>
      <c r="D4496" t="s">
        <v>820</v>
      </c>
      <c r="E4496" t="s">
        <v>34</v>
      </c>
      <c r="F4496" t="s">
        <v>555</v>
      </c>
      <c r="G4496">
        <v>-33.450000000000003</v>
      </c>
      <c r="H4496">
        <v>-72</v>
      </c>
      <c r="I4496" t="s">
        <v>764</v>
      </c>
      <c r="J4496" s="2" t="s">
        <v>7</v>
      </c>
      <c r="K4496" t="s">
        <v>351</v>
      </c>
      <c r="L4496" t="s">
        <v>143</v>
      </c>
      <c r="M4496" t="s">
        <v>726</v>
      </c>
      <c r="N4496" t="s">
        <v>85</v>
      </c>
      <c r="O4496" s="6" t="s">
        <v>84</v>
      </c>
      <c r="Q4496">
        <v>21</v>
      </c>
      <c r="R4496" t="s">
        <v>213</v>
      </c>
      <c r="S4496" s="2" t="s">
        <v>7</v>
      </c>
      <c r="T4496">
        <v>6</v>
      </c>
      <c r="U4496">
        <f>AVERAGE(7.72, 7.8)</f>
        <v>7.76</v>
      </c>
      <c r="V4496">
        <f>AVERAGE(926.28,726)</f>
        <v>826.14</v>
      </c>
      <c r="W4496">
        <v>12</v>
      </c>
      <c r="X4496">
        <v>0.55000000000000004</v>
      </c>
      <c r="Y4496">
        <v>0.02</v>
      </c>
      <c r="AA4496" s="6"/>
      <c r="AB4496" s="6"/>
    </row>
    <row r="4497" spans="1:28" x14ac:dyDescent="0.2">
      <c r="A4497" t="s">
        <v>554</v>
      </c>
      <c r="B4497">
        <v>2021</v>
      </c>
      <c r="C4497" t="s">
        <v>816</v>
      </c>
      <c r="D4497" t="s">
        <v>820</v>
      </c>
      <c r="E4497" t="s">
        <v>34</v>
      </c>
      <c r="F4497" t="s">
        <v>555</v>
      </c>
      <c r="G4497">
        <v>-33.450000000000003</v>
      </c>
      <c r="H4497">
        <v>-72</v>
      </c>
      <c r="I4497" t="s">
        <v>764</v>
      </c>
      <c r="J4497" s="2" t="s">
        <v>14</v>
      </c>
      <c r="K4497" t="s">
        <v>351</v>
      </c>
      <c r="L4497" t="s">
        <v>143</v>
      </c>
      <c r="M4497" t="s">
        <v>726</v>
      </c>
      <c r="N4497" t="s">
        <v>85</v>
      </c>
      <c r="O4497" s="6" t="s">
        <v>84</v>
      </c>
      <c r="Q4497">
        <v>21</v>
      </c>
      <c r="R4497" t="s">
        <v>213</v>
      </c>
      <c r="S4497" s="2" t="s">
        <v>27</v>
      </c>
      <c r="T4497">
        <v>6</v>
      </c>
      <c r="U4497" t="s">
        <v>28</v>
      </c>
      <c r="V4497" t="s">
        <v>28</v>
      </c>
      <c r="W4497">
        <v>16</v>
      </c>
      <c r="X4497">
        <v>0.57999999999999996</v>
      </c>
      <c r="Y4497">
        <v>0.05</v>
      </c>
      <c r="AA4497" s="6"/>
      <c r="AB4497" s="6"/>
    </row>
    <row r="4498" spans="1:28" x14ac:dyDescent="0.2">
      <c r="A4498" t="s">
        <v>554</v>
      </c>
      <c r="B4498">
        <v>2021</v>
      </c>
      <c r="C4498" t="s">
        <v>816</v>
      </c>
      <c r="D4498" t="s">
        <v>820</v>
      </c>
      <c r="E4498" t="s">
        <v>34</v>
      </c>
      <c r="F4498" t="s">
        <v>555</v>
      </c>
      <c r="G4498">
        <v>-33.450000000000003</v>
      </c>
      <c r="H4498">
        <v>-72</v>
      </c>
      <c r="I4498" t="s">
        <v>764</v>
      </c>
      <c r="J4498" s="2" t="s">
        <v>14</v>
      </c>
      <c r="K4498" t="s">
        <v>351</v>
      </c>
      <c r="L4498" t="s">
        <v>143</v>
      </c>
      <c r="M4498" t="s">
        <v>726</v>
      </c>
      <c r="N4498" t="s">
        <v>85</v>
      </c>
      <c r="O4498" s="6" t="s">
        <v>84</v>
      </c>
      <c r="Q4498">
        <v>21</v>
      </c>
      <c r="R4498" t="s">
        <v>213</v>
      </c>
      <c r="S4498" s="2" t="s">
        <v>15</v>
      </c>
      <c r="T4498">
        <v>6</v>
      </c>
      <c r="U4498" t="s">
        <v>28</v>
      </c>
      <c r="V4498" t="s">
        <v>28</v>
      </c>
      <c r="W4498">
        <v>20</v>
      </c>
      <c r="X4498">
        <v>0.61</v>
      </c>
      <c r="Y4498">
        <v>0.01</v>
      </c>
      <c r="AA4498" s="6"/>
      <c r="AB4498" s="6"/>
    </row>
    <row r="4499" spans="1:28" x14ac:dyDescent="0.2">
      <c r="A4499" t="s">
        <v>554</v>
      </c>
      <c r="B4499">
        <v>2021</v>
      </c>
      <c r="C4499" t="s">
        <v>816</v>
      </c>
      <c r="D4499" t="s">
        <v>820</v>
      </c>
      <c r="E4499" t="s">
        <v>34</v>
      </c>
      <c r="F4499" t="s">
        <v>555</v>
      </c>
      <c r="G4499">
        <v>-33.450000000000003</v>
      </c>
      <c r="H4499">
        <v>-72</v>
      </c>
      <c r="I4499" t="s">
        <v>764</v>
      </c>
      <c r="J4499" s="2" t="s">
        <v>5</v>
      </c>
      <c r="K4499" t="s">
        <v>351</v>
      </c>
      <c r="L4499" t="s">
        <v>143</v>
      </c>
      <c r="M4499" t="s">
        <v>726</v>
      </c>
      <c r="N4499" t="s">
        <v>85</v>
      </c>
      <c r="O4499" s="6" t="s">
        <v>84</v>
      </c>
      <c r="Q4499">
        <v>21</v>
      </c>
      <c r="R4499" t="s">
        <v>213</v>
      </c>
      <c r="S4499" s="2" t="s">
        <v>9</v>
      </c>
      <c r="T4499">
        <v>6</v>
      </c>
      <c r="U4499">
        <f>AVERAGE(7.49,7.46)</f>
        <v>7.4749999999999996</v>
      </c>
      <c r="V4499">
        <f>AVERAGE(1587,1732)</f>
        <v>1659.5</v>
      </c>
      <c r="W4499" t="s">
        <v>28</v>
      </c>
      <c r="X4499">
        <v>0.54</v>
      </c>
      <c r="Y4499">
        <v>0.01</v>
      </c>
      <c r="AA4499" s="6"/>
      <c r="AB4499" s="6"/>
    </row>
    <row r="4500" spans="1:28" x14ac:dyDescent="0.2">
      <c r="A4500" t="s">
        <v>554</v>
      </c>
      <c r="B4500">
        <v>2021</v>
      </c>
      <c r="C4500" t="s">
        <v>816</v>
      </c>
      <c r="D4500" t="s">
        <v>820</v>
      </c>
      <c r="E4500" t="s">
        <v>34</v>
      </c>
      <c r="F4500" t="s">
        <v>555</v>
      </c>
      <c r="G4500">
        <v>-33.450000000000003</v>
      </c>
      <c r="H4500">
        <v>-72</v>
      </c>
      <c r="I4500" t="s">
        <v>764</v>
      </c>
      <c r="J4500" s="2" t="s">
        <v>16</v>
      </c>
      <c r="K4500" t="s">
        <v>351</v>
      </c>
      <c r="L4500" t="s">
        <v>143</v>
      </c>
      <c r="M4500" t="s">
        <v>726</v>
      </c>
      <c r="N4500" t="s">
        <v>85</v>
      </c>
      <c r="O4500" s="6" t="s">
        <v>84</v>
      </c>
      <c r="Q4500">
        <v>21</v>
      </c>
      <c r="R4500" t="s">
        <v>213</v>
      </c>
      <c r="S4500" s="2" t="s">
        <v>13</v>
      </c>
      <c r="T4500">
        <v>6</v>
      </c>
      <c r="U4500">
        <f>AVERAGE(7.46,7.47)</f>
        <v>7.4649999999999999</v>
      </c>
      <c r="V4500">
        <f>AVERAGE(1727,1689)</f>
        <v>1708</v>
      </c>
      <c r="W4500">
        <v>16</v>
      </c>
      <c r="X4500">
        <v>0.56999999999999995</v>
      </c>
      <c r="Y4500">
        <v>0.05</v>
      </c>
      <c r="AA4500" s="6"/>
      <c r="AB4500" s="6"/>
    </row>
    <row r="4501" spans="1:28" x14ac:dyDescent="0.2">
      <c r="A4501" t="s">
        <v>554</v>
      </c>
      <c r="B4501">
        <v>2021</v>
      </c>
      <c r="C4501" t="s">
        <v>816</v>
      </c>
      <c r="D4501" t="s">
        <v>820</v>
      </c>
      <c r="E4501" t="s">
        <v>34</v>
      </c>
      <c r="F4501" t="s">
        <v>555</v>
      </c>
      <c r="G4501">
        <v>-33.450000000000003</v>
      </c>
      <c r="H4501">
        <v>-72</v>
      </c>
      <c r="I4501" t="s">
        <v>764</v>
      </c>
      <c r="J4501" s="2" t="s">
        <v>16</v>
      </c>
      <c r="K4501" t="s">
        <v>351</v>
      </c>
      <c r="L4501" t="s">
        <v>143</v>
      </c>
      <c r="M4501" t="s">
        <v>726</v>
      </c>
      <c r="N4501" t="s">
        <v>85</v>
      </c>
      <c r="O4501" s="6" t="s">
        <v>84</v>
      </c>
      <c r="Q4501">
        <v>21</v>
      </c>
      <c r="R4501" t="s">
        <v>213</v>
      </c>
      <c r="S4501" s="2" t="s">
        <v>37</v>
      </c>
      <c r="T4501">
        <v>6</v>
      </c>
      <c r="U4501">
        <f>AVERAGE(7.54,7.55)</f>
        <v>7.5449999999999999</v>
      </c>
      <c r="V4501">
        <f>AVERAGE(1442,1414)</f>
        <v>1428</v>
      </c>
      <c r="W4501">
        <v>20</v>
      </c>
      <c r="X4501">
        <v>0.54</v>
      </c>
      <c r="Y4501">
        <v>0.1</v>
      </c>
      <c r="AA4501" s="6"/>
      <c r="AB4501" s="6"/>
    </row>
    <row r="4502" spans="1:28" x14ac:dyDescent="0.2">
      <c r="A4502" t="s">
        <v>554</v>
      </c>
      <c r="B4502">
        <v>2021</v>
      </c>
      <c r="C4502" t="s">
        <v>816</v>
      </c>
      <c r="D4502" t="s">
        <v>820</v>
      </c>
      <c r="E4502" t="s">
        <v>34</v>
      </c>
      <c r="F4502" t="s">
        <v>315</v>
      </c>
      <c r="G4502">
        <v>-33.133333</v>
      </c>
      <c r="H4502">
        <v>-71.7</v>
      </c>
      <c r="I4502" t="s">
        <v>771</v>
      </c>
      <c r="J4502" s="2" t="s">
        <v>7</v>
      </c>
      <c r="K4502" t="s">
        <v>351</v>
      </c>
      <c r="L4502" t="s">
        <v>143</v>
      </c>
      <c r="M4502" t="s">
        <v>553</v>
      </c>
      <c r="N4502" t="s">
        <v>85</v>
      </c>
      <c r="O4502" s="6" t="s">
        <v>61</v>
      </c>
      <c r="Q4502">
        <v>21</v>
      </c>
      <c r="R4502" t="s">
        <v>213</v>
      </c>
      <c r="S4502" s="2" t="s">
        <v>7</v>
      </c>
      <c r="T4502">
        <v>6</v>
      </c>
      <c r="U4502">
        <f>AVERAGE(7.72, 7.8)</f>
        <v>7.76</v>
      </c>
      <c r="V4502">
        <f>AVERAGE(926.28,726)</f>
        <v>826.14</v>
      </c>
      <c r="W4502">
        <v>12</v>
      </c>
      <c r="X4502">
        <v>0.20200000000000001</v>
      </c>
      <c r="Y4502">
        <v>1.4E-2</v>
      </c>
      <c r="AA4502" s="6"/>
      <c r="AB4502" s="6"/>
    </row>
    <row r="4503" spans="1:28" x14ac:dyDescent="0.2">
      <c r="A4503" t="s">
        <v>554</v>
      </c>
      <c r="B4503">
        <v>2021</v>
      </c>
      <c r="C4503" t="s">
        <v>816</v>
      </c>
      <c r="D4503" t="s">
        <v>820</v>
      </c>
      <c r="E4503" t="s">
        <v>34</v>
      </c>
      <c r="F4503" t="s">
        <v>315</v>
      </c>
      <c r="G4503">
        <v>-33.133333</v>
      </c>
      <c r="H4503">
        <v>-71.7</v>
      </c>
      <c r="I4503" t="s">
        <v>771</v>
      </c>
      <c r="J4503" s="2" t="s">
        <v>14</v>
      </c>
      <c r="K4503" t="s">
        <v>351</v>
      </c>
      <c r="L4503" t="s">
        <v>143</v>
      </c>
      <c r="M4503" t="s">
        <v>553</v>
      </c>
      <c r="N4503" t="s">
        <v>85</v>
      </c>
      <c r="O4503" s="6" t="s">
        <v>61</v>
      </c>
      <c r="Q4503">
        <v>21</v>
      </c>
      <c r="R4503" t="s">
        <v>213</v>
      </c>
      <c r="S4503" s="2" t="s">
        <v>27</v>
      </c>
      <c r="T4503">
        <v>6</v>
      </c>
      <c r="U4503" t="s">
        <v>28</v>
      </c>
      <c r="V4503" t="s">
        <v>28</v>
      </c>
      <c r="W4503">
        <v>16</v>
      </c>
      <c r="X4503">
        <v>0.19400000000000001</v>
      </c>
      <c r="Y4503">
        <v>0.05</v>
      </c>
      <c r="AA4503" s="6"/>
      <c r="AB4503" s="6"/>
    </row>
    <row r="4504" spans="1:28" x14ac:dyDescent="0.2">
      <c r="A4504" t="s">
        <v>554</v>
      </c>
      <c r="B4504">
        <v>2021</v>
      </c>
      <c r="C4504" t="s">
        <v>816</v>
      </c>
      <c r="D4504" t="s">
        <v>820</v>
      </c>
      <c r="E4504" t="s">
        <v>34</v>
      </c>
      <c r="F4504" t="s">
        <v>315</v>
      </c>
      <c r="G4504">
        <v>-33.133333</v>
      </c>
      <c r="H4504">
        <v>-71.7</v>
      </c>
      <c r="I4504" t="s">
        <v>771</v>
      </c>
      <c r="J4504" s="2" t="s">
        <v>14</v>
      </c>
      <c r="K4504" t="s">
        <v>351</v>
      </c>
      <c r="L4504" t="s">
        <v>143</v>
      </c>
      <c r="M4504" t="s">
        <v>553</v>
      </c>
      <c r="N4504" t="s">
        <v>85</v>
      </c>
      <c r="O4504" s="6" t="s">
        <v>61</v>
      </c>
      <c r="Q4504">
        <v>21</v>
      </c>
      <c r="R4504" t="s">
        <v>213</v>
      </c>
      <c r="S4504" s="2" t="s">
        <v>15</v>
      </c>
      <c r="T4504">
        <v>6</v>
      </c>
      <c r="U4504" t="s">
        <v>28</v>
      </c>
      <c r="V4504" t="s">
        <v>28</v>
      </c>
      <c r="W4504">
        <v>20</v>
      </c>
      <c r="X4504">
        <v>0.22800000000000001</v>
      </c>
      <c r="Y4504">
        <v>7.0000000000000001E-3</v>
      </c>
      <c r="AA4504" s="6"/>
      <c r="AB4504" s="6"/>
    </row>
    <row r="4505" spans="1:28" x14ac:dyDescent="0.2">
      <c r="A4505" t="s">
        <v>554</v>
      </c>
      <c r="B4505">
        <v>2021</v>
      </c>
      <c r="C4505" t="s">
        <v>816</v>
      </c>
      <c r="D4505" t="s">
        <v>820</v>
      </c>
      <c r="E4505" t="s">
        <v>34</v>
      </c>
      <c r="F4505" t="s">
        <v>315</v>
      </c>
      <c r="G4505">
        <v>-33.133333</v>
      </c>
      <c r="H4505">
        <v>-71.7</v>
      </c>
      <c r="I4505" t="s">
        <v>771</v>
      </c>
      <c r="J4505" s="2" t="s">
        <v>5</v>
      </c>
      <c r="K4505" t="s">
        <v>351</v>
      </c>
      <c r="L4505" t="s">
        <v>143</v>
      </c>
      <c r="M4505" t="s">
        <v>553</v>
      </c>
      <c r="N4505" t="s">
        <v>85</v>
      </c>
      <c r="O4505" s="6" t="s">
        <v>61</v>
      </c>
      <c r="Q4505">
        <v>21</v>
      </c>
      <c r="R4505" t="s">
        <v>213</v>
      </c>
      <c r="S4505" s="2" t="s">
        <v>9</v>
      </c>
      <c r="T4505">
        <v>6</v>
      </c>
      <c r="U4505">
        <f>AVERAGE(7.49,7.46)</f>
        <v>7.4749999999999996</v>
      </c>
      <c r="V4505">
        <f>AVERAGE(1587,1732)</f>
        <v>1659.5</v>
      </c>
      <c r="W4505" t="s">
        <v>28</v>
      </c>
      <c r="X4505">
        <v>0.191</v>
      </c>
      <c r="Y4505">
        <v>1.7000000000000001E-2</v>
      </c>
      <c r="AA4505" s="6"/>
      <c r="AB4505" s="6"/>
    </row>
    <row r="4506" spans="1:28" x14ac:dyDescent="0.2">
      <c r="A4506" t="s">
        <v>554</v>
      </c>
      <c r="B4506">
        <v>2021</v>
      </c>
      <c r="C4506" t="s">
        <v>816</v>
      </c>
      <c r="D4506" t="s">
        <v>820</v>
      </c>
      <c r="E4506" t="s">
        <v>34</v>
      </c>
      <c r="F4506" t="s">
        <v>315</v>
      </c>
      <c r="G4506">
        <v>-33.133333</v>
      </c>
      <c r="H4506">
        <v>-71.7</v>
      </c>
      <c r="I4506" t="s">
        <v>771</v>
      </c>
      <c r="J4506" s="2" t="s">
        <v>16</v>
      </c>
      <c r="K4506" t="s">
        <v>351</v>
      </c>
      <c r="L4506" t="s">
        <v>143</v>
      </c>
      <c r="M4506" t="s">
        <v>553</v>
      </c>
      <c r="N4506" t="s">
        <v>85</v>
      </c>
      <c r="O4506" s="6" t="s">
        <v>61</v>
      </c>
      <c r="Q4506">
        <v>21</v>
      </c>
      <c r="R4506" t="s">
        <v>213</v>
      </c>
      <c r="S4506" s="2" t="s">
        <v>13</v>
      </c>
      <c r="T4506">
        <v>6</v>
      </c>
      <c r="U4506">
        <f>AVERAGE(7.46,7.47)</f>
        <v>7.4649999999999999</v>
      </c>
      <c r="V4506">
        <f>AVERAGE(1727,1689)</f>
        <v>1708</v>
      </c>
      <c r="W4506">
        <v>16</v>
      </c>
      <c r="X4506">
        <v>0.24099999999999999</v>
      </c>
      <c r="Y4506">
        <v>0.03</v>
      </c>
      <c r="AA4506" s="6"/>
      <c r="AB4506" s="6"/>
    </row>
    <row r="4507" spans="1:28" x14ac:dyDescent="0.2">
      <c r="A4507" t="s">
        <v>554</v>
      </c>
      <c r="B4507">
        <v>2021</v>
      </c>
      <c r="C4507" t="s">
        <v>816</v>
      </c>
      <c r="D4507" t="s">
        <v>820</v>
      </c>
      <c r="E4507" t="s">
        <v>34</v>
      </c>
      <c r="F4507" t="s">
        <v>315</v>
      </c>
      <c r="G4507">
        <v>-33.133333</v>
      </c>
      <c r="H4507">
        <v>-71.7</v>
      </c>
      <c r="I4507" t="s">
        <v>771</v>
      </c>
      <c r="J4507" s="2" t="s">
        <v>16</v>
      </c>
      <c r="K4507" t="s">
        <v>351</v>
      </c>
      <c r="L4507" t="s">
        <v>143</v>
      </c>
      <c r="M4507" t="s">
        <v>553</v>
      </c>
      <c r="N4507" t="s">
        <v>85</v>
      </c>
      <c r="O4507" s="6" t="s">
        <v>61</v>
      </c>
      <c r="Q4507">
        <v>21</v>
      </c>
      <c r="R4507" t="s">
        <v>213</v>
      </c>
      <c r="S4507" s="2" t="s">
        <v>37</v>
      </c>
      <c r="T4507">
        <v>6</v>
      </c>
      <c r="U4507">
        <f>AVERAGE(7.54,7.55)</f>
        <v>7.5449999999999999</v>
      </c>
      <c r="V4507">
        <f>AVERAGE(1442,1414)</f>
        <v>1428</v>
      </c>
      <c r="W4507">
        <v>20</v>
      </c>
      <c r="X4507">
        <v>0.185</v>
      </c>
      <c r="Y4507">
        <v>0.1</v>
      </c>
      <c r="AA4507" s="6"/>
      <c r="AB4507" s="6"/>
    </row>
    <row r="4508" spans="1:28" x14ac:dyDescent="0.2">
      <c r="A4508" t="s">
        <v>554</v>
      </c>
      <c r="B4508">
        <v>2021</v>
      </c>
      <c r="C4508" t="s">
        <v>816</v>
      </c>
      <c r="D4508" t="s">
        <v>820</v>
      </c>
      <c r="E4508" t="s">
        <v>34</v>
      </c>
      <c r="F4508" t="s">
        <v>315</v>
      </c>
      <c r="G4508">
        <v>-33.133333</v>
      </c>
      <c r="H4508">
        <v>-71.7</v>
      </c>
      <c r="I4508" t="s">
        <v>764</v>
      </c>
      <c r="J4508" s="2" t="s">
        <v>7</v>
      </c>
      <c r="K4508" t="s">
        <v>351</v>
      </c>
      <c r="L4508" t="s">
        <v>143</v>
      </c>
      <c r="M4508" t="s">
        <v>553</v>
      </c>
      <c r="N4508" t="s">
        <v>85</v>
      </c>
      <c r="O4508" s="6" t="s">
        <v>61</v>
      </c>
      <c r="Q4508">
        <v>21</v>
      </c>
      <c r="R4508" t="s">
        <v>213</v>
      </c>
      <c r="S4508" s="2" t="s">
        <v>7</v>
      </c>
      <c r="T4508">
        <v>6</v>
      </c>
      <c r="U4508">
        <f>AVERAGE(7.72, 7.8)</f>
        <v>7.76</v>
      </c>
      <c r="V4508">
        <f>AVERAGE(926.28,726)</f>
        <v>826.14</v>
      </c>
      <c r="W4508">
        <v>12</v>
      </c>
      <c r="X4508">
        <v>0.17399999999999999</v>
      </c>
      <c r="Y4508">
        <v>0.04</v>
      </c>
      <c r="AA4508" s="6"/>
      <c r="AB4508" s="6"/>
    </row>
    <row r="4509" spans="1:28" x14ac:dyDescent="0.2">
      <c r="A4509" t="s">
        <v>554</v>
      </c>
      <c r="B4509">
        <v>2021</v>
      </c>
      <c r="C4509" t="s">
        <v>816</v>
      </c>
      <c r="D4509" t="s">
        <v>820</v>
      </c>
      <c r="E4509" t="s">
        <v>34</v>
      </c>
      <c r="F4509" t="s">
        <v>315</v>
      </c>
      <c r="G4509">
        <v>-33.133333</v>
      </c>
      <c r="H4509">
        <v>-71.7</v>
      </c>
      <c r="I4509" t="s">
        <v>764</v>
      </c>
      <c r="J4509" s="2" t="s">
        <v>14</v>
      </c>
      <c r="K4509" t="s">
        <v>351</v>
      </c>
      <c r="L4509" t="s">
        <v>143</v>
      </c>
      <c r="M4509" t="s">
        <v>553</v>
      </c>
      <c r="N4509" t="s">
        <v>85</v>
      </c>
      <c r="O4509" s="6" t="s">
        <v>61</v>
      </c>
      <c r="Q4509">
        <v>21</v>
      </c>
      <c r="R4509" t="s">
        <v>213</v>
      </c>
      <c r="S4509" s="2" t="s">
        <v>27</v>
      </c>
      <c r="T4509">
        <v>6</v>
      </c>
      <c r="U4509" t="s">
        <v>28</v>
      </c>
      <c r="V4509" t="s">
        <v>28</v>
      </c>
      <c r="W4509">
        <v>16</v>
      </c>
      <c r="X4509">
        <v>8.6999999999999994E-2</v>
      </c>
      <c r="Y4509">
        <v>0.04</v>
      </c>
      <c r="AA4509" s="6"/>
      <c r="AB4509" s="6"/>
    </row>
    <row r="4510" spans="1:28" x14ac:dyDescent="0.2">
      <c r="A4510" t="s">
        <v>554</v>
      </c>
      <c r="B4510">
        <v>2021</v>
      </c>
      <c r="C4510" t="s">
        <v>816</v>
      </c>
      <c r="D4510" t="s">
        <v>820</v>
      </c>
      <c r="E4510" t="s">
        <v>34</v>
      </c>
      <c r="F4510" t="s">
        <v>315</v>
      </c>
      <c r="G4510">
        <v>-33.133333</v>
      </c>
      <c r="H4510">
        <v>-71.7</v>
      </c>
      <c r="I4510" t="s">
        <v>764</v>
      </c>
      <c r="J4510" s="2" t="s">
        <v>14</v>
      </c>
      <c r="K4510" t="s">
        <v>351</v>
      </c>
      <c r="L4510" t="s">
        <v>143</v>
      </c>
      <c r="M4510" t="s">
        <v>553</v>
      </c>
      <c r="N4510" t="s">
        <v>85</v>
      </c>
      <c r="O4510" s="6" t="s">
        <v>61</v>
      </c>
      <c r="Q4510">
        <v>21</v>
      </c>
      <c r="R4510" t="s">
        <v>213</v>
      </c>
      <c r="S4510" s="2" t="s">
        <v>15</v>
      </c>
      <c r="T4510">
        <v>6</v>
      </c>
      <c r="U4510" t="s">
        <v>28</v>
      </c>
      <c r="V4510" t="s">
        <v>28</v>
      </c>
      <c r="W4510">
        <v>20</v>
      </c>
      <c r="X4510">
        <v>0.252</v>
      </c>
      <c r="Y4510">
        <v>2.4E-2</v>
      </c>
      <c r="AA4510" s="6"/>
      <c r="AB4510" s="6"/>
    </row>
    <row r="4511" spans="1:28" x14ac:dyDescent="0.2">
      <c r="A4511" t="s">
        <v>554</v>
      </c>
      <c r="B4511">
        <v>2021</v>
      </c>
      <c r="C4511" t="s">
        <v>816</v>
      </c>
      <c r="D4511" t="s">
        <v>820</v>
      </c>
      <c r="E4511" t="s">
        <v>34</v>
      </c>
      <c r="F4511" t="s">
        <v>315</v>
      </c>
      <c r="G4511">
        <v>-33.133333</v>
      </c>
      <c r="H4511">
        <v>-71.7</v>
      </c>
      <c r="I4511" t="s">
        <v>764</v>
      </c>
      <c r="J4511" s="2" t="s">
        <v>5</v>
      </c>
      <c r="K4511" t="s">
        <v>351</v>
      </c>
      <c r="L4511" t="s">
        <v>143</v>
      </c>
      <c r="M4511" t="s">
        <v>553</v>
      </c>
      <c r="N4511" t="s">
        <v>85</v>
      </c>
      <c r="O4511" s="6" t="s">
        <v>61</v>
      </c>
      <c r="Q4511">
        <v>21</v>
      </c>
      <c r="R4511" t="s">
        <v>213</v>
      </c>
      <c r="S4511" s="2" t="s">
        <v>9</v>
      </c>
      <c r="T4511">
        <v>6</v>
      </c>
      <c r="U4511">
        <f>AVERAGE(7.49,7.46)</f>
        <v>7.4749999999999996</v>
      </c>
      <c r="V4511">
        <f>AVERAGE(1587,1732)</f>
        <v>1659.5</v>
      </c>
      <c r="W4511" t="s">
        <v>28</v>
      </c>
      <c r="X4511">
        <v>0.19800000000000001</v>
      </c>
      <c r="Y4511">
        <v>0.03</v>
      </c>
      <c r="AA4511" s="6"/>
      <c r="AB4511" s="6"/>
    </row>
    <row r="4512" spans="1:28" x14ac:dyDescent="0.2">
      <c r="A4512" t="s">
        <v>554</v>
      </c>
      <c r="B4512">
        <v>2021</v>
      </c>
      <c r="C4512" t="s">
        <v>816</v>
      </c>
      <c r="D4512" t="s">
        <v>820</v>
      </c>
      <c r="E4512" t="s">
        <v>34</v>
      </c>
      <c r="F4512" t="s">
        <v>315</v>
      </c>
      <c r="G4512">
        <v>-33.133333</v>
      </c>
      <c r="H4512">
        <v>-71.7</v>
      </c>
      <c r="I4512" t="s">
        <v>764</v>
      </c>
      <c r="J4512" s="2" t="s">
        <v>16</v>
      </c>
      <c r="K4512" t="s">
        <v>351</v>
      </c>
      <c r="L4512" t="s">
        <v>143</v>
      </c>
      <c r="M4512" t="s">
        <v>553</v>
      </c>
      <c r="N4512" t="s">
        <v>85</v>
      </c>
      <c r="O4512" s="6" t="s">
        <v>61</v>
      </c>
      <c r="Q4512">
        <v>21</v>
      </c>
      <c r="R4512" t="s">
        <v>213</v>
      </c>
      <c r="S4512" s="2" t="s">
        <v>13</v>
      </c>
      <c r="T4512">
        <v>6</v>
      </c>
      <c r="U4512">
        <f>AVERAGE(7.46,7.47)</f>
        <v>7.4649999999999999</v>
      </c>
      <c r="V4512">
        <f>AVERAGE(1727,1689)</f>
        <v>1708</v>
      </c>
      <c r="W4512">
        <v>16</v>
      </c>
      <c r="X4512">
        <v>0.14599999999999999</v>
      </c>
      <c r="Y4512">
        <v>2E-3</v>
      </c>
      <c r="AA4512" s="6"/>
      <c r="AB4512" s="6"/>
    </row>
    <row r="4513" spans="1:28" x14ac:dyDescent="0.2">
      <c r="A4513" t="s">
        <v>554</v>
      </c>
      <c r="B4513">
        <v>2021</v>
      </c>
      <c r="C4513" t="s">
        <v>816</v>
      </c>
      <c r="D4513" t="s">
        <v>820</v>
      </c>
      <c r="E4513" t="s">
        <v>34</v>
      </c>
      <c r="F4513" t="s">
        <v>315</v>
      </c>
      <c r="G4513">
        <v>-33.133333</v>
      </c>
      <c r="H4513">
        <v>-71.7</v>
      </c>
      <c r="I4513" t="s">
        <v>764</v>
      </c>
      <c r="J4513" s="2" t="s">
        <v>16</v>
      </c>
      <c r="K4513" t="s">
        <v>351</v>
      </c>
      <c r="L4513" t="s">
        <v>143</v>
      </c>
      <c r="M4513" t="s">
        <v>553</v>
      </c>
      <c r="N4513" t="s">
        <v>85</v>
      </c>
      <c r="O4513" s="6" t="s">
        <v>61</v>
      </c>
      <c r="Q4513">
        <v>21</v>
      </c>
      <c r="R4513" t="s">
        <v>213</v>
      </c>
      <c r="S4513" s="2" t="s">
        <v>37</v>
      </c>
      <c r="T4513">
        <v>6</v>
      </c>
      <c r="U4513">
        <f>AVERAGE(7.54,7.55)</f>
        <v>7.5449999999999999</v>
      </c>
      <c r="V4513">
        <f>AVERAGE(1442,1414)</f>
        <v>1428</v>
      </c>
      <c r="W4513">
        <v>20</v>
      </c>
      <c r="X4513">
        <v>0.32</v>
      </c>
      <c r="Y4513">
        <v>0.09</v>
      </c>
      <c r="AA4513" s="6"/>
      <c r="AB4513" s="6"/>
    </row>
    <row r="4514" spans="1:28" x14ac:dyDescent="0.2">
      <c r="A4514" t="s">
        <v>554</v>
      </c>
      <c r="B4514">
        <v>2021</v>
      </c>
      <c r="C4514" t="s">
        <v>816</v>
      </c>
      <c r="D4514" t="s">
        <v>820</v>
      </c>
      <c r="E4514" t="s">
        <v>34</v>
      </c>
      <c r="F4514" t="s">
        <v>555</v>
      </c>
      <c r="G4514">
        <v>-33.450000000000003</v>
      </c>
      <c r="H4514">
        <v>-72</v>
      </c>
      <c r="I4514" t="s">
        <v>771</v>
      </c>
      <c r="J4514" s="2" t="s">
        <v>7</v>
      </c>
      <c r="K4514" t="s">
        <v>351</v>
      </c>
      <c r="L4514" t="s">
        <v>143</v>
      </c>
      <c r="M4514" t="s">
        <v>553</v>
      </c>
      <c r="N4514" t="s">
        <v>85</v>
      </c>
      <c r="O4514" s="6" t="s">
        <v>61</v>
      </c>
      <c r="Q4514">
        <v>21</v>
      </c>
      <c r="R4514" t="s">
        <v>213</v>
      </c>
      <c r="S4514" s="2" t="s">
        <v>7</v>
      </c>
      <c r="T4514">
        <v>6</v>
      </c>
      <c r="U4514">
        <f>AVERAGE(7.72, 7.8)</f>
        <v>7.76</v>
      </c>
      <c r="V4514">
        <f>AVERAGE(926.28,726)</f>
        <v>826.14</v>
      </c>
      <c r="W4514">
        <v>12</v>
      </c>
      <c r="X4514">
        <v>0.19600000000000001</v>
      </c>
      <c r="Y4514">
        <v>8.5000000000000006E-2</v>
      </c>
      <c r="AA4514" s="6"/>
      <c r="AB4514" s="6"/>
    </row>
    <row r="4515" spans="1:28" x14ac:dyDescent="0.2">
      <c r="A4515" t="s">
        <v>554</v>
      </c>
      <c r="B4515">
        <v>2021</v>
      </c>
      <c r="C4515" t="s">
        <v>816</v>
      </c>
      <c r="D4515" t="s">
        <v>820</v>
      </c>
      <c r="E4515" t="s">
        <v>34</v>
      </c>
      <c r="F4515" t="s">
        <v>555</v>
      </c>
      <c r="G4515">
        <v>-33.450000000000003</v>
      </c>
      <c r="H4515">
        <v>-72</v>
      </c>
      <c r="I4515" t="s">
        <v>771</v>
      </c>
      <c r="J4515" s="2" t="s">
        <v>14</v>
      </c>
      <c r="K4515" t="s">
        <v>351</v>
      </c>
      <c r="L4515" t="s">
        <v>143</v>
      </c>
      <c r="M4515" t="s">
        <v>553</v>
      </c>
      <c r="N4515" t="s">
        <v>85</v>
      </c>
      <c r="O4515" s="6" t="s">
        <v>61</v>
      </c>
      <c r="Q4515">
        <v>21</v>
      </c>
      <c r="R4515" t="s">
        <v>213</v>
      </c>
      <c r="S4515" s="2" t="s">
        <v>27</v>
      </c>
      <c r="T4515">
        <v>6</v>
      </c>
      <c r="U4515" t="s">
        <v>28</v>
      </c>
      <c r="V4515" t="s">
        <v>28</v>
      </c>
      <c r="W4515">
        <v>16</v>
      </c>
      <c r="X4515">
        <v>0.16900000000000001</v>
      </c>
      <c r="Y4515">
        <v>0.03</v>
      </c>
      <c r="AA4515" s="6"/>
      <c r="AB4515" s="6"/>
    </row>
    <row r="4516" spans="1:28" x14ac:dyDescent="0.2">
      <c r="A4516" t="s">
        <v>554</v>
      </c>
      <c r="B4516">
        <v>2021</v>
      </c>
      <c r="C4516" t="s">
        <v>816</v>
      </c>
      <c r="D4516" t="s">
        <v>820</v>
      </c>
      <c r="E4516" t="s">
        <v>34</v>
      </c>
      <c r="F4516" t="s">
        <v>555</v>
      </c>
      <c r="G4516">
        <v>-33.450000000000003</v>
      </c>
      <c r="H4516">
        <v>-72</v>
      </c>
      <c r="I4516" t="s">
        <v>771</v>
      </c>
      <c r="J4516" s="2" t="s">
        <v>14</v>
      </c>
      <c r="K4516" t="s">
        <v>351</v>
      </c>
      <c r="L4516" t="s">
        <v>143</v>
      </c>
      <c r="M4516" t="s">
        <v>553</v>
      </c>
      <c r="N4516" t="s">
        <v>85</v>
      </c>
      <c r="O4516" s="6" t="s">
        <v>61</v>
      </c>
      <c r="Q4516">
        <v>21</v>
      </c>
      <c r="R4516" t="s">
        <v>213</v>
      </c>
      <c r="S4516" s="2" t="s">
        <v>15</v>
      </c>
      <c r="T4516">
        <v>6</v>
      </c>
      <c r="U4516" t="s">
        <v>28</v>
      </c>
      <c r="V4516" t="s">
        <v>28</v>
      </c>
      <c r="W4516">
        <v>20</v>
      </c>
      <c r="X4516">
        <v>0.20699999999999999</v>
      </c>
      <c r="Y4516">
        <v>1.7999999999999999E-2</v>
      </c>
      <c r="AA4516" s="6"/>
      <c r="AB4516" s="6"/>
    </row>
    <row r="4517" spans="1:28" x14ac:dyDescent="0.2">
      <c r="A4517" t="s">
        <v>554</v>
      </c>
      <c r="B4517">
        <v>2021</v>
      </c>
      <c r="C4517" t="s">
        <v>816</v>
      </c>
      <c r="D4517" t="s">
        <v>820</v>
      </c>
      <c r="E4517" t="s">
        <v>34</v>
      </c>
      <c r="F4517" t="s">
        <v>555</v>
      </c>
      <c r="G4517">
        <v>-33.450000000000003</v>
      </c>
      <c r="H4517">
        <v>-72</v>
      </c>
      <c r="I4517" t="s">
        <v>771</v>
      </c>
      <c r="J4517" s="2" t="s">
        <v>5</v>
      </c>
      <c r="K4517" t="s">
        <v>351</v>
      </c>
      <c r="L4517" t="s">
        <v>143</v>
      </c>
      <c r="M4517" t="s">
        <v>553</v>
      </c>
      <c r="N4517" t="s">
        <v>85</v>
      </c>
      <c r="O4517" s="6" t="s">
        <v>61</v>
      </c>
      <c r="Q4517">
        <v>21</v>
      </c>
      <c r="R4517" t="s">
        <v>213</v>
      </c>
      <c r="S4517" s="2" t="s">
        <v>9</v>
      </c>
      <c r="T4517">
        <v>6</v>
      </c>
      <c r="U4517">
        <f>AVERAGE(7.49,7.46)</f>
        <v>7.4749999999999996</v>
      </c>
      <c r="V4517">
        <f>AVERAGE(1587,1732)</f>
        <v>1659.5</v>
      </c>
      <c r="W4517" t="s">
        <v>28</v>
      </c>
      <c r="X4517">
        <v>0.16700000000000001</v>
      </c>
      <c r="Y4517">
        <v>2.3E-2</v>
      </c>
      <c r="AA4517" s="6"/>
      <c r="AB4517" s="6"/>
    </row>
    <row r="4518" spans="1:28" x14ac:dyDescent="0.2">
      <c r="A4518" t="s">
        <v>554</v>
      </c>
      <c r="B4518">
        <v>2021</v>
      </c>
      <c r="C4518" t="s">
        <v>816</v>
      </c>
      <c r="D4518" t="s">
        <v>820</v>
      </c>
      <c r="E4518" t="s">
        <v>34</v>
      </c>
      <c r="F4518" t="s">
        <v>555</v>
      </c>
      <c r="G4518">
        <v>-33.450000000000003</v>
      </c>
      <c r="H4518">
        <v>-72</v>
      </c>
      <c r="I4518" t="s">
        <v>771</v>
      </c>
      <c r="J4518" s="2" t="s">
        <v>16</v>
      </c>
      <c r="K4518" t="s">
        <v>351</v>
      </c>
      <c r="L4518" t="s">
        <v>143</v>
      </c>
      <c r="M4518" t="s">
        <v>553</v>
      </c>
      <c r="N4518" t="s">
        <v>85</v>
      </c>
      <c r="O4518" s="6" t="s">
        <v>61</v>
      </c>
      <c r="Q4518">
        <v>21</v>
      </c>
      <c r="R4518" t="s">
        <v>213</v>
      </c>
      <c r="S4518" s="2" t="s">
        <v>13</v>
      </c>
      <c r="T4518">
        <v>6</v>
      </c>
      <c r="U4518">
        <f>AVERAGE(7.46,7.47)</f>
        <v>7.4649999999999999</v>
      </c>
      <c r="V4518">
        <f>AVERAGE(1727,1689)</f>
        <v>1708</v>
      </c>
      <c r="W4518">
        <v>16</v>
      </c>
      <c r="X4518">
        <v>0.182</v>
      </c>
      <c r="Y4518">
        <v>0.01</v>
      </c>
      <c r="AA4518" s="6"/>
      <c r="AB4518" s="6"/>
    </row>
    <row r="4519" spans="1:28" x14ac:dyDescent="0.2">
      <c r="A4519" t="s">
        <v>554</v>
      </c>
      <c r="B4519">
        <v>2021</v>
      </c>
      <c r="C4519" t="s">
        <v>816</v>
      </c>
      <c r="D4519" t="s">
        <v>820</v>
      </c>
      <c r="E4519" t="s">
        <v>34</v>
      </c>
      <c r="F4519" t="s">
        <v>555</v>
      </c>
      <c r="G4519">
        <v>-33.450000000000003</v>
      </c>
      <c r="H4519">
        <v>-72</v>
      </c>
      <c r="I4519" t="s">
        <v>771</v>
      </c>
      <c r="J4519" s="2" t="s">
        <v>16</v>
      </c>
      <c r="K4519" t="s">
        <v>351</v>
      </c>
      <c r="L4519" t="s">
        <v>143</v>
      </c>
      <c r="M4519" t="s">
        <v>553</v>
      </c>
      <c r="N4519" t="s">
        <v>85</v>
      </c>
      <c r="O4519" s="6" t="s">
        <v>61</v>
      </c>
      <c r="Q4519">
        <v>21</v>
      </c>
      <c r="R4519" t="s">
        <v>213</v>
      </c>
      <c r="S4519" s="2" t="s">
        <v>37</v>
      </c>
      <c r="T4519">
        <v>6</v>
      </c>
      <c r="U4519">
        <f>AVERAGE(7.54,7.55)</f>
        <v>7.5449999999999999</v>
      </c>
      <c r="V4519">
        <f>AVERAGE(1442,1414)</f>
        <v>1428</v>
      </c>
      <c r="W4519">
        <v>20</v>
      </c>
      <c r="X4519">
        <v>0.161</v>
      </c>
      <c r="Y4519">
        <v>1E-3</v>
      </c>
      <c r="AA4519" s="6"/>
      <c r="AB4519" s="6"/>
    </row>
    <row r="4520" spans="1:28" x14ac:dyDescent="0.2">
      <c r="A4520" t="s">
        <v>554</v>
      </c>
      <c r="B4520">
        <v>2021</v>
      </c>
      <c r="C4520" t="s">
        <v>816</v>
      </c>
      <c r="D4520" t="s">
        <v>820</v>
      </c>
      <c r="E4520" t="s">
        <v>34</v>
      </c>
      <c r="F4520" t="s">
        <v>555</v>
      </c>
      <c r="G4520">
        <v>-33.450000000000003</v>
      </c>
      <c r="H4520">
        <v>-72</v>
      </c>
      <c r="I4520" t="s">
        <v>764</v>
      </c>
      <c r="J4520" s="2" t="s">
        <v>7</v>
      </c>
      <c r="K4520" t="s">
        <v>351</v>
      </c>
      <c r="L4520" t="s">
        <v>143</v>
      </c>
      <c r="M4520" t="s">
        <v>553</v>
      </c>
      <c r="N4520" t="s">
        <v>85</v>
      </c>
      <c r="O4520" s="6" t="s">
        <v>61</v>
      </c>
      <c r="Q4520">
        <v>21</v>
      </c>
      <c r="R4520" t="s">
        <v>213</v>
      </c>
      <c r="S4520" s="2" t="s">
        <v>7</v>
      </c>
      <c r="T4520">
        <v>6</v>
      </c>
      <c r="U4520">
        <f>AVERAGE(7.72, 7.8)</f>
        <v>7.76</v>
      </c>
      <c r="V4520">
        <f>AVERAGE(926.28,726)</f>
        <v>826.14</v>
      </c>
      <c r="W4520">
        <v>12</v>
      </c>
      <c r="X4520">
        <v>0.30199999999999999</v>
      </c>
      <c r="Y4520">
        <v>3.6999999999999998E-2</v>
      </c>
      <c r="AA4520" s="6"/>
      <c r="AB4520" s="6"/>
    </row>
    <row r="4521" spans="1:28" x14ac:dyDescent="0.2">
      <c r="A4521" t="s">
        <v>554</v>
      </c>
      <c r="B4521">
        <v>2021</v>
      </c>
      <c r="C4521" t="s">
        <v>816</v>
      </c>
      <c r="D4521" t="s">
        <v>820</v>
      </c>
      <c r="E4521" t="s">
        <v>34</v>
      </c>
      <c r="F4521" t="s">
        <v>555</v>
      </c>
      <c r="G4521">
        <v>-33.450000000000003</v>
      </c>
      <c r="H4521">
        <v>-72</v>
      </c>
      <c r="I4521" t="s">
        <v>764</v>
      </c>
      <c r="J4521" s="2" t="s">
        <v>14</v>
      </c>
      <c r="K4521" t="s">
        <v>351</v>
      </c>
      <c r="L4521" t="s">
        <v>143</v>
      </c>
      <c r="M4521" t="s">
        <v>553</v>
      </c>
      <c r="N4521" t="s">
        <v>85</v>
      </c>
      <c r="O4521" s="6" t="s">
        <v>61</v>
      </c>
      <c r="Q4521">
        <v>21</v>
      </c>
      <c r="R4521" t="s">
        <v>213</v>
      </c>
      <c r="S4521" s="2" t="s">
        <v>27</v>
      </c>
      <c r="T4521">
        <v>6</v>
      </c>
      <c r="U4521" t="s">
        <v>28</v>
      </c>
      <c r="V4521" t="s">
        <v>28</v>
      </c>
      <c r="W4521">
        <v>16</v>
      </c>
      <c r="X4521">
        <v>0.14599999999999999</v>
      </c>
      <c r="Y4521">
        <v>0.03</v>
      </c>
      <c r="AA4521" s="6"/>
      <c r="AB4521" s="6"/>
    </row>
    <row r="4522" spans="1:28" x14ac:dyDescent="0.2">
      <c r="A4522" t="s">
        <v>554</v>
      </c>
      <c r="B4522">
        <v>2021</v>
      </c>
      <c r="C4522" t="s">
        <v>816</v>
      </c>
      <c r="D4522" t="s">
        <v>820</v>
      </c>
      <c r="E4522" t="s">
        <v>34</v>
      </c>
      <c r="F4522" t="s">
        <v>555</v>
      </c>
      <c r="G4522">
        <v>-33.450000000000003</v>
      </c>
      <c r="H4522">
        <v>-72</v>
      </c>
      <c r="I4522" t="s">
        <v>764</v>
      </c>
      <c r="J4522" s="2" t="s">
        <v>14</v>
      </c>
      <c r="K4522" t="s">
        <v>351</v>
      </c>
      <c r="L4522" t="s">
        <v>143</v>
      </c>
      <c r="M4522" t="s">
        <v>553</v>
      </c>
      <c r="N4522" t="s">
        <v>85</v>
      </c>
      <c r="O4522" s="6" t="s">
        <v>61</v>
      </c>
      <c r="Q4522">
        <v>21</v>
      </c>
      <c r="R4522" t="s">
        <v>213</v>
      </c>
      <c r="S4522" s="2" t="s">
        <v>15</v>
      </c>
      <c r="T4522">
        <v>6</v>
      </c>
      <c r="U4522" t="s">
        <v>28</v>
      </c>
      <c r="V4522" t="s">
        <v>28</v>
      </c>
      <c r="W4522">
        <v>20</v>
      </c>
      <c r="X4522">
        <v>0.36099999999999999</v>
      </c>
      <c r="Y4522">
        <v>0.124</v>
      </c>
      <c r="AA4522" s="6"/>
      <c r="AB4522" s="6"/>
    </row>
    <row r="4523" spans="1:28" x14ac:dyDescent="0.2">
      <c r="A4523" t="s">
        <v>554</v>
      </c>
      <c r="B4523">
        <v>2021</v>
      </c>
      <c r="C4523" t="s">
        <v>816</v>
      </c>
      <c r="D4523" t="s">
        <v>820</v>
      </c>
      <c r="E4523" t="s">
        <v>34</v>
      </c>
      <c r="F4523" t="s">
        <v>555</v>
      </c>
      <c r="G4523">
        <v>-33.450000000000003</v>
      </c>
      <c r="H4523">
        <v>-72</v>
      </c>
      <c r="I4523" t="s">
        <v>764</v>
      </c>
      <c r="J4523" s="2" t="s">
        <v>5</v>
      </c>
      <c r="K4523" t="s">
        <v>351</v>
      </c>
      <c r="L4523" t="s">
        <v>143</v>
      </c>
      <c r="M4523" t="s">
        <v>553</v>
      </c>
      <c r="N4523" t="s">
        <v>85</v>
      </c>
      <c r="O4523" s="6" t="s">
        <v>61</v>
      </c>
      <c r="Q4523">
        <v>21</v>
      </c>
      <c r="R4523" t="s">
        <v>213</v>
      </c>
      <c r="S4523" s="2" t="s">
        <v>9</v>
      </c>
      <c r="T4523">
        <v>6</v>
      </c>
      <c r="U4523">
        <f>AVERAGE(7.49,7.46)</f>
        <v>7.4749999999999996</v>
      </c>
      <c r="V4523">
        <f>AVERAGE(1587,1732)</f>
        <v>1659.5</v>
      </c>
      <c r="W4523" t="s">
        <v>28</v>
      </c>
      <c r="X4523">
        <v>0.28899999999999998</v>
      </c>
      <c r="Y4523">
        <v>2.5999999999999999E-2</v>
      </c>
      <c r="AA4523" s="6"/>
      <c r="AB4523" s="6"/>
    </row>
    <row r="4524" spans="1:28" x14ac:dyDescent="0.2">
      <c r="A4524" t="s">
        <v>554</v>
      </c>
      <c r="B4524">
        <v>2021</v>
      </c>
      <c r="C4524" t="s">
        <v>816</v>
      </c>
      <c r="D4524" t="s">
        <v>820</v>
      </c>
      <c r="E4524" t="s">
        <v>34</v>
      </c>
      <c r="F4524" t="s">
        <v>555</v>
      </c>
      <c r="G4524">
        <v>-33.450000000000003</v>
      </c>
      <c r="H4524">
        <v>-72</v>
      </c>
      <c r="I4524" t="s">
        <v>764</v>
      </c>
      <c r="J4524" s="2" t="s">
        <v>16</v>
      </c>
      <c r="K4524" t="s">
        <v>351</v>
      </c>
      <c r="L4524" t="s">
        <v>143</v>
      </c>
      <c r="M4524" t="s">
        <v>553</v>
      </c>
      <c r="N4524" t="s">
        <v>85</v>
      </c>
      <c r="O4524" s="6" t="s">
        <v>61</v>
      </c>
      <c r="Q4524">
        <v>21</v>
      </c>
      <c r="R4524" t="s">
        <v>213</v>
      </c>
      <c r="S4524" s="2" t="s">
        <v>13</v>
      </c>
      <c r="T4524">
        <v>6</v>
      </c>
      <c r="U4524">
        <f>AVERAGE(7.46,7.47)</f>
        <v>7.4649999999999999</v>
      </c>
      <c r="V4524">
        <f>AVERAGE(1727,1689)</f>
        <v>1708</v>
      </c>
      <c r="W4524">
        <v>16</v>
      </c>
      <c r="X4524">
        <v>0.14099999999999999</v>
      </c>
      <c r="Y4524">
        <v>4.0000000000000001E-3</v>
      </c>
      <c r="AA4524" s="6"/>
      <c r="AB4524" s="6"/>
    </row>
    <row r="4525" spans="1:28" x14ac:dyDescent="0.2">
      <c r="A4525" t="s">
        <v>554</v>
      </c>
      <c r="B4525">
        <v>2021</v>
      </c>
      <c r="C4525" t="s">
        <v>816</v>
      </c>
      <c r="D4525" t="s">
        <v>820</v>
      </c>
      <c r="E4525" t="s">
        <v>34</v>
      </c>
      <c r="F4525" t="s">
        <v>555</v>
      </c>
      <c r="G4525">
        <v>-33.450000000000003</v>
      </c>
      <c r="H4525">
        <v>-72</v>
      </c>
      <c r="I4525" t="s">
        <v>764</v>
      </c>
      <c r="J4525" s="2" t="s">
        <v>16</v>
      </c>
      <c r="K4525" t="s">
        <v>351</v>
      </c>
      <c r="L4525" t="s">
        <v>143</v>
      </c>
      <c r="M4525" t="s">
        <v>553</v>
      </c>
      <c r="N4525" t="s">
        <v>85</v>
      </c>
      <c r="O4525" s="6" t="s">
        <v>61</v>
      </c>
      <c r="Q4525">
        <v>21</v>
      </c>
      <c r="R4525" t="s">
        <v>213</v>
      </c>
      <c r="S4525" s="2" t="s">
        <v>37</v>
      </c>
      <c r="T4525">
        <v>6</v>
      </c>
      <c r="U4525">
        <f>AVERAGE(7.54,7.55)</f>
        <v>7.5449999999999999</v>
      </c>
      <c r="V4525">
        <f>AVERAGE(1442,1414)</f>
        <v>1428</v>
      </c>
      <c r="W4525">
        <v>20</v>
      </c>
      <c r="X4525">
        <v>0.187</v>
      </c>
      <c r="Y4525">
        <v>0.05</v>
      </c>
      <c r="AA4525" s="6"/>
      <c r="AB4525" s="6"/>
    </row>
    <row r="4526" spans="1:28" x14ac:dyDescent="0.2">
      <c r="A4526" t="s">
        <v>554</v>
      </c>
      <c r="B4526">
        <v>2021</v>
      </c>
      <c r="C4526" t="s">
        <v>816</v>
      </c>
      <c r="D4526" t="s">
        <v>820</v>
      </c>
      <c r="E4526" t="s">
        <v>34</v>
      </c>
      <c r="F4526" t="s">
        <v>315</v>
      </c>
      <c r="G4526">
        <v>-33.133333</v>
      </c>
      <c r="H4526">
        <v>-71.7</v>
      </c>
      <c r="I4526" t="s">
        <v>771</v>
      </c>
      <c r="J4526" s="2" t="s">
        <v>7</v>
      </c>
      <c r="K4526" t="s">
        <v>351</v>
      </c>
      <c r="L4526" t="s">
        <v>143</v>
      </c>
      <c r="M4526" t="s">
        <v>553</v>
      </c>
      <c r="N4526" t="s">
        <v>85</v>
      </c>
      <c r="O4526" s="6" t="s">
        <v>241</v>
      </c>
      <c r="Q4526">
        <v>21</v>
      </c>
      <c r="R4526" t="s">
        <v>213</v>
      </c>
      <c r="S4526" s="2" t="s">
        <v>7</v>
      </c>
      <c r="T4526">
        <v>6</v>
      </c>
      <c r="U4526">
        <f>AVERAGE(7.72, 7.8)</f>
        <v>7.76</v>
      </c>
      <c r="V4526">
        <f>AVERAGE(926.28,726)</f>
        <v>826.14</v>
      </c>
      <c r="W4526">
        <v>12</v>
      </c>
      <c r="X4526">
        <v>3.7999999999999999E-2</v>
      </c>
      <c r="Y4526">
        <v>4.0000000000000001E-3</v>
      </c>
      <c r="AA4526" s="6"/>
      <c r="AB4526" s="6"/>
    </row>
    <row r="4527" spans="1:28" x14ac:dyDescent="0.2">
      <c r="A4527" t="s">
        <v>554</v>
      </c>
      <c r="B4527">
        <v>2021</v>
      </c>
      <c r="C4527" t="s">
        <v>816</v>
      </c>
      <c r="D4527" t="s">
        <v>820</v>
      </c>
      <c r="E4527" t="s">
        <v>34</v>
      </c>
      <c r="F4527" t="s">
        <v>315</v>
      </c>
      <c r="G4527">
        <v>-33.133333</v>
      </c>
      <c r="H4527">
        <v>-71.7</v>
      </c>
      <c r="I4527" t="s">
        <v>771</v>
      </c>
      <c r="J4527" s="2" t="s">
        <v>14</v>
      </c>
      <c r="K4527" t="s">
        <v>351</v>
      </c>
      <c r="L4527" t="s">
        <v>143</v>
      </c>
      <c r="M4527" t="s">
        <v>553</v>
      </c>
      <c r="N4527" t="s">
        <v>85</v>
      </c>
      <c r="O4527" s="6" t="s">
        <v>241</v>
      </c>
      <c r="Q4527">
        <v>21</v>
      </c>
      <c r="R4527" t="s">
        <v>213</v>
      </c>
      <c r="S4527" s="2" t="s">
        <v>27</v>
      </c>
      <c r="T4527">
        <v>6</v>
      </c>
      <c r="U4527" t="s">
        <v>28</v>
      </c>
      <c r="V4527" t="s">
        <v>28</v>
      </c>
      <c r="W4527">
        <v>16</v>
      </c>
      <c r="X4527">
        <v>3.5000000000000003E-2</v>
      </c>
      <c r="Y4527">
        <v>4.0000000000000001E-3</v>
      </c>
      <c r="AA4527" s="6"/>
      <c r="AB4527" s="6"/>
    </row>
    <row r="4528" spans="1:28" x14ac:dyDescent="0.2">
      <c r="A4528" t="s">
        <v>554</v>
      </c>
      <c r="B4528">
        <v>2021</v>
      </c>
      <c r="C4528" t="s">
        <v>816</v>
      </c>
      <c r="D4528" t="s">
        <v>820</v>
      </c>
      <c r="E4528" t="s">
        <v>34</v>
      </c>
      <c r="F4528" t="s">
        <v>315</v>
      </c>
      <c r="G4528">
        <v>-33.133333</v>
      </c>
      <c r="H4528">
        <v>-71.7</v>
      </c>
      <c r="I4528" t="s">
        <v>771</v>
      </c>
      <c r="J4528" s="2" t="s">
        <v>14</v>
      </c>
      <c r="K4528" t="s">
        <v>351</v>
      </c>
      <c r="L4528" t="s">
        <v>143</v>
      </c>
      <c r="M4528" t="s">
        <v>553</v>
      </c>
      <c r="N4528" t="s">
        <v>85</v>
      </c>
      <c r="O4528" s="6" t="s">
        <v>241</v>
      </c>
      <c r="Q4528">
        <v>21</v>
      </c>
      <c r="R4528" t="s">
        <v>213</v>
      </c>
      <c r="S4528" s="2" t="s">
        <v>15</v>
      </c>
      <c r="T4528">
        <v>6</v>
      </c>
      <c r="U4528" t="s">
        <v>28</v>
      </c>
      <c r="V4528" t="s">
        <v>28</v>
      </c>
      <c r="W4528">
        <v>20</v>
      </c>
      <c r="X4528">
        <v>3.4000000000000002E-2</v>
      </c>
      <c r="Y4528">
        <v>5.0000000000000001E-3</v>
      </c>
      <c r="AA4528" s="6"/>
      <c r="AB4528" s="6"/>
    </row>
    <row r="4529" spans="1:28" x14ac:dyDescent="0.2">
      <c r="A4529" t="s">
        <v>554</v>
      </c>
      <c r="B4529">
        <v>2021</v>
      </c>
      <c r="C4529" t="s">
        <v>816</v>
      </c>
      <c r="D4529" t="s">
        <v>820</v>
      </c>
      <c r="E4529" t="s">
        <v>34</v>
      </c>
      <c r="F4529" t="s">
        <v>315</v>
      </c>
      <c r="G4529">
        <v>-33.133333</v>
      </c>
      <c r="H4529">
        <v>-71.7</v>
      </c>
      <c r="I4529" t="s">
        <v>771</v>
      </c>
      <c r="J4529" s="2" t="s">
        <v>5</v>
      </c>
      <c r="K4529" t="s">
        <v>351</v>
      </c>
      <c r="L4529" t="s">
        <v>143</v>
      </c>
      <c r="M4529" t="s">
        <v>553</v>
      </c>
      <c r="N4529" t="s">
        <v>85</v>
      </c>
      <c r="O4529" s="6" t="s">
        <v>241</v>
      </c>
      <c r="Q4529">
        <v>21</v>
      </c>
      <c r="R4529" t="s">
        <v>213</v>
      </c>
      <c r="S4529" s="2" t="s">
        <v>9</v>
      </c>
      <c r="T4529">
        <v>6</v>
      </c>
      <c r="U4529">
        <f>AVERAGE(7.49,7.46)</f>
        <v>7.4749999999999996</v>
      </c>
      <c r="V4529">
        <f>AVERAGE(1587,1732)</f>
        <v>1659.5</v>
      </c>
      <c r="W4529" t="s">
        <v>28</v>
      </c>
      <c r="X4529">
        <v>3.5000000000000003E-2</v>
      </c>
      <c r="Y4529">
        <v>2E-3</v>
      </c>
      <c r="AA4529" s="6"/>
      <c r="AB4529" s="6"/>
    </row>
    <row r="4530" spans="1:28" x14ac:dyDescent="0.2">
      <c r="A4530" t="s">
        <v>554</v>
      </c>
      <c r="B4530">
        <v>2021</v>
      </c>
      <c r="C4530" t="s">
        <v>816</v>
      </c>
      <c r="D4530" t="s">
        <v>820</v>
      </c>
      <c r="E4530" t="s">
        <v>34</v>
      </c>
      <c r="F4530" t="s">
        <v>315</v>
      </c>
      <c r="G4530">
        <v>-33.133333</v>
      </c>
      <c r="H4530">
        <v>-71.7</v>
      </c>
      <c r="I4530" t="s">
        <v>771</v>
      </c>
      <c r="J4530" s="2" t="s">
        <v>16</v>
      </c>
      <c r="K4530" t="s">
        <v>351</v>
      </c>
      <c r="L4530" t="s">
        <v>143</v>
      </c>
      <c r="M4530" t="s">
        <v>553</v>
      </c>
      <c r="N4530" t="s">
        <v>85</v>
      </c>
      <c r="O4530" s="6" t="s">
        <v>241</v>
      </c>
      <c r="Q4530">
        <v>21</v>
      </c>
      <c r="R4530" t="s">
        <v>213</v>
      </c>
      <c r="S4530" s="2" t="s">
        <v>13</v>
      </c>
      <c r="T4530">
        <v>6</v>
      </c>
      <c r="U4530">
        <f>AVERAGE(7.46,7.47)</f>
        <v>7.4649999999999999</v>
      </c>
      <c r="V4530">
        <f>AVERAGE(1727,1689)</f>
        <v>1708</v>
      </c>
      <c r="W4530">
        <v>16</v>
      </c>
      <c r="X4530">
        <v>3.9E-2</v>
      </c>
      <c r="Y4530">
        <v>3.0000000000000001E-3</v>
      </c>
      <c r="AA4530" s="6"/>
      <c r="AB4530" s="6"/>
    </row>
    <row r="4531" spans="1:28" x14ac:dyDescent="0.2">
      <c r="A4531" t="s">
        <v>554</v>
      </c>
      <c r="B4531">
        <v>2021</v>
      </c>
      <c r="C4531" t="s">
        <v>816</v>
      </c>
      <c r="D4531" t="s">
        <v>820</v>
      </c>
      <c r="E4531" t="s">
        <v>34</v>
      </c>
      <c r="F4531" t="s">
        <v>315</v>
      </c>
      <c r="G4531">
        <v>-33.133333</v>
      </c>
      <c r="H4531">
        <v>-71.7</v>
      </c>
      <c r="I4531" t="s">
        <v>771</v>
      </c>
      <c r="J4531" s="2" t="s">
        <v>16</v>
      </c>
      <c r="K4531" t="s">
        <v>351</v>
      </c>
      <c r="L4531" t="s">
        <v>143</v>
      </c>
      <c r="M4531" t="s">
        <v>553</v>
      </c>
      <c r="N4531" t="s">
        <v>85</v>
      </c>
      <c r="O4531" s="6" t="s">
        <v>241</v>
      </c>
      <c r="Q4531">
        <v>21</v>
      </c>
      <c r="R4531" t="s">
        <v>213</v>
      </c>
      <c r="S4531" s="2" t="s">
        <v>37</v>
      </c>
      <c r="T4531">
        <v>6</v>
      </c>
      <c r="U4531">
        <f>AVERAGE(7.54,7.55)</f>
        <v>7.5449999999999999</v>
      </c>
      <c r="V4531">
        <f>AVERAGE(1442,1414)</f>
        <v>1428</v>
      </c>
      <c r="W4531">
        <v>20</v>
      </c>
      <c r="X4531">
        <v>3.1E-2</v>
      </c>
      <c r="Y4531">
        <v>1.2999999999999999E-2</v>
      </c>
      <c r="AA4531" s="6"/>
      <c r="AB4531" s="6"/>
    </row>
    <row r="4532" spans="1:28" x14ac:dyDescent="0.2">
      <c r="A4532" t="s">
        <v>554</v>
      </c>
      <c r="B4532">
        <v>2021</v>
      </c>
      <c r="C4532" t="s">
        <v>816</v>
      </c>
      <c r="D4532" t="s">
        <v>820</v>
      </c>
      <c r="E4532" t="s">
        <v>34</v>
      </c>
      <c r="F4532" t="s">
        <v>315</v>
      </c>
      <c r="G4532">
        <v>-33.133333</v>
      </c>
      <c r="H4532">
        <v>-71.7</v>
      </c>
      <c r="I4532" t="s">
        <v>764</v>
      </c>
      <c r="J4532" s="2" t="s">
        <v>7</v>
      </c>
      <c r="K4532" t="s">
        <v>351</v>
      </c>
      <c r="L4532" t="s">
        <v>143</v>
      </c>
      <c r="M4532" t="s">
        <v>553</v>
      </c>
      <c r="N4532" t="s">
        <v>85</v>
      </c>
      <c r="O4532" s="6" t="s">
        <v>241</v>
      </c>
      <c r="Q4532">
        <v>21</v>
      </c>
      <c r="R4532" t="s">
        <v>213</v>
      </c>
      <c r="S4532" s="2" t="s">
        <v>7</v>
      </c>
      <c r="T4532">
        <v>6</v>
      </c>
      <c r="U4532">
        <f>AVERAGE(7.72, 7.8)</f>
        <v>7.76</v>
      </c>
      <c r="V4532">
        <f>AVERAGE(926.28,726)</f>
        <v>826.14</v>
      </c>
      <c r="W4532">
        <v>12</v>
      </c>
      <c r="X4532">
        <v>2.9000000000000001E-2</v>
      </c>
      <c r="Y4532">
        <v>5.0000000000000001E-3</v>
      </c>
      <c r="AA4532" s="6"/>
      <c r="AB4532" s="6"/>
    </row>
    <row r="4533" spans="1:28" x14ac:dyDescent="0.2">
      <c r="A4533" t="s">
        <v>554</v>
      </c>
      <c r="B4533">
        <v>2021</v>
      </c>
      <c r="C4533" t="s">
        <v>816</v>
      </c>
      <c r="D4533" t="s">
        <v>820</v>
      </c>
      <c r="E4533" t="s">
        <v>34</v>
      </c>
      <c r="F4533" t="s">
        <v>315</v>
      </c>
      <c r="G4533">
        <v>-33.133333</v>
      </c>
      <c r="H4533">
        <v>-71.7</v>
      </c>
      <c r="I4533" t="s">
        <v>764</v>
      </c>
      <c r="J4533" s="2" t="s">
        <v>14</v>
      </c>
      <c r="K4533" t="s">
        <v>351</v>
      </c>
      <c r="L4533" t="s">
        <v>143</v>
      </c>
      <c r="M4533" t="s">
        <v>553</v>
      </c>
      <c r="N4533" t="s">
        <v>85</v>
      </c>
      <c r="O4533" s="6" t="s">
        <v>241</v>
      </c>
      <c r="Q4533">
        <v>21</v>
      </c>
      <c r="R4533" t="s">
        <v>213</v>
      </c>
      <c r="S4533" s="2" t="s">
        <v>27</v>
      </c>
      <c r="T4533">
        <v>6</v>
      </c>
      <c r="U4533" t="s">
        <v>28</v>
      </c>
      <c r="V4533" t="s">
        <v>28</v>
      </c>
      <c r="W4533">
        <v>16</v>
      </c>
      <c r="X4533">
        <v>3.4000000000000002E-2</v>
      </c>
      <c r="Y4533">
        <v>1E-3</v>
      </c>
      <c r="AA4533" s="6"/>
      <c r="AB4533" s="6"/>
    </row>
    <row r="4534" spans="1:28" x14ac:dyDescent="0.2">
      <c r="A4534" t="s">
        <v>554</v>
      </c>
      <c r="B4534">
        <v>2021</v>
      </c>
      <c r="C4534" t="s">
        <v>816</v>
      </c>
      <c r="D4534" t="s">
        <v>820</v>
      </c>
      <c r="E4534" t="s">
        <v>34</v>
      </c>
      <c r="F4534" t="s">
        <v>315</v>
      </c>
      <c r="G4534">
        <v>-33.133333</v>
      </c>
      <c r="H4534">
        <v>-71.7</v>
      </c>
      <c r="I4534" t="s">
        <v>764</v>
      </c>
      <c r="J4534" s="2" t="s">
        <v>14</v>
      </c>
      <c r="K4534" t="s">
        <v>351</v>
      </c>
      <c r="L4534" t="s">
        <v>143</v>
      </c>
      <c r="M4534" t="s">
        <v>553</v>
      </c>
      <c r="N4534" t="s">
        <v>85</v>
      </c>
      <c r="O4534" s="6" t="s">
        <v>241</v>
      </c>
      <c r="Q4534">
        <v>21</v>
      </c>
      <c r="R4534" t="s">
        <v>213</v>
      </c>
      <c r="S4534" s="2" t="s">
        <v>15</v>
      </c>
      <c r="T4534">
        <v>6</v>
      </c>
      <c r="U4534" t="s">
        <v>28</v>
      </c>
      <c r="V4534" t="s">
        <v>28</v>
      </c>
      <c r="W4534">
        <v>20</v>
      </c>
      <c r="X4534">
        <v>4.2999999999999997E-2</v>
      </c>
      <c r="Y4534">
        <v>0.01</v>
      </c>
      <c r="AA4534" s="6"/>
      <c r="AB4534" s="6"/>
    </row>
    <row r="4535" spans="1:28" x14ac:dyDescent="0.2">
      <c r="A4535" t="s">
        <v>554</v>
      </c>
      <c r="B4535">
        <v>2021</v>
      </c>
      <c r="C4535" t="s">
        <v>816</v>
      </c>
      <c r="D4535" t="s">
        <v>820</v>
      </c>
      <c r="E4535" t="s">
        <v>34</v>
      </c>
      <c r="F4535" t="s">
        <v>315</v>
      </c>
      <c r="G4535">
        <v>-33.133333</v>
      </c>
      <c r="H4535">
        <v>-71.7</v>
      </c>
      <c r="I4535" t="s">
        <v>764</v>
      </c>
      <c r="J4535" s="2" t="s">
        <v>5</v>
      </c>
      <c r="K4535" t="s">
        <v>351</v>
      </c>
      <c r="L4535" t="s">
        <v>143</v>
      </c>
      <c r="M4535" t="s">
        <v>553</v>
      </c>
      <c r="N4535" t="s">
        <v>85</v>
      </c>
      <c r="O4535" s="6" t="s">
        <v>241</v>
      </c>
      <c r="Q4535">
        <v>21</v>
      </c>
      <c r="R4535" t="s">
        <v>213</v>
      </c>
      <c r="S4535" s="2" t="s">
        <v>9</v>
      </c>
      <c r="T4535">
        <v>6</v>
      </c>
      <c r="U4535">
        <f>AVERAGE(7.49,7.46)</f>
        <v>7.4749999999999996</v>
      </c>
      <c r="V4535">
        <f>AVERAGE(1587,1732)</f>
        <v>1659.5</v>
      </c>
      <c r="W4535" t="s">
        <v>28</v>
      </c>
      <c r="X4535">
        <v>3.5999999999999997E-2</v>
      </c>
      <c r="Y4535">
        <v>1.2999999999999999E-2</v>
      </c>
      <c r="AA4535" s="6"/>
      <c r="AB4535" s="6"/>
    </row>
    <row r="4536" spans="1:28" x14ac:dyDescent="0.2">
      <c r="A4536" t="s">
        <v>554</v>
      </c>
      <c r="B4536">
        <v>2021</v>
      </c>
      <c r="C4536" t="s">
        <v>816</v>
      </c>
      <c r="D4536" t="s">
        <v>820</v>
      </c>
      <c r="E4536" t="s">
        <v>34</v>
      </c>
      <c r="F4536" t="s">
        <v>315</v>
      </c>
      <c r="G4536">
        <v>-33.133333</v>
      </c>
      <c r="H4536">
        <v>-71.7</v>
      </c>
      <c r="I4536" t="s">
        <v>764</v>
      </c>
      <c r="J4536" s="2" t="s">
        <v>16</v>
      </c>
      <c r="K4536" t="s">
        <v>351</v>
      </c>
      <c r="L4536" t="s">
        <v>143</v>
      </c>
      <c r="M4536" t="s">
        <v>553</v>
      </c>
      <c r="N4536" t="s">
        <v>85</v>
      </c>
      <c r="O4536" s="6" t="s">
        <v>241</v>
      </c>
      <c r="Q4536">
        <v>21</v>
      </c>
      <c r="R4536" t="s">
        <v>213</v>
      </c>
      <c r="S4536" s="2" t="s">
        <v>13</v>
      </c>
      <c r="T4536">
        <v>6</v>
      </c>
      <c r="U4536">
        <f>AVERAGE(7.46,7.47)</f>
        <v>7.4649999999999999</v>
      </c>
      <c r="V4536">
        <f>AVERAGE(1727,1689)</f>
        <v>1708</v>
      </c>
      <c r="W4536">
        <v>16</v>
      </c>
      <c r="X4536">
        <v>3.2000000000000001E-2</v>
      </c>
      <c r="Y4536">
        <v>7.0000000000000001E-3</v>
      </c>
      <c r="AA4536" s="6"/>
      <c r="AB4536" s="6"/>
    </row>
    <row r="4537" spans="1:28" x14ac:dyDescent="0.2">
      <c r="A4537" t="s">
        <v>554</v>
      </c>
      <c r="B4537">
        <v>2021</v>
      </c>
      <c r="C4537" t="s">
        <v>816</v>
      </c>
      <c r="D4537" t="s">
        <v>820</v>
      </c>
      <c r="E4537" t="s">
        <v>34</v>
      </c>
      <c r="F4537" t="s">
        <v>315</v>
      </c>
      <c r="G4537">
        <v>-33.133333</v>
      </c>
      <c r="H4537">
        <v>-71.7</v>
      </c>
      <c r="I4537" t="s">
        <v>764</v>
      </c>
      <c r="J4537" s="2" t="s">
        <v>16</v>
      </c>
      <c r="K4537" t="s">
        <v>351</v>
      </c>
      <c r="L4537" t="s">
        <v>143</v>
      </c>
      <c r="M4537" t="s">
        <v>553</v>
      </c>
      <c r="N4537" t="s">
        <v>85</v>
      </c>
      <c r="O4537" s="6" t="s">
        <v>241</v>
      </c>
      <c r="Q4537">
        <v>21</v>
      </c>
      <c r="R4537" t="s">
        <v>213</v>
      </c>
      <c r="S4537" s="2" t="s">
        <v>37</v>
      </c>
      <c r="T4537">
        <v>6</v>
      </c>
      <c r="U4537">
        <f>AVERAGE(7.54,7.55)</f>
        <v>7.5449999999999999</v>
      </c>
      <c r="V4537">
        <f>AVERAGE(1442,1414)</f>
        <v>1428</v>
      </c>
      <c r="W4537">
        <v>20</v>
      </c>
      <c r="X4537">
        <v>6.0999999999999999E-2</v>
      </c>
      <c r="Y4537">
        <v>0.01</v>
      </c>
      <c r="AA4537" s="6"/>
      <c r="AB4537" s="6"/>
    </row>
    <row r="4538" spans="1:28" x14ac:dyDescent="0.2">
      <c r="A4538" t="s">
        <v>554</v>
      </c>
      <c r="B4538">
        <v>2021</v>
      </c>
      <c r="C4538" t="s">
        <v>816</v>
      </c>
      <c r="D4538" t="s">
        <v>820</v>
      </c>
      <c r="E4538" t="s">
        <v>34</v>
      </c>
      <c r="F4538" t="s">
        <v>555</v>
      </c>
      <c r="G4538">
        <v>-33.450000000000003</v>
      </c>
      <c r="H4538">
        <v>-72</v>
      </c>
      <c r="I4538" t="s">
        <v>771</v>
      </c>
      <c r="J4538" s="2" t="s">
        <v>7</v>
      </c>
      <c r="K4538" t="s">
        <v>351</v>
      </c>
      <c r="L4538" t="s">
        <v>143</v>
      </c>
      <c r="M4538" t="s">
        <v>553</v>
      </c>
      <c r="N4538" t="s">
        <v>85</v>
      </c>
      <c r="O4538" s="6" t="s">
        <v>241</v>
      </c>
      <c r="Q4538">
        <v>21</v>
      </c>
      <c r="R4538" t="s">
        <v>213</v>
      </c>
      <c r="S4538" s="2" t="s">
        <v>7</v>
      </c>
      <c r="T4538">
        <v>6</v>
      </c>
      <c r="U4538">
        <f>AVERAGE(7.72, 7.8)</f>
        <v>7.76</v>
      </c>
      <c r="V4538">
        <f>AVERAGE(926.28,726)</f>
        <v>826.14</v>
      </c>
      <c r="W4538">
        <v>12</v>
      </c>
      <c r="X4538">
        <v>3.6999999999999998E-2</v>
      </c>
      <c r="Y4538">
        <v>1.7000000000000001E-2</v>
      </c>
      <c r="AA4538" s="6"/>
      <c r="AB4538" s="6"/>
    </row>
    <row r="4539" spans="1:28" x14ac:dyDescent="0.2">
      <c r="A4539" t="s">
        <v>554</v>
      </c>
      <c r="B4539">
        <v>2021</v>
      </c>
      <c r="C4539" t="s">
        <v>816</v>
      </c>
      <c r="D4539" t="s">
        <v>820</v>
      </c>
      <c r="E4539" t="s">
        <v>34</v>
      </c>
      <c r="F4539" t="s">
        <v>555</v>
      </c>
      <c r="G4539">
        <v>-33.450000000000003</v>
      </c>
      <c r="H4539">
        <v>-72</v>
      </c>
      <c r="I4539" t="s">
        <v>771</v>
      </c>
      <c r="J4539" s="2" t="s">
        <v>14</v>
      </c>
      <c r="K4539" t="s">
        <v>351</v>
      </c>
      <c r="L4539" t="s">
        <v>143</v>
      </c>
      <c r="M4539" t="s">
        <v>553</v>
      </c>
      <c r="N4539" t="s">
        <v>85</v>
      </c>
      <c r="O4539" s="6" t="s">
        <v>241</v>
      </c>
      <c r="Q4539">
        <v>21</v>
      </c>
      <c r="R4539" t="s">
        <v>213</v>
      </c>
      <c r="S4539" s="2" t="s">
        <v>27</v>
      </c>
      <c r="T4539">
        <v>6</v>
      </c>
      <c r="U4539" t="s">
        <v>28</v>
      </c>
      <c r="V4539" t="s">
        <v>28</v>
      </c>
      <c r="W4539">
        <v>16</v>
      </c>
      <c r="X4539">
        <v>3.2000000000000001E-2</v>
      </c>
      <c r="Y4539">
        <v>8.9999999999999993E-3</v>
      </c>
      <c r="AA4539" s="6"/>
      <c r="AB4539" s="6"/>
    </row>
    <row r="4540" spans="1:28" x14ac:dyDescent="0.2">
      <c r="A4540" t="s">
        <v>554</v>
      </c>
      <c r="B4540">
        <v>2021</v>
      </c>
      <c r="C4540" t="s">
        <v>816</v>
      </c>
      <c r="D4540" t="s">
        <v>820</v>
      </c>
      <c r="E4540" t="s">
        <v>34</v>
      </c>
      <c r="F4540" t="s">
        <v>555</v>
      </c>
      <c r="G4540">
        <v>-33.450000000000003</v>
      </c>
      <c r="H4540">
        <v>-72</v>
      </c>
      <c r="I4540" t="s">
        <v>771</v>
      </c>
      <c r="J4540" s="2" t="s">
        <v>14</v>
      </c>
      <c r="K4540" t="s">
        <v>351</v>
      </c>
      <c r="L4540" t="s">
        <v>143</v>
      </c>
      <c r="M4540" t="s">
        <v>553</v>
      </c>
      <c r="N4540" t="s">
        <v>85</v>
      </c>
      <c r="O4540" s="6" t="s">
        <v>241</v>
      </c>
      <c r="Q4540">
        <v>21</v>
      </c>
      <c r="R4540" t="s">
        <v>213</v>
      </c>
      <c r="S4540" s="2" t="s">
        <v>15</v>
      </c>
      <c r="T4540">
        <v>6</v>
      </c>
      <c r="U4540" t="s">
        <v>28</v>
      </c>
      <c r="V4540" t="s">
        <v>28</v>
      </c>
      <c r="W4540">
        <v>20</v>
      </c>
      <c r="X4540">
        <v>0.04</v>
      </c>
      <c r="Y4540">
        <v>6.0000000000000001E-3</v>
      </c>
      <c r="AA4540" s="6"/>
      <c r="AB4540" s="6"/>
    </row>
    <row r="4541" spans="1:28" x14ac:dyDescent="0.2">
      <c r="A4541" t="s">
        <v>554</v>
      </c>
      <c r="B4541">
        <v>2021</v>
      </c>
      <c r="C4541" t="s">
        <v>816</v>
      </c>
      <c r="D4541" t="s">
        <v>820</v>
      </c>
      <c r="E4541" t="s">
        <v>34</v>
      </c>
      <c r="F4541" t="s">
        <v>555</v>
      </c>
      <c r="G4541">
        <v>-33.450000000000003</v>
      </c>
      <c r="H4541">
        <v>-72</v>
      </c>
      <c r="I4541" t="s">
        <v>771</v>
      </c>
      <c r="J4541" s="2" t="s">
        <v>5</v>
      </c>
      <c r="K4541" t="s">
        <v>351</v>
      </c>
      <c r="L4541" t="s">
        <v>143</v>
      </c>
      <c r="M4541" t="s">
        <v>553</v>
      </c>
      <c r="N4541" t="s">
        <v>85</v>
      </c>
      <c r="O4541" s="6" t="s">
        <v>241</v>
      </c>
      <c r="Q4541">
        <v>21</v>
      </c>
      <c r="R4541" t="s">
        <v>213</v>
      </c>
      <c r="S4541" s="2" t="s">
        <v>9</v>
      </c>
      <c r="T4541">
        <v>6</v>
      </c>
      <c r="U4541">
        <f>AVERAGE(7.49,7.46)</f>
        <v>7.4749999999999996</v>
      </c>
      <c r="V4541">
        <f>AVERAGE(1587,1732)</f>
        <v>1659.5</v>
      </c>
      <c r="W4541" t="s">
        <v>28</v>
      </c>
      <c r="X4541">
        <v>0.03</v>
      </c>
      <c r="Y4541">
        <v>4.0000000000000001E-3</v>
      </c>
      <c r="AA4541" s="6"/>
      <c r="AB4541" s="6"/>
    </row>
    <row r="4542" spans="1:28" x14ac:dyDescent="0.2">
      <c r="A4542" t="s">
        <v>554</v>
      </c>
      <c r="B4542">
        <v>2021</v>
      </c>
      <c r="C4542" t="s">
        <v>816</v>
      </c>
      <c r="D4542" t="s">
        <v>820</v>
      </c>
      <c r="E4542" t="s">
        <v>34</v>
      </c>
      <c r="F4542" t="s">
        <v>555</v>
      </c>
      <c r="G4542">
        <v>-33.450000000000003</v>
      </c>
      <c r="H4542">
        <v>-72</v>
      </c>
      <c r="I4542" t="s">
        <v>771</v>
      </c>
      <c r="J4542" s="2" t="s">
        <v>16</v>
      </c>
      <c r="K4542" t="s">
        <v>351</v>
      </c>
      <c r="L4542" t="s">
        <v>143</v>
      </c>
      <c r="M4542" t="s">
        <v>553</v>
      </c>
      <c r="N4542" t="s">
        <v>85</v>
      </c>
      <c r="O4542" s="6" t="s">
        <v>241</v>
      </c>
      <c r="Q4542">
        <v>21</v>
      </c>
      <c r="R4542" t="s">
        <v>213</v>
      </c>
      <c r="S4542" s="2" t="s">
        <v>13</v>
      </c>
      <c r="T4542">
        <v>6</v>
      </c>
      <c r="U4542">
        <f>AVERAGE(7.46,7.47)</f>
        <v>7.4649999999999999</v>
      </c>
      <c r="V4542">
        <f>AVERAGE(1727,1689)</f>
        <v>1708</v>
      </c>
      <c r="W4542">
        <v>16</v>
      </c>
      <c r="X4542">
        <v>4.9000000000000002E-2</v>
      </c>
      <c r="Y4542">
        <v>5.0000000000000001E-3</v>
      </c>
      <c r="AA4542" s="6"/>
      <c r="AB4542" s="6"/>
    </row>
    <row r="4543" spans="1:28" x14ac:dyDescent="0.2">
      <c r="A4543" t="s">
        <v>554</v>
      </c>
      <c r="B4543">
        <v>2021</v>
      </c>
      <c r="C4543" t="s">
        <v>816</v>
      </c>
      <c r="D4543" t="s">
        <v>820</v>
      </c>
      <c r="E4543" t="s">
        <v>34</v>
      </c>
      <c r="F4543" t="s">
        <v>555</v>
      </c>
      <c r="G4543">
        <v>-33.450000000000003</v>
      </c>
      <c r="H4543">
        <v>-72</v>
      </c>
      <c r="I4543" t="s">
        <v>771</v>
      </c>
      <c r="J4543" s="2" t="s">
        <v>16</v>
      </c>
      <c r="K4543" t="s">
        <v>351</v>
      </c>
      <c r="L4543" t="s">
        <v>143</v>
      </c>
      <c r="M4543" t="s">
        <v>553</v>
      </c>
      <c r="N4543" t="s">
        <v>85</v>
      </c>
      <c r="O4543" s="6" t="s">
        <v>241</v>
      </c>
      <c r="Q4543">
        <v>21</v>
      </c>
      <c r="R4543" t="s">
        <v>213</v>
      </c>
      <c r="S4543" s="2" t="s">
        <v>37</v>
      </c>
      <c r="T4543">
        <v>6</v>
      </c>
      <c r="U4543">
        <f>AVERAGE(7.54,7.55)</f>
        <v>7.5449999999999999</v>
      </c>
      <c r="V4543">
        <f>AVERAGE(1442,1414)</f>
        <v>1428</v>
      </c>
      <c r="W4543">
        <v>20</v>
      </c>
      <c r="X4543">
        <v>3.3000000000000002E-2</v>
      </c>
      <c r="Y4543">
        <v>1E-3</v>
      </c>
      <c r="AA4543" s="6"/>
      <c r="AB4543" s="6"/>
    </row>
    <row r="4544" spans="1:28" x14ac:dyDescent="0.2">
      <c r="A4544" t="s">
        <v>554</v>
      </c>
      <c r="B4544">
        <v>2021</v>
      </c>
      <c r="C4544" t="s">
        <v>816</v>
      </c>
      <c r="D4544" t="s">
        <v>820</v>
      </c>
      <c r="E4544" t="s">
        <v>34</v>
      </c>
      <c r="F4544" t="s">
        <v>555</v>
      </c>
      <c r="G4544">
        <v>-33.450000000000003</v>
      </c>
      <c r="H4544">
        <v>-72</v>
      </c>
      <c r="I4544" t="s">
        <v>764</v>
      </c>
      <c r="J4544" s="2" t="s">
        <v>7</v>
      </c>
      <c r="K4544" t="s">
        <v>351</v>
      </c>
      <c r="L4544" t="s">
        <v>143</v>
      </c>
      <c r="M4544" t="s">
        <v>553</v>
      </c>
      <c r="N4544" t="s">
        <v>85</v>
      </c>
      <c r="O4544" s="6" t="s">
        <v>241</v>
      </c>
      <c r="Q4544">
        <v>21</v>
      </c>
      <c r="R4544" t="s">
        <v>213</v>
      </c>
      <c r="S4544" s="2" t="s">
        <v>7</v>
      </c>
      <c r="T4544">
        <v>6</v>
      </c>
      <c r="U4544">
        <f>AVERAGE(7.72, 7.8)</f>
        <v>7.76</v>
      </c>
      <c r="V4544">
        <f>AVERAGE(926.28,726)</f>
        <v>826.14</v>
      </c>
      <c r="W4544">
        <v>12</v>
      </c>
      <c r="X4544">
        <v>6.5000000000000002E-2</v>
      </c>
      <c r="Y4544">
        <v>3.0000000000000001E-3</v>
      </c>
      <c r="AA4544" s="6"/>
      <c r="AB4544" s="6"/>
    </row>
    <row r="4545" spans="1:28" x14ac:dyDescent="0.2">
      <c r="A4545" t="s">
        <v>554</v>
      </c>
      <c r="B4545">
        <v>2021</v>
      </c>
      <c r="C4545" t="s">
        <v>816</v>
      </c>
      <c r="D4545" t="s">
        <v>820</v>
      </c>
      <c r="E4545" t="s">
        <v>34</v>
      </c>
      <c r="F4545" t="s">
        <v>555</v>
      </c>
      <c r="G4545">
        <v>-33.450000000000003</v>
      </c>
      <c r="H4545">
        <v>-72</v>
      </c>
      <c r="I4545" t="s">
        <v>764</v>
      </c>
      <c r="J4545" s="2" t="s">
        <v>14</v>
      </c>
      <c r="K4545" t="s">
        <v>351</v>
      </c>
      <c r="L4545" t="s">
        <v>143</v>
      </c>
      <c r="M4545" t="s">
        <v>553</v>
      </c>
      <c r="N4545" t="s">
        <v>85</v>
      </c>
      <c r="O4545" s="6" t="s">
        <v>241</v>
      </c>
      <c r="Q4545">
        <v>21</v>
      </c>
      <c r="R4545" t="s">
        <v>213</v>
      </c>
      <c r="S4545" s="2" t="s">
        <v>27</v>
      </c>
      <c r="T4545">
        <v>6</v>
      </c>
      <c r="U4545" t="s">
        <v>28</v>
      </c>
      <c r="V4545" t="s">
        <v>28</v>
      </c>
      <c r="W4545">
        <v>16</v>
      </c>
      <c r="X4545">
        <v>4.2000000000000003E-2</v>
      </c>
      <c r="Y4545">
        <v>4.0000000000000001E-3</v>
      </c>
      <c r="AA4545" s="6"/>
      <c r="AB4545" s="6"/>
    </row>
    <row r="4546" spans="1:28" x14ac:dyDescent="0.2">
      <c r="A4546" t="s">
        <v>554</v>
      </c>
      <c r="B4546">
        <v>2021</v>
      </c>
      <c r="C4546" t="s">
        <v>816</v>
      </c>
      <c r="D4546" t="s">
        <v>820</v>
      </c>
      <c r="E4546" t="s">
        <v>34</v>
      </c>
      <c r="F4546" t="s">
        <v>555</v>
      </c>
      <c r="G4546">
        <v>-33.450000000000003</v>
      </c>
      <c r="H4546">
        <v>-72</v>
      </c>
      <c r="I4546" t="s">
        <v>764</v>
      </c>
      <c r="J4546" s="2" t="s">
        <v>14</v>
      </c>
      <c r="K4546" t="s">
        <v>351</v>
      </c>
      <c r="L4546" t="s">
        <v>143</v>
      </c>
      <c r="M4546" t="s">
        <v>553</v>
      </c>
      <c r="N4546" t="s">
        <v>85</v>
      </c>
      <c r="O4546" s="6" t="s">
        <v>241</v>
      </c>
      <c r="Q4546">
        <v>21</v>
      </c>
      <c r="R4546" t="s">
        <v>213</v>
      </c>
      <c r="S4546" s="2" t="s">
        <v>15</v>
      </c>
      <c r="T4546">
        <v>6</v>
      </c>
      <c r="U4546" t="s">
        <v>28</v>
      </c>
      <c r="V4546" t="s">
        <v>28</v>
      </c>
      <c r="W4546">
        <v>20</v>
      </c>
      <c r="X4546">
        <v>8.3000000000000004E-2</v>
      </c>
      <c r="Y4546">
        <v>3.5000000000000003E-2</v>
      </c>
      <c r="AA4546" s="6"/>
      <c r="AB4546" s="6"/>
    </row>
    <row r="4547" spans="1:28" x14ac:dyDescent="0.2">
      <c r="A4547" t="s">
        <v>554</v>
      </c>
      <c r="B4547">
        <v>2021</v>
      </c>
      <c r="C4547" t="s">
        <v>816</v>
      </c>
      <c r="D4547" t="s">
        <v>820</v>
      </c>
      <c r="E4547" t="s">
        <v>34</v>
      </c>
      <c r="F4547" t="s">
        <v>555</v>
      </c>
      <c r="G4547">
        <v>-33.450000000000003</v>
      </c>
      <c r="H4547">
        <v>-72</v>
      </c>
      <c r="I4547" t="s">
        <v>764</v>
      </c>
      <c r="J4547" s="2" t="s">
        <v>5</v>
      </c>
      <c r="K4547" t="s">
        <v>351</v>
      </c>
      <c r="L4547" t="s">
        <v>143</v>
      </c>
      <c r="M4547" t="s">
        <v>553</v>
      </c>
      <c r="N4547" t="s">
        <v>85</v>
      </c>
      <c r="O4547" s="6" t="s">
        <v>241</v>
      </c>
      <c r="Q4547">
        <v>21</v>
      </c>
      <c r="R4547" t="s">
        <v>213</v>
      </c>
      <c r="S4547" s="2" t="s">
        <v>9</v>
      </c>
      <c r="T4547">
        <v>6</v>
      </c>
      <c r="U4547">
        <f>AVERAGE(7.49,7.46)</f>
        <v>7.4749999999999996</v>
      </c>
      <c r="V4547">
        <f>AVERAGE(1587,1732)</f>
        <v>1659.5</v>
      </c>
      <c r="W4547" t="s">
        <v>28</v>
      </c>
      <c r="X4547">
        <v>8.6999999999999994E-2</v>
      </c>
      <c r="Y4547">
        <v>2.5999999999999999E-2</v>
      </c>
      <c r="AA4547" s="6"/>
      <c r="AB4547" s="6"/>
    </row>
    <row r="4548" spans="1:28" x14ac:dyDescent="0.2">
      <c r="A4548" t="s">
        <v>554</v>
      </c>
      <c r="B4548">
        <v>2021</v>
      </c>
      <c r="C4548" t="s">
        <v>816</v>
      </c>
      <c r="D4548" t="s">
        <v>820</v>
      </c>
      <c r="E4548" t="s">
        <v>34</v>
      </c>
      <c r="F4548" t="s">
        <v>555</v>
      </c>
      <c r="G4548">
        <v>-33.450000000000003</v>
      </c>
      <c r="H4548">
        <v>-72</v>
      </c>
      <c r="I4548" t="s">
        <v>764</v>
      </c>
      <c r="J4548" s="2" t="s">
        <v>16</v>
      </c>
      <c r="K4548" t="s">
        <v>351</v>
      </c>
      <c r="L4548" t="s">
        <v>143</v>
      </c>
      <c r="M4548" t="s">
        <v>553</v>
      </c>
      <c r="N4548" t="s">
        <v>85</v>
      </c>
      <c r="O4548" s="6" t="s">
        <v>241</v>
      </c>
      <c r="Q4548">
        <v>21</v>
      </c>
      <c r="R4548" t="s">
        <v>213</v>
      </c>
      <c r="S4548" s="2" t="s">
        <v>13</v>
      </c>
      <c r="T4548">
        <v>6</v>
      </c>
      <c r="U4548">
        <f>AVERAGE(7.46,7.47)</f>
        <v>7.4649999999999999</v>
      </c>
      <c r="V4548">
        <f>AVERAGE(1727,1689)</f>
        <v>1708</v>
      </c>
      <c r="W4548">
        <v>16</v>
      </c>
      <c r="X4548">
        <v>3.5000000000000003E-2</v>
      </c>
      <c r="Y4548">
        <v>7.0000000000000001E-3</v>
      </c>
      <c r="AA4548" s="6"/>
      <c r="AB4548" s="6"/>
    </row>
    <row r="4549" spans="1:28" x14ac:dyDescent="0.2">
      <c r="A4549" t="s">
        <v>554</v>
      </c>
      <c r="B4549">
        <v>2021</v>
      </c>
      <c r="C4549" t="s">
        <v>816</v>
      </c>
      <c r="D4549" t="s">
        <v>820</v>
      </c>
      <c r="E4549" t="s">
        <v>34</v>
      </c>
      <c r="F4549" t="s">
        <v>555</v>
      </c>
      <c r="G4549">
        <v>-33.450000000000003</v>
      </c>
      <c r="H4549">
        <v>-72</v>
      </c>
      <c r="I4549" t="s">
        <v>764</v>
      </c>
      <c r="J4549" s="2" t="s">
        <v>16</v>
      </c>
      <c r="K4549" t="s">
        <v>351</v>
      </c>
      <c r="L4549" t="s">
        <v>143</v>
      </c>
      <c r="M4549" t="s">
        <v>553</v>
      </c>
      <c r="N4549" t="s">
        <v>85</v>
      </c>
      <c r="O4549" s="6" t="s">
        <v>241</v>
      </c>
      <c r="Q4549">
        <v>21</v>
      </c>
      <c r="R4549" t="s">
        <v>213</v>
      </c>
      <c r="S4549" s="2" t="s">
        <v>37</v>
      </c>
      <c r="T4549">
        <v>6</v>
      </c>
      <c r="U4549">
        <f>AVERAGE(7.54,7.55)</f>
        <v>7.5449999999999999</v>
      </c>
      <c r="V4549">
        <f>AVERAGE(1442,1414)</f>
        <v>1428</v>
      </c>
      <c r="W4549">
        <v>20</v>
      </c>
      <c r="X4549">
        <v>0.04</v>
      </c>
      <c r="Y4549">
        <v>8.0000000000000002E-3</v>
      </c>
      <c r="AA4549" s="6"/>
      <c r="AB4549" s="6"/>
    </row>
    <row r="4550" spans="1:28" x14ac:dyDescent="0.2">
      <c r="A4550" t="s">
        <v>554</v>
      </c>
      <c r="B4550">
        <v>2021</v>
      </c>
      <c r="C4550" t="s">
        <v>816</v>
      </c>
      <c r="D4550" t="s">
        <v>820</v>
      </c>
      <c r="E4550" t="s">
        <v>34</v>
      </c>
      <c r="F4550" t="s">
        <v>315</v>
      </c>
      <c r="G4550">
        <v>-33.133333</v>
      </c>
      <c r="H4550">
        <v>-71.7</v>
      </c>
      <c r="I4550" t="s">
        <v>771</v>
      </c>
      <c r="J4550" s="2" t="s">
        <v>7</v>
      </c>
      <c r="K4550" t="s">
        <v>351</v>
      </c>
      <c r="L4550" t="s">
        <v>143</v>
      </c>
      <c r="M4550" t="s">
        <v>553</v>
      </c>
      <c r="N4550" t="s">
        <v>85</v>
      </c>
      <c r="O4550" s="6" t="s">
        <v>242</v>
      </c>
      <c r="Q4550">
        <v>21</v>
      </c>
      <c r="R4550" t="s">
        <v>213</v>
      </c>
      <c r="S4550" s="2" t="s">
        <v>7</v>
      </c>
      <c r="T4550">
        <v>6</v>
      </c>
      <c r="U4550">
        <f>AVERAGE(7.72, 7.8)</f>
        <v>7.76</v>
      </c>
      <c r="V4550">
        <f>AVERAGE(926.28,726)</f>
        <v>826.14</v>
      </c>
      <c r="W4550">
        <v>12</v>
      </c>
      <c r="X4550">
        <v>0.09</v>
      </c>
      <c r="Y4550">
        <v>5.0000000000000001E-3</v>
      </c>
      <c r="AA4550" s="6"/>
      <c r="AB4550" s="6"/>
    </row>
    <row r="4551" spans="1:28" x14ac:dyDescent="0.2">
      <c r="A4551" t="s">
        <v>554</v>
      </c>
      <c r="B4551">
        <v>2021</v>
      </c>
      <c r="C4551" t="s">
        <v>816</v>
      </c>
      <c r="D4551" t="s">
        <v>820</v>
      </c>
      <c r="E4551" t="s">
        <v>34</v>
      </c>
      <c r="F4551" t="s">
        <v>315</v>
      </c>
      <c r="G4551">
        <v>-33.133333</v>
      </c>
      <c r="H4551">
        <v>-71.7</v>
      </c>
      <c r="I4551" t="s">
        <v>771</v>
      </c>
      <c r="J4551" s="2" t="s">
        <v>14</v>
      </c>
      <c r="K4551" t="s">
        <v>351</v>
      </c>
      <c r="L4551" t="s">
        <v>143</v>
      </c>
      <c r="M4551" t="s">
        <v>553</v>
      </c>
      <c r="N4551" t="s">
        <v>85</v>
      </c>
      <c r="O4551" s="6" t="s">
        <v>242</v>
      </c>
      <c r="Q4551">
        <v>21</v>
      </c>
      <c r="R4551" t="s">
        <v>213</v>
      </c>
      <c r="S4551" s="2" t="s">
        <v>27</v>
      </c>
      <c r="T4551">
        <v>6</v>
      </c>
      <c r="U4551" t="s">
        <v>28</v>
      </c>
      <c r="V4551" t="s">
        <v>28</v>
      </c>
      <c r="W4551">
        <v>16</v>
      </c>
      <c r="X4551">
        <v>8.8999999999999996E-2</v>
      </c>
      <c r="Y4551">
        <v>0.02</v>
      </c>
      <c r="AA4551" s="6"/>
      <c r="AB4551" s="6"/>
    </row>
    <row r="4552" spans="1:28" x14ac:dyDescent="0.2">
      <c r="A4552" t="s">
        <v>554</v>
      </c>
      <c r="B4552">
        <v>2021</v>
      </c>
      <c r="C4552" t="s">
        <v>816</v>
      </c>
      <c r="D4552" t="s">
        <v>820</v>
      </c>
      <c r="E4552" t="s">
        <v>34</v>
      </c>
      <c r="F4552" t="s">
        <v>315</v>
      </c>
      <c r="G4552">
        <v>-33.133333</v>
      </c>
      <c r="H4552">
        <v>-71.7</v>
      </c>
      <c r="I4552" t="s">
        <v>771</v>
      </c>
      <c r="J4552" s="2" t="s">
        <v>14</v>
      </c>
      <c r="K4552" t="s">
        <v>351</v>
      </c>
      <c r="L4552" t="s">
        <v>143</v>
      </c>
      <c r="M4552" t="s">
        <v>553</v>
      </c>
      <c r="N4552" t="s">
        <v>85</v>
      </c>
      <c r="O4552" s="6" t="s">
        <v>242</v>
      </c>
      <c r="Q4552">
        <v>21</v>
      </c>
      <c r="R4552" t="s">
        <v>213</v>
      </c>
      <c r="S4552" s="2" t="s">
        <v>15</v>
      </c>
      <c r="T4552">
        <v>6</v>
      </c>
      <c r="U4552" t="s">
        <v>28</v>
      </c>
      <c r="V4552" t="s">
        <v>28</v>
      </c>
      <c r="W4552">
        <v>20</v>
      </c>
      <c r="X4552">
        <v>0.112</v>
      </c>
      <c r="Y4552">
        <v>6.0000000000000001E-3</v>
      </c>
      <c r="AA4552" s="6"/>
      <c r="AB4552" s="6"/>
    </row>
    <row r="4553" spans="1:28" x14ac:dyDescent="0.2">
      <c r="A4553" t="s">
        <v>554</v>
      </c>
      <c r="B4553">
        <v>2021</v>
      </c>
      <c r="C4553" t="s">
        <v>816</v>
      </c>
      <c r="D4553" t="s">
        <v>820</v>
      </c>
      <c r="E4553" t="s">
        <v>34</v>
      </c>
      <c r="F4553" t="s">
        <v>315</v>
      </c>
      <c r="G4553">
        <v>-33.133333</v>
      </c>
      <c r="H4553">
        <v>-71.7</v>
      </c>
      <c r="I4553" t="s">
        <v>771</v>
      </c>
      <c r="J4553" s="2" t="s">
        <v>5</v>
      </c>
      <c r="K4553" t="s">
        <v>351</v>
      </c>
      <c r="L4553" t="s">
        <v>143</v>
      </c>
      <c r="M4553" t="s">
        <v>553</v>
      </c>
      <c r="N4553" t="s">
        <v>85</v>
      </c>
      <c r="O4553" s="6" t="s">
        <v>242</v>
      </c>
      <c r="Q4553">
        <v>21</v>
      </c>
      <c r="R4553" t="s">
        <v>213</v>
      </c>
      <c r="S4553" s="2" t="s">
        <v>9</v>
      </c>
      <c r="T4553">
        <v>6</v>
      </c>
      <c r="U4553">
        <f>AVERAGE(7.49,7.46)</f>
        <v>7.4749999999999996</v>
      </c>
      <c r="V4553">
        <f>AVERAGE(1587,1732)</f>
        <v>1659.5</v>
      </c>
      <c r="W4553" t="s">
        <v>28</v>
      </c>
      <c r="X4553">
        <v>8.8999999999999996E-2</v>
      </c>
      <c r="Y4553">
        <v>0.01</v>
      </c>
      <c r="AA4553" s="6"/>
      <c r="AB4553" s="6"/>
    </row>
    <row r="4554" spans="1:28" x14ac:dyDescent="0.2">
      <c r="A4554" t="s">
        <v>554</v>
      </c>
      <c r="B4554">
        <v>2021</v>
      </c>
      <c r="C4554" t="s">
        <v>816</v>
      </c>
      <c r="D4554" t="s">
        <v>820</v>
      </c>
      <c r="E4554" t="s">
        <v>34</v>
      </c>
      <c r="F4554" t="s">
        <v>315</v>
      </c>
      <c r="G4554">
        <v>-33.133333</v>
      </c>
      <c r="H4554">
        <v>-71.7</v>
      </c>
      <c r="I4554" t="s">
        <v>771</v>
      </c>
      <c r="J4554" s="2" t="s">
        <v>16</v>
      </c>
      <c r="K4554" t="s">
        <v>351</v>
      </c>
      <c r="L4554" t="s">
        <v>143</v>
      </c>
      <c r="M4554" t="s">
        <v>553</v>
      </c>
      <c r="N4554" t="s">
        <v>85</v>
      </c>
      <c r="O4554" s="6" t="s">
        <v>242</v>
      </c>
      <c r="Q4554">
        <v>21</v>
      </c>
      <c r="R4554" t="s">
        <v>213</v>
      </c>
      <c r="S4554" s="2" t="s">
        <v>13</v>
      </c>
      <c r="T4554">
        <v>6</v>
      </c>
      <c r="U4554">
        <f>AVERAGE(7.46,7.47)</f>
        <v>7.4649999999999999</v>
      </c>
      <c r="V4554">
        <f>AVERAGE(1727,1689)</f>
        <v>1708</v>
      </c>
      <c r="W4554">
        <v>16</v>
      </c>
      <c r="X4554">
        <v>0.11600000000000001</v>
      </c>
      <c r="Y4554">
        <v>0.02</v>
      </c>
      <c r="AA4554" s="6"/>
      <c r="AB4554" s="6"/>
    </row>
    <row r="4555" spans="1:28" x14ac:dyDescent="0.2">
      <c r="A4555" t="s">
        <v>554</v>
      </c>
      <c r="B4555">
        <v>2021</v>
      </c>
      <c r="C4555" t="s">
        <v>816</v>
      </c>
      <c r="D4555" t="s">
        <v>820</v>
      </c>
      <c r="E4555" t="s">
        <v>34</v>
      </c>
      <c r="F4555" t="s">
        <v>315</v>
      </c>
      <c r="G4555">
        <v>-33.133333</v>
      </c>
      <c r="H4555">
        <v>-71.7</v>
      </c>
      <c r="I4555" t="s">
        <v>771</v>
      </c>
      <c r="J4555" s="2" t="s">
        <v>16</v>
      </c>
      <c r="K4555" t="s">
        <v>351</v>
      </c>
      <c r="L4555" t="s">
        <v>143</v>
      </c>
      <c r="M4555" t="s">
        <v>553</v>
      </c>
      <c r="N4555" t="s">
        <v>85</v>
      </c>
      <c r="O4555" s="6" t="s">
        <v>242</v>
      </c>
      <c r="Q4555">
        <v>21</v>
      </c>
      <c r="R4555" t="s">
        <v>213</v>
      </c>
      <c r="S4555" s="2" t="s">
        <v>37</v>
      </c>
      <c r="T4555">
        <v>6</v>
      </c>
      <c r="U4555">
        <f>AVERAGE(7.54,7.55)</f>
        <v>7.5449999999999999</v>
      </c>
      <c r="V4555">
        <f>AVERAGE(1442,1414)</f>
        <v>1428</v>
      </c>
      <c r="W4555">
        <v>20</v>
      </c>
      <c r="X4555">
        <v>8.4000000000000005E-2</v>
      </c>
      <c r="Y4555">
        <v>0.05</v>
      </c>
      <c r="AA4555" s="6"/>
      <c r="AB4555" s="6"/>
    </row>
    <row r="4556" spans="1:28" x14ac:dyDescent="0.2">
      <c r="A4556" t="s">
        <v>554</v>
      </c>
      <c r="B4556">
        <v>2021</v>
      </c>
      <c r="C4556" t="s">
        <v>816</v>
      </c>
      <c r="D4556" t="s">
        <v>820</v>
      </c>
      <c r="E4556" t="s">
        <v>34</v>
      </c>
      <c r="F4556" t="s">
        <v>315</v>
      </c>
      <c r="G4556">
        <v>-33.133333</v>
      </c>
      <c r="H4556">
        <v>-71.7</v>
      </c>
      <c r="I4556" t="s">
        <v>764</v>
      </c>
      <c r="J4556" s="2" t="s">
        <v>7</v>
      </c>
      <c r="K4556" t="s">
        <v>351</v>
      </c>
      <c r="L4556" t="s">
        <v>143</v>
      </c>
      <c r="M4556" t="s">
        <v>553</v>
      </c>
      <c r="N4556" t="s">
        <v>85</v>
      </c>
      <c r="O4556" s="6" t="s">
        <v>242</v>
      </c>
      <c r="Q4556">
        <v>21</v>
      </c>
      <c r="R4556" t="s">
        <v>213</v>
      </c>
      <c r="S4556" s="2" t="s">
        <v>7</v>
      </c>
      <c r="T4556">
        <v>6</v>
      </c>
      <c r="U4556">
        <f>AVERAGE(7.72, 7.8)</f>
        <v>7.76</v>
      </c>
      <c r="V4556">
        <f>AVERAGE(926.28,726)</f>
        <v>826.14</v>
      </c>
      <c r="W4556">
        <v>12</v>
      </c>
      <c r="X4556">
        <v>7.2999999999999995E-2</v>
      </c>
      <c r="Y4556">
        <v>1.9E-2</v>
      </c>
      <c r="AA4556" s="6"/>
      <c r="AB4556" s="6"/>
    </row>
    <row r="4557" spans="1:28" x14ac:dyDescent="0.2">
      <c r="A4557" t="s">
        <v>554</v>
      </c>
      <c r="B4557">
        <v>2021</v>
      </c>
      <c r="C4557" t="s">
        <v>816</v>
      </c>
      <c r="D4557" t="s">
        <v>820</v>
      </c>
      <c r="E4557" t="s">
        <v>34</v>
      </c>
      <c r="F4557" t="s">
        <v>315</v>
      </c>
      <c r="G4557">
        <v>-33.133333</v>
      </c>
      <c r="H4557">
        <v>-71.7</v>
      </c>
      <c r="I4557" t="s">
        <v>764</v>
      </c>
      <c r="J4557" s="2" t="s">
        <v>14</v>
      </c>
      <c r="K4557" t="s">
        <v>351</v>
      </c>
      <c r="L4557" t="s">
        <v>143</v>
      </c>
      <c r="M4557" t="s">
        <v>553</v>
      </c>
      <c r="N4557" t="s">
        <v>85</v>
      </c>
      <c r="O4557" s="6" t="s">
        <v>242</v>
      </c>
      <c r="Q4557">
        <v>21</v>
      </c>
      <c r="R4557" t="s">
        <v>213</v>
      </c>
      <c r="S4557" s="2" t="s">
        <v>27</v>
      </c>
      <c r="T4557">
        <v>6</v>
      </c>
      <c r="U4557" t="s">
        <v>28</v>
      </c>
      <c r="V4557" t="s">
        <v>28</v>
      </c>
      <c r="W4557">
        <v>16</v>
      </c>
      <c r="X4557">
        <v>7.3999999999999996E-2</v>
      </c>
      <c r="Y4557">
        <v>3.0000000000000001E-3</v>
      </c>
      <c r="AA4557" s="6"/>
      <c r="AB4557" s="6"/>
    </row>
    <row r="4558" spans="1:28" x14ac:dyDescent="0.2">
      <c r="A4558" t="s">
        <v>554</v>
      </c>
      <c r="B4558">
        <v>2021</v>
      </c>
      <c r="C4558" t="s">
        <v>816</v>
      </c>
      <c r="D4558" t="s">
        <v>820</v>
      </c>
      <c r="E4558" t="s">
        <v>34</v>
      </c>
      <c r="F4558" t="s">
        <v>315</v>
      </c>
      <c r="G4558">
        <v>-33.133333</v>
      </c>
      <c r="H4558">
        <v>-71.7</v>
      </c>
      <c r="I4558" t="s">
        <v>764</v>
      </c>
      <c r="J4558" s="2" t="s">
        <v>14</v>
      </c>
      <c r="K4558" t="s">
        <v>351</v>
      </c>
      <c r="L4558" t="s">
        <v>143</v>
      </c>
      <c r="M4558" t="s">
        <v>553</v>
      </c>
      <c r="N4558" t="s">
        <v>85</v>
      </c>
      <c r="O4558" s="6" t="s">
        <v>242</v>
      </c>
      <c r="Q4558">
        <v>21</v>
      </c>
      <c r="R4558" t="s">
        <v>213</v>
      </c>
      <c r="S4558" s="2" t="s">
        <v>15</v>
      </c>
      <c r="T4558">
        <v>6</v>
      </c>
      <c r="U4558" t="s">
        <v>28</v>
      </c>
      <c r="V4558" t="s">
        <v>28</v>
      </c>
      <c r="W4558">
        <v>20</v>
      </c>
      <c r="X4558">
        <v>0.11799999999999999</v>
      </c>
      <c r="Y4558">
        <v>1.4999999999999999E-2</v>
      </c>
      <c r="AA4558" s="6"/>
      <c r="AB4558" s="6"/>
    </row>
    <row r="4559" spans="1:28" x14ac:dyDescent="0.2">
      <c r="A4559" t="s">
        <v>554</v>
      </c>
      <c r="B4559">
        <v>2021</v>
      </c>
      <c r="C4559" t="s">
        <v>816</v>
      </c>
      <c r="D4559" t="s">
        <v>820</v>
      </c>
      <c r="E4559" t="s">
        <v>34</v>
      </c>
      <c r="F4559" t="s">
        <v>315</v>
      </c>
      <c r="G4559">
        <v>-33.133333</v>
      </c>
      <c r="H4559">
        <v>-71.7</v>
      </c>
      <c r="I4559" t="s">
        <v>764</v>
      </c>
      <c r="J4559" s="2" t="s">
        <v>5</v>
      </c>
      <c r="K4559" t="s">
        <v>351</v>
      </c>
      <c r="L4559" t="s">
        <v>143</v>
      </c>
      <c r="M4559" t="s">
        <v>553</v>
      </c>
      <c r="N4559" t="s">
        <v>85</v>
      </c>
      <c r="O4559" s="6" t="s">
        <v>242</v>
      </c>
      <c r="Q4559">
        <v>21</v>
      </c>
      <c r="R4559" t="s">
        <v>213</v>
      </c>
      <c r="S4559" s="2" t="s">
        <v>9</v>
      </c>
      <c r="T4559">
        <v>6</v>
      </c>
      <c r="U4559">
        <f>AVERAGE(7.49,7.46)</f>
        <v>7.4749999999999996</v>
      </c>
      <c r="V4559">
        <f>AVERAGE(1587,1732)</f>
        <v>1659.5</v>
      </c>
      <c r="W4559" t="s">
        <v>28</v>
      </c>
      <c r="X4559">
        <v>8.5999999999999993E-2</v>
      </c>
      <c r="Y4559">
        <v>1.7000000000000001E-2</v>
      </c>
      <c r="AA4559" s="6"/>
      <c r="AB4559" s="6"/>
    </row>
    <row r="4560" spans="1:28" x14ac:dyDescent="0.2">
      <c r="A4560" t="s">
        <v>554</v>
      </c>
      <c r="B4560">
        <v>2021</v>
      </c>
      <c r="C4560" t="s">
        <v>816</v>
      </c>
      <c r="D4560" t="s">
        <v>820</v>
      </c>
      <c r="E4560" t="s">
        <v>34</v>
      </c>
      <c r="F4560" t="s">
        <v>315</v>
      </c>
      <c r="G4560">
        <v>-33.133333</v>
      </c>
      <c r="H4560">
        <v>-71.7</v>
      </c>
      <c r="I4560" t="s">
        <v>764</v>
      </c>
      <c r="J4560" s="2" t="s">
        <v>16</v>
      </c>
      <c r="K4560" t="s">
        <v>351</v>
      </c>
      <c r="L4560" t="s">
        <v>143</v>
      </c>
      <c r="M4560" t="s">
        <v>553</v>
      </c>
      <c r="N4560" t="s">
        <v>85</v>
      </c>
      <c r="O4560" s="6" t="s">
        <v>242</v>
      </c>
      <c r="Q4560">
        <v>21</v>
      </c>
      <c r="R4560" t="s">
        <v>213</v>
      </c>
      <c r="S4560" s="2" t="s">
        <v>13</v>
      </c>
      <c r="T4560">
        <v>6</v>
      </c>
      <c r="U4560">
        <f>AVERAGE(7.46,7.47)</f>
        <v>7.4649999999999999</v>
      </c>
      <c r="V4560">
        <f>AVERAGE(1727,1689)</f>
        <v>1708</v>
      </c>
      <c r="W4560">
        <v>16</v>
      </c>
      <c r="X4560">
        <v>7.9000000000000001E-2</v>
      </c>
      <c r="Y4560">
        <v>1.0999999999999999E-2</v>
      </c>
      <c r="AA4560" s="6"/>
      <c r="AB4560" s="6"/>
    </row>
    <row r="4561" spans="1:28" x14ac:dyDescent="0.2">
      <c r="A4561" t="s">
        <v>554</v>
      </c>
      <c r="B4561">
        <v>2021</v>
      </c>
      <c r="C4561" t="s">
        <v>816</v>
      </c>
      <c r="D4561" t="s">
        <v>820</v>
      </c>
      <c r="E4561" t="s">
        <v>34</v>
      </c>
      <c r="F4561" t="s">
        <v>315</v>
      </c>
      <c r="G4561">
        <v>-33.133333</v>
      </c>
      <c r="H4561">
        <v>-71.7</v>
      </c>
      <c r="I4561" t="s">
        <v>764</v>
      </c>
      <c r="J4561" s="2" t="s">
        <v>16</v>
      </c>
      <c r="K4561" t="s">
        <v>351</v>
      </c>
      <c r="L4561" t="s">
        <v>143</v>
      </c>
      <c r="M4561" t="s">
        <v>553</v>
      </c>
      <c r="N4561" t="s">
        <v>85</v>
      </c>
      <c r="O4561" s="6" t="s">
        <v>242</v>
      </c>
      <c r="Q4561">
        <v>21</v>
      </c>
      <c r="R4561" t="s">
        <v>213</v>
      </c>
      <c r="S4561" s="2" t="s">
        <v>37</v>
      </c>
      <c r="T4561">
        <v>6</v>
      </c>
      <c r="U4561">
        <f>AVERAGE(7.54,7.55)</f>
        <v>7.5449999999999999</v>
      </c>
      <c r="V4561">
        <f>AVERAGE(1442,1414)</f>
        <v>1428</v>
      </c>
      <c r="W4561">
        <v>20</v>
      </c>
      <c r="X4561">
        <v>0.151</v>
      </c>
      <c r="Y4561">
        <v>4.4999999999999998E-2</v>
      </c>
      <c r="AA4561" s="6"/>
      <c r="AB4561" s="6"/>
    </row>
    <row r="4562" spans="1:28" x14ac:dyDescent="0.2">
      <c r="A4562" t="s">
        <v>554</v>
      </c>
      <c r="B4562">
        <v>2021</v>
      </c>
      <c r="C4562" t="s">
        <v>816</v>
      </c>
      <c r="D4562" t="s">
        <v>820</v>
      </c>
      <c r="E4562" t="s">
        <v>34</v>
      </c>
      <c r="F4562" t="s">
        <v>555</v>
      </c>
      <c r="G4562">
        <v>-33.450000000000003</v>
      </c>
      <c r="H4562">
        <v>-72</v>
      </c>
      <c r="I4562" t="s">
        <v>771</v>
      </c>
      <c r="J4562" s="2" t="s">
        <v>7</v>
      </c>
      <c r="K4562" t="s">
        <v>351</v>
      </c>
      <c r="L4562" t="s">
        <v>143</v>
      </c>
      <c r="M4562" t="s">
        <v>553</v>
      </c>
      <c r="N4562" t="s">
        <v>85</v>
      </c>
      <c r="O4562" s="6" t="s">
        <v>242</v>
      </c>
      <c r="Q4562">
        <v>21</v>
      </c>
      <c r="R4562" t="s">
        <v>213</v>
      </c>
      <c r="S4562" s="2" t="s">
        <v>7</v>
      </c>
      <c r="T4562">
        <v>6</v>
      </c>
      <c r="U4562">
        <f>AVERAGE(7.72, 7.8)</f>
        <v>7.76</v>
      </c>
      <c r="V4562">
        <f>AVERAGE(926.28,726)</f>
        <v>826.14</v>
      </c>
      <c r="W4562">
        <v>12</v>
      </c>
      <c r="X4562">
        <v>9.0999999999999998E-2</v>
      </c>
      <c r="Y4562">
        <v>3.6999999999999998E-2</v>
      </c>
      <c r="AA4562" s="6"/>
      <c r="AB4562" s="6"/>
    </row>
    <row r="4563" spans="1:28" x14ac:dyDescent="0.2">
      <c r="A4563" t="s">
        <v>554</v>
      </c>
      <c r="B4563">
        <v>2021</v>
      </c>
      <c r="C4563" t="s">
        <v>816</v>
      </c>
      <c r="D4563" t="s">
        <v>820</v>
      </c>
      <c r="E4563" t="s">
        <v>34</v>
      </c>
      <c r="F4563" t="s">
        <v>555</v>
      </c>
      <c r="G4563">
        <v>-33.450000000000003</v>
      </c>
      <c r="H4563">
        <v>-72</v>
      </c>
      <c r="I4563" t="s">
        <v>771</v>
      </c>
      <c r="J4563" s="2" t="s">
        <v>14</v>
      </c>
      <c r="K4563" t="s">
        <v>351</v>
      </c>
      <c r="L4563" t="s">
        <v>143</v>
      </c>
      <c r="M4563" t="s">
        <v>553</v>
      </c>
      <c r="N4563" t="s">
        <v>85</v>
      </c>
      <c r="O4563" s="6" t="s">
        <v>242</v>
      </c>
      <c r="Q4563">
        <v>21</v>
      </c>
      <c r="R4563" t="s">
        <v>213</v>
      </c>
      <c r="S4563" s="2" t="s">
        <v>27</v>
      </c>
      <c r="T4563">
        <v>6</v>
      </c>
      <c r="U4563" t="s">
        <v>28</v>
      </c>
      <c r="V4563" t="s">
        <v>28</v>
      </c>
      <c r="W4563">
        <v>16</v>
      </c>
      <c r="X4563">
        <v>0.08</v>
      </c>
      <c r="Y4563">
        <v>0.01</v>
      </c>
      <c r="AA4563" s="6"/>
      <c r="AB4563" s="6"/>
    </row>
    <row r="4564" spans="1:28" x14ac:dyDescent="0.2">
      <c r="A4564" t="s">
        <v>554</v>
      </c>
      <c r="B4564">
        <v>2021</v>
      </c>
      <c r="C4564" t="s">
        <v>816</v>
      </c>
      <c r="D4564" t="s">
        <v>820</v>
      </c>
      <c r="E4564" t="s">
        <v>34</v>
      </c>
      <c r="F4564" t="s">
        <v>555</v>
      </c>
      <c r="G4564">
        <v>-33.450000000000003</v>
      </c>
      <c r="H4564">
        <v>-72</v>
      </c>
      <c r="I4564" t="s">
        <v>771</v>
      </c>
      <c r="J4564" s="2" t="s">
        <v>14</v>
      </c>
      <c r="K4564" t="s">
        <v>351</v>
      </c>
      <c r="L4564" t="s">
        <v>143</v>
      </c>
      <c r="M4564" t="s">
        <v>553</v>
      </c>
      <c r="N4564" t="s">
        <v>85</v>
      </c>
      <c r="O4564" s="6" t="s">
        <v>242</v>
      </c>
      <c r="Q4564">
        <v>21</v>
      </c>
      <c r="R4564" t="s">
        <v>213</v>
      </c>
      <c r="S4564" s="2" t="s">
        <v>15</v>
      </c>
      <c r="T4564">
        <v>6</v>
      </c>
      <c r="U4564" t="s">
        <v>28</v>
      </c>
      <c r="V4564" t="s">
        <v>28</v>
      </c>
      <c r="W4564">
        <v>20</v>
      </c>
      <c r="X4564">
        <v>0.10100000000000001</v>
      </c>
      <c r="Y4564">
        <v>8.0000000000000002E-3</v>
      </c>
      <c r="AA4564" s="6"/>
      <c r="AB4564" s="6"/>
    </row>
    <row r="4565" spans="1:28" x14ac:dyDescent="0.2">
      <c r="A4565" t="s">
        <v>554</v>
      </c>
      <c r="B4565">
        <v>2021</v>
      </c>
      <c r="C4565" t="s">
        <v>816</v>
      </c>
      <c r="D4565" t="s">
        <v>820</v>
      </c>
      <c r="E4565" t="s">
        <v>34</v>
      </c>
      <c r="F4565" t="s">
        <v>555</v>
      </c>
      <c r="G4565">
        <v>-33.450000000000003</v>
      </c>
      <c r="H4565">
        <v>-72</v>
      </c>
      <c r="I4565" t="s">
        <v>771</v>
      </c>
      <c r="J4565" s="2" t="s">
        <v>5</v>
      </c>
      <c r="K4565" t="s">
        <v>351</v>
      </c>
      <c r="L4565" t="s">
        <v>143</v>
      </c>
      <c r="M4565" t="s">
        <v>553</v>
      </c>
      <c r="N4565" t="s">
        <v>85</v>
      </c>
      <c r="O4565" s="6" t="s">
        <v>242</v>
      </c>
      <c r="Q4565">
        <v>21</v>
      </c>
      <c r="R4565" t="s">
        <v>213</v>
      </c>
      <c r="S4565" s="2" t="s">
        <v>9</v>
      </c>
      <c r="T4565">
        <v>6</v>
      </c>
      <c r="U4565">
        <f>AVERAGE(7.49,7.46)</f>
        <v>7.4749999999999996</v>
      </c>
      <c r="V4565">
        <f>AVERAGE(1587,1732)</f>
        <v>1659.5</v>
      </c>
      <c r="W4565" t="s">
        <v>28</v>
      </c>
      <c r="X4565">
        <v>7.9000000000000001E-2</v>
      </c>
      <c r="Y4565">
        <v>8.0000000000000002E-3</v>
      </c>
      <c r="AA4565" s="6"/>
      <c r="AB4565" s="6"/>
    </row>
    <row r="4566" spans="1:28" x14ac:dyDescent="0.2">
      <c r="A4566" t="s">
        <v>554</v>
      </c>
      <c r="B4566">
        <v>2021</v>
      </c>
      <c r="C4566" t="s">
        <v>816</v>
      </c>
      <c r="D4566" t="s">
        <v>820</v>
      </c>
      <c r="E4566" t="s">
        <v>34</v>
      </c>
      <c r="F4566" t="s">
        <v>555</v>
      </c>
      <c r="G4566">
        <v>-33.450000000000003</v>
      </c>
      <c r="H4566">
        <v>-72</v>
      </c>
      <c r="I4566" t="s">
        <v>771</v>
      </c>
      <c r="J4566" s="2" t="s">
        <v>16</v>
      </c>
      <c r="K4566" t="s">
        <v>351</v>
      </c>
      <c r="L4566" t="s">
        <v>143</v>
      </c>
      <c r="M4566" t="s">
        <v>553</v>
      </c>
      <c r="N4566" t="s">
        <v>85</v>
      </c>
      <c r="O4566" s="6" t="s">
        <v>242</v>
      </c>
      <c r="Q4566">
        <v>21</v>
      </c>
      <c r="R4566" t="s">
        <v>213</v>
      </c>
      <c r="S4566" s="2" t="s">
        <v>13</v>
      </c>
      <c r="T4566">
        <v>6</v>
      </c>
      <c r="U4566">
        <f>AVERAGE(7.46,7.47)</f>
        <v>7.4649999999999999</v>
      </c>
      <c r="V4566">
        <f>AVERAGE(1727,1689)</f>
        <v>1708</v>
      </c>
      <c r="W4566">
        <v>16</v>
      </c>
      <c r="X4566">
        <v>8.1000000000000003E-2</v>
      </c>
      <c r="Y4566">
        <v>0.01</v>
      </c>
      <c r="AA4566" s="6"/>
      <c r="AB4566" s="6"/>
    </row>
    <row r="4567" spans="1:28" x14ac:dyDescent="0.2">
      <c r="A4567" t="s">
        <v>554</v>
      </c>
      <c r="B4567">
        <v>2021</v>
      </c>
      <c r="C4567" t="s">
        <v>816</v>
      </c>
      <c r="D4567" t="s">
        <v>820</v>
      </c>
      <c r="E4567" t="s">
        <v>34</v>
      </c>
      <c r="F4567" t="s">
        <v>555</v>
      </c>
      <c r="G4567">
        <v>-33.450000000000003</v>
      </c>
      <c r="H4567">
        <v>-72</v>
      </c>
      <c r="I4567" t="s">
        <v>771</v>
      </c>
      <c r="J4567" s="2" t="s">
        <v>16</v>
      </c>
      <c r="K4567" t="s">
        <v>351</v>
      </c>
      <c r="L4567" t="s">
        <v>143</v>
      </c>
      <c r="M4567" t="s">
        <v>553</v>
      </c>
      <c r="N4567" t="s">
        <v>85</v>
      </c>
      <c r="O4567" s="6" t="s">
        <v>242</v>
      </c>
      <c r="Q4567">
        <v>21</v>
      </c>
      <c r="R4567" t="s">
        <v>213</v>
      </c>
      <c r="S4567" s="2" t="s">
        <v>37</v>
      </c>
      <c r="T4567">
        <v>6</v>
      </c>
      <c r="U4567">
        <f>AVERAGE(7.54,7.55)</f>
        <v>7.5449999999999999</v>
      </c>
      <c r="V4567">
        <f>AVERAGE(1442,1414)</f>
        <v>1428</v>
      </c>
      <c r="W4567">
        <v>20</v>
      </c>
      <c r="X4567">
        <v>0.104</v>
      </c>
      <c r="Y4567">
        <v>2E-3</v>
      </c>
      <c r="AA4567" s="6"/>
      <c r="AB4567" s="6"/>
    </row>
    <row r="4568" spans="1:28" x14ac:dyDescent="0.2">
      <c r="A4568" t="s">
        <v>554</v>
      </c>
      <c r="B4568">
        <v>2021</v>
      </c>
      <c r="C4568" t="s">
        <v>816</v>
      </c>
      <c r="D4568" t="s">
        <v>820</v>
      </c>
      <c r="E4568" t="s">
        <v>34</v>
      </c>
      <c r="F4568" t="s">
        <v>555</v>
      </c>
      <c r="G4568">
        <v>-33.450000000000003</v>
      </c>
      <c r="H4568">
        <v>-72</v>
      </c>
      <c r="I4568" t="s">
        <v>764</v>
      </c>
      <c r="J4568" s="2" t="s">
        <v>7</v>
      </c>
      <c r="K4568" t="s">
        <v>351</v>
      </c>
      <c r="L4568" t="s">
        <v>143</v>
      </c>
      <c r="M4568" t="s">
        <v>553</v>
      </c>
      <c r="N4568" t="s">
        <v>85</v>
      </c>
      <c r="O4568" s="6" t="s">
        <v>242</v>
      </c>
      <c r="Q4568">
        <v>21</v>
      </c>
      <c r="R4568" t="s">
        <v>213</v>
      </c>
      <c r="S4568" s="2" t="s">
        <v>7</v>
      </c>
      <c r="T4568">
        <v>6</v>
      </c>
      <c r="U4568">
        <f>AVERAGE(7.72, 7.8)</f>
        <v>7.76</v>
      </c>
      <c r="V4568">
        <f>AVERAGE(926.28,726)</f>
        <v>826.14</v>
      </c>
      <c r="W4568">
        <v>12</v>
      </c>
      <c r="X4568">
        <v>0.155</v>
      </c>
      <c r="Y4568">
        <v>1.7000000000000001E-2</v>
      </c>
      <c r="AA4568" s="6"/>
      <c r="AB4568" s="6"/>
    </row>
    <row r="4569" spans="1:28" x14ac:dyDescent="0.2">
      <c r="A4569" t="s">
        <v>554</v>
      </c>
      <c r="B4569">
        <v>2021</v>
      </c>
      <c r="C4569" t="s">
        <v>816</v>
      </c>
      <c r="D4569" t="s">
        <v>820</v>
      </c>
      <c r="E4569" t="s">
        <v>34</v>
      </c>
      <c r="F4569" t="s">
        <v>555</v>
      </c>
      <c r="G4569">
        <v>-33.450000000000003</v>
      </c>
      <c r="H4569">
        <v>-72</v>
      </c>
      <c r="I4569" t="s">
        <v>764</v>
      </c>
      <c r="J4569" s="2" t="s">
        <v>14</v>
      </c>
      <c r="K4569" t="s">
        <v>351</v>
      </c>
      <c r="L4569" t="s">
        <v>143</v>
      </c>
      <c r="M4569" t="s">
        <v>553</v>
      </c>
      <c r="N4569" t="s">
        <v>85</v>
      </c>
      <c r="O4569" s="6" t="s">
        <v>242</v>
      </c>
      <c r="Q4569">
        <v>21</v>
      </c>
      <c r="R4569" t="s">
        <v>213</v>
      </c>
      <c r="S4569" s="2" t="s">
        <v>27</v>
      </c>
      <c r="T4569">
        <v>6</v>
      </c>
      <c r="U4569" t="s">
        <v>28</v>
      </c>
      <c r="V4569" t="s">
        <v>28</v>
      </c>
      <c r="W4569">
        <v>16</v>
      </c>
      <c r="X4569">
        <v>0.10100000000000001</v>
      </c>
      <c r="Y4569">
        <v>4.0000000000000001E-3</v>
      </c>
      <c r="AA4569" s="6"/>
      <c r="AB4569" s="6"/>
    </row>
    <row r="4570" spans="1:28" x14ac:dyDescent="0.2">
      <c r="A4570" t="s">
        <v>554</v>
      </c>
      <c r="B4570">
        <v>2021</v>
      </c>
      <c r="C4570" t="s">
        <v>816</v>
      </c>
      <c r="D4570" t="s">
        <v>820</v>
      </c>
      <c r="E4570" t="s">
        <v>34</v>
      </c>
      <c r="F4570" t="s">
        <v>555</v>
      </c>
      <c r="G4570">
        <v>-33.450000000000003</v>
      </c>
      <c r="H4570">
        <v>-72</v>
      </c>
      <c r="I4570" t="s">
        <v>764</v>
      </c>
      <c r="J4570" s="2" t="s">
        <v>14</v>
      </c>
      <c r="K4570" t="s">
        <v>351</v>
      </c>
      <c r="L4570" t="s">
        <v>143</v>
      </c>
      <c r="M4570" t="s">
        <v>553</v>
      </c>
      <c r="N4570" t="s">
        <v>85</v>
      </c>
      <c r="O4570" s="6" t="s">
        <v>242</v>
      </c>
      <c r="Q4570">
        <v>21</v>
      </c>
      <c r="R4570" t="s">
        <v>213</v>
      </c>
      <c r="S4570" s="2" t="s">
        <v>15</v>
      </c>
      <c r="T4570">
        <v>6</v>
      </c>
      <c r="U4570" t="s">
        <v>28</v>
      </c>
      <c r="V4570" t="s">
        <v>28</v>
      </c>
      <c r="W4570">
        <v>20</v>
      </c>
      <c r="X4570">
        <v>0.16600000000000001</v>
      </c>
      <c r="Y4570">
        <v>4.9000000000000002E-2</v>
      </c>
      <c r="AA4570" s="6"/>
      <c r="AB4570" s="6"/>
    </row>
    <row r="4571" spans="1:28" x14ac:dyDescent="0.2">
      <c r="A4571" t="s">
        <v>554</v>
      </c>
      <c r="B4571">
        <v>2021</v>
      </c>
      <c r="C4571" t="s">
        <v>816</v>
      </c>
      <c r="D4571" t="s">
        <v>820</v>
      </c>
      <c r="E4571" t="s">
        <v>34</v>
      </c>
      <c r="F4571" t="s">
        <v>555</v>
      </c>
      <c r="G4571">
        <v>-33.450000000000003</v>
      </c>
      <c r="H4571">
        <v>-72</v>
      </c>
      <c r="I4571" t="s">
        <v>764</v>
      </c>
      <c r="J4571" s="2" t="s">
        <v>5</v>
      </c>
      <c r="K4571" t="s">
        <v>351</v>
      </c>
      <c r="L4571" t="s">
        <v>143</v>
      </c>
      <c r="M4571" t="s">
        <v>553</v>
      </c>
      <c r="N4571" t="s">
        <v>85</v>
      </c>
      <c r="O4571" s="6" t="s">
        <v>242</v>
      </c>
      <c r="Q4571">
        <v>21</v>
      </c>
      <c r="R4571" t="s">
        <v>213</v>
      </c>
      <c r="S4571" s="2" t="s">
        <v>9</v>
      </c>
      <c r="T4571">
        <v>6</v>
      </c>
      <c r="U4571">
        <f>AVERAGE(7.49,7.46)</f>
        <v>7.4749999999999996</v>
      </c>
      <c r="V4571">
        <f>AVERAGE(1587,1732)</f>
        <v>1659.5</v>
      </c>
      <c r="W4571" t="s">
        <v>28</v>
      </c>
      <c r="X4571">
        <v>0.13600000000000001</v>
      </c>
      <c r="Y4571">
        <v>1.7000000000000001E-2</v>
      </c>
      <c r="AA4571" s="6"/>
      <c r="AB4571" s="6"/>
    </row>
    <row r="4572" spans="1:28" x14ac:dyDescent="0.2">
      <c r="A4572" t="s">
        <v>554</v>
      </c>
      <c r="B4572">
        <v>2021</v>
      </c>
      <c r="C4572" t="s">
        <v>816</v>
      </c>
      <c r="D4572" t="s">
        <v>820</v>
      </c>
      <c r="E4572" t="s">
        <v>34</v>
      </c>
      <c r="F4572" t="s">
        <v>555</v>
      </c>
      <c r="G4572">
        <v>-33.450000000000003</v>
      </c>
      <c r="H4572">
        <v>-72</v>
      </c>
      <c r="I4572" t="s">
        <v>764</v>
      </c>
      <c r="J4572" s="2" t="s">
        <v>16</v>
      </c>
      <c r="K4572" t="s">
        <v>351</v>
      </c>
      <c r="L4572" t="s">
        <v>143</v>
      </c>
      <c r="M4572" t="s">
        <v>553</v>
      </c>
      <c r="N4572" t="s">
        <v>85</v>
      </c>
      <c r="O4572" s="6" t="s">
        <v>242</v>
      </c>
      <c r="Q4572">
        <v>21</v>
      </c>
      <c r="R4572" t="s">
        <v>213</v>
      </c>
      <c r="S4572" s="2" t="s">
        <v>13</v>
      </c>
      <c r="T4572">
        <v>6</v>
      </c>
      <c r="U4572">
        <f>AVERAGE(7.46,7.47)</f>
        <v>7.4649999999999999</v>
      </c>
      <c r="V4572">
        <f>AVERAGE(1727,1689)</f>
        <v>1708</v>
      </c>
      <c r="W4572">
        <v>16</v>
      </c>
      <c r="X4572">
        <v>7.6999999999999999E-2</v>
      </c>
      <c r="Y4572">
        <v>3.0000000000000001E-3</v>
      </c>
      <c r="AA4572" s="6"/>
      <c r="AB4572" s="6"/>
    </row>
    <row r="4573" spans="1:28" x14ac:dyDescent="0.2">
      <c r="A4573" t="s">
        <v>554</v>
      </c>
      <c r="B4573">
        <v>2021</v>
      </c>
      <c r="C4573" t="s">
        <v>816</v>
      </c>
      <c r="D4573" t="s">
        <v>820</v>
      </c>
      <c r="E4573" t="s">
        <v>34</v>
      </c>
      <c r="F4573" t="s">
        <v>555</v>
      </c>
      <c r="G4573">
        <v>-33.450000000000003</v>
      </c>
      <c r="H4573">
        <v>-72</v>
      </c>
      <c r="I4573" t="s">
        <v>764</v>
      </c>
      <c r="J4573" s="2" t="s">
        <v>16</v>
      </c>
      <c r="K4573" t="s">
        <v>351</v>
      </c>
      <c r="L4573" t="s">
        <v>143</v>
      </c>
      <c r="M4573" t="s">
        <v>553</v>
      </c>
      <c r="N4573" t="s">
        <v>85</v>
      </c>
      <c r="O4573" s="6" t="s">
        <v>242</v>
      </c>
      <c r="Q4573">
        <v>21</v>
      </c>
      <c r="R4573" t="s">
        <v>213</v>
      </c>
      <c r="S4573" s="2" t="s">
        <v>37</v>
      </c>
      <c r="T4573">
        <v>6</v>
      </c>
      <c r="U4573">
        <f>AVERAGE(7.54,7.55)</f>
        <v>7.5449999999999999</v>
      </c>
      <c r="V4573">
        <f>AVERAGE(1442,1414)</f>
        <v>1428</v>
      </c>
      <c r="W4573">
        <v>20</v>
      </c>
      <c r="X4573">
        <v>8.5999999999999993E-2</v>
      </c>
      <c r="Y4573">
        <v>1.6E-2</v>
      </c>
      <c r="AA4573" s="6"/>
      <c r="AB4573" s="6"/>
    </row>
    <row r="4574" spans="1:28" x14ac:dyDescent="0.2">
      <c r="A4574" t="s">
        <v>554</v>
      </c>
      <c r="B4574">
        <v>2021</v>
      </c>
      <c r="C4574" t="s">
        <v>816</v>
      </c>
      <c r="D4574" t="s">
        <v>820</v>
      </c>
      <c r="E4574" t="s">
        <v>34</v>
      </c>
      <c r="F4574" t="s">
        <v>315</v>
      </c>
      <c r="G4574">
        <v>-33.133333</v>
      </c>
      <c r="H4574">
        <v>-71.7</v>
      </c>
      <c r="I4574" t="s">
        <v>771</v>
      </c>
      <c r="J4574" s="2" t="s">
        <v>7</v>
      </c>
      <c r="K4574" t="s">
        <v>351</v>
      </c>
      <c r="L4574" t="s">
        <v>143</v>
      </c>
      <c r="M4574" s="6" t="s">
        <v>664</v>
      </c>
      <c r="N4574" t="s">
        <v>85</v>
      </c>
      <c r="O4574" s="6" t="s">
        <v>254</v>
      </c>
      <c r="P4574" t="s">
        <v>253</v>
      </c>
      <c r="Q4574">
        <v>21</v>
      </c>
      <c r="R4574" t="s">
        <v>213</v>
      </c>
      <c r="S4574" s="2" t="s">
        <v>7</v>
      </c>
      <c r="T4574">
        <v>6</v>
      </c>
      <c r="U4574">
        <f>AVERAGE(7.72, 7.8)</f>
        <v>7.76</v>
      </c>
      <c r="V4574">
        <f>AVERAGE(926.28,726)</f>
        <v>826.14</v>
      </c>
      <c r="W4574">
        <v>12</v>
      </c>
      <c r="X4574">
        <v>0.128</v>
      </c>
      <c r="Y4574">
        <v>0.222</v>
      </c>
    </row>
    <row r="4575" spans="1:28" x14ac:dyDescent="0.2">
      <c r="A4575" t="s">
        <v>554</v>
      </c>
      <c r="B4575">
        <v>2021</v>
      </c>
      <c r="C4575" t="s">
        <v>816</v>
      </c>
      <c r="D4575" t="s">
        <v>820</v>
      </c>
      <c r="E4575" t="s">
        <v>34</v>
      </c>
      <c r="F4575" t="s">
        <v>315</v>
      </c>
      <c r="G4575">
        <v>-33.133333</v>
      </c>
      <c r="H4575">
        <v>-71.7</v>
      </c>
      <c r="I4575" t="s">
        <v>764</v>
      </c>
      <c r="J4575" s="2" t="s">
        <v>7</v>
      </c>
      <c r="K4575" t="s">
        <v>351</v>
      </c>
      <c r="L4575" t="s">
        <v>143</v>
      </c>
      <c r="M4575" s="6" t="s">
        <v>664</v>
      </c>
      <c r="N4575" t="s">
        <v>85</v>
      </c>
      <c r="O4575" s="6" t="s">
        <v>254</v>
      </c>
      <c r="P4575" t="s">
        <v>253</v>
      </c>
      <c r="Q4575">
        <v>21</v>
      </c>
      <c r="R4575" t="s">
        <v>213</v>
      </c>
      <c r="S4575" s="2" t="s">
        <v>7</v>
      </c>
      <c r="T4575">
        <v>6</v>
      </c>
      <c r="U4575">
        <f>AVERAGE(7.72, 7.8)</f>
        <v>7.76</v>
      </c>
      <c r="V4575">
        <f>AVERAGE(926.28,726)</f>
        <v>826.14</v>
      </c>
      <c r="W4575">
        <v>12</v>
      </c>
      <c r="X4575">
        <v>3.4460000000000002</v>
      </c>
      <c r="Y4575">
        <v>3.44</v>
      </c>
    </row>
    <row r="4576" spans="1:28" x14ac:dyDescent="0.2">
      <c r="A4576" t="s">
        <v>554</v>
      </c>
      <c r="B4576">
        <v>2021</v>
      </c>
      <c r="C4576" t="s">
        <v>816</v>
      </c>
      <c r="D4576" t="s">
        <v>820</v>
      </c>
      <c r="E4576" t="s">
        <v>34</v>
      </c>
      <c r="F4576" t="s">
        <v>555</v>
      </c>
      <c r="G4576">
        <v>-33.450000000000003</v>
      </c>
      <c r="H4576">
        <v>-72</v>
      </c>
      <c r="I4576" t="s">
        <v>771</v>
      </c>
      <c r="J4576" s="2" t="s">
        <v>7</v>
      </c>
      <c r="K4576" t="s">
        <v>351</v>
      </c>
      <c r="L4576" t="s">
        <v>143</v>
      </c>
      <c r="M4576" s="6" t="s">
        <v>664</v>
      </c>
      <c r="N4576" t="s">
        <v>85</v>
      </c>
      <c r="O4576" s="6" t="s">
        <v>254</v>
      </c>
      <c r="P4576" t="s">
        <v>253</v>
      </c>
      <c r="Q4576">
        <v>21</v>
      </c>
      <c r="R4576" t="s">
        <v>213</v>
      </c>
      <c r="S4576" s="2" t="s">
        <v>7</v>
      </c>
      <c r="T4576">
        <v>6</v>
      </c>
      <c r="U4576">
        <f>AVERAGE(7.72, 7.8)</f>
        <v>7.76</v>
      </c>
      <c r="V4576">
        <f>AVERAGE(926.28,726)</f>
        <v>826.14</v>
      </c>
      <c r="W4576">
        <v>12</v>
      </c>
      <c r="X4576">
        <v>0.11</v>
      </c>
      <c r="Y4576">
        <v>0.2</v>
      </c>
    </row>
    <row r="4577" spans="1:25" x14ac:dyDescent="0.2">
      <c r="A4577" t="s">
        <v>554</v>
      </c>
      <c r="B4577">
        <v>2021</v>
      </c>
      <c r="C4577" t="s">
        <v>816</v>
      </c>
      <c r="D4577" t="s">
        <v>820</v>
      </c>
      <c r="E4577" t="s">
        <v>34</v>
      </c>
      <c r="F4577" t="s">
        <v>555</v>
      </c>
      <c r="G4577">
        <v>-33.450000000000003</v>
      </c>
      <c r="H4577">
        <v>-72</v>
      </c>
      <c r="I4577" t="s">
        <v>764</v>
      </c>
      <c r="J4577" s="2" t="s">
        <v>7</v>
      </c>
      <c r="K4577" t="s">
        <v>351</v>
      </c>
      <c r="L4577" t="s">
        <v>143</v>
      </c>
      <c r="M4577" s="6" t="s">
        <v>664</v>
      </c>
      <c r="N4577" t="s">
        <v>85</v>
      </c>
      <c r="O4577" s="6" t="s">
        <v>254</v>
      </c>
      <c r="P4577" t="s">
        <v>253</v>
      </c>
      <c r="Q4577">
        <v>21</v>
      </c>
      <c r="R4577" t="s">
        <v>213</v>
      </c>
      <c r="S4577" s="2" t="s">
        <v>7</v>
      </c>
      <c r="T4577">
        <v>6</v>
      </c>
      <c r="U4577">
        <f>AVERAGE(7.72, 7.8)</f>
        <v>7.76</v>
      </c>
      <c r="V4577">
        <f>AVERAGE(926.28,726)</f>
        <v>826.14</v>
      </c>
      <c r="W4577">
        <v>12</v>
      </c>
      <c r="X4577">
        <v>2.9289999999999998</v>
      </c>
      <c r="Y4577">
        <v>3.12</v>
      </c>
    </row>
    <row r="4578" spans="1:25" x14ac:dyDescent="0.2">
      <c r="A4578" t="s">
        <v>554</v>
      </c>
      <c r="B4578">
        <v>2021</v>
      </c>
      <c r="C4578" t="s">
        <v>816</v>
      </c>
      <c r="D4578" t="s">
        <v>820</v>
      </c>
      <c r="E4578" t="s">
        <v>34</v>
      </c>
      <c r="F4578" t="s">
        <v>315</v>
      </c>
      <c r="G4578">
        <v>-33.133333</v>
      </c>
      <c r="H4578">
        <v>-71.7</v>
      </c>
      <c r="I4578" t="s">
        <v>771</v>
      </c>
      <c r="J4578" s="2" t="s">
        <v>5</v>
      </c>
      <c r="K4578" t="s">
        <v>351</v>
      </c>
      <c r="L4578" t="s">
        <v>143</v>
      </c>
      <c r="M4578" s="6" t="s">
        <v>664</v>
      </c>
      <c r="N4578" t="s">
        <v>85</v>
      </c>
      <c r="O4578" s="6" t="s">
        <v>254</v>
      </c>
      <c r="P4578" t="s">
        <v>253</v>
      </c>
      <c r="Q4578">
        <v>21</v>
      </c>
      <c r="R4578" t="s">
        <v>213</v>
      </c>
      <c r="S4578" s="2" t="s">
        <v>9</v>
      </c>
      <c r="T4578">
        <v>6</v>
      </c>
      <c r="U4578">
        <f>AVERAGE(7.49,7.46)</f>
        <v>7.4749999999999996</v>
      </c>
      <c r="V4578">
        <f>AVERAGE(1587,1732)</f>
        <v>1659.5</v>
      </c>
      <c r="W4578" t="s">
        <v>28</v>
      </c>
      <c r="X4578">
        <v>0.24</v>
      </c>
      <c r="Y4578">
        <v>0.41</v>
      </c>
    </row>
    <row r="4579" spans="1:25" x14ac:dyDescent="0.2">
      <c r="A4579" t="s">
        <v>554</v>
      </c>
      <c r="B4579">
        <v>2021</v>
      </c>
      <c r="C4579" t="s">
        <v>816</v>
      </c>
      <c r="D4579" t="s">
        <v>820</v>
      </c>
      <c r="E4579" t="s">
        <v>34</v>
      </c>
      <c r="F4579" t="s">
        <v>315</v>
      </c>
      <c r="G4579">
        <v>-33.133333</v>
      </c>
      <c r="H4579">
        <v>-71.7</v>
      </c>
      <c r="I4579" t="s">
        <v>764</v>
      </c>
      <c r="J4579" s="2" t="s">
        <v>5</v>
      </c>
      <c r="K4579" t="s">
        <v>351</v>
      </c>
      <c r="L4579" t="s">
        <v>143</v>
      </c>
      <c r="M4579" s="6" t="s">
        <v>664</v>
      </c>
      <c r="N4579" t="s">
        <v>85</v>
      </c>
      <c r="O4579" s="6" t="s">
        <v>254</v>
      </c>
      <c r="P4579" t="s">
        <v>253</v>
      </c>
      <c r="Q4579">
        <v>21</v>
      </c>
      <c r="R4579" t="s">
        <v>213</v>
      </c>
      <c r="S4579" s="2" t="s">
        <v>9</v>
      </c>
      <c r="T4579">
        <v>6</v>
      </c>
      <c r="U4579">
        <f>AVERAGE(7.49,7.46)</f>
        <v>7.4749999999999996</v>
      </c>
      <c r="V4579">
        <f>AVERAGE(1587,1732)</f>
        <v>1659.5</v>
      </c>
      <c r="W4579" t="s">
        <v>28</v>
      </c>
      <c r="X4579">
        <v>3.6549999999999998</v>
      </c>
      <c r="Y4579">
        <v>1.66</v>
      </c>
    </row>
    <row r="4580" spans="1:25" x14ac:dyDescent="0.2">
      <c r="A4580" t="s">
        <v>554</v>
      </c>
      <c r="B4580">
        <v>2021</v>
      </c>
      <c r="C4580" t="s">
        <v>816</v>
      </c>
      <c r="D4580" t="s">
        <v>820</v>
      </c>
      <c r="E4580" t="s">
        <v>34</v>
      </c>
      <c r="F4580" t="s">
        <v>555</v>
      </c>
      <c r="G4580">
        <v>-33.450000000000003</v>
      </c>
      <c r="H4580">
        <v>-72</v>
      </c>
      <c r="I4580" t="s">
        <v>771</v>
      </c>
      <c r="J4580" s="2" t="s">
        <v>5</v>
      </c>
      <c r="K4580" t="s">
        <v>351</v>
      </c>
      <c r="L4580" t="s">
        <v>143</v>
      </c>
      <c r="M4580" s="6" t="s">
        <v>664</v>
      </c>
      <c r="N4580" t="s">
        <v>85</v>
      </c>
      <c r="O4580" s="6" t="s">
        <v>254</v>
      </c>
      <c r="P4580" t="s">
        <v>253</v>
      </c>
      <c r="Q4580">
        <v>21</v>
      </c>
      <c r="R4580" t="s">
        <v>213</v>
      </c>
      <c r="S4580" s="2" t="s">
        <v>9</v>
      </c>
      <c r="T4580">
        <v>6</v>
      </c>
      <c r="U4580">
        <f>AVERAGE(7.49,7.46)</f>
        <v>7.4749999999999996</v>
      </c>
      <c r="V4580">
        <f>AVERAGE(1587,1732)</f>
        <v>1659.5</v>
      </c>
      <c r="W4580" t="s">
        <v>28</v>
      </c>
      <c r="X4580">
        <v>0.51</v>
      </c>
      <c r="Y4580">
        <v>0.46</v>
      </c>
    </row>
    <row r="4581" spans="1:25" x14ac:dyDescent="0.2">
      <c r="A4581" t="s">
        <v>554</v>
      </c>
      <c r="B4581">
        <v>2021</v>
      </c>
      <c r="C4581" t="s">
        <v>816</v>
      </c>
      <c r="D4581" t="s">
        <v>820</v>
      </c>
      <c r="E4581" t="s">
        <v>34</v>
      </c>
      <c r="F4581" t="s">
        <v>555</v>
      </c>
      <c r="G4581">
        <v>-33.450000000000003</v>
      </c>
      <c r="H4581">
        <v>-72</v>
      </c>
      <c r="I4581" t="s">
        <v>764</v>
      </c>
      <c r="J4581" s="2" t="s">
        <v>5</v>
      </c>
      <c r="K4581" t="s">
        <v>351</v>
      </c>
      <c r="L4581" t="s">
        <v>143</v>
      </c>
      <c r="M4581" s="6" t="s">
        <v>664</v>
      </c>
      <c r="N4581" t="s">
        <v>85</v>
      </c>
      <c r="O4581" s="6" t="s">
        <v>254</v>
      </c>
      <c r="P4581" t="s">
        <v>253</v>
      </c>
      <c r="Q4581">
        <v>21</v>
      </c>
      <c r="R4581" t="s">
        <v>213</v>
      </c>
      <c r="S4581" s="2" t="s">
        <v>9</v>
      </c>
      <c r="T4581">
        <v>6</v>
      </c>
      <c r="U4581">
        <f>AVERAGE(7.49,7.46)</f>
        <v>7.4749999999999996</v>
      </c>
      <c r="V4581">
        <f>AVERAGE(1587,1732)</f>
        <v>1659.5</v>
      </c>
      <c r="W4581" t="s">
        <v>28</v>
      </c>
      <c r="X4581">
        <v>1.133</v>
      </c>
      <c r="Y4581">
        <v>1.768</v>
      </c>
    </row>
    <row r="4582" spans="1:25" x14ac:dyDescent="0.2">
      <c r="A4582" t="s">
        <v>554</v>
      </c>
      <c r="B4582">
        <v>2021</v>
      </c>
      <c r="C4582" t="s">
        <v>816</v>
      </c>
      <c r="D4582" t="s">
        <v>820</v>
      </c>
      <c r="E4582" t="s">
        <v>34</v>
      </c>
      <c r="F4582" t="s">
        <v>315</v>
      </c>
      <c r="G4582">
        <v>-33.133333</v>
      </c>
      <c r="H4582">
        <v>-71.7</v>
      </c>
      <c r="I4582" t="s">
        <v>771</v>
      </c>
      <c r="J4582" s="2" t="s">
        <v>14</v>
      </c>
      <c r="K4582" t="s">
        <v>351</v>
      </c>
      <c r="L4582" t="s">
        <v>143</v>
      </c>
      <c r="M4582" s="6" t="s">
        <v>664</v>
      </c>
      <c r="N4582" t="s">
        <v>85</v>
      </c>
      <c r="O4582" s="6" t="s">
        <v>254</v>
      </c>
      <c r="P4582" t="s">
        <v>253</v>
      </c>
      <c r="Q4582">
        <v>21</v>
      </c>
      <c r="R4582" t="s">
        <v>213</v>
      </c>
      <c r="S4582" s="2" t="s">
        <v>27</v>
      </c>
      <c r="T4582">
        <v>6</v>
      </c>
      <c r="U4582" t="s">
        <v>28</v>
      </c>
      <c r="V4582" t="s">
        <v>28</v>
      </c>
      <c r="W4582">
        <v>16</v>
      </c>
      <c r="X4582">
        <v>0.183</v>
      </c>
      <c r="Y4582">
        <v>0.20899999999999999</v>
      </c>
    </row>
    <row r="4583" spans="1:25" x14ac:dyDescent="0.2">
      <c r="A4583" t="s">
        <v>554</v>
      </c>
      <c r="B4583">
        <v>2021</v>
      </c>
      <c r="C4583" t="s">
        <v>816</v>
      </c>
      <c r="D4583" t="s">
        <v>820</v>
      </c>
      <c r="E4583" t="s">
        <v>34</v>
      </c>
      <c r="F4583" t="s">
        <v>315</v>
      </c>
      <c r="G4583">
        <v>-33.133333</v>
      </c>
      <c r="H4583">
        <v>-71.7</v>
      </c>
      <c r="I4583" t="s">
        <v>764</v>
      </c>
      <c r="J4583" s="2" t="s">
        <v>14</v>
      </c>
      <c r="K4583" t="s">
        <v>351</v>
      </c>
      <c r="L4583" t="s">
        <v>143</v>
      </c>
      <c r="M4583" s="6" t="s">
        <v>664</v>
      </c>
      <c r="N4583" t="s">
        <v>85</v>
      </c>
      <c r="O4583" s="6" t="s">
        <v>254</v>
      </c>
      <c r="P4583" t="s">
        <v>253</v>
      </c>
      <c r="Q4583">
        <v>21</v>
      </c>
      <c r="R4583" t="s">
        <v>213</v>
      </c>
      <c r="S4583" s="2" t="s">
        <v>27</v>
      </c>
      <c r="T4583">
        <v>6</v>
      </c>
      <c r="U4583" t="s">
        <v>28</v>
      </c>
      <c r="V4583" t="s">
        <v>28</v>
      </c>
      <c r="W4583">
        <v>16</v>
      </c>
      <c r="X4583">
        <v>2.6190000000000002</v>
      </c>
      <c r="Y4583">
        <v>0.20599999999999999</v>
      </c>
    </row>
    <row r="4584" spans="1:25" x14ac:dyDescent="0.2">
      <c r="A4584" t="s">
        <v>554</v>
      </c>
      <c r="B4584">
        <v>2021</v>
      </c>
      <c r="C4584" t="s">
        <v>816</v>
      </c>
      <c r="D4584" t="s">
        <v>820</v>
      </c>
      <c r="E4584" t="s">
        <v>34</v>
      </c>
      <c r="F4584" t="s">
        <v>555</v>
      </c>
      <c r="G4584">
        <v>-33.450000000000003</v>
      </c>
      <c r="H4584">
        <v>-72</v>
      </c>
      <c r="I4584" t="s">
        <v>771</v>
      </c>
      <c r="J4584" s="2" t="s">
        <v>14</v>
      </c>
      <c r="K4584" t="s">
        <v>351</v>
      </c>
      <c r="L4584" t="s">
        <v>143</v>
      </c>
      <c r="M4584" s="6" t="s">
        <v>664</v>
      </c>
      <c r="N4584" t="s">
        <v>85</v>
      </c>
      <c r="O4584" s="6" t="s">
        <v>254</v>
      </c>
      <c r="P4584" t="s">
        <v>253</v>
      </c>
      <c r="Q4584">
        <v>21</v>
      </c>
      <c r="R4584" t="s">
        <v>213</v>
      </c>
      <c r="S4584" s="2" t="s">
        <v>27</v>
      </c>
      <c r="T4584">
        <v>6</v>
      </c>
      <c r="U4584" t="s">
        <v>28</v>
      </c>
      <c r="V4584" t="s">
        <v>28</v>
      </c>
      <c r="W4584">
        <v>16</v>
      </c>
      <c r="X4584">
        <v>2.9039999999999999</v>
      </c>
      <c r="Y4584">
        <v>4.9850000000000003</v>
      </c>
    </row>
    <row r="4585" spans="1:25" x14ac:dyDescent="0.2">
      <c r="A4585" t="s">
        <v>554</v>
      </c>
      <c r="B4585">
        <v>2021</v>
      </c>
      <c r="C4585" t="s">
        <v>816</v>
      </c>
      <c r="D4585" t="s">
        <v>820</v>
      </c>
      <c r="E4585" t="s">
        <v>34</v>
      </c>
      <c r="F4585" t="s">
        <v>555</v>
      </c>
      <c r="G4585">
        <v>-33.450000000000003</v>
      </c>
      <c r="H4585">
        <v>-72</v>
      </c>
      <c r="I4585" t="s">
        <v>764</v>
      </c>
      <c r="J4585" s="2" t="s">
        <v>14</v>
      </c>
      <c r="K4585" t="s">
        <v>351</v>
      </c>
      <c r="L4585" t="s">
        <v>143</v>
      </c>
      <c r="M4585" s="6" t="s">
        <v>664</v>
      </c>
      <c r="N4585" t="s">
        <v>85</v>
      </c>
      <c r="O4585" s="6" t="s">
        <v>254</v>
      </c>
      <c r="P4585" t="s">
        <v>253</v>
      </c>
      <c r="Q4585">
        <v>21</v>
      </c>
      <c r="R4585" t="s">
        <v>213</v>
      </c>
      <c r="S4585" s="2" t="s">
        <v>27</v>
      </c>
      <c r="T4585">
        <v>6</v>
      </c>
      <c r="U4585" t="s">
        <v>28</v>
      </c>
      <c r="V4585" t="s">
        <v>28</v>
      </c>
      <c r="W4585">
        <v>16</v>
      </c>
      <c r="X4585">
        <v>0.45700000000000002</v>
      </c>
      <c r="Y4585">
        <v>0.79200000000000004</v>
      </c>
    </row>
    <row r="4586" spans="1:25" x14ac:dyDescent="0.2">
      <c r="A4586" t="s">
        <v>554</v>
      </c>
      <c r="B4586">
        <v>2021</v>
      </c>
      <c r="C4586" t="s">
        <v>816</v>
      </c>
      <c r="D4586" t="s">
        <v>820</v>
      </c>
      <c r="E4586" t="s">
        <v>34</v>
      </c>
      <c r="F4586" t="s">
        <v>315</v>
      </c>
      <c r="G4586">
        <v>-33.133333</v>
      </c>
      <c r="H4586">
        <v>-71.7</v>
      </c>
      <c r="I4586" t="s">
        <v>771</v>
      </c>
      <c r="J4586" s="2" t="s">
        <v>16</v>
      </c>
      <c r="K4586" t="s">
        <v>351</v>
      </c>
      <c r="L4586" t="s">
        <v>143</v>
      </c>
      <c r="M4586" s="6" t="s">
        <v>664</v>
      </c>
      <c r="N4586" t="s">
        <v>85</v>
      </c>
      <c r="O4586" s="6" t="s">
        <v>254</v>
      </c>
      <c r="P4586" t="s">
        <v>253</v>
      </c>
      <c r="Q4586">
        <v>21</v>
      </c>
      <c r="R4586" t="s">
        <v>213</v>
      </c>
      <c r="S4586" s="2" t="s">
        <v>13</v>
      </c>
      <c r="T4586">
        <v>6</v>
      </c>
      <c r="U4586">
        <f>AVERAGE(7.46,7.47)</f>
        <v>7.4649999999999999</v>
      </c>
      <c r="V4586">
        <f>AVERAGE(1727,1689)</f>
        <v>1708</v>
      </c>
      <c r="W4586">
        <v>16</v>
      </c>
      <c r="X4586">
        <v>3.6389999999999998</v>
      </c>
      <c r="Y4586">
        <v>4.101</v>
      </c>
    </row>
    <row r="4587" spans="1:25" x14ac:dyDescent="0.2">
      <c r="A4587" t="s">
        <v>554</v>
      </c>
      <c r="B4587">
        <v>2021</v>
      </c>
      <c r="C4587" t="s">
        <v>816</v>
      </c>
      <c r="D4587" t="s">
        <v>820</v>
      </c>
      <c r="E4587" t="s">
        <v>34</v>
      </c>
      <c r="F4587" t="s">
        <v>315</v>
      </c>
      <c r="G4587">
        <v>-33.133333</v>
      </c>
      <c r="H4587">
        <v>-71.7</v>
      </c>
      <c r="I4587" t="s">
        <v>764</v>
      </c>
      <c r="J4587" s="2" t="s">
        <v>16</v>
      </c>
      <c r="K4587" t="s">
        <v>351</v>
      </c>
      <c r="L4587" t="s">
        <v>143</v>
      </c>
      <c r="M4587" s="6" t="s">
        <v>664</v>
      </c>
      <c r="N4587" t="s">
        <v>85</v>
      </c>
      <c r="O4587" s="6" t="s">
        <v>254</v>
      </c>
      <c r="P4587" t="s">
        <v>253</v>
      </c>
      <c r="Q4587">
        <v>21</v>
      </c>
      <c r="R4587" t="s">
        <v>213</v>
      </c>
      <c r="S4587" s="2" t="s">
        <v>13</v>
      </c>
      <c r="T4587">
        <v>6</v>
      </c>
      <c r="U4587">
        <f>AVERAGE(7.46,7.47)</f>
        <v>7.4649999999999999</v>
      </c>
      <c r="V4587">
        <f>AVERAGE(1727,1689)</f>
        <v>1708</v>
      </c>
      <c r="W4587">
        <v>16</v>
      </c>
      <c r="X4587">
        <v>3.4089999999999998</v>
      </c>
      <c r="Y4587">
        <v>1.631</v>
      </c>
    </row>
    <row r="4588" spans="1:25" x14ac:dyDescent="0.2">
      <c r="A4588" t="s">
        <v>554</v>
      </c>
      <c r="B4588">
        <v>2021</v>
      </c>
      <c r="C4588" t="s">
        <v>816</v>
      </c>
      <c r="D4588" t="s">
        <v>820</v>
      </c>
      <c r="E4588" t="s">
        <v>34</v>
      </c>
      <c r="F4588" t="s">
        <v>555</v>
      </c>
      <c r="G4588">
        <v>-33.450000000000003</v>
      </c>
      <c r="H4588">
        <v>-72</v>
      </c>
      <c r="I4588" t="s">
        <v>771</v>
      </c>
      <c r="J4588" s="2" t="s">
        <v>16</v>
      </c>
      <c r="K4588" t="s">
        <v>351</v>
      </c>
      <c r="L4588" t="s">
        <v>143</v>
      </c>
      <c r="M4588" s="6" t="s">
        <v>664</v>
      </c>
      <c r="N4588" t="s">
        <v>85</v>
      </c>
      <c r="O4588" s="6" t="s">
        <v>254</v>
      </c>
      <c r="P4588" t="s">
        <v>253</v>
      </c>
      <c r="Q4588">
        <v>21</v>
      </c>
      <c r="R4588" t="s">
        <v>213</v>
      </c>
      <c r="S4588" s="2" t="s">
        <v>13</v>
      </c>
      <c r="T4588">
        <v>6</v>
      </c>
      <c r="U4588">
        <f>AVERAGE(7.46,7.47)</f>
        <v>7.4649999999999999</v>
      </c>
      <c r="V4588">
        <f>AVERAGE(1727,1689)</f>
        <v>1708</v>
      </c>
      <c r="W4588">
        <v>16</v>
      </c>
      <c r="X4588">
        <v>0.36199999999999999</v>
      </c>
      <c r="Y4588">
        <v>0.47</v>
      </c>
    </row>
    <row r="4589" spans="1:25" x14ac:dyDescent="0.2">
      <c r="A4589" t="s">
        <v>554</v>
      </c>
      <c r="B4589">
        <v>2021</v>
      </c>
      <c r="C4589" t="s">
        <v>816</v>
      </c>
      <c r="D4589" t="s">
        <v>820</v>
      </c>
      <c r="E4589" t="s">
        <v>34</v>
      </c>
      <c r="F4589" t="s">
        <v>555</v>
      </c>
      <c r="G4589">
        <v>-33.450000000000003</v>
      </c>
      <c r="H4589">
        <v>-72</v>
      </c>
      <c r="I4589" t="s">
        <v>764</v>
      </c>
      <c r="J4589" s="2" t="s">
        <v>16</v>
      </c>
      <c r="K4589" t="s">
        <v>351</v>
      </c>
      <c r="L4589" t="s">
        <v>143</v>
      </c>
      <c r="M4589" s="6" t="s">
        <v>664</v>
      </c>
      <c r="N4589" t="s">
        <v>85</v>
      </c>
      <c r="O4589" s="6" t="s">
        <v>254</v>
      </c>
      <c r="P4589" t="s">
        <v>253</v>
      </c>
      <c r="Q4589">
        <v>21</v>
      </c>
      <c r="R4589" t="s">
        <v>213</v>
      </c>
      <c r="S4589" s="2" t="s">
        <v>13</v>
      </c>
      <c r="T4589">
        <v>6</v>
      </c>
      <c r="U4589">
        <f>AVERAGE(7.46,7.47)</f>
        <v>7.4649999999999999</v>
      </c>
      <c r="V4589">
        <f>AVERAGE(1727,1689)</f>
        <v>1708</v>
      </c>
      <c r="W4589">
        <v>16</v>
      </c>
      <c r="X4589">
        <v>1.2609999999999999</v>
      </c>
      <c r="Y4589">
        <v>0.436</v>
      </c>
    </row>
    <row r="4590" spans="1:25" x14ac:dyDescent="0.2">
      <c r="A4590" t="s">
        <v>554</v>
      </c>
      <c r="B4590">
        <v>2021</v>
      </c>
      <c r="C4590" t="s">
        <v>816</v>
      </c>
      <c r="D4590" t="s">
        <v>820</v>
      </c>
      <c r="E4590" t="s">
        <v>34</v>
      </c>
      <c r="F4590" t="s">
        <v>315</v>
      </c>
      <c r="G4590">
        <v>-33.133333</v>
      </c>
      <c r="H4590">
        <v>-71.7</v>
      </c>
      <c r="I4590" t="s">
        <v>771</v>
      </c>
      <c r="J4590" s="2" t="s">
        <v>14</v>
      </c>
      <c r="K4590" t="s">
        <v>351</v>
      </c>
      <c r="L4590" t="s">
        <v>143</v>
      </c>
      <c r="M4590" s="6" t="s">
        <v>664</v>
      </c>
      <c r="N4590" t="s">
        <v>85</v>
      </c>
      <c r="O4590" s="6" t="s">
        <v>254</v>
      </c>
      <c r="P4590" t="s">
        <v>253</v>
      </c>
      <c r="Q4590">
        <v>21</v>
      </c>
      <c r="R4590" t="s">
        <v>213</v>
      </c>
      <c r="S4590" s="2" t="s">
        <v>15</v>
      </c>
      <c r="T4590">
        <v>6</v>
      </c>
      <c r="U4590" t="s">
        <v>28</v>
      </c>
      <c r="V4590" t="s">
        <v>28</v>
      </c>
      <c r="W4590">
        <v>20</v>
      </c>
      <c r="X4590">
        <v>0.73899999999999999</v>
      </c>
      <c r="Y4590">
        <v>0.13600000000000001</v>
      </c>
    </row>
    <row r="4591" spans="1:25" x14ac:dyDescent="0.2">
      <c r="A4591" t="s">
        <v>554</v>
      </c>
      <c r="B4591">
        <v>2021</v>
      </c>
      <c r="C4591" t="s">
        <v>816</v>
      </c>
      <c r="D4591" t="s">
        <v>820</v>
      </c>
      <c r="E4591" t="s">
        <v>34</v>
      </c>
      <c r="F4591" t="s">
        <v>315</v>
      </c>
      <c r="G4591">
        <v>-33.133333</v>
      </c>
      <c r="H4591">
        <v>-71.7</v>
      </c>
      <c r="I4591" t="s">
        <v>764</v>
      </c>
      <c r="J4591" s="2" t="s">
        <v>14</v>
      </c>
      <c r="K4591" t="s">
        <v>351</v>
      </c>
      <c r="L4591" t="s">
        <v>143</v>
      </c>
      <c r="M4591" s="6" t="s">
        <v>664</v>
      </c>
      <c r="N4591" t="s">
        <v>85</v>
      </c>
      <c r="O4591" s="6" t="s">
        <v>254</v>
      </c>
      <c r="P4591" t="s">
        <v>253</v>
      </c>
      <c r="Q4591">
        <v>21</v>
      </c>
      <c r="R4591" t="s">
        <v>213</v>
      </c>
      <c r="S4591" s="2" t="s">
        <v>15</v>
      </c>
      <c r="T4591">
        <v>6</v>
      </c>
      <c r="U4591" t="s">
        <v>28</v>
      </c>
      <c r="V4591" t="s">
        <v>28</v>
      </c>
      <c r="W4591">
        <v>20</v>
      </c>
      <c r="X4591">
        <v>0.90800000000000003</v>
      </c>
      <c r="Y4591">
        <v>1.73</v>
      </c>
    </row>
    <row r="4592" spans="1:25" x14ac:dyDescent="0.2">
      <c r="A4592" t="s">
        <v>554</v>
      </c>
      <c r="B4592">
        <v>2021</v>
      </c>
      <c r="C4592" t="s">
        <v>816</v>
      </c>
      <c r="D4592" t="s">
        <v>820</v>
      </c>
      <c r="E4592" t="s">
        <v>34</v>
      </c>
      <c r="F4592" t="s">
        <v>555</v>
      </c>
      <c r="G4592">
        <v>-33.450000000000003</v>
      </c>
      <c r="H4592">
        <v>-72</v>
      </c>
      <c r="I4592" t="s">
        <v>771</v>
      </c>
      <c r="J4592" s="2" t="s">
        <v>14</v>
      </c>
      <c r="K4592" t="s">
        <v>351</v>
      </c>
      <c r="L4592" t="s">
        <v>143</v>
      </c>
      <c r="M4592" s="6" t="s">
        <v>664</v>
      </c>
      <c r="N4592" t="s">
        <v>85</v>
      </c>
      <c r="O4592" s="6" t="s">
        <v>254</v>
      </c>
      <c r="P4592" t="s">
        <v>253</v>
      </c>
      <c r="Q4592">
        <v>21</v>
      </c>
      <c r="R4592" t="s">
        <v>213</v>
      </c>
      <c r="S4592" s="2" t="s">
        <v>15</v>
      </c>
      <c r="T4592">
        <v>6</v>
      </c>
      <c r="U4592" t="s">
        <v>28</v>
      </c>
      <c r="V4592" t="s">
        <v>28</v>
      </c>
      <c r="W4592">
        <v>20</v>
      </c>
      <c r="X4592">
        <v>0.186</v>
      </c>
      <c r="Y4592">
        <v>0.22600000000000001</v>
      </c>
    </row>
    <row r="4593" spans="1:25" x14ac:dyDescent="0.2">
      <c r="A4593" t="s">
        <v>554</v>
      </c>
      <c r="B4593">
        <v>2021</v>
      </c>
      <c r="C4593" t="s">
        <v>816</v>
      </c>
      <c r="D4593" t="s">
        <v>820</v>
      </c>
      <c r="E4593" t="s">
        <v>34</v>
      </c>
      <c r="F4593" t="s">
        <v>555</v>
      </c>
      <c r="G4593">
        <v>-33.450000000000003</v>
      </c>
      <c r="H4593">
        <v>-72</v>
      </c>
      <c r="I4593" t="s">
        <v>764</v>
      </c>
      <c r="J4593" s="2" t="s">
        <v>14</v>
      </c>
      <c r="K4593" t="s">
        <v>351</v>
      </c>
      <c r="L4593" t="s">
        <v>143</v>
      </c>
      <c r="M4593" s="6" t="s">
        <v>664</v>
      </c>
      <c r="N4593" t="s">
        <v>85</v>
      </c>
      <c r="O4593" s="6" t="s">
        <v>254</v>
      </c>
      <c r="P4593" t="s">
        <v>253</v>
      </c>
      <c r="Q4593">
        <v>21</v>
      </c>
      <c r="R4593" t="s">
        <v>213</v>
      </c>
      <c r="S4593" s="2" t="s">
        <v>15</v>
      </c>
      <c r="T4593">
        <v>6</v>
      </c>
      <c r="U4593" t="s">
        <v>28</v>
      </c>
      <c r="V4593" t="s">
        <v>28</v>
      </c>
      <c r="W4593">
        <v>20</v>
      </c>
      <c r="X4593">
        <v>0</v>
      </c>
      <c r="Y4593">
        <v>0</v>
      </c>
    </row>
    <row r="4594" spans="1:25" x14ac:dyDescent="0.2">
      <c r="A4594" t="s">
        <v>554</v>
      </c>
      <c r="B4594">
        <v>2021</v>
      </c>
      <c r="C4594" t="s">
        <v>816</v>
      </c>
      <c r="D4594" t="s">
        <v>820</v>
      </c>
      <c r="E4594" t="s">
        <v>34</v>
      </c>
      <c r="F4594" t="s">
        <v>315</v>
      </c>
      <c r="G4594">
        <v>-33.133333</v>
      </c>
      <c r="H4594">
        <v>-71.7</v>
      </c>
      <c r="I4594" t="s">
        <v>771</v>
      </c>
      <c r="J4594" s="2" t="s">
        <v>16</v>
      </c>
      <c r="K4594" t="s">
        <v>351</v>
      </c>
      <c r="L4594" t="s">
        <v>143</v>
      </c>
      <c r="M4594" s="6" t="s">
        <v>664</v>
      </c>
      <c r="N4594" t="s">
        <v>85</v>
      </c>
      <c r="O4594" s="6" t="s">
        <v>254</v>
      </c>
      <c r="P4594" t="s">
        <v>253</v>
      </c>
      <c r="Q4594">
        <v>21</v>
      </c>
      <c r="R4594" t="s">
        <v>213</v>
      </c>
      <c r="S4594" s="2" t="s">
        <v>37</v>
      </c>
      <c r="T4594">
        <v>6</v>
      </c>
      <c r="U4594">
        <f>AVERAGE(7.54,7.55)</f>
        <v>7.5449999999999999</v>
      </c>
      <c r="V4594">
        <f>AVERAGE(1442,1414)</f>
        <v>1428</v>
      </c>
      <c r="W4594">
        <v>20</v>
      </c>
      <c r="X4594">
        <v>0.36499999999999999</v>
      </c>
      <c r="Y4594">
        <v>0.34499999999999997</v>
      </c>
    </row>
    <row r="4595" spans="1:25" x14ac:dyDescent="0.2">
      <c r="A4595" t="s">
        <v>554</v>
      </c>
      <c r="B4595">
        <v>2021</v>
      </c>
      <c r="C4595" t="s">
        <v>816</v>
      </c>
      <c r="D4595" t="s">
        <v>820</v>
      </c>
      <c r="E4595" t="s">
        <v>34</v>
      </c>
      <c r="F4595" t="s">
        <v>315</v>
      </c>
      <c r="G4595">
        <v>-33.133333</v>
      </c>
      <c r="H4595">
        <v>-71.7</v>
      </c>
      <c r="I4595" t="s">
        <v>764</v>
      </c>
      <c r="J4595" s="2" t="s">
        <v>16</v>
      </c>
      <c r="K4595" t="s">
        <v>351</v>
      </c>
      <c r="L4595" t="s">
        <v>143</v>
      </c>
      <c r="M4595" s="6" t="s">
        <v>664</v>
      </c>
      <c r="N4595" t="s">
        <v>85</v>
      </c>
      <c r="O4595" s="6" t="s">
        <v>254</v>
      </c>
      <c r="P4595" t="s">
        <v>253</v>
      </c>
      <c r="Q4595">
        <v>21</v>
      </c>
      <c r="R4595" t="s">
        <v>213</v>
      </c>
      <c r="S4595" s="2" t="s">
        <v>37</v>
      </c>
      <c r="T4595">
        <v>6</v>
      </c>
      <c r="U4595">
        <f>AVERAGE(7.54,7.55)</f>
        <v>7.5449999999999999</v>
      </c>
      <c r="V4595">
        <f>AVERAGE(1442,1414)</f>
        <v>1428</v>
      </c>
      <c r="W4595">
        <v>20</v>
      </c>
      <c r="X4595">
        <v>2.65</v>
      </c>
      <c r="Y4595">
        <v>2.1179999999999999</v>
      </c>
    </row>
    <row r="4596" spans="1:25" x14ac:dyDescent="0.2">
      <c r="A4596" t="s">
        <v>554</v>
      </c>
      <c r="B4596">
        <v>2021</v>
      </c>
      <c r="C4596" t="s">
        <v>816</v>
      </c>
      <c r="D4596" t="s">
        <v>820</v>
      </c>
      <c r="E4596" t="s">
        <v>34</v>
      </c>
      <c r="F4596" t="s">
        <v>555</v>
      </c>
      <c r="G4596">
        <v>-33.450000000000003</v>
      </c>
      <c r="H4596">
        <v>-72</v>
      </c>
      <c r="I4596" t="s">
        <v>771</v>
      </c>
      <c r="J4596" s="2" t="s">
        <v>16</v>
      </c>
      <c r="K4596" t="s">
        <v>351</v>
      </c>
      <c r="L4596" t="s">
        <v>143</v>
      </c>
      <c r="M4596" s="6" t="s">
        <v>664</v>
      </c>
      <c r="N4596" t="s">
        <v>85</v>
      </c>
      <c r="O4596" s="6" t="s">
        <v>254</v>
      </c>
      <c r="P4596" t="s">
        <v>253</v>
      </c>
      <c r="Q4596">
        <v>21</v>
      </c>
      <c r="R4596" t="s">
        <v>213</v>
      </c>
      <c r="S4596" s="2" t="s">
        <v>37</v>
      </c>
      <c r="T4596">
        <v>6</v>
      </c>
      <c r="U4596">
        <f>AVERAGE(7.54,7.55)</f>
        <v>7.5449999999999999</v>
      </c>
      <c r="V4596">
        <f>AVERAGE(1442,1414)</f>
        <v>1428</v>
      </c>
      <c r="W4596">
        <v>20</v>
      </c>
      <c r="X4596">
        <v>0.35899999999999999</v>
      </c>
      <c r="Y4596">
        <v>0.308</v>
      </c>
    </row>
    <row r="4597" spans="1:25" x14ac:dyDescent="0.2">
      <c r="A4597" t="s">
        <v>554</v>
      </c>
      <c r="B4597">
        <v>2021</v>
      </c>
      <c r="C4597" t="s">
        <v>816</v>
      </c>
      <c r="D4597" t="s">
        <v>820</v>
      </c>
      <c r="E4597" t="s">
        <v>34</v>
      </c>
      <c r="F4597" t="s">
        <v>555</v>
      </c>
      <c r="G4597">
        <v>-33.450000000000003</v>
      </c>
      <c r="H4597">
        <v>-72</v>
      </c>
      <c r="I4597" t="s">
        <v>764</v>
      </c>
      <c r="J4597" s="2" t="s">
        <v>16</v>
      </c>
      <c r="K4597" t="s">
        <v>351</v>
      </c>
      <c r="L4597" t="s">
        <v>143</v>
      </c>
      <c r="M4597" s="6" t="s">
        <v>664</v>
      </c>
      <c r="N4597" t="s">
        <v>85</v>
      </c>
      <c r="O4597" s="6" t="s">
        <v>254</v>
      </c>
      <c r="P4597" t="s">
        <v>253</v>
      </c>
      <c r="Q4597">
        <v>21</v>
      </c>
      <c r="R4597" t="s">
        <v>213</v>
      </c>
      <c r="S4597" s="2" t="s">
        <v>37</v>
      </c>
      <c r="T4597">
        <v>6</v>
      </c>
      <c r="U4597">
        <f>AVERAGE(7.54,7.55)</f>
        <v>7.5449999999999999</v>
      </c>
      <c r="V4597">
        <f>AVERAGE(1442,1414)</f>
        <v>1428</v>
      </c>
      <c r="W4597">
        <v>20</v>
      </c>
      <c r="X4597">
        <v>2.4700000000000002</v>
      </c>
      <c r="Y4597">
        <v>2.343</v>
      </c>
    </row>
    <row r="4598" spans="1:25" x14ac:dyDescent="0.2">
      <c r="A4598" t="s">
        <v>554</v>
      </c>
      <c r="B4598">
        <v>2021</v>
      </c>
      <c r="C4598" t="s">
        <v>816</v>
      </c>
      <c r="D4598" t="s">
        <v>820</v>
      </c>
      <c r="E4598" t="s">
        <v>34</v>
      </c>
      <c r="F4598" t="s">
        <v>315</v>
      </c>
      <c r="G4598">
        <v>-33.133333</v>
      </c>
      <c r="H4598">
        <v>-71.7</v>
      </c>
      <c r="I4598" t="s">
        <v>771</v>
      </c>
      <c r="J4598" s="2" t="s">
        <v>7</v>
      </c>
      <c r="K4598" t="s">
        <v>351</v>
      </c>
      <c r="L4598" t="s">
        <v>143</v>
      </c>
      <c r="M4598" s="6" t="s">
        <v>664</v>
      </c>
      <c r="N4598" t="s">
        <v>86</v>
      </c>
      <c r="O4598" s="6" t="s">
        <v>848</v>
      </c>
      <c r="P4598" t="s">
        <v>524</v>
      </c>
      <c r="Q4598">
        <v>21</v>
      </c>
      <c r="R4598" t="s">
        <v>213</v>
      </c>
      <c r="S4598" s="2" t="s">
        <v>7</v>
      </c>
      <c r="T4598">
        <v>6</v>
      </c>
      <c r="U4598">
        <f>AVERAGE(7.72, 7.8)</f>
        <v>7.76</v>
      </c>
      <c r="V4598">
        <f>AVERAGE(926.28,726)</f>
        <v>826.14</v>
      </c>
      <c r="W4598">
        <v>12</v>
      </c>
      <c r="X4598">
        <v>2.5790000000000002</v>
      </c>
      <c r="Y4598">
        <v>1.33</v>
      </c>
    </row>
    <row r="4599" spans="1:25" x14ac:dyDescent="0.2">
      <c r="A4599" t="s">
        <v>554</v>
      </c>
      <c r="B4599">
        <v>2021</v>
      </c>
      <c r="C4599" t="s">
        <v>816</v>
      </c>
      <c r="D4599" t="s">
        <v>820</v>
      </c>
      <c r="E4599" t="s">
        <v>34</v>
      </c>
      <c r="F4599" t="s">
        <v>315</v>
      </c>
      <c r="G4599">
        <v>-33.133333</v>
      </c>
      <c r="H4599">
        <v>-71.7</v>
      </c>
      <c r="I4599" t="s">
        <v>764</v>
      </c>
      <c r="J4599" s="2" t="s">
        <v>7</v>
      </c>
      <c r="K4599" t="s">
        <v>351</v>
      </c>
      <c r="L4599" t="s">
        <v>143</v>
      </c>
      <c r="M4599" s="6" t="s">
        <v>664</v>
      </c>
      <c r="N4599" t="s">
        <v>86</v>
      </c>
      <c r="O4599" s="6" t="s">
        <v>848</v>
      </c>
      <c r="P4599" t="s">
        <v>524</v>
      </c>
      <c r="Q4599">
        <v>21</v>
      </c>
      <c r="R4599" t="s">
        <v>213</v>
      </c>
      <c r="S4599" s="2" t="s">
        <v>7</v>
      </c>
      <c r="T4599">
        <v>6</v>
      </c>
      <c r="U4599">
        <f>AVERAGE(7.72, 7.8)</f>
        <v>7.76</v>
      </c>
      <c r="V4599">
        <f>AVERAGE(926.28,726)</f>
        <v>826.14</v>
      </c>
      <c r="W4599">
        <v>12</v>
      </c>
      <c r="X4599">
        <v>3.9820000000000002</v>
      </c>
      <c r="Y4599">
        <v>1.837</v>
      </c>
    </row>
    <row r="4600" spans="1:25" x14ac:dyDescent="0.2">
      <c r="A4600" t="s">
        <v>554</v>
      </c>
      <c r="B4600">
        <v>2021</v>
      </c>
      <c r="C4600" t="s">
        <v>816</v>
      </c>
      <c r="D4600" t="s">
        <v>820</v>
      </c>
      <c r="E4600" t="s">
        <v>34</v>
      </c>
      <c r="F4600" t="s">
        <v>555</v>
      </c>
      <c r="G4600">
        <v>-33.450000000000003</v>
      </c>
      <c r="H4600">
        <v>-72</v>
      </c>
      <c r="I4600" t="s">
        <v>771</v>
      </c>
      <c r="J4600" s="2" t="s">
        <v>7</v>
      </c>
      <c r="K4600" t="s">
        <v>351</v>
      </c>
      <c r="L4600" t="s">
        <v>143</v>
      </c>
      <c r="M4600" s="6" t="s">
        <v>664</v>
      </c>
      <c r="N4600" t="s">
        <v>86</v>
      </c>
      <c r="O4600" s="6" t="s">
        <v>848</v>
      </c>
      <c r="P4600" t="s">
        <v>524</v>
      </c>
      <c r="Q4600">
        <v>21</v>
      </c>
      <c r="R4600" t="s">
        <v>213</v>
      </c>
      <c r="S4600" s="2" t="s">
        <v>7</v>
      </c>
      <c r="T4600">
        <v>6</v>
      </c>
      <c r="U4600">
        <f>AVERAGE(7.72, 7.8)</f>
        <v>7.76</v>
      </c>
      <c r="V4600">
        <f>AVERAGE(926.28,726)</f>
        <v>826.14</v>
      </c>
      <c r="W4600">
        <v>12</v>
      </c>
      <c r="X4600">
        <v>2.73</v>
      </c>
      <c r="Y4600">
        <v>1.22</v>
      </c>
    </row>
    <row r="4601" spans="1:25" x14ac:dyDescent="0.2">
      <c r="A4601" t="s">
        <v>554</v>
      </c>
      <c r="B4601">
        <v>2021</v>
      </c>
      <c r="C4601" t="s">
        <v>816</v>
      </c>
      <c r="D4601" t="s">
        <v>820</v>
      </c>
      <c r="E4601" t="s">
        <v>34</v>
      </c>
      <c r="F4601" t="s">
        <v>555</v>
      </c>
      <c r="G4601">
        <v>-33.450000000000003</v>
      </c>
      <c r="H4601">
        <v>-72</v>
      </c>
      <c r="I4601" t="s">
        <v>764</v>
      </c>
      <c r="J4601" s="2" t="s">
        <v>7</v>
      </c>
      <c r="K4601" t="s">
        <v>351</v>
      </c>
      <c r="L4601" t="s">
        <v>143</v>
      </c>
      <c r="M4601" s="6" t="s">
        <v>664</v>
      </c>
      <c r="N4601" t="s">
        <v>86</v>
      </c>
      <c r="O4601" s="6" t="s">
        <v>848</v>
      </c>
      <c r="P4601" t="s">
        <v>524</v>
      </c>
      <c r="Q4601">
        <v>21</v>
      </c>
      <c r="R4601" t="s">
        <v>213</v>
      </c>
      <c r="S4601" s="2" t="s">
        <v>7</v>
      </c>
      <c r="T4601">
        <v>6</v>
      </c>
      <c r="U4601">
        <f>AVERAGE(7.72, 7.8)</f>
        <v>7.76</v>
      </c>
      <c r="V4601">
        <f>AVERAGE(926.28,726)</f>
        <v>826.14</v>
      </c>
      <c r="W4601">
        <v>12</v>
      </c>
      <c r="X4601">
        <v>2.758</v>
      </c>
      <c r="Y4601">
        <v>0.438</v>
      </c>
    </row>
    <row r="4602" spans="1:25" x14ac:dyDescent="0.2">
      <c r="A4602" t="s">
        <v>554</v>
      </c>
      <c r="B4602">
        <v>2021</v>
      </c>
      <c r="C4602" t="s">
        <v>816</v>
      </c>
      <c r="D4602" t="s">
        <v>820</v>
      </c>
      <c r="E4602" t="s">
        <v>34</v>
      </c>
      <c r="F4602" t="s">
        <v>315</v>
      </c>
      <c r="G4602">
        <v>-33.133333</v>
      </c>
      <c r="H4602">
        <v>-71.7</v>
      </c>
      <c r="I4602" t="s">
        <v>771</v>
      </c>
      <c r="J4602" s="2" t="s">
        <v>5</v>
      </c>
      <c r="K4602" t="s">
        <v>351</v>
      </c>
      <c r="L4602" t="s">
        <v>143</v>
      </c>
      <c r="M4602" s="6" t="s">
        <v>664</v>
      </c>
      <c r="N4602" t="s">
        <v>86</v>
      </c>
      <c r="O4602" s="6" t="s">
        <v>848</v>
      </c>
      <c r="P4602" t="s">
        <v>524</v>
      </c>
      <c r="Q4602">
        <v>21</v>
      </c>
      <c r="R4602" t="s">
        <v>213</v>
      </c>
      <c r="S4602" s="2" t="s">
        <v>9</v>
      </c>
      <c r="T4602">
        <v>6</v>
      </c>
      <c r="U4602">
        <f>AVERAGE(7.49,7.46)</f>
        <v>7.4749999999999996</v>
      </c>
      <c r="V4602">
        <f>AVERAGE(1587,1732)</f>
        <v>1659.5</v>
      </c>
      <c r="W4602" t="s">
        <v>28</v>
      </c>
      <c r="X4602">
        <v>1.74</v>
      </c>
      <c r="Y4602">
        <v>0.58399999999999996</v>
      </c>
    </row>
    <row r="4603" spans="1:25" x14ac:dyDescent="0.2">
      <c r="A4603" t="s">
        <v>554</v>
      </c>
      <c r="B4603">
        <v>2021</v>
      </c>
      <c r="C4603" t="s">
        <v>816</v>
      </c>
      <c r="D4603" t="s">
        <v>820</v>
      </c>
      <c r="E4603" t="s">
        <v>34</v>
      </c>
      <c r="F4603" t="s">
        <v>315</v>
      </c>
      <c r="G4603">
        <v>-33.133333</v>
      </c>
      <c r="H4603">
        <v>-71.7</v>
      </c>
      <c r="I4603" t="s">
        <v>764</v>
      </c>
      <c r="J4603" s="2" t="s">
        <v>5</v>
      </c>
      <c r="K4603" t="s">
        <v>351</v>
      </c>
      <c r="L4603" t="s">
        <v>143</v>
      </c>
      <c r="M4603" s="6" t="s">
        <v>664</v>
      </c>
      <c r="N4603" t="s">
        <v>86</v>
      </c>
      <c r="O4603" s="6" t="s">
        <v>848</v>
      </c>
      <c r="P4603" t="s">
        <v>524</v>
      </c>
      <c r="Q4603">
        <v>21</v>
      </c>
      <c r="R4603" t="s">
        <v>213</v>
      </c>
      <c r="S4603" s="2" t="s">
        <v>9</v>
      </c>
      <c r="T4603">
        <v>6</v>
      </c>
      <c r="U4603">
        <f>AVERAGE(7.49,7.46)</f>
        <v>7.4749999999999996</v>
      </c>
      <c r="V4603">
        <f>AVERAGE(1587,1732)</f>
        <v>1659.5</v>
      </c>
      <c r="W4603" t="s">
        <v>28</v>
      </c>
      <c r="X4603">
        <v>1.6</v>
      </c>
      <c r="Y4603">
        <v>0.60699999999999998</v>
      </c>
    </row>
    <row r="4604" spans="1:25" x14ac:dyDescent="0.2">
      <c r="A4604" t="s">
        <v>554</v>
      </c>
      <c r="B4604">
        <v>2021</v>
      </c>
      <c r="C4604" t="s">
        <v>816</v>
      </c>
      <c r="D4604" t="s">
        <v>820</v>
      </c>
      <c r="E4604" t="s">
        <v>34</v>
      </c>
      <c r="F4604" t="s">
        <v>555</v>
      </c>
      <c r="G4604">
        <v>-33.450000000000003</v>
      </c>
      <c r="H4604">
        <v>-72</v>
      </c>
      <c r="I4604" t="s">
        <v>771</v>
      </c>
      <c r="J4604" s="2" t="s">
        <v>5</v>
      </c>
      <c r="K4604" t="s">
        <v>351</v>
      </c>
      <c r="L4604" t="s">
        <v>143</v>
      </c>
      <c r="M4604" s="6" t="s">
        <v>664</v>
      </c>
      <c r="N4604" t="s">
        <v>86</v>
      </c>
      <c r="O4604" s="6" t="s">
        <v>848</v>
      </c>
      <c r="P4604" t="s">
        <v>524</v>
      </c>
      <c r="Q4604">
        <v>21</v>
      </c>
      <c r="R4604" t="s">
        <v>213</v>
      </c>
      <c r="S4604" s="2" t="s">
        <v>9</v>
      </c>
      <c r="T4604">
        <v>6</v>
      </c>
      <c r="U4604">
        <f>AVERAGE(7.49,7.46)</f>
        <v>7.4749999999999996</v>
      </c>
      <c r="V4604">
        <f>AVERAGE(1587,1732)</f>
        <v>1659.5</v>
      </c>
      <c r="W4604" t="s">
        <v>28</v>
      </c>
      <c r="X4604">
        <v>3.1259999999999999</v>
      </c>
      <c r="Y4604">
        <v>1.2270000000000001</v>
      </c>
    </row>
    <row r="4605" spans="1:25" x14ac:dyDescent="0.2">
      <c r="A4605" t="s">
        <v>554</v>
      </c>
      <c r="B4605">
        <v>2021</v>
      </c>
      <c r="C4605" t="s">
        <v>816</v>
      </c>
      <c r="D4605" t="s">
        <v>820</v>
      </c>
      <c r="E4605" t="s">
        <v>34</v>
      </c>
      <c r="F4605" t="s">
        <v>555</v>
      </c>
      <c r="G4605">
        <v>-33.450000000000003</v>
      </c>
      <c r="H4605">
        <v>-72</v>
      </c>
      <c r="I4605" t="s">
        <v>764</v>
      </c>
      <c r="J4605" s="2" t="s">
        <v>5</v>
      </c>
      <c r="K4605" t="s">
        <v>351</v>
      </c>
      <c r="L4605" t="s">
        <v>143</v>
      </c>
      <c r="M4605" s="6" t="s">
        <v>664</v>
      </c>
      <c r="N4605" t="s">
        <v>86</v>
      </c>
      <c r="O4605" s="6" t="s">
        <v>848</v>
      </c>
      <c r="P4605" t="s">
        <v>524</v>
      </c>
      <c r="Q4605">
        <v>21</v>
      </c>
      <c r="R4605" t="s">
        <v>213</v>
      </c>
      <c r="S4605" s="2" t="s">
        <v>9</v>
      </c>
      <c r="T4605">
        <v>6</v>
      </c>
      <c r="U4605">
        <f>AVERAGE(7.49,7.46)</f>
        <v>7.4749999999999996</v>
      </c>
      <c r="V4605">
        <f>AVERAGE(1587,1732)</f>
        <v>1659.5</v>
      </c>
      <c r="W4605" t="s">
        <v>28</v>
      </c>
      <c r="X4605">
        <v>4.4240000000000004</v>
      </c>
      <c r="Y4605">
        <v>1.2709999999999999</v>
      </c>
    </row>
    <row r="4606" spans="1:25" x14ac:dyDescent="0.2">
      <c r="A4606" t="s">
        <v>554</v>
      </c>
      <c r="B4606">
        <v>2021</v>
      </c>
      <c r="C4606" t="s">
        <v>816</v>
      </c>
      <c r="D4606" t="s">
        <v>820</v>
      </c>
      <c r="E4606" t="s">
        <v>34</v>
      </c>
      <c r="F4606" t="s">
        <v>315</v>
      </c>
      <c r="G4606">
        <v>-33.133333</v>
      </c>
      <c r="H4606">
        <v>-71.7</v>
      </c>
      <c r="I4606" t="s">
        <v>771</v>
      </c>
      <c r="J4606" s="2" t="s">
        <v>14</v>
      </c>
      <c r="K4606" t="s">
        <v>351</v>
      </c>
      <c r="L4606" t="s">
        <v>143</v>
      </c>
      <c r="M4606" s="6" t="s">
        <v>664</v>
      </c>
      <c r="N4606" t="s">
        <v>86</v>
      </c>
      <c r="O4606" s="6" t="s">
        <v>848</v>
      </c>
      <c r="P4606" t="s">
        <v>524</v>
      </c>
      <c r="Q4606">
        <v>21</v>
      </c>
      <c r="R4606" t="s">
        <v>213</v>
      </c>
      <c r="S4606" s="2" t="s">
        <v>27</v>
      </c>
      <c r="T4606">
        <v>6</v>
      </c>
      <c r="U4606" t="s">
        <v>28</v>
      </c>
      <c r="V4606" t="s">
        <v>28</v>
      </c>
      <c r="W4606">
        <v>16</v>
      </c>
      <c r="X4606">
        <v>1.8879999999999999</v>
      </c>
      <c r="Y4606">
        <v>2.13</v>
      </c>
    </row>
    <row r="4607" spans="1:25" x14ac:dyDescent="0.2">
      <c r="A4607" t="s">
        <v>554</v>
      </c>
      <c r="B4607">
        <v>2021</v>
      </c>
      <c r="C4607" t="s">
        <v>816</v>
      </c>
      <c r="D4607" t="s">
        <v>820</v>
      </c>
      <c r="E4607" t="s">
        <v>34</v>
      </c>
      <c r="F4607" t="s">
        <v>315</v>
      </c>
      <c r="G4607">
        <v>-33.133333</v>
      </c>
      <c r="H4607">
        <v>-71.7</v>
      </c>
      <c r="I4607" t="s">
        <v>764</v>
      </c>
      <c r="J4607" s="2" t="s">
        <v>14</v>
      </c>
      <c r="K4607" t="s">
        <v>351</v>
      </c>
      <c r="L4607" t="s">
        <v>143</v>
      </c>
      <c r="M4607" s="6" t="s">
        <v>664</v>
      </c>
      <c r="N4607" t="s">
        <v>86</v>
      </c>
      <c r="O4607" s="6" t="s">
        <v>848</v>
      </c>
      <c r="P4607" t="s">
        <v>524</v>
      </c>
      <c r="Q4607">
        <v>21</v>
      </c>
      <c r="R4607" t="s">
        <v>213</v>
      </c>
      <c r="S4607" s="2" t="s">
        <v>27</v>
      </c>
      <c r="T4607">
        <v>6</v>
      </c>
      <c r="U4607" t="s">
        <v>28</v>
      </c>
      <c r="V4607" t="s">
        <v>28</v>
      </c>
      <c r="W4607">
        <v>16</v>
      </c>
      <c r="X4607">
        <v>0.77600000000000002</v>
      </c>
      <c r="Y4607">
        <v>0.187</v>
      </c>
    </row>
    <row r="4608" spans="1:25" x14ac:dyDescent="0.2">
      <c r="A4608" t="s">
        <v>554</v>
      </c>
      <c r="B4608">
        <v>2021</v>
      </c>
      <c r="C4608" t="s">
        <v>816</v>
      </c>
      <c r="D4608" t="s">
        <v>820</v>
      </c>
      <c r="E4608" t="s">
        <v>34</v>
      </c>
      <c r="F4608" t="s">
        <v>555</v>
      </c>
      <c r="G4608">
        <v>-33.450000000000003</v>
      </c>
      <c r="H4608">
        <v>-72</v>
      </c>
      <c r="I4608" t="s">
        <v>771</v>
      </c>
      <c r="J4608" s="2" t="s">
        <v>14</v>
      </c>
      <c r="K4608" t="s">
        <v>351</v>
      </c>
      <c r="L4608" t="s">
        <v>143</v>
      </c>
      <c r="M4608" s="6" t="s">
        <v>664</v>
      </c>
      <c r="N4608" t="s">
        <v>86</v>
      </c>
      <c r="O4608" s="6" t="s">
        <v>848</v>
      </c>
      <c r="P4608" t="s">
        <v>524</v>
      </c>
      <c r="Q4608">
        <v>21</v>
      </c>
      <c r="R4608" t="s">
        <v>213</v>
      </c>
      <c r="S4608" s="2" t="s">
        <v>27</v>
      </c>
      <c r="T4608">
        <v>6</v>
      </c>
      <c r="U4608" t="s">
        <v>28</v>
      </c>
      <c r="V4608" t="s">
        <v>28</v>
      </c>
      <c r="W4608">
        <v>16</v>
      </c>
      <c r="X4608">
        <v>1.722</v>
      </c>
      <c r="Y4608">
        <v>1.165</v>
      </c>
    </row>
    <row r="4609" spans="1:25" x14ac:dyDescent="0.2">
      <c r="A4609" t="s">
        <v>554</v>
      </c>
      <c r="B4609">
        <v>2021</v>
      </c>
      <c r="C4609" t="s">
        <v>816</v>
      </c>
      <c r="D4609" t="s">
        <v>820</v>
      </c>
      <c r="E4609" t="s">
        <v>34</v>
      </c>
      <c r="F4609" t="s">
        <v>555</v>
      </c>
      <c r="G4609">
        <v>-33.450000000000003</v>
      </c>
      <c r="H4609">
        <v>-72</v>
      </c>
      <c r="I4609" t="s">
        <v>764</v>
      </c>
      <c r="J4609" s="2" t="s">
        <v>14</v>
      </c>
      <c r="K4609" t="s">
        <v>351</v>
      </c>
      <c r="L4609" t="s">
        <v>143</v>
      </c>
      <c r="M4609" s="6" t="s">
        <v>664</v>
      </c>
      <c r="N4609" t="s">
        <v>86</v>
      </c>
      <c r="O4609" s="6" t="s">
        <v>848</v>
      </c>
      <c r="P4609" t="s">
        <v>524</v>
      </c>
      <c r="Q4609">
        <v>21</v>
      </c>
      <c r="R4609" t="s">
        <v>213</v>
      </c>
      <c r="S4609" s="2" t="s">
        <v>27</v>
      </c>
      <c r="T4609">
        <v>6</v>
      </c>
      <c r="U4609" t="s">
        <v>28</v>
      </c>
      <c r="V4609" t="s">
        <v>28</v>
      </c>
      <c r="W4609">
        <v>16</v>
      </c>
      <c r="X4609">
        <v>2.181</v>
      </c>
      <c r="Y4609">
        <v>0.39300000000000002</v>
      </c>
    </row>
    <row r="4610" spans="1:25" x14ac:dyDescent="0.2">
      <c r="A4610" t="s">
        <v>554</v>
      </c>
      <c r="B4610">
        <v>2021</v>
      </c>
      <c r="C4610" t="s">
        <v>816</v>
      </c>
      <c r="D4610" t="s">
        <v>820</v>
      </c>
      <c r="E4610" t="s">
        <v>34</v>
      </c>
      <c r="F4610" t="s">
        <v>315</v>
      </c>
      <c r="G4610">
        <v>-33.133333</v>
      </c>
      <c r="H4610">
        <v>-71.7</v>
      </c>
      <c r="I4610" t="s">
        <v>771</v>
      </c>
      <c r="J4610" s="2" t="s">
        <v>16</v>
      </c>
      <c r="K4610" t="s">
        <v>351</v>
      </c>
      <c r="L4610" t="s">
        <v>143</v>
      </c>
      <c r="M4610" s="6" t="s">
        <v>664</v>
      </c>
      <c r="N4610" t="s">
        <v>86</v>
      </c>
      <c r="O4610" s="6" t="s">
        <v>848</v>
      </c>
      <c r="P4610" t="s">
        <v>524</v>
      </c>
      <c r="Q4610">
        <v>21</v>
      </c>
      <c r="R4610" t="s">
        <v>213</v>
      </c>
      <c r="S4610" s="2" t="s">
        <v>13</v>
      </c>
      <c r="T4610">
        <v>6</v>
      </c>
      <c r="U4610">
        <f>AVERAGE(7.46,7.47)</f>
        <v>7.4649999999999999</v>
      </c>
      <c r="V4610">
        <f>AVERAGE(1727,1689)</f>
        <v>1708</v>
      </c>
      <c r="W4610">
        <v>16</v>
      </c>
      <c r="X4610">
        <v>1.33</v>
      </c>
      <c r="Y4610">
        <v>1.784</v>
      </c>
    </row>
    <row r="4611" spans="1:25" x14ac:dyDescent="0.2">
      <c r="A4611" t="s">
        <v>554</v>
      </c>
      <c r="B4611">
        <v>2021</v>
      </c>
      <c r="C4611" t="s">
        <v>816</v>
      </c>
      <c r="D4611" t="s">
        <v>820</v>
      </c>
      <c r="E4611" t="s">
        <v>34</v>
      </c>
      <c r="F4611" t="s">
        <v>315</v>
      </c>
      <c r="G4611">
        <v>-33.133333</v>
      </c>
      <c r="H4611">
        <v>-71.7</v>
      </c>
      <c r="I4611" t="s">
        <v>764</v>
      </c>
      <c r="J4611" s="2" t="s">
        <v>16</v>
      </c>
      <c r="K4611" t="s">
        <v>351</v>
      </c>
      <c r="L4611" t="s">
        <v>143</v>
      </c>
      <c r="M4611" s="6" t="s">
        <v>664</v>
      </c>
      <c r="N4611" t="s">
        <v>86</v>
      </c>
      <c r="O4611" s="6" t="s">
        <v>848</v>
      </c>
      <c r="P4611" t="s">
        <v>524</v>
      </c>
      <c r="Q4611">
        <v>21</v>
      </c>
      <c r="R4611" t="s">
        <v>213</v>
      </c>
      <c r="S4611" s="2" t="s">
        <v>13</v>
      </c>
      <c r="T4611">
        <v>6</v>
      </c>
      <c r="U4611">
        <f>AVERAGE(7.46,7.47)</f>
        <v>7.4649999999999999</v>
      </c>
      <c r="V4611">
        <f>AVERAGE(1727,1689)</f>
        <v>1708</v>
      </c>
      <c r="W4611">
        <v>16</v>
      </c>
      <c r="X4611">
        <v>0.78500000000000003</v>
      </c>
      <c r="Y4611">
        <v>0.33</v>
      </c>
    </row>
    <row r="4612" spans="1:25" x14ac:dyDescent="0.2">
      <c r="A4612" t="s">
        <v>554</v>
      </c>
      <c r="B4612">
        <v>2021</v>
      </c>
      <c r="C4612" t="s">
        <v>816</v>
      </c>
      <c r="D4612" t="s">
        <v>820</v>
      </c>
      <c r="E4612" t="s">
        <v>34</v>
      </c>
      <c r="F4612" t="s">
        <v>555</v>
      </c>
      <c r="G4612">
        <v>-33.450000000000003</v>
      </c>
      <c r="H4612">
        <v>-72</v>
      </c>
      <c r="I4612" t="s">
        <v>771</v>
      </c>
      <c r="J4612" s="2" t="s">
        <v>16</v>
      </c>
      <c r="K4612" t="s">
        <v>351</v>
      </c>
      <c r="L4612" t="s">
        <v>143</v>
      </c>
      <c r="M4612" s="6" t="s">
        <v>664</v>
      </c>
      <c r="N4612" t="s">
        <v>86</v>
      </c>
      <c r="O4612" s="6" t="s">
        <v>848</v>
      </c>
      <c r="P4612" t="s">
        <v>524</v>
      </c>
      <c r="Q4612">
        <v>21</v>
      </c>
      <c r="R4612" t="s">
        <v>213</v>
      </c>
      <c r="S4612" s="2" t="s">
        <v>13</v>
      </c>
      <c r="T4612">
        <v>6</v>
      </c>
      <c r="U4612">
        <f>AVERAGE(7.46,7.47)</f>
        <v>7.4649999999999999</v>
      </c>
      <c r="V4612">
        <f>AVERAGE(1727,1689)</f>
        <v>1708</v>
      </c>
      <c r="W4612">
        <v>16</v>
      </c>
      <c r="X4612">
        <v>0.68200000000000005</v>
      </c>
      <c r="Y4612">
        <v>0.48199999999999998</v>
      </c>
    </row>
    <row r="4613" spans="1:25" x14ac:dyDescent="0.2">
      <c r="A4613" t="s">
        <v>554</v>
      </c>
      <c r="B4613">
        <v>2021</v>
      </c>
      <c r="C4613" t="s">
        <v>816</v>
      </c>
      <c r="D4613" t="s">
        <v>820</v>
      </c>
      <c r="E4613" t="s">
        <v>34</v>
      </c>
      <c r="F4613" t="s">
        <v>555</v>
      </c>
      <c r="G4613">
        <v>-33.450000000000003</v>
      </c>
      <c r="H4613">
        <v>-72</v>
      </c>
      <c r="I4613" t="s">
        <v>764</v>
      </c>
      <c r="J4613" s="2" t="s">
        <v>16</v>
      </c>
      <c r="K4613" t="s">
        <v>351</v>
      </c>
      <c r="L4613" t="s">
        <v>143</v>
      </c>
      <c r="M4613" s="6" t="s">
        <v>664</v>
      </c>
      <c r="N4613" t="s">
        <v>86</v>
      </c>
      <c r="O4613" s="6" t="s">
        <v>848</v>
      </c>
      <c r="P4613" t="s">
        <v>524</v>
      </c>
      <c r="Q4613">
        <v>21</v>
      </c>
      <c r="R4613" t="s">
        <v>213</v>
      </c>
      <c r="S4613" s="2" t="s">
        <v>13</v>
      </c>
      <c r="T4613">
        <v>6</v>
      </c>
      <c r="U4613">
        <f>AVERAGE(7.46,7.47)</f>
        <v>7.4649999999999999</v>
      </c>
      <c r="V4613">
        <f>AVERAGE(1727,1689)</f>
        <v>1708</v>
      </c>
      <c r="W4613">
        <v>16</v>
      </c>
      <c r="X4613">
        <v>0.871</v>
      </c>
      <c r="Y4613">
        <v>0.76300000000000001</v>
      </c>
    </row>
    <row r="4614" spans="1:25" x14ac:dyDescent="0.2">
      <c r="A4614" t="s">
        <v>554</v>
      </c>
      <c r="B4614">
        <v>2021</v>
      </c>
      <c r="C4614" t="s">
        <v>816</v>
      </c>
      <c r="D4614" t="s">
        <v>820</v>
      </c>
      <c r="E4614" t="s">
        <v>34</v>
      </c>
      <c r="F4614" t="s">
        <v>315</v>
      </c>
      <c r="G4614">
        <v>-33.133333</v>
      </c>
      <c r="H4614">
        <v>-71.7</v>
      </c>
      <c r="I4614" t="s">
        <v>771</v>
      </c>
      <c r="J4614" s="2" t="s">
        <v>14</v>
      </c>
      <c r="K4614" t="s">
        <v>351</v>
      </c>
      <c r="L4614" t="s">
        <v>143</v>
      </c>
      <c r="M4614" s="6" t="s">
        <v>664</v>
      </c>
      <c r="N4614" t="s">
        <v>86</v>
      </c>
      <c r="O4614" s="6" t="s">
        <v>848</v>
      </c>
      <c r="P4614" t="s">
        <v>524</v>
      </c>
      <c r="Q4614">
        <v>21</v>
      </c>
      <c r="R4614" t="s">
        <v>213</v>
      </c>
      <c r="S4614" s="2" t="s">
        <v>15</v>
      </c>
      <c r="T4614">
        <v>6</v>
      </c>
      <c r="U4614" t="s">
        <v>28</v>
      </c>
      <c r="V4614" t="s">
        <v>28</v>
      </c>
      <c r="W4614">
        <v>20</v>
      </c>
      <c r="X4614">
        <v>1.3520000000000001</v>
      </c>
      <c r="Y4614">
        <v>0.44</v>
      </c>
    </row>
    <row r="4615" spans="1:25" x14ac:dyDescent="0.2">
      <c r="A4615" t="s">
        <v>554</v>
      </c>
      <c r="B4615">
        <v>2021</v>
      </c>
      <c r="C4615" t="s">
        <v>816</v>
      </c>
      <c r="D4615" t="s">
        <v>820</v>
      </c>
      <c r="E4615" t="s">
        <v>34</v>
      </c>
      <c r="F4615" t="s">
        <v>315</v>
      </c>
      <c r="G4615">
        <v>-33.133333</v>
      </c>
      <c r="H4615">
        <v>-71.7</v>
      </c>
      <c r="I4615" t="s">
        <v>764</v>
      </c>
      <c r="J4615" s="2" t="s">
        <v>14</v>
      </c>
      <c r="K4615" t="s">
        <v>351</v>
      </c>
      <c r="L4615" t="s">
        <v>143</v>
      </c>
      <c r="M4615" s="6" t="s">
        <v>664</v>
      </c>
      <c r="N4615" t="s">
        <v>86</v>
      </c>
      <c r="O4615" s="6" t="s">
        <v>848</v>
      </c>
      <c r="P4615" t="s">
        <v>524</v>
      </c>
      <c r="Q4615">
        <v>21</v>
      </c>
      <c r="R4615" t="s">
        <v>213</v>
      </c>
      <c r="S4615" s="2" t="s">
        <v>15</v>
      </c>
      <c r="T4615">
        <v>6</v>
      </c>
      <c r="U4615" t="s">
        <v>28</v>
      </c>
      <c r="V4615" t="s">
        <v>28</v>
      </c>
      <c r="W4615">
        <v>20</v>
      </c>
      <c r="X4615">
        <v>2.4300000000000002</v>
      </c>
      <c r="Y4615">
        <v>0.26</v>
      </c>
    </row>
    <row r="4616" spans="1:25" x14ac:dyDescent="0.2">
      <c r="A4616" t="s">
        <v>554</v>
      </c>
      <c r="B4616">
        <v>2021</v>
      </c>
      <c r="C4616" t="s">
        <v>816</v>
      </c>
      <c r="D4616" t="s">
        <v>820</v>
      </c>
      <c r="E4616" t="s">
        <v>34</v>
      </c>
      <c r="F4616" t="s">
        <v>555</v>
      </c>
      <c r="G4616">
        <v>-33.450000000000003</v>
      </c>
      <c r="H4616">
        <v>-72</v>
      </c>
      <c r="I4616" t="s">
        <v>771</v>
      </c>
      <c r="J4616" s="2" t="s">
        <v>14</v>
      </c>
      <c r="K4616" t="s">
        <v>351</v>
      </c>
      <c r="L4616" t="s">
        <v>143</v>
      </c>
      <c r="M4616" s="6" t="s">
        <v>664</v>
      </c>
      <c r="N4616" t="s">
        <v>86</v>
      </c>
      <c r="O4616" s="6" t="s">
        <v>848</v>
      </c>
      <c r="P4616" t="s">
        <v>524</v>
      </c>
      <c r="Q4616">
        <v>21</v>
      </c>
      <c r="R4616" t="s">
        <v>213</v>
      </c>
      <c r="S4616" s="2" t="s">
        <v>15</v>
      </c>
      <c r="T4616">
        <v>6</v>
      </c>
      <c r="U4616" t="s">
        <v>28</v>
      </c>
      <c r="V4616" t="s">
        <v>28</v>
      </c>
      <c r="W4616">
        <v>20</v>
      </c>
      <c r="X4616">
        <v>0.76500000000000001</v>
      </c>
      <c r="Y4616">
        <v>0</v>
      </c>
    </row>
    <row r="4617" spans="1:25" x14ac:dyDescent="0.2">
      <c r="A4617" t="s">
        <v>554</v>
      </c>
      <c r="B4617">
        <v>2021</v>
      </c>
      <c r="C4617" t="s">
        <v>816</v>
      </c>
      <c r="D4617" t="s">
        <v>820</v>
      </c>
      <c r="E4617" t="s">
        <v>34</v>
      </c>
      <c r="F4617" t="s">
        <v>555</v>
      </c>
      <c r="G4617">
        <v>-33.450000000000003</v>
      </c>
      <c r="H4617">
        <v>-72</v>
      </c>
      <c r="I4617" t="s">
        <v>764</v>
      </c>
      <c r="J4617" s="2" t="s">
        <v>14</v>
      </c>
      <c r="K4617" t="s">
        <v>351</v>
      </c>
      <c r="L4617" t="s">
        <v>143</v>
      </c>
      <c r="M4617" s="6" t="s">
        <v>664</v>
      </c>
      <c r="N4617" t="s">
        <v>86</v>
      </c>
      <c r="O4617" s="6" t="s">
        <v>848</v>
      </c>
      <c r="P4617" t="s">
        <v>524</v>
      </c>
      <c r="Q4617">
        <v>21</v>
      </c>
      <c r="R4617" t="s">
        <v>213</v>
      </c>
      <c r="S4617" s="2" t="s">
        <v>15</v>
      </c>
      <c r="T4617">
        <v>6</v>
      </c>
      <c r="U4617" t="s">
        <v>28</v>
      </c>
      <c r="V4617" t="s">
        <v>28</v>
      </c>
      <c r="W4617">
        <v>20</v>
      </c>
      <c r="X4617">
        <v>4.2670000000000003</v>
      </c>
      <c r="Y4617">
        <v>1.47</v>
      </c>
    </row>
    <row r="4618" spans="1:25" x14ac:dyDescent="0.2">
      <c r="A4618" t="s">
        <v>554</v>
      </c>
      <c r="B4618">
        <v>2021</v>
      </c>
      <c r="C4618" t="s">
        <v>816</v>
      </c>
      <c r="D4618" t="s">
        <v>820</v>
      </c>
      <c r="E4618" t="s">
        <v>34</v>
      </c>
      <c r="F4618" t="s">
        <v>315</v>
      </c>
      <c r="G4618">
        <v>-33.133333</v>
      </c>
      <c r="H4618">
        <v>-71.7</v>
      </c>
      <c r="I4618" t="s">
        <v>771</v>
      </c>
      <c r="J4618" s="2" t="s">
        <v>16</v>
      </c>
      <c r="K4618" t="s">
        <v>351</v>
      </c>
      <c r="L4618" t="s">
        <v>143</v>
      </c>
      <c r="M4618" s="6" t="s">
        <v>664</v>
      </c>
      <c r="N4618" t="s">
        <v>86</v>
      </c>
      <c r="O4618" s="6" t="s">
        <v>848</v>
      </c>
      <c r="P4618" t="s">
        <v>524</v>
      </c>
      <c r="Q4618">
        <v>21</v>
      </c>
      <c r="R4618" t="s">
        <v>213</v>
      </c>
      <c r="S4618" s="2" t="s">
        <v>37</v>
      </c>
      <c r="T4618">
        <v>6</v>
      </c>
      <c r="U4618">
        <f>AVERAGE(7.54,7.55)</f>
        <v>7.5449999999999999</v>
      </c>
      <c r="V4618">
        <f>AVERAGE(1442,1414)</f>
        <v>1428</v>
      </c>
      <c r="W4618">
        <v>20</v>
      </c>
      <c r="X4618">
        <v>2.1379999999999999</v>
      </c>
      <c r="Y4618">
        <v>0.83299999999999996</v>
      </c>
    </row>
    <row r="4619" spans="1:25" x14ac:dyDescent="0.2">
      <c r="A4619" t="s">
        <v>554</v>
      </c>
      <c r="B4619">
        <v>2021</v>
      </c>
      <c r="C4619" t="s">
        <v>816</v>
      </c>
      <c r="D4619" t="s">
        <v>820</v>
      </c>
      <c r="E4619" t="s">
        <v>34</v>
      </c>
      <c r="F4619" t="s">
        <v>315</v>
      </c>
      <c r="G4619">
        <v>-33.133333</v>
      </c>
      <c r="H4619">
        <v>-71.7</v>
      </c>
      <c r="I4619" t="s">
        <v>764</v>
      </c>
      <c r="J4619" s="2" t="s">
        <v>16</v>
      </c>
      <c r="K4619" t="s">
        <v>351</v>
      </c>
      <c r="L4619" t="s">
        <v>143</v>
      </c>
      <c r="M4619" s="6" t="s">
        <v>664</v>
      </c>
      <c r="N4619" t="s">
        <v>86</v>
      </c>
      <c r="O4619" s="6" t="s">
        <v>848</v>
      </c>
      <c r="P4619" t="s">
        <v>524</v>
      </c>
      <c r="Q4619">
        <v>21</v>
      </c>
      <c r="R4619" t="s">
        <v>213</v>
      </c>
      <c r="S4619" s="2" t="s">
        <v>37</v>
      </c>
      <c r="T4619">
        <v>6</v>
      </c>
      <c r="U4619">
        <f>AVERAGE(7.54,7.55)</f>
        <v>7.5449999999999999</v>
      </c>
      <c r="V4619">
        <f>AVERAGE(1442,1414)</f>
        <v>1428</v>
      </c>
      <c r="W4619">
        <v>20</v>
      </c>
      <c r="X4619">
        <v>1.6020000000000001</v>
      </c>
      <c r="Y4619">
        <v>1.921</v>
      </c>
    </row>
    <row r="4620" spans="1:25" x14ac:dyDescent="0.2">
      <c r="A4620" t="s">
        <v>554</v>
      </c>
      <c r="B4620">
        <v>2021</v>
      </c>
      <c r="C4620" t="s">
        <v>816</v>
      </c>
      <c r="D4620" t="s">
        <v>820</v>
      </c>
      <c r="E4620" t="s">
        <v>34</v>
      </c>
      <c r="F4620" t="s">
        <v>555</v>
      </c>
      <c r="G4620">
        <v>-33.450000000000003</v>
      </c>
      <c r="H4620">
        <v>-72</v>
      </c>
      <c r="I4620" t="s">
        <v>771</v>
      </c>
      <c r="J4620" s="2" t="s">
        <v>16</v>
      </c>
      <c r="K4620" t="s">
        <v>351</v>
      </c>
      <c r="L4620" t="s">
        <v>143</v>
      </c>
      <c r="M4620" s="6" t="s">
        <v>664</v>
      </c>
      <c r="N4620" t="s">
        <v>86</v>
      </c>
      <c r="O4620" s="6" t="s">
        <v>848</v>
      </c>
      <c r="P4620" t="s">
        <v>524</v>
      </c>
      <c r="Q4620">
        <v>21</v>
      </c>
      <c r="R4620" t="s">
        <v>213</v>
      </c>
      <c r="S4620" s="2" t="s">
        <v>37</v>
      </c>
      <c r="T4620">
        <v>6</v>
      </c>
      <c r="U4620">
        <f>AVERAGE(7.54,7.55)</f>
        <v>7.5449999999999999</v>
      </c>
      <c r="V4620">
        <f>AVERAGE(1442,1414)</f>
        <v>1428</v>
      </c>
      <c r="W4620">
        <v>20</v>
      </c>
      <c r="X4620">
        <v>2.101</v>
      </c>
      <c r="Y4620">
        <v>1.857</v>
      </c>
    </row>
    <row r="4621" spans="1:25" x14ac:dyDescent="0.2">
      <c r="A4621" t="s">
        <v>554</v>
      </c>
      <c r="B4621">
        <v>2021</v>
      </c>
      <c r="C4621" t="s">
        <v>816</v>
      </c>
      <c r="D4621" t="s">
        <v>820</v>
      </c>
      <c r="E4621" t="s">
        <v>34</v>
      </c>
      <c r="F4621" t="s">
        <v>555</v>
      </c>
      <c r="G4621">
        <v>-33.450000000000003</v>
      </c>
      <c r="H4621">
        <v>-72</v>
      </c>
      <c r="I4621" t="s">
        <v>764</v>
      </c>
      <c r="J4621" s="2" t="s">
        <v>16</v>
      </c>
      <c r="K4621" t="s">
        <v>351</v>
      </c>
      <c r="L4621" t="s">
        <v>143</v>
      </c>
      <c r="M4621" s="6" t="s">
        <v>664</v>
      </c>
      <c r="N4621" t="s">
        <v>86</v>
      </c>
      <c r="O4621" s="6" t="s">
        <v>848</v>
      </c>
      <c r="P4621" t="s">
        <v>524</v>
      </c>
      <c r="Q4621">
        <v>21</v>
      </c>
      <c r="R4621" t="s">
        <v>213</v>
      </c>
      <c r="S4621" s="2" t="s">
        <v>37</v>
      </c>
      <c r="T4621">
        <v>6</v>
      </c>
      <c r="U4621">
        <f>AVERAGE(7.54,7.55)</f>
        <v>7.5449999999999999</v>
      </c>
      <c r="V4621">
        <f>AVERAGE(1442,1414)</f>
        <v>1428</v>
      </c>
      <c r="W4621">
        <v>20</v>
      </c>
      <c r="X4621">
        <v>3.4529999999999998</v>
      </c>
      <c r="Y4621">
        <v>1.3240000000000001</v>
      </c>
    </row>
    <row r="4622" spans="1:25" x14ac:dyDescent="0.2">
      <c r="A4622" t="s">
        <v>554</v>
      </c>
      <c r="B4622">
        <v>2021</v>
      </c>
      <c r="C4622" t="s">
        <v>816</v>
      </c>
      <c r="D4622" t="s">
        <v>820</v>
      </c>
      <c r="E4622" t="s">
        <v>34</v>
      </c>
      <c r="F4622" t="s">
        <v>315</v>
      </c>
      <c r="G4622">
        <v>-33.133333</v>
      </c>
      <c r="H4622">
        <v>-71.7</v>
      </c>
      <c r="I4622" t="s">
        <v>771</v>
      </c>
      <c r="J4622" s="2" t="s">
        <v>7</v>
      </c>
      <c r="K4622" t="s">
        <v>351</v>
      </c>
      <c r="L4622" t="s">
        <v>143</v>
      </c>
      <c r="M4622" t="s">
        <v>638</v>
      </c>
      <c r="N4622" t="s">
        <v>85</v>
      </c>
      <c r="O4622" s="6" t="s">
        <v>107</v>
      </c>
      <c r="P4622" t="s">
        <v>126</v>
      </c>
      <c r="Q4622">
        <v>21</v>
      </c>
      <c r="R4622" t="s">
        <v>213</v>
      </c>
      <c r="S4622" s="2" t="s">
        <v>7</v>
      </c>
      <c r="T4622">
        <v>6</v>
      </c>
      <c r="U4622">
        <f>AVERAGE(7.72, 7.8)</f>
        <v>7.76</v>
      </c>
      <c r="V4622">
        <f>AVERAGE(926.28,726)</f>
        <v>826.14</v>
      </c>
      <c r="W4622">
        <v>12</v>
      </c>
      <c r="X4622">
        <v>1.41</v>
      </c>
      <c r="Y4622">
        <v>0.14099999999999999</v>
      </c>
    </row>
    <row r="4623" spans="1:25" x14ac:dyDescent="0.2">
      <c r="A4623" t="s">
        <v>554</v>
      </c>
      <c r="B4623">
        <v>2021</v>
      </c>
      <c r="C4623" t="s">
        <v>816</v>
      </c>
      <c r="D4623" t="s">
        <v>820</v>
      </c>
      <c r="E4623" t="s">
        <v>34</v>
      </c>
      <c r="F4623" t="s">
        <v>315</v>
      </c>
      <c r="G4623">
        <v>-33.133333</v>
      </c>
      <c r="H4623">
        <v>-71.7</v>
      </c>
      <c r="I4623" t="s">
        <v>764</v>
      </c>
      <c r="J4623" s="2" t="s">
        <v>7</v>
      </c>
      <c r="K4623" t="s">
        <v>351</v>
      </c>
      <c r="L4623" t="s">
        <v>143</v>
      </c>
      <c r="M4623" t="s">
        <v>638</v>
      </c>
      <c r="N4623" t="s">
        <v>85</v>
      </c>
      <c r="O4623" s="6" t="s">
        <v>107</v>
      </c>
      <c r="P4623" t="s">
        <v>126</v>
      </c>
      <c r="Q4623">
        <v>21</v>
      </c>
      <c r="R4623" t="s">
        <v>213</v>
      </c>
      <c r="S4623" s="2" t="s">
        <v>7</v>
      </c>
      <c r="T4623">
        <v>6</v>
      </c>
      <c r="U4623">
        <f>AVERAGE(7.72, 7.8)</f>
        <v>7.76</v>
      </c>
      <c r="V4623">
        <f>AVERAGE(926.28,726)</f>
        <v>826.14</v>
      </c>
      <c r="W4623">
        <v>12</v>
      </c>
      <c r="X4623">
        <v>1.9339999999999999</v>
      </c>
      <c r="Y4623">
        <v>0.29199999999999998</v>
      </c>
    </row>
    <row r="4624" spans="1:25" x14ac:dyDescent="0.2">
      <c r="A4624" t="s">
        <v>554</v>
      </c>
      <c r="B4624">
        <v>2021</v>
      </c>
      <c r="C4624" t="s">
        <v>816</v>
      </c>
      <c r="D4624" t="s">
        <v>820</v>
      </c>
      <c r="E4624" t="s">
        <v>34</v>
      </c>
      <c r="F4624" t="s">
        <v>555</v>
      </c>
      <c r="G4624">
        <v>-33.450000000000003</v>
      </c>
      <c r="H4624">
        <v>-72</v>
      </c>
      <c r="I4624" t="s">
        <v>771</v>
      </c>
      <c r="J4624" s="2" t="s">
        <v>7</v>
      </c>
      <c r="K4624" t="s">
        <v>351</v>
      </c>
      <c r="L4624" t="s">
        <v>143</v>
      </c>
      <c r="M4624" t="s">
        <v>638</v>
      </c>
      <c r="N4624" t="s">
        <v>85</v>
      </c>
      <c r="O4624" s="6" t="s">
        <v>107</v>
      </c>
      <c r="P4624" t="s">
        <v>126</v>
      </c>
      <c r="Q4624">
        <v>21</v>
      </c>
      <c r="R4624" t="s">
        <v>213</v>
      </c>
      <c r="S4624" s="2" t="s">
        <v>7</v>
      </c>
      <c r="T4624">
        <v>6</v>
      </c>
      <c r="U4624">
        <f>AVERAGE(7.72, 7.8)</f>
        <v>7.76</v>
      </c>
      <c r="V4624">
        <f>AVERAGE(926.28,726)</f>
        <v>826.14</v>
      </c>
      <c r="W4624">
        <v>12</v>
      </c>
      <c r="X4624">
        <v>1.4410000000000001</v>
      </c>
      <c r="Y4624">
        <v>0.35</v>
      </c>
    </row>
    <row r="4625" spans="1:25" x14ac:dyDescent="0.2">
      <c r="A4625" t="s">
        <v>554</v>
      </c>
      <c r="B4625">
        <v>2021</v>
      </c>
      <c r="C4625" t="s">
        <v>816</v>
      </c>
      <c r="D4625" t="s">
        <v>820</v>
      </c>
      <c r="E4625" t="s">
        <v>34</v>
      </c>
      <c r="F4625" t="s">
        <v>555</v>
      </c>
      <c r="G4625">
        <v>-33.450000000000003</v>
      </c>
      <c r="H4625">
        <v>-72</v>
      </c>
      <c r="I4625" t="s">
        <v>764</v>
      </c>
      <c r="J4625" s="2" t="s">
        <v>7</v>
      </c>
      <c r="K4625" t="s">
        <v>351</v>
      </c>
      <c r="L4625" t="s">
        <v>143</v>
      </c>
      <c r="M4625" t="s">
        <v>638</v>
      </c>
      <c r="N4625" t="s">
        <v>85</v>
      </c>
      <c r="O4625" s="6" t="s">
        <v>107</v>
      </c>
      <c r="P4625" t="s">
        <v>126</v>
      </c>
      <c r="Q4625">
        <v>21</v>
      </c>
      <c r="R4625" t="s">
        <v>213</v>
      </c>
      <c r="S4625" s="2" t="s">
        <v>7</v>
      </c>
      <c r="T4625">
        <v>6</v>
      </c>
      <c r="U4625">
        <f>AVERAGE(7.72, 7.8)</f>
        <v>7.76</v>
      </c>
      <c r="V4625">
        <f>AVERAGE(926.28,726)</f>
        <v>826.14</v>
      </c>
      <c r="W4625">
        <v>12</v>
      </c>
      <c r="X4625">
        <v>1.9279999999999999</v>
      </c>
      <c r="Y4625">
        <v>0.11899999999999999</v>
      </c>
    </row>
    <row r="4626" spans="1:25" x14ac:dyDescent="0.2">
      <c r="A4626" t="s">
        <v>554</v>
      </c>
      <c r="B4626">
        <v>2021</v>
      </c>
      <c r="C4626" t="s">
        <v>816</v>
      </c>
      <c r="D4626" t="s">
        <v>820</v>
      </c>
      <c r="E4626" t="s">
        <v>34</v>
      </c>
      <c r="F4626" t="s">
        <v>315</v>
      </c>
      <c r="G4626">
        <v>-33.133333</v>
      </c>
      <c r="H4626">
        <v>-71.7</v>
      </c>
      <c r="I4626" t="s">
        <v>771</v>
      </c>
      <c r="J4626" s="2" t="s">
        <v>5</v>
      </c>
      <c r="K4626" t="s">
        <v>351</v>
      </c>
      <c r="L4626" t="s">
        <v>143</v>
      </c>
      <c r="M4626" t="s">
        <v>638</v>
      </c>
      <c r="N4626" t="s">
        <v>85</v>
      </c>
      <c r="O4626" s="6" t="s">
        <v>107</v>
      </c>
      <c r="P4626" t="s">
        <v>126</v>
      </c>
      <c r="Q4626">
        <v>21</v>
      </c>
      <c r="R4626" t="s">
        <v>213</v>
      </c>
      <c r="S4626" s="2" t="s">
        <v>9</v>
      </c>
      <c r="T4626">
        <v>6</v>
      </c>
      <c r="U4626">
        <f>AVERAGE(7.49,7.46)</f>
        <v>7.4749999999999996</v>
      </c>
      <c r="V4626">
        <f>AVERAGE(1587,1732)</f>
        <v>1659.5</v>
      </c>
      <c r="W4626" t="s">
        <v>28</v>
      </c>
      <c r="X4626">
        <v>1.732</v>
      </c>
      <c r="Y4626">
        <v>0.94</v>
      </c>
    </row>
    <row r="4627" spans="1:25" x14ac:dyDescent="0.2">
      <c r="A4627" t="s">
        <v>554</v>
      </c>
      <c r="B4627">
        <v>2021</v>
      </c>
      <c r="C4627" t="s">
        <v>816</v>
      </c>
      <c r="D4627" t="s">
        <v>820</v>
      </c>
      <c r="E4627" t="s">
        <v>34</v>
      </c>
      <c r="F4627" t="s">
        <v>315</v>
      </c>
      <c r="G4627">
        <v>-33.133333</v>
      </c>
      <c r="H4627">
        <v>-71.7</v>
      </c>
      <c r="I4627" t="s">
        <v>764</v>
      </c>
      <c r="J4627" s="2" t="s">
        <v>5</v>
      </c>
      <c r="K4627" t="s">
        <v>351</v>
      </c>
      <c r="L4627" t="s">
        <v>143</v>
      </c>
      <c r="M4627" t="s">
        <v>638</v>
      </c>
      <c r="N4627" t="s">
        <v>85</v>
      </c>
      <c r="O4627" s="6" t="s">
        <v>107</v>
      </c>
      <c r="P4627" t="s">
        <v>126</v>
      </c>
      <c r="Q4627">
        <v>21</v>
      </c>
      <c r="R4627" t="s">
        <v>213</v>
      </c>
      <c r="S4627" s="2" t="s">
        <v>9</v>
      </c>
      <c r="T4627">
        <v>6</v>
      </c>
      <c r="U4627">
        <f>AVERAGE(7.49,7.46)</f>
        <v>7.4749999999999996</v>
      </c>
      <c r="V4627">
        <f>AVERAGE(1587,1732)</f>
        <v>1659.5</v>
      </c>
      <c r="W4627" t="s">
        <v>28</v>
      </c>
      <c r="X4627">
        <v>2.57</v>
      </c>
      <c r="Y4627">
        <v>0.14199999999999999</v>
      </c>
    </row>
    <row r="4628" spans="1:25" x14ac:dyDescent="0.2">
      <c r="A4628" t="s">
        <v>554</v>
      </c>
      <c r="B4628">
        <v>2021</v>
      </c>
      <c r="C4628" t="s">
        <v>816</v>
      </c>
      <c r="D4628" t="s">
        <v>820</v>
      </c>
      <c r="E4628" t="s">
        <v>34</v>
      </c>
      <c r="F4628" t="s">
        <v>555</v>
      </c>
      <c r="G4628">
        <v>-33.450000000000003</v>
      </c>
      <c r="H4628">
        <v>-72</v>
      </c>
      <c r="I4628" t="s">
        <v>771</v>
      </c>
      <c r="J4628" s="2" t="s">
        <v>5</v>
      </c>
      <c r="K4628" t="s">
        <v>351</v>
      </c>
      <c r="L4628" t="s">
        <v>143</v>
      </c>
      <c r="M4628" t="s">
        <v>638</v>
      </c>
      <c r="N4628" t="s">
        <v>85</v>
      </c>
      <c r="O4628" s="6" t="s">
        <v>107</v>
      </c>
      <c r="P4628" t="s">
        <v>126</v>
      </c>
      <c r="Q4628">
        <v>21</v>
      </c>
      <c r="R4628" t="s">
        <v>213</v>
      </c>
      <c r="S4628" s="2" t="s">
        <v>9</v>
      </c>
      <c r="T4628">
        <v>6</v>
      </c>
      <c r="U4628">
        <f>AVERAGE(7.49,7.46)</f>
        <v>7.4749999999999996</v>
      </c>
      <c r="V4628">
        <f>AVERAGE(1587,1732)</f>
        <v>1659.5</v>
      </c>
      <c r="W4628" t="s">
        <v>28</v>
      </c>
      <c r="X4628">
        <v>1.24</v>
      </c>
      <c r="Y4628">
        <v>0.68</v>
      </c>
    </row>
    <row r="4629" spans="1:25" x14ac:dyDescent="0.2">
      <c r="A4629" t="s">
        <v>554</v>
      </c>
      <c r="B4629">
        <v>2021</v>
      </c>
      <c r="C4629" t="s">
        <v>816</v>
      </c>
      <c r="D4629" t="s">
        <v>820</v>
      </c>
      <c r="E4629" t="s">
        <v>34</v>
      </c>
      <c r="F4629" t="s">
        <v>555</v>
      </c>
      <c r="G4629">
        <v>-33.450000000000003</v>
      </c>
      <c r="H4629">
        <v>-72</v>
      </c>
      <c r="I4629" t="s">
        <v>764</v>
      </c>
      <c r="J4629" s="2" t="s">
        <v>5</v>
      </c>
      <c r="K4629" t="s">
        <v>351</v>
      </c>
      <c r="L4629" t="s">
        <v>143</v>
      </c>
      <c r="M4629" t="s">
        <v>638</v>
      </c>
      <c r="N4629" t="s">
        <v>85</v>
      </c>
      <c r="O4629" s="6" t="s">
        <v>107</v>
      </c>
      <c r="P4629" t="s">
        <v>126</v>
      </c>
      <c r="Q4629">
        <v>21</v>
      </c>
      <c r="R4629" t="s">
        <v>213</v>
      </c>
      <c r="S4629" s="2" t="s">
        <v>9</v>
      </c>
      <c r="T4629">
        <v>6</v>
      </c>
      <c r="U4629">
        <f>AVERAGE(7.49,7.46)</f>
        <v>7.4749999999999996</v>
      </c>
      <c r="V4629">
        <f>AVERAGE(1587,1732)</f>
        <v>1659.5</v>
      </c>
      <c r="W4629" t="s">
        <v>28</v>
      </c>
      <c r="X4629">
        <v>1.974</v>
      </c>
      <c r="Y4629">
        <v>0.124</v>
      </c>
    </row>
    <row r="4630" spans="1:25" x14ac:dyDescent="0.2">
      <c r="A4630" t="s">
        <v>554</v>
      </c>
      <c r="B4630">
        <v>2021</v>
      </c>
      <c r="C4630" t="s">
        <v>816</v>
      </c>
      <c r="D4630" t="s">
        <v>820</v>
      </c>
      <c r="E4630" t="s">
        <v>34</v>
      </c>
      <c r="F4630" t="s">
        <v>315</v>
      </c>
      <c r="G4630">
        <v>-33.133333</v>
      </c>
      <c r="H4630">
        <v>-71.7</v>
      </c>
      <c r="I4630" t="s">
        <v>771</v>
      </c>
      <c r="J4630" s="2" t="s">
        <v>14</v>
      </c>
      <c r="K4630" t="s">
        <v>351</v>
      </c>
      <c r="L4630" t="s">
        <v>143</v>
      </c>
      <c r="M4630" t="s">
        <v>638</v>
      </c>
      <c r="N4630" t="s">
        <v>85</v>
      </c>
      <c r="O4630" s="6" t="s">
        <v>107</v>
      </c>
      <c r="P4630" t="s">
        <v>126</v>
      </c>
      <c r="Q4630">
        <v>21</v>
      </c>
      <c r="R4630" t="s">
        <v>213</v>
      </c>
      <c r="S4630" s="2" t="s">
        <v>27</v>
      </c>
      <c r="T4630">
        <v>6</v>
      </c>
      <c r="U4630" t="s">
        <v>28</v>
      </c>
      <c r="V4630" t="s">
        <v>28</v>
      </c>
      <c r="W4630">
        <v>16</v>
      </c>
      <c r="X4630">
        <v>1.625</v>
      </c>
      <c r="Y4630">
        <v>0.55000000000000004</v>
      </c>
    </row>
    <row r="4631" spans="1:25" x14ac:dyDescent="0.2">
      <c r="A4631" t="s">
        <v>554</v>
      </c>
      <c r="B4631">
        <v>2021</v>
      </c>
      <c r="C4631" t="s">
        <v>816</v>
      </c>
      <c r="D4631" t="s">
        <v>820</v>
      </c>
      <c r="E4631" t="s">
        <v>34</v>
      </c>
      <c r="F4631" t="s">
        <v>315</v>
      </c>
      <c r="G4631">
        <v>-33.133333</v>
      </c>
      <c r="H4631">
        <v>-71.7</v>
      </c>
      <c r="I4631" t="s">
        <v>764</v>
      </c>
      <c r="J4631" s="2" t="s">
        <v>14</v>
      </c>
      <c r="K4631" t="s">
        <v>351</v>
      </c>
      <c r="L4631" t="s">
        <v>143</v>
      </c>
      <c r="M4631" t="s">
        <v>638</v>
      </c>
      <c r="N4631" t="s">
        <v>85</v>
      </c>
      <c r="O4631" s="6" t="s">
        <v>107</v>
      </c>
      <c r="P4631" t="s">
        <v>126</v>
      </c>
      <c r="Q4631">
        <v>21</v>
      </c>
      <c r="R4631" t="s">
        <v>213</v>
      </c>
      <c r="S4631" s="2" t="s">
        <v>27</v>
      </c>
      <c r="T4631">
        <v>6</v>
      </c>
      <c r="U4631" t="s">
        <v>28</v>
      </c>
      <c r="V4631" t="s">
        <v>28</v>
      </c>
      <c r="W4631">
        <v>16</v>
      </c>
      <c r="X4631">
        <v>1.774</v>
      </c>
      <c r="Y4631">
        <v>0.121</v>
      </c>
    </row>
    <row r="4632" spans="1:25" x14ac:dyDescent="0.2">
      <c r="A4632" t="s">
        <v>554</v>
      </c>
      <c r="B4632">
        <v>2021</v>
      </c>
      <c r="C4632" t="s">
        <v>816</v>
      </c>
      <c r="D4632" t="s">
        <v>820</v>
      </c>
      <c r="E4632" t="s">
        <v>34</v>
      </c>
      <c r="F4632" t="s">
        <v>555</v>
      </c>
      <c r="G4632">
        <v>-33.450000000000003</v>
      </c>
      <c r="H4632">
        <v>-72</v>
      </c>
      <c r="I4632" t="s">
        <v>771</v>
      </c>
      <c r="J4632" s="2" t="s">
        <v>14</v>
      </c>
      <c r="K4632" t="s">
        <v>351</v>
      </c>
      <c r="L4632" t="s">
        <v>143</v>
      </c>
      <c r="M4632" t="s">
        <v>638</v>
      </c>
      <c r="N4632" t="s">
        <v>85</v>
      </c>
      <c r="O4632" s="6" t="s">
        <v>107</v>
      </c>
      <c r="P4632" t="s">
        <v>126</v>
      </c>
      <c r="Q4632">
        <v>21</v>
      </c>
      <c r="R4632" t="s">
        <v>213</v>
      </c>
      <c r="S4632" s="2" t="s">
        <v>27</v>
      </c>
      <c r="T4632">
        <v>6</v>
      </c>
      <c r="U4632" t="s">
        <v>28</v>
      </c>
      <c r="V4632" t="s">
        <v>28</v>
      </c>
      <c r="W4632">
        <v>16</v>
      </c>
      <c r="X4632">
        <v>1.47</v>
      </c>
      <c r="Y4632">
        <v>0.38</v>
      </c>
    </row>
    <row r="4633" spans="1:25" x14ac:dyDescent="0.2">
      <c r="A4633" t="s">
        <v>554</v>
      </c>
      <c r="B4633">
        <v>2021</v>
      </c>
      <c r="C4633" t="s">
        <v>816</v>
      </c>
      <c r="D4633" t="s">
        <v>820</v>
      </c>
      <c r="E4633" t="s">
        <v>34</v>
      </c>
      <c r="F4633" t="s">
        <v>555</v>
      </c>
      <c r="G4633">
        <v>-33.450000000000003</v>
      </c>
      <c r="H4633">
        <v>-72</v>
      </c>
      <c r="I4633" t="s">
        <v>764</v>
      </c>
      <c r="J4633" s="2" t="s">
        <v>14</v>
      </c>
      <c r="K4633" t="s">
        <v>351</v>
      </c>
      <c r="L4633" t="s">
        <v>143</v>
      </c>
      <c r="M4633" t="s">
        <v>638</v>
      </c>
      <c r="N4633" t="s">
        <v>85</v>
      </c>
      <c r="O4633" s="6" t="s">
        <v>107</v>
      </c>
      <c r="P4633" t="s">
        <v>126</v>
      </c>
      <c r="Q4633">
        <v>21</v>
      </c>
      <c r="R4633" t="s">
        <v>213</v>
      </c>
      <c r="S4633" s="2" t="s">
        <v>27</v>
      </c>
      <c r="T4633">
        <v>6</v>
      </c>
      <c r="U4633" t="s">
        <v>28</v>
      </c>
      <c r="V4633" t="s">
        <v>28</v>
      </c>
      <c r="W4633">
        <v>16</v>
      </c>
      <c r="X4633">
        <v>1.819</v>
      </c>
      <c r="Y4633">
        <v>0.25700000000000001</v>
      </c>
    </row>
    <row r="4634" spans="1:25" x14ac:dyDescent="0.2">
      <c r="A4634" t="s">
        <v>554</v>
      </c>
      <c r="B4634">
        <v>2021</v>
      </c>
      <c r="C4634" t="s">
        <v>816</v>
      </c>
      <c r="D4634" t="s">
        <v>820</v>
      </c>
      <c r="E4634" t="s">
        <v>34</v>
      </c>
      <c r="F4634" t="s">
        <v>315</v>
      </c>
      <c r="G4634">
        <v>-33.133333</v>
      </c>
      <c r="H4634">
        <v>-71.7</v>
      </c>
      <c r="I4634" t="s">
        <v>771</v>
      </c>
      <c r="J4634" s="2" t="s">
        <v>16</v>
      </c>
      <c r="K4634" t="s">
        <v>351</v>
      </c>
      <c r="L4634" t="s">
        <v>143</v>
      </c>
      <c r="M4634" t="s">
        <v>638</v>
      </c>
      <c r="N4634" t="s">
        <v>85</v>
      </c>
      <c r="O4634" s="6" t="s">
        <v>107</v>
      </c>
      <c r="P4634" t="s">
        <v>126</v>
      </c>
      <c r="Q4634">
        <v>21</v>
      </c>
      <c r="R4634" t="s">
        <v>213</v>
      </c>
      <c r="S4634" s="2" t="s">
        <v>13</v>
      </c>
      <c r="T4634">
        <v>6</v>
      </c>
      <c r="U4634">
        <f>AVERAGE(7.46,7.47)</f>
        <v>7.4649999999999999</v>
      </c>
      <c r="V4634">
        <f>AVERAGE(1727,1689)</f>
        <v>1708</v>
      </c>
      <c r="W4634">
        <v>16</v>
      </c>
      <c r="X4634">
        <v>1.4930000000000001</v>
      </c>
      <c r="Y4634">
        <v>0.16700000000000001</v>
      </c>
    </row>
    <row r="4635" spans="1:25" x14ac:dyDescent="0.2">
      <c r="A4635" t="s">
        <v>554</v>
      </c>
      <c r="B4635">
        <v>2021</v>
      </c>
      <c r="C4635" t="s">
        <v>816</v>
      </c>
      <c r="D4635" t="s">
        <v>820</v>
      </c>
      <c r="E4635" t="s">
        <v>34</v>
      </c>
      <c r="F4635" t="s">
        <v>315</v>
      </c>
      <c r="G4635">
        <v>-33.133333</v>
      </c>
      <c r="H4635">
        <v>-71.7</v>
      </c>
      <c r="I4635" t="s">
        <v>764</v>
      </c>
      <c r="J4635" s="2" t="s">
        <v>16</v>
      </c>
      <c r="K4635" t="s">
        <v>351</v>
      </c>
      <c r="L4635" t="s">
        <v>143</v>
      </c>
      <c r="M4635" t="s">
        <v>638</v>
      </c>
      <c r="N4635" t="s">
        <v>85</v>
      </c>
      <c r="O4635" s="6" t="s">
        <v>107</v>
      </c>
      <c r="P4635" t="s">
        <v>126</v>
      </c>
      <c r="Q4635">
        <v>21</v>
      </c>
      <c r="R4635" t="s">
        <v>213</v>
      </c>
      <c r="S4635" s="2" t="s">
        <v>13</v>
      </c>
      <c r="T4635">
        <v>6</v>
      </c>
      <c r="U4635">
        <f>AVERAGE(7.46,7.47)</f>
        <v>7.4649999999999999</v>
      </c>
      <c r="V4635">
        <f>AVERAGE(1727,1689)</f>
        <v>1708</v>
      </c>
      <c r="W4635">
        <v>16</v>
      </c>
      <c r="X4635">
        <v>1.9319999999999999</v>
      </c>
      <c r="Y4635">
        <v>0.157</v>
      </c>
    </row>
    <row r="4636" spans="1:25" x14ac:dyDescent="0.2">
      <c r="A4636" t="s">
        <v>554</v>
      </c>
      <c r="B4636">
        <v>2021</v>
      </c>
      <c r="C4636" t="s">
        <v>816</v>
      </c>
      <c r="D4636" t="s">
        <v>820</v>
      </c>
      <c r="E4636" t="s">
        <v>34</v>
      </c>
      <c r="F4636" t="s">
        <v>555</v>
      </c>
      <c r="G4636">
        <v>-33.450000000000003</v>
      </c>
      <c r="H4636">
        <v>-72</v>
      </c>
      <c r="I4636" t="s">
        <v>771</v>
      </c>
      <c r="J4636" s="2" t="s">
        <v>16</v>
      </c>
      <c r="K4636" t="s">
        <v>351</v>
      </c>
      <c r="L4636" t="s">
        <v>143</v>
      </c>
      <c r="M4636" t="s">
        <v>638</v>
      </c>
      <c r="N4636" t="s">
        <v>85</v>
      </c>
      <c r="O4636" s="6" t="s">
        <v>107</v>
      </c>
      <c r="P4636" t="s">
        <v>126</v>
      </c>
      <c r="Q4636">
        <v>21</v>
      </c>
      <c r="R4636" t="s">
        <v>213</v>
      </c>
      <c r="S4636" s="2" t="s">
        <v>13</v>
      </c>
      <c r="T4636">
        <v>6</v>
      </c>
      <c r="U4636">
        <f>AVERAGE(7.46,7.47)</f>
        <v>7.4649999999999999</v>
      </c>
      <c r="V4636">
        <f>AVERAGE(1727,1689)</f>
        <v>1708</v>
      </c>
      <c r="W4636">
        <v>16</v>
      </c>
      <c r="X4636">
        <v>1.37</v>
      </c>
      <c r="Y4636">
        <v>0.16900000000000001</v>
      </c>
    </row>
    <row r="4637" spans="1:25" x14ac:dyDescent="0.2">
      <c r="A4637" t="s">
        <v>554</v>
      </c>
      <c r="B4637">
        <v>2021</v>
      </c>
      <c r="C4637" t="s">
        <v>816</v>
      </c>
      <c r="D4637" t="s">
        <v>820</v>
      </c>
      <c r="E4637" t="s">
        <v>34</v>
      </c>
      <c r="F4637" t="s">
        <v>555</v>
      </c>
      <c r="G4637">
        <v>-33.450000000000003</v>
      </c>
      <c r="H4637">
        <v>-72</v>
      </c>
      <c r="I4637" t="s">
        <v>764</v>
      </c>
      <c r="J4637" s="2" t="s">
        <v>16</v>
      </c>
      <c r="K4637" t="s">
        <v>351</v>
      </c>
      <c r="L4637" t="s">
        <v>143</v>
      </c>
      <c r="M4637" t="s">
        <v>638</v>
      </c>
      <c r="N4637" t="s">
        <v>85</v>
      </c>
      <c r="O4637" s="6" t="s">
        <v>107</v>
      </c>
      <c r="P4637" t="s">
        <v>126</v>
      </c>
      <c r="Q4637">
        <v>21</v>
      </c>
      <c r="R4637" t="s">
        <v>213</v>
      </c>
      <c r="S4637" s="2" t="s">
        <v>13</v>
      </c>
      <c r="T4637">
        <v>6</v>
      </c>
      <c r="U4637">
        <f>AVERAGE(7.46,7.47)</f>
        <v>7.4649999999999999</v>
      </c>
      <c r="V4637">
        <f>AVERAGE(1727,1689)</f>
        <v>1708</v>
      </c>
      <c r="W4637">
        <v>16</v>
      </c>
      <c r="X4637">
        <v>1.847</v>
      </c>
      <c r="Y4637">
        <v>0.17499999999999999</v>
      </c>
    </row>
    <row r="4638" spans="1:25" x14ac:dyDescent="0.2">
      <c r="A4638" t="s">
        <v>554</v>
      </c>
      <c r="B4638">
        <v>2021</v>
      </c>
      <c r="C4638" t="s">
        <v>816</v>
      </c>
      <c r="D4638" t="s">
        <v>820</v>
      </c>
      <c r="E4638" t="s">
        <v>34</v>
      </c>
      <c r="F4638" t="s">
        <v>315</v>
      </c>
      <c r="G4638">
        <v>-33.133333</v>
      </c>
      <c r="H4638">
        <v>-71.7</v>
      </c>
      <c r="I4638" t="s">
        <v>771</v>
      </c>
      <c r="J4638" s="2" t="s">
        <v>14</v>
      </c>
      <c r="K4638" t="s">
        <v>351</v>
      </c>
      <c r="L4638" t="s">
        <v>143</v>
      </c>
      <c r="M4638" t="s">
        <v>638</v>
      </c>
      <c r="N4638" t="s">
        <v>85</v>
      </c>
      <c r="O4638" s="6" t="s">
        <v>107</v>
      </c>
      <c r="P4638" t="s">
        <v>126</v>
      </c>
      <c r="Q4638">
        <v>21</v>
      </c>
      <c r="R4638" t="s">
        <v>213</v>
      </c>
      <c r="S4638" s="2" t="s">
        <v>15</v>
      </c>
      <c r="T4638">
        <v>6</v>
      </c>
      <c r="U4638" t="s">
        <v>28</v>
      </c>
      <c r="V4638" t="s">
        <v>28</v>
      </c>
      <c r="W4638">
        <v>20</v>
      </c>
      <c r="X4638">
        <v>1.504</v>
      </c>
      <c r="Y4638">
        <v>0.156</v>
      </c>
    </row>
    <row r="4639" spans="1:25" x14ac:dyDescent="0.2">
      <c r="A4639" t="s">
        <v>554</v>
      </c>
      <c r="B4639">
        <v>2021</v>
      </c>
      <c r="C4639" t="s">
        <v>816</v>
      </c>
      <c r="D4639" t="s">
        <v>820</v>
      </c>
      <c r="E4639" t="s">
        <v>34</v>
      </c>
      <c r="F4639" t="s">
        <v>315</v>
      </c>
      <c r="G4639">
        <v>-33.133333</v>
      </c>
      <c r="H4639">
        <v>-71.7</v>
      </c>
      <c r="I4639" t="s">
        <v>764</v>
      </c>
      <c r="J4639" s="2" t="s">
        <v>14</v>
      </c>
      <c r="K4639" t="s">
        <v>351</v>
      </c>
      <c r="L4639" t="s">
        <v>143</v>
      </c>
      <c r="M4639" t="s">
        <v>638</v>
      </c>
      <c r="N4639" t="s">
        <v>85</v>
      </c>
      <c r="O4639" s="6" t="s">
        <v>107</v>
      </c>
      <c r="P4639" t="s">
        <v>126</v>
      </c>
      <c r="Q4639">
        <v>21</v>
      </c>
      <c r="R4639" t="s">
        <v>213</v>
      </c>
      <c r="S4639" s="2" t="s">
        <v>15</v>
      </c>
      <c r="T4639">
        <v>6</v>
      </c>
      <c r="U4639" t="s">
        <v>28</v>
      </c>
      <c r="V4639" t="s">
        <v>28</v>
      </c>
      <c r="W4639">
        <v>20</v>
      </c>
      <c r="X4639">
        <v>1.6639999999999999</v>
      </c>
      <c r="Y4639">
        <v>0.34100000000000003</v>
      </c>
    </row>
    <row r="4640" spans="1:25" x14ac:dyDescent="0.2">
      <c r="A4640" t="s">
        <v>554</v>
      </c>
      <c r="B4640">
        <v>2021</v>
      </c>
      <c r="C4640" t="s">
        <v>816</v>
      </c>
      <c r="D4640" t="s">
        <v>820</v>
      </c>
      <c r="E4640" t="s">
        <v>34</v>
      </c>
      <c r="F4640" t="s">
        <v>555</v>
      </c>
      <c r="G4640">
        <v>-33.450000000000003</v>
      </c>
      <c r="H4640">
        <v>-72</v>
      </c>
      <c r="I4640" t="s">
        <v>771</v>
      </c>
      <c r="J4640" s="2" t="s">
        <v>14</v>
      </c>
      <c r="K4640" t="s">
        <v>351</v>
      </c>
      <c r="L4640" t="s">
        <v>143</v>
      </c>
      <c r="M4640" t="s">
        <v>638</v>
      </c>
      <c r="N4640" t="s">
        <v>85</v>
      </c>
      <c r="O4640" s="6" t="s">
        <v>107</v>
      </c>
      <c r="P4640" t="s">
        <v>126</v>
      </c>
      <c r="Q4640">
        <v>21</v>
      </c>
      <c r="R4640" t="s">
        <v>213</v>
      </c>
      <c r="S4640" s="2" t="s">
        <v>15</v>
      </c>
      <c r="T4640">
        <v>6</v>
      </c>
      <c r="U4640" t="s">
        <v>28</v>
      </c>
      <c r="V4640" t="s">
        <v>28</v>
      </c>
      <c r="W4640">
        <v>20</v>
      </c>
      <c r="X4640">
        <v>1.2989999999999999</v>
      </c>
      <c r="Y4640">
        <v>0.121</v>
      </c>
    </row>
    <row r="4641" spans="1:25" x14ac:dyDescent="0.2">
      <c r="A4641" t="s">
        <v>554</v>
      </c>
      <c r="B4641">
        <v>2021</v>
      </c>
      <c r="C4641" t="s">
        <v>816</v>
      </c>
      <c r="D4641" t="s">
        <v>820</v>
      </c>
      <c r="E4641" t="s">
        <v>34</v>
      </c>
      <c r="F4641" t="s">
        <v>555</v>
      </c>
      <c r="G4641">
        <v>-33.450000000000003</v>
      </c>
      <c r="H4641">
        <v>-72</v>
      </c>
      <c r="I4641" t="s">
        <v>764</v>
      </c>
      <c r="J4641" s="2" t="s">
        <v>14</v>
      </c>
      <c r="K4641" t="s">
        <v>351</v>
      </c>
      <c r="L4641" t="s">
        <v>143</v>
      </c>
      <c r="M4641" t="s">
        <v>638</v>
      </c>
      <c r="N4641" t="s">
        <v>85</v>
      </c>
      <c r="O4641" s="6" t="s">
        <v>107</v>
      </c>
      <c r="P4641" t="s">
        <v>126</v>
      </c>
      <c r="Q4641">
        <v>21</v>
      </c>
      <c r="R4641" t="s">
        <v>213</v>
      </c>
      <c r="S4641" s="2" t="s">
        <v>15</v>
      </c>
      <c r="T4641">
        <v>6</v>
      </c>
      <c r="U4641" t="s">
        <v>28</v>
      </c>
      <c r="V4641" t="s">
        <v>28</v>
      </c>
      <c r="W4641">
        <v>20</v>
      </c>
      <c r="X4641">
        <v>1.897</v>
      </c>
      <c r="Y4641">
        <v>0.123</v>
      </c>
    </row>
    <row r="4642" spans="1:25" x14ac:dyDescent="0.2">
      <c r="A4642" t="s">
        <v>554</v>
      </c>
      <c r="B4642">
        <v>2021</v>
      </c>
      <c r="C4642" t="s">
        <v>816</v>
      </c>
      <c r="D4642" t="s">
        <v>820</v>
      </c>
      <c r="E4642" t="s">
        <v>34</v>
      </c>
      <c r="F4642" t="s">
        <v>315</v>
      </c>
      <c r="G4642">
        <v>-33.133333</v>
      </c>
      <c r="H4642">
        <v>-71.7</v>
      </c>
      <c r="I4642" t="s">
        <v>771</v>
      </c>
      <c r="J4642" s="2" t="s">
        <v>16</v>
      </c>
      <c r="K4642" t="s">
        <v>351</v>
      </c>
      <c r="L4642" t="s">
        <v>143</v>
      </c>
      <c r="M4642" t="s">
        <v>638</v>
      </c>
      <c r="N4642" t="s">
        <v>85</v>
      </c>
      <c r="O4642" s="6" t="s">
        <v>107</v>
      </c>
      <c r="P4642" t="s">
        <v>126</v>
      </c>
      <c r="Q4642">
        <v>21</v>
      </c>
      <c r="R4642" t="s">
        <v>213</v>
      </c>
      <c r="S4642" s="2" t="s">
        <v>37</v>
      </c>
      <c r="T4642">
        <v>6</v>
      </c>
      <c r="U4642">
        <f>AVERAGE(7.54,7.55)</f>
        <v>7.5449999999999999</v>
      </c>
      <c r="V4642">
        <f>AVERAGE(1442,1414)</f>
        <v>1428</v>
      </c>
      <c r="W4642">
        <v>20</v>
      </c>
      <c r="X4642">
        <v>1.276</v>
      </c>
      <c r="Y4642">
        <v>0.108</v>
      </c>
    </row>
    <row r="4643" spans="1:25" x14ac:dyDescent="0.2">
      <c r="A4643" t="s">
        <v>554</v>
      </c>
      <c r="B4643">
        <v>2021</v>
      </c>
      <c r="C4643" t="s">
        <v>816</v>
      </c>
      <c r="D4643" t="s">
        <v>820</v>
      </c>
      <c r="E4643" t="s">
        <v>34</v>
      </c>
      <c r="F4643" t="s">
        <v>315</v>
      </c>
      <c r="G4643">
        <v>-33.133333</v>
      </c>
      <c r="H4643">
        <v>-71.7</v>
      </c>
      <c r="I4643" t="s">
        <v>764</v>
      </c>
      <c r="J4643" s="2" t="s">
        <v>16</v>
      </c>
      <c r="K4643" t="s">
        <v>351</v>
      </c>
      <c r="L4643" t="s">
        <v>143</v>
      </c>
      <c r="M4643" t="s">
        <v>638</v>
      </c>
      <c r="N4643" t="s">
        <v>85</v>
      </c>
      <c r="O4643" s="6" t="s">
        <v>107</v>
      </c>
      <c r="P4643" t="s">
        <v>126</v>
      </c>
      <c r="Q4643">
        <v>21</v>
      </c>
      <c r="R4643" t="s">
        <v>213</v>
      </c>
      <c r="S4643" s="2" t="s">
        <v>37</v>
      </c>
      <c r="T4643">
        <v>6</v>
      </c>
      <c r="U4643">
        <f>AVERAGE(7.54,7.55)</f>
        <v>7.5449999999999999</v>
      </c>
      <c r="V4643">
        <f>AVERAGE(1442,1414)</f>
        <v>1428</v>
      </c>
      <c r="W4643">
        <v>20</v>
      </c>
      <c r="X4643">
        <v>1.7070000000000001</v>
      </c>
      <c r="Y4643">
        <v>0.16400000000000001</v>
      </c>
    </row>
    <row r="4644" spans="1:25" x14ac:dyDescent="0.2">
      <c r="A4644" t="s">
        <v>554</v>
      </c>
      <c r="B4644">
        <v>2021</v>
      </c>
      <c r="C4644" t="s">
        <v>816</v>
      </c>
      <c r="D4644" t="s">
        <v>820</v>
      </c>
      <c r="E4644" t="s">
        <v>34</v>
      </c>
      <c r="F4644" t="s">
        <v>555</v>
      </c>
      <c r="G4644">
        <v>-33.450000000000003</v>
      </c>
      <c r="H4644">
        <v>-72</v>
      </c>
      <c r="I4644" t="s">
        <v>771</v>
      </c>
      <c r="J4644" s="2" t="s">
        <v>16</v>
      </c>
      <c r="K4644" t="s">
        <v>351</v>
      </c>
      <c r="L4644" t="s">
        <v>143</v>
      </c>
      <c r="M4644" t="s">
        <v>638</v>
      </c>
      <c r="N4644" t="s">
        <v>85</v>
      </c>
      <c r="O4644" s="6" t="s">
        <v>107</v>
      </c>
      <c r="P4644" t="s">
        <v>126</v>
      </c>
      <c r="Q4644">
        <v>21</v>
      </c>
      <c r="R4644" t="s">
        <v>213</v>
      </c>
      <c r="S4644" s="2" t="s">
        <v>37</v>
      </c>
      <c r="T4644">
        <v>6</v>
      </c>
      <c r="U4644">
        <f>AVERAGE(7.54,7.55)</f>
        <v>7.5449999999999999</v>
      </c>
      <c r="V4644">
        <f>AVERAGE(1442,1414)</f>
        <v>1428</v>
      </c>
      <c r="W4644">
        <v>20</v>
      </c>
      <c r="X4644">
        <v>1.103</v>
      </c>
      <c r="Y4644">
        <v>0.5</v>
      </c>
    </row>
    <row r="4645" spans="1:25" x14ac:dyDescent="0.2">
      <c r="A4645" t="s">
        <v>554</v>
      </c>
      <c r="B4645">
        <v>2021</v>
      </c>
      <c r="C4645" t="s">
        <v>816</v>
      </c>
      <c r="D4645" t="s">
        <v>820</v>
      </c>
      <c r="E4645" t="s">
        <v>34</v>
      </c>
      <c r="F4645" t="s">
        <v>555</v>
      </c>
      <c r="G4645">
        <v>-33.450000000000003</v>
      </c>
      <c r="H4645">
        <v>-72</v>
      </c>
      <c r="I4645" t="s">
        <v>764</v>
      </c>
      <c r="J4645" s="2" t="s">
        <v>16</v>
      </c>
      <c r="K4645" t="s">
        <v>351</v>
      </c>
      <c r="L4645" t="s">
        <v>143</v>
      </c>
      <c r="M4645" t="s">
        <v>638</v>
      </c>
      <c r="N4645" t="s">
        <v>85</v>
      </c>
      <c r="O4645" s="6" t="s">
        <v>107</v>
      </c>
      <c r="P4645" t="s">
        <v>126</v>
      </c>
      <c r="Q4645">
        <v>21</v>
      </c>
      <c r="R4645" t="s">
        <v>213</v>
      </c>
      <c r="S4645" s="2" t="s">
        <v>37</v>
      </c>
      <c r="T4645">
        <v>6</v>
      </c>
      <c r="U4645">
        <f>AVERAGE(7.54,7.55)</f>
        <v>7.5449999999999999</v>
      </c>
      <c r="V4645">
        <f>AVERAGE(1442,1414)</f>
        <v>1428</v>
      </c>
      <c r="W4645">
        <v>20</v>
      </c>
      <c r="X4645">
        <v>1.6419999999999999</v>
      </c>
      <c r="Y4645">
        <v>0.22</v>
      </c>
    </row>
    <row r="4646" spans="1:25" x14ac:dyDescent="0.2">
      <c r="A4646" t="s">
        <v>554</v>
      </c>
      <c r="B4646">
        <v>2021</v>
      </c>
      <c r="C4646" t="s">
        <v>816</v>
      </c>
      <c r="D4646" t="s">
        <v>820</v>
      </c>
      <c r="E4646" t="s">
        <v>34</v>
      </c>
      <c r="F4646" t="s">
        <v>315</v>
      </c>
      <c r="G4646">
        <v>-33.133333</v>
      </c>
      <c r="H4646">
        <v>-71.7</v>
      </c>
      <c r="I4646" t="s">
        <v>771</v>
      </c>
      <c r="J4646" s="2" t="s">
        <v>7</v>
      </c>
      <c r="K4646" t="s">
        <v>351</v>
      </c>
      <c r="L4646" t="s">
        <v>143</v>
      </c>
      <c r="M4646" t="s">
        <v>638</v>
      </c>
      <c r="N4646" t="s">
        <v>85</v>
      </c>
      <c r="O4646" s="6" t="s">
        <v>221</v>
      </c>
      <c r="P4646" t="s">
        <v>126</v>
      </c>
      <c r="Q4646">
        <v>21</v>
      </c>
      <c r="R4646" t="s">
        <v>213</v>
      </c>
      <c r="S4646" s="2" t="s">
        <v>7</v>
      </c>
      <c r="T4646">
        <v>6</v>
      </c>
      <c r="U4646">
        <f>AVERAGE(7.72, 7.8)</f>
        <v>7.76</v>
      </c>
      <c r="V4646">
        <f>AVERAGE(926.28,726)</f>
        <v>826.14</v>
      </c>
      <c r="W4646">
        <v>12</v>
      </c>
      <c r="X4646">
        <v>16.754999999999999</v>
      </c>
      <c r="Y4646">
        <v>0.67300000000000004</v>
      </c>
    </row>
    <row r="4647" spans="1:25" x14ac:dyDescent="0.2">
      <c r="A4647" t="s">
        <v>554</v>
      </c>
      <c r="B4647">
        <v>2021</v>
      </c>
      <c r="C4647" t="s">
        <v>816</v>
      </c>
      <c r="D4647" t="s">
        <v>820</v>
      </c>
      <c r="E4647" t="s">
        <v>34</v>
      </c>
      <c r="F4647" t="s">
        <v>315</v>
      </c>
      <c r="G4647">
        <v>-33.133333</v>
      </c>
      <c r="H4647">
        <v>-71.7</v>
      </c>
      <c r="I4647" t="s">
        <v>764</v>
      </c>
      <c r="J4647" s="2" t="s">
        <v>7</v>
      </c>
      <c r="K4647" t="s">
        <v>351</v>
      </c>
      <c r="L4647" t="s">
        <v>143</v>
      </c>
      <c r="M4647" t="s">
        <v>638</v>
      </c>
      <c r="N4647" t="s">
        <v>85</v>
      </c>
      <c r="O4647" s="6" t="s">
        <v>221</v>
      </c>
      <c r="P4647" t="s">
        <v>126</v>
      </c>
      <c r="Q4647">
        <v>21</v>
      </c>
      <c r="R4647" t="s">
        <v>213</v>
      </c>
      <c r="S4647" s="2" t="s">
        <v>7</v>
      </c>
      <c r="T4647">
        <v>6</v>
      </c>
      <c r="U4647">
        <f>AVERAGE(7.72, 7.8)</f>
        <v>7.76</v>
      </c>
      <c r="V4647">
        <f>AVERAGE(926.28,726)</f>
        <v>826.14</v>
      </c>
      <c r="W4647">
        <v>12</v>
      </c>
      <c r="X4647">
        <v>21.1</v>
      </c>
      <c r="Y4647">
        <v>0.61</v>
      </c>
    </row>
    <row r="4648" spans="1:25" x14ac:dyDescent="0.2">
      <c r="A4648" t="s">
        <v>554</v>
      </c>
      <c r="B4648">
        <v>2021</v>
      </c>
      <c r="C4648" t="s">
        <v>816</v>
      </c>
      <c r="D4648" t="s">
        <v>820</v>
      </c>
      <c r="E4648" t="s">
        <v>34</v>
      </c>
      <c r="F4648" t="s">
        <v>555</v>
      </c>
      <c r="G4648">
        <v>-33.450000000000003</v>
      </c>
      <c r="H4648">
        <v>-72</v>
      </c>
      <c r="I4648" t="s">
        <v>771</v>
      </c>
      <c r="J4648" s="2" t="s">
        <v>7</v>
      </c>
      <c r="K4648" t="s">
        <v>351</v>
      </c>
      <c r="L4648" t="s">
        <v>143</v>
      </c>
      <c r="M4648" t="s">
        <v>638</v>
      </c>
      <c r="N4648" t="s">
        <v>85</v>
      </c>
      <c r="O4648" s="6" t="s">
        <v>221</v>
      </c>
      <c r="P4648" t="s">
        <v>126</v>
      </c>
      <c r="Q4648">
        <v>21</v>
      </c>
      <c r="R4648" t="s">
        <v>213</v>
      </c>
      <c r="S4648" s="2" t="s">
        <v>7</v>
      </c>
      <c r="T4648">
        <v>6</v>
      </c>
      <c r="U4648">
        <f>AVERAGE(7.72, 7.8)</f>
        <v>7.76</v>
      </c>
      <c r="V4648">
        <f>AVERAGE(926.28,726)</f>
        <v>826.14</v>
      </c>
      <c r="W4648">
        <v>12</v>
      </c>
      <c r="X4648">
        <v>15.601000000000001</v>
      </c>
      <c r="Y4648">
        <v>1.1859999999999999</v>
      </c>
    </row>
    <row r="4649" spans="1:25" x14ac:dyDescent="0.2">
      <c r="A4649" t="s">
        <v>554</v>
      </c>
      <c r="B4649">
        <v>2021</v>
      </c>
      <c r="C4649" t="s">
        <v>816</v>
      </c>
      <c r="D4649" t="s">
        <v>820</v>
      </c>
      <c r="E4649" t="s">
        <v>34</v>
      </c>
      <c r="F4649" t="s">
        <v>555</v>
      </c>
      <c r="G4649">
        <v>-33.450000000000003</v>
      </c>
      <c r="H4649">
        <v>-72</v>
      </c>
      <c r="I4649" t="s">
        <v>764</v>
      </c>
      <c r="J4649" s="2" t="s">
        <v>7</v>
      </c>
      <c r="K4649" t="s">
        <v>351</v>
      </c>
      <c r="L4649" t="s">
        <v>143</v>
      </c>
      <c r="M4649" t="s">
        <v>638</v>
      </c>
      <c r="N4649" t="s">
        <v>85</v>
      </c>
      <c r="O4649" s="6" t="s">
        <v>221</v>
      </c>
      <c r="P4649" t="s">
        <v>126</v>
      </c>
      <c r="Q4649">
        <v>21</v>
      </c>
      <c r="R4649" t="s">
        <v>213</v>
      </c>
      <c r="S4649" s="2" t="s">
        <v>7</v>
      </c>
      <c r="T4649">
        <v>6</v>
      </c>
      <c r="U4649">
        <f>AVERAGE(7.72, 7.8)</f>
        <v>7.76</v>
      </c>
      <c r="V4649">
        <f>AVERAGE(926.28,726)</f>
        <v>826.14</v>
      </c>
      <c r="W4649">
        <v>12</v>
      </c>
      <c r="X4649">
        <v>22.661999999999999</v>
      </c>
      <c r="Y4649">
        <v>1.208</v>
      </c>
    </row>
    <row r="4650" spans="1:25" x14ac:dyDescent="0.2">
      <c r="A4650" t="s">
        <v>554</v>
      </c>
      <c r="B4650">
        <v>2021</v>
      </c>
      <c r="C4650" t="s">
        <v>816</v>
      </c>
      <c r="D4650" t="s">
        <v>820</v>
      </c>
      <c r="E4650" t="s">
        <v>34</v>
      </c>
      <c r="F4650" t="s">
        <v>315</v>
      </c>
      <c r="G4650">
        <v>-33.133333</v>
      </c>
      <c r="H4650">
        <v>-71.7</v>
      </c>
      <c r="I4650" t="s">
        <v>771</v>
      </c>
      <c r="J4650" s="2" t="s">
        <v>5</v>
      </c>
      <c r="K4650" t="s">
        <v>351</v>
      </c>
      <c r="L4650" t="s">
        <v>143</v>
      </c>
      <c r="M4650" t="s">
        <v>638</v>
      </c>
      <c r="N4650" t="s">
        <v>85</v>
      </c>
      <c r="O4650" s="6" t="s">
        <v>221</v>
      </c>
      <c r="P4650" t="s">
        <v>126</v>
      </c>
      <c r="Q4650">
        <v>21</v>
      </c>
      <c r="R4650" t="s">
        <v>213</v>
      </c>
      <c r="S4650" s="2" t="s">
        <v>9</v>
      </c>
      <c r="T4650">
        <v>6</v>
      </c>
      <c r="U4650">
        <f>AVERAGE(7.49,7.46)</f>
        <v>7.4749999999999996</v>
      </c>
      <c r="V4650">
        <f>AVERAGE(1587,1732)</f>
        <v>1659.5</v>
      </c>
      <c r="W4650" t="s">
        <v>28</v>
      </c>
      <c r="X4650">
        <v>18.254999999999999</v>
      </c>
      <c r="Y4650">
        <v>1.72</v>
      </c>
    </row>
    <row r="4651" spans="1:25" x14ac:dyDescent="0.2">
      <c r="A4651" t="s">
        <v>554</v>
      </c>
      <c r="B4651">
        <v>2021</v>
      </c>
      <c r="C4651" t="s">
        <v>816</v>
      </c>
      <c r="D4651" t="s">
        <v>820</v>
      </c>
      <c r="E4651" t="s">
        <v>34</v>
      </c>
      <c r="F4651" t="s">
        <v>315</v>
      </c>
      <c r="G4651">
        <v>-33.133333</v>
      </c>
      <c r="H4651">
        <v>-71.7</v>
      </c>
      <c r="I4651" t="s">
        <v>764</v>
      </c>
      <c r="J4651" s="2" t="s">
        <v>5</v>
      </c>
      <c r="K4651" t="s">
        <v>351</v>
      </c>
      <c r="L4651" t="s">
        <v>143</v>
      </c>
      <c r="M4651" t="s">
        <v>638</v>
      </c>
      <c r="N4651" t="s">
        <v>85</v>
      </c>
      <c r="O4651" s="6" t="s">
        <v>221</v>
      </c>
      <c r="P4651" t="s">
        <v>126</v>
      </c>
      <c r="Q4651">
        <v>21</v>
      </c>
      <c r="R4651" t="s">
        <v>213</v>
      </c>
      <c r="S4651" s="2" t="s">
        <v>9</v>
      </c>
      <c r="T4651">
        <v>6</v>
      </c>
      <c r="U4651">
        <f>AVERAGE(7.49,7.46)</f>
        <v>7.4749999999999996</v>
      </c>
      <c r="V4651">
        <f>AVERAGE(1587,1732)</f>
        <v>1659.5</v>
      </c>
      <c r="W4651" t="s">
        <v>28</v>
      </c>
      <c r="X4651">
        <v>23.446000000000002</v>
      </c>
      <c r="Y4651">
        <v>0.223</v>
      </c>
    </row>
    <row r="4652" spans="1:25" x14ac:dyDescent="0.2">
      <c r="A4652" t="s">
        <v>554</v>
      </c>
      <c r="B4652">
        <v>2021</v>
      </c>
      <c r="C4652" t="s">
        <v>816</v>
      </c>
      <c r="D4652" t="s">
        <v>820</v>
      </c>
      <c r="E4652" t="s">
        <v>34</v>
      </c>
      <c r="F4652" t="s">
        <v>555</v>
      </c>
      <c r="G4652">
        <v>-33.450000000000003</v>
      </c>
      <c r="H4652">
        <v>-72</v>
      </c>
      <c r="I4652" t="s">
        <v>771</v>
      </c>
      <c r="J4652" s="2" t="s">
        <v>5</v>
      </c>
      <c r="K4652" t="s">
        <v>351</v>
      </c>
      <c r="L4652" t="s">
        <v>143</v>
      </c>
      <c r="M4652" t="s">
        <v>638</v>
      </c>
      <c r="N4652" t="s">
        <v>85</v>
      </c>
      <c r="O4652" s="6" t="s">
        <v>221</v>
      </c>
      <c r="P4652" t="s">
        <v>126</v>
      </c>
      <c r="Q4652">
        <v>21</v>
      </c>
      <c r="R4652" t="s">
        <v>213</v>
      </c>
      <c r="S4652" s="2" t="s">
        <v>9</v>
      </c>
      <c r="T4652">
        <v>6</v>
      </c>
      <c r="U4652">
        <f>AVERAGE(7.49,7.46)</f>
        <v>7.4749999999999996</v>
      </c>
      <c r="V4652">
        <f>AVERAGE(1587,1732)</f>
        <v>1659.5</v>
      </c>
      <c r="W4652" t="s">
        <v>28</v>
      </c>
      <c r="X4652">
        <v>13.28</v>
      </c>
      <c r="Y4652">
        <v>0.53200000000000003</v>
      </c>
    </row>
    <row r="4653" spans="1:25" x14ac:dyDescent="0.2">
      <c r="A4653" t="s">
        <v>554</v>
      </c>
      <c r="B4653">
        <v>2021</v>
      </c>
      <c r="C4653" t="s">
        <v>816</v>
      </c>
      <c r="D4653" t="s">
        <v>820</v>
      </c>
      <c r="E4653" t="s">
        <v>34</v>
      </c>
      <c r="F4653" t="s">
        <v>555</v>
      </c>
      <c r="G4653">
        <v>-33.450000000000003</v>
      </c>
      <c r="H4653">
        <v>-72</v>
      </c>
      <c r="I4653" t="s">
        <v>764</v>
      </c>
      <c r="J4653" s="2" t="s">
        <v>5</v>
      </c>
      <c r="K4653" t="s">
        <v>351</v>
      </c>
      <c r="L4653" t="s">
        <v>143</v>
      </c>
      <c r="M4653" t="s">
        <v>638</v>
      </c>
      <c r="N4653" t="s">
        <v>85</v>
      </c>
      <c r="O4653" s="6" t="s">
        <v>221</v>
      </c>
      <c r="P4653" t="s">
        <v>126</v>
      </c>
      <c r="Q4653">
        <v>21</v>
      </c>
      <c r="R4653" t="s">
        <v>213</v>
      </c>
      <c r="S4653" s="2" t="s">
        <v>9</v>
      </c>
      <c r="T4653">
        <v>6</v>
      </c>
      <c r="U4653">
        <f>AVERAGE(7.49,7.46)</f>
        <v>7.4749999999999996</v>
      </c>
      <c r="V4653">
        <f>AVERAGE(1587,1732)</f>
        <v>1659.5</v>
      </c>
      <c r="W4653" t="s">
        <v>28</v>
      </c>
      <c r="X4653">
        <v>21.19</v>
      </c>
      <c r="Y4653">
        <v>1.651</v>
      </c>
    </row>
    <row r="4654" spans="1:25" x14ac:dyDescent="0.2">
      <c r="A4654" t="s">
        <v>554</v>
      </c>
      <c r="B4654">
        <v>2021</v>
      </c>
      <c r="C4654" t="s">
        <v>816</v>
      </c>
      <c r="D4654" t="s">
        <v>820</v>
      </c>
      <c r="E4654" t="s">
        <v>34</v>
      </c>
      <c r="F4654" t="s">
        <v>315</v>
      </c>
      <c r="G4654">
        <v>-33.133333</v>
      </c>
      <c r="H4654">
        <v>-71.7</v>
      </c>
      <c r="I4654" t="s">
        <v>771</v>
      </c>
      <c r="J4654" s="2" t="s">
        <v>14</v>
      </c>
      <c r="K4654" t="s">
        <v>351</v>
      </c>
      <c r="L4654" t="s">
        <v>143</v>
      </c>
      <c r="M4654" t="s">
        <v>638</v>
      </c>
      <c r="N4654" t="s">
        <v>85</v>
      </c>
      <c r="O4654" s="6" t="s">
        <v>221</v>
      </c>
      <c r="P4654" t="s">
        <v>126</v>
      </c>
      <c r="Q4654">
        <v>21</v>
      </c>
      <c r="R4654" t="s">
        <v>213</v>
      </c>
      <c r="S4654" s="2" t="s">
        <v>27</v>
      </c>
      <c r="T4654">
        <v>6</v>
      </c>
      <c r="U4654" t="s">
        <v>28</v>
      </c>
      <c r="V4654" t="s">
        <v>28</v>
      </c>
      <c r="W4654">
        <v>16</v>
      </c>
      <c r="X4654">
        <v>18.114000000000001</v>
      </c>
      <c r="Y4654">
        <v>0.66800000000000004</v>
      </c>
    </row>
    <row r="4655" spans="1:25" x14ac:dyDescent="0.2">
      <c r="A4655" t="s">
        <v>554</v>
      </c>
      <c r="B4655">
        <v>2021</v>
      </c>
      <c r="C4655" t="s">
        <v>816</v>
      </c>
      <c r="D4655" t="s">
        <v>820</v>
      </c>
      <c r="E4655" t="s">
        <v>34</v>
      </c>
      <c r="F4655" t="s">
        <v>315</v>
      </c>
      <c r="G4655">
        <v>-33.133333</v>
      </c>
      <c r="H4655">
        <v>-71.7</v>
      </c>
      <c r="I4655" t="s">
        <v>764</v>
      </c>
      <c r="J4655" s="2" t="s">
        <v>14</v>
      </c>
      <c r="K4655" t="s">
        <v>351</v>
      </c>
      <c r="L4655" t="s">
        <v>143</v>
      </c>
      <c r="M4655" t="s">
        <v>638</v>
      </c>
      <c r="N4655" t="s">
        <v>85</v>
      </c>
      <c r="O4655" s="6" t="s">
        <v>221</v>
      </c>
      <c r="P4655" t="s">
        <v>126</v>
      </c>
      <c r="Q4655">
        <v>21</v>
      </c>
      <c r="R4655" t="s">
        <v>213</v>
      </c>
      <c r="S4655" s="2" t="s">
        <v>27</v>
      </c>
      <c r="T4655">
        <v>6</v>
      </c>
      <c r="U4655" t="s">
        <v>28</v>
      </c>
      <c r="V4655" t="s">
        <v>28</v>
      </c>
      <c r="W4655">
        <v>16</v>
      </c>
      <c r="X4655">
        <v>22.26</v>
      </c>
      <c r="Y4655">
        <v>0.218</v>
      </c>
    </row>
    <row r="4656" spans="1:25" x14ac:dyDescent="0.2">
      <c r="A4656" t="s">
        <v>554</v>
      </c>
      <c r="B4656">
        <v>2021</v>
      </c>
      <c r="C4656" t="s">
        <v>816</v>
      </c>
      <c r="D4656" t="s">
        <v>820</v>
      </c>
      <c r="E4656" t="s">
        <v>34</v>
      </c>
      <c r="F4656" t="s">
        <v>555</v>
      </c>
      <c r="G4656">
        <v>-33.450000000000003</v>
      </c>
      <c r="H4656">
        <v>-72</v>
      </c>
      <c r="I4656" t="s">
        <v>771</v>
      </c>
      <c r="J4656" s="2" t="s">
        <v>14</v>
      </c>
      <c r="K4656" t="s">
        <v>351</v>
      </c>
      <c r="L4656" t="s">
        <v>143</v>
      </c>
      <c r="M4656" t="s">
        <v>638</v>
      </c>
      <c r="N4656" t="s">
        <v>85</v>
      </c>
      <c r="O4656" s="6" t="s">
        <v>221</v>
      </c>
      <c r="P4656" t="s">
        <v>126</v>
      </c>
      <c r="Q4656">
        <v>21</v>
      </c>
      <c r="R4656" t="s">
        <v>213</v>
      </c>
      <c r="S4656" s="2" t="s">
        <v>27</v>
      </c>
      <c r="T4656">
        <v>6</v>
      </c>
      <c r="U4656" t="s">
        <v>28</v>
      </c>
      <c r="V4656" t="s">
        <v>28</v>
      </c>
      <c r="W4656">
        <v>16</v>
      </c>
      <c r="X4656">
        <v>15.784000000000001</v>
      </c>
      <c r="Y4656">
        <v>0.61699999999999999</v>
      </c>
    </row>
    <row r="4657" spans="1:25" x14ac:dyDescent="0.2">
      <c r="A4657" t="s">
        <v>554</v>
      </c>
      <c r="B4657">
        <v>2021</v>
      </c>
      <c r="C4657" t="s">
        <v>816</v>
      </c>
      <c r="D4657" t="s">
        <v>820</v>
      </c>
      <c r="E4657" t="s">
        <v>34</v>
      </c>
      <c r="F4657" t="s">
        <v>555</v>
      </c>
      <c r="G4657">
        <v>-33.450000000000003</v>
      </c>
      <c r="H4657">
        <v>-72</v>
      </c>
      <c r="I4657" t="s">
        <v>764</v>
      </c>
      <c r="J4657" s="2" t="s">
        <v>14</v>
      </c>
      <c r="K4657" t="s">
        <v>351</v>
      </c>
      <c r="L4657" t="s">
        <v>143</v>
      </c>
      <c r="M4657" t="s">
        <v>638</v>
      </c>
      <c r="N4657" t="s">
        <v>85</v>
      </c>
      <c r="O4657" s="6" t="s">
        <v>221</v>
      </c>
      <c r="P4657" t="s">
        <v>126</v>
      </c>
      <c r="Q4657">
        <v>21</v>
      </c>
      <c r="R4657" t="s">
        <v>213</v>
      </c>
      <c r="S4657" s="2" t="s">
        <v>27</v>
      </c>
      <c r="T4657">
        <v>6</v>
      </c>
      <c r="U4657" t="s">
        <v>28</v>
      </c>
      <c r="V4657" t="s">
        <v>28</v>
      </c>
      <c r="W4657">
        <v>16</v>
      </c>
      <c r="X4657">
        <v>20.41</v>
      </c>
      <c r="Y4657">
        <v>1.7050000000000001</v>
      </c>
    </row>
    <row r="4658" spans="1:25" x14ac:dyDescent="0.2">
      <c r="A4658" t="s">
        <v>554</v>
      </c>
      <c r="B4658">
        <v>2021</v>
      </c>
      <c r="C4658" t="s">
        <v>816</v>
      </c>
      <c r="D4658" t="s">
        <v>820</v>
      </c>
      <c r="E4658" t="s">
        <v>34</v>
      </c>
      <c r="F4658" t="s">
        <v>315</v>
      </c>
      <c r="G4658">
        <v>-33.133333</v>
      </c>
      <c r="H4658">
        <v>-71.7</v>
      </c>
      <c r="I4658" t="s">
        <v>771</v>
      </c>
      <c r="J4658" s="2" t="s">
        <v>16</v>
      </c>
      <c r="K4658" t="s">
        <v>351</v>
      </c>
      <c r="L4658" t="s">
        <v>143</v>
      </c>
      <c r="M4658" t="s">
        <v>638</v>
      </c>
      <c r="N4658" t="s">
        <v>85</v>
      </c>
      <c r="O4658" s="6" t="s">
        <v>221</v>
      </c>
      <c r="P4658" t="s">
        <v>126</v>
      </c>
      <c r="Q4658">
        <v>21</v>
      </c>
      <c r="R4658" t="s">
        <v>213</v>
      </c>
      <c r="S4658" s="2" t="s">
        <v>13</v>
      </c>
      <c r="T4658">
        <v>6</v>
      </c>
      <c r="U4658">
        <f>AVERAGE(7.46,7.47)</f>
        <v>7.4649999999999999</v>
      </c>
      <c r="V4658">
        <f>AVERAGE(1727,1689)</f>
        <v>1708</v>
      </c>
      <c r="W4658">
        <v>16</v>
      </c>
      <c r="X4658">
        <v>16.303000000000001</v>
      </c>
      <c r="Y4658">
        <v>1.5049999999999999</v>
      </c>
    </row>
    <row r="4659" spans="1:25" x14ac:dyDescent="0.2">
      <c r="A4659" t="s">
        <v>554</v>
      </c>
      <c r="B4659">
        <v>2021</v>
      </c>
      <c r="C4659" t="s">
        <v>816</v>
      </c>
      <c r="D4659" t="s">
        <v>820</v>
      </c>
      <c r="E4659" t="s">
        <v>34</v>
      </c>
      <c r="F4659" t="s">
        <v>315</v>
      </c>
      <c r="G4659">
        <v>-33.133333</v>
      </c>
      <c r="H4659">
        <v>-71.7</v>
      </c>
      <c r="I4659" t="s">
        <v>764</v>
      </c>
      <c r="J4659" s="2" t="s">
        <v>16</v>
      </c>
      <c r="K4659" t="s">
        <v>351</v>
      </c>
      <c r="L4659" t="s">
        <v>143</v>
      </c>
      <c r="M4659" t="s">
        <v>638</v>
      </c>
      <c r="N4659" t="s">
        <v>85</v>
      </c>
      <c r="O4659" s="6" t="s">
        <v>221</v>
      </c>
      <c r="P4659" t="s">
        <v>126</v>
      </c>
      <c r="Q4659">
        <v>21</v>
      </c>
      <c r="R4659" t="s">
        <v>213</v>
      </c>
      <c r="S4659" s="2" t="s">
        <v>13</v>
      </c>
      <c r="T4659">
        <v>6</v>
      </c>
      <c r="U4659">
        <f>AVERAGE(7.46,7.47)</f>
        <v>7.4649999999999999</v>
      </c>
      <c r="V4659">
        <f>AVERAGE(1727,1689)</f>
        <v>1708</v>
      </c>
      <c r="W4659">
        <v>16</v>
      </c>
      <c r="X4659">
        <v>22.66</v>
      </c>
      <c r="Y4659">
        <v>0.90100000000000002</v>
      </c>
    </row>
    <row r="4660" spans="1:25" x14ac:dyDescent="0.2">
      <c r="A4660" t="s">
        <v>554</v>
      </c>
      <c r="B4660">
        <v>2021</v>
      </c>
      <c r="C4660" t="s">
        <v>816</v>
      </c>
      <c r="D4660" t="s">
        <v>820</v>
      </c>
      <c r="E4660" t="s">
        <v>34</v>
      </c>
      <c r="F4660" t="s">
        <v>555</v>
      </c>
      <c r="G4660">
        <v>-33.450000000000003</v>
      </c>
      <c r="H4660">
        <v>-72</v>
      </c>
      <c r="I4660" t="s">
        <v>771</v>
      </c>
      <c r="J4660" s="2" t="s">
        <v>16</v>
      </c>
      <c r="K4660" t="s">
        <v>351</v>
      </c>
      <c r="L4660" t="s">
        <v>143</v>
      </c>
      <c r="M4660" t="s">
        <v>638</v>
      </c>
      <c r="N4660" t="s">
        <v>85</v>
      </c>
      <c r="O4660" s="6" t="s">
        <v>221</v>
      </c>
      <c r="P4660" t="s">
        <v>126</v>
      </c>
      <c r="Q4660">
        <v>21</v>
      </c>
      <c r="R4660" t="s">
        <v>213</v>
      </c>
      <c r="S4660" s="2" t="s">
        <v>13</v>
      </c>
      <c r="T4660">
        <v>6</v>
      </c>
      <c r="U4660">
        <f>AVERAGE(7.46,7.47)</f>
        <v>7.4649999999999999</v>
      </c>
      <c r="V4660">
        <f>AVERAGE(1727,1689)</f>
        <v>1708</v>
      </c>
      <c r="W4660">
        <v>16</v>
      </c>
      <c r="X4660">
        <v>16.719000000000001</v>
      </c>
      <c r="Y4660">
        <v>2.3159999999999998</v>
      </c>
    </row>
    <row r="4661" spans="1:25" x14ac:dyDescent="0.2">
      <c r="A4661" t="s">
        <v>554</v>
      </c>
      <c r="B4661">
        <v>2021</v>
      </c>
      <c r="C4661" t="s">
        <v>816</v>
      </c>
      <c r="D4661" t="s">
        <v>820</v>
      </c>
      <c r="E4661" t="s">
        <v>34</v>
      </c>
      <c r="F4661" t="s">
        <v>555</v>
      </c>
      <c r="G4661">
        <v>-33.450000000000003</v>
      </c>
      <c r="H4661">
        <v>-72</v>
      </c>
      <c r="I4661" t="s">
        <v>764</v>
      </c>
      <c r="J4661" s="2" t="s">
        <v>16</v>
      </c>
      <c r="K4661" t="s">
        <v>351</v>
      </c>
      <c r="L4661" t="s">
        <v>143</v>
      </c>
      <c r="M4661" t="s">
        <v>638</v>
      </c>
      <c r="N4661" t="s">
        <v>85</v>
      </c>
      <c r="O4661" s="6" t="s">
        <v>221</v>
      </c>
      <c r="P4661" t="s">
        <v>126</v>
      </c>
      <c r="Q4661">
        <v>21</v>
      </c>
      <c r="R4661" t="s">
        <v>213</v>
      </c>
      <c r="S4661" s="2" t="s">
        <v>13</v>
      </c>
      <c r="T4661">
        <v>6</v>
      </c>
      <c r="U4661">
        <f>AVERAGE(7.46,7.47)</f>
        <v>7.4649999999999999</v>
      </c>
      <c r="V4661">
        <f>AVERAGE(1727,1689)</f>
        <v>1708</v>
      </c>
      <c r="W4661">
        <v>16</v>
      </c>
      <c r="X4661">
        <v>21.99</v>
      </c>
      <c r="Y4661">
        <v>0.93300000000000005</v>
      </c>
    </row>
    <row r="4662" spans="1:25" x14ac:dyDescent="0.2">
      <c r="A4662" t="s">
        <v>554</v>
      </c>
      <c r="B4662">
        <v>2021</v>
      </c>
      <c r="C4662" t="s">
        <v>816</v>
      </c>
      <c r="D4662" t="s">
        <v>820</v>
      </c>
      <c r="E4662" t="s">
        <v>34</v>
      </c>
      <c r="F4662" t="s">
        <v>315</v>
      </c>
      <c r="G4662">
        <v>-33.133333</v>
      </c>
      <c r="H4662">
        <v>-71.7</v>
      </c>
      <c r="I4662" t="s">
        <v>771</v>
      </c>
      <c r="J4662" s="2" t="s">
        <v>14</v>
      </c>
      <c r="K4662" t="s">
        <v>351</v>
      </c>
      <c r="L4662" t="s">
        <v>143</v>
      </c>
      <c r="M4662" t="s">
        <v>638</v>
      </c>
      <c r="N4662" t="s">
        <v>85</v>
      </c>
      <c r="O4662" s="6" t="s">
        <v>221</v>
      </c>
      <c r="P4662" t="s">
        <v>126</v>
      </c>
      <c r="Q4662">
        <v>21</v>
      </c>
      <c r="R4662" t="s">
        <v>213</v>
      </c>
      <c r="S4662" s="2" t="s">
        <v>15</v>
      </c>
      <c r="T4662">
        <v>6</v>
      </c>
      <c r="U4662" t="s">
        <v>28</v>
      </c>
      <c r="V4662" t="s">
        <v>28</v>
      </c>
      <c r="W4662">
        <v>20</v>
      </c>
      <c r="X4662">
        <v>21.831</v>
      </c>
      <c r="Y4662">
        <v>2.298</v>
      </c>
    </row>
    <row r="4663" spans="1:25" x14ac:dyDescent="0.2">
      <c r="A4663" t="s">
        <v>554</v>
      </c>
      <c r="B4663">
        <v>2021</v>
      </c>
      <c r="C4663" t="s">
        <v>816</v>
      </c>
      <c r="D4663" t="s">
        <v>820</v>
      </c>
      <c r="E4663" t="s">
        <v>34</v>
      </c>
      <c r="F4663" t="s">
        <v>315</v>
      </c>
      <c r="G4663">
        <v>-33.133333</v>
      </c>
      <c r="H4663">
        <v>-71.7</v>
      </c>
      <c r="I4663" t="s">
        <v>764</v>
      </c>
      <c r="J4663" s="2" t="s">
        <v>14</v>
      </c>
      <c r="K4663" t="s">
        <v>351</v>
      </c>
      <c r="L4663" t="s">
        <v>143</v>
      </c>
      <c r="M4663" t="s">
        <v>638</v>
      </c>
      <c r="N4663" t="s">
        <v>85</v>
      </c>
      <c r="O4663" s="6" t="s">
        <v>221</v>
      </c>
      <c r="P4663" t="s">
        <v>126</v>
      </c>
      <c r="Q4663">
        <v>21</v>
      </c>
      <c r="R4663" t="s">
        <v>213</v>
      </c>
      <c r="S4663" s="2" t="s">
        <v>15</v>
      </c>
      <c r="T4663">
        <v>6</v>
      </c>
      <c r="U4663" t="s">
        <v>28</v>
      </c>
      <c r="V4663" t="s">
        <v>28</v>
      </c>
      <c r="W4663">
        <v>20</v>
      </c>
      <c r="X4663">
        <v>22.507000000000001</v>
      </c>
      <c r="Y4663">
        <v>2.3010000000000002</v>
      </c>
    </row>
    <row r="4664" spans="1:25" x14ac:dyDescent="0.2">
      <c r="A4664" t="s">
        <v>554</v>
      </c>
      <c r="B4664">
        <v>2021</v>
      </c>
      <c r="C4664" t="s">
        <v>816</v>
      </c>
      <c r="D4664" t="s">
        <v>820</v>
      </c>
      <c r="E4664" t="s">
        <v>34</v>
      </c>
      <c r="F4664" t="s">
        <v>555</v>
      </c>
      <c r="G4664">
        <v>-33.450000000000003</v>
      </c>
      <c r="H4664">
        <v>-72</v>
      </c>
      <c r="I4664" t="s">
        <v>771</v>
      </c>
      <c r="J4664" s="2" t="s">
        <v>14</v>
      </c>
      <c r="K4664" t="s">
        <v>351</v>
      </c>
      <c r="L4664" t="s">
        <v>143</v>
      </c>
      <c r="M4664" t="s">
        <v>638</v>
      </c>
      <c r="N4664" t="s">
        <v>85</v>
      </c>
      <c r="O4664" s="6" t="s">
        <v>221</v>
      </c>
      <c r="P4664" t="s">
        <v>126</v>
      </c>
      <c r="Q4664">
        <v>21</v>
      </c>
      <c r="R4664" t="s">
        <v>213</v>
      </c>
      <c r="S4664" s="2" t="s">
        <v>15</v>
      </c>
      <c r="T4664">
        <v>6</v>
      </c>
      <c r="U4664" t="s">
        <v>28</v>
      </c>
      <c r="V4664" t="s">
        <v>28</v>
      </c>
      <c r="W4664">
        <v>20</v>
      </c>
      <c r="X4664">
        <v>17.675999999999998</v>
      </c>
      <c r="Y4664">
        <v>2.41</v>
      </c>
    </row>
    <row r="4665" spans="1:25" x14ac:dyDescent="0.2">
      <c r="A4665" t="s">
        <v>554</v>
      </c>
      <c r="B4665">
        <v>2021</v>
      </c>
      <c r="C4665" t="s">
        <v>816</v>
      </c>
      <c r="D4665" t="s">
        <v>820</v>
      </c>
      <c r="E4665" t="s">
        <v>34</v>
      </c>
      <c r="F4665" t="s">
        <v>555</v>
      </c>
      <c r="G4665">
        <v>-33.450000000000003</v>
      </c>
      <c r="H4665">
        <v>-72</v>
      </c>
      <c r="I4665" t="s">
        <v>764</v>
      </c>
      <c r="J4665" s="2" t="s">
        <v>14</v>
      </c>
      <c r="K4665" t="s">
        <v>351</v>
      </c>
      <c r="L4665" t="s">
        <v>143</v>
      </c>
      <c r="M4665" t="s">
        <v>638</v>
      </c>
      <c r="N4665" t="s">
        <v>85</v>
      </c>
      <c r="O4665" s="6" t="s">
        <v>221</v>
      </c>
      <c r="P4665" t="s">
        <v>126</v>
      </c>
      <c r="Q4665">
        <v>21</v>
      </c>
      <c r="R4665" t="s">
        <v>213</v>
      </c>
      <c r="S4665" s="2" t="s">
        <v>15</v>
      </c>
      <c r="T4665">
        <v>6</v>
      </c>
      <c r="U4665" t="s">
        <v>28</v>
      </c>
      <c r="V4665" t="s">
        <v>28</v>
      </c>
      <c r="W4665">
        <v>20</v>
      </c>
      <c r="X4665">
        <v>23.363</v>
      </c>
      <c r="Y4665">
        <v>1.5449999999999999</v>
      </c>
    </row>
    <row r="4666" spans="1:25" x14ac:dyDescent="0.2">
      <c r="A4666" t="s">
        <v>554</v>
      </c>
      <c r="B4666">
        <v>2021</v>
      </c>
      <c r="C4666" t="s">
        <v>816</v>
      </c>
      <c r="D4666" t="s">
        <v>820</v>
      </c>
      <c r="E4666" t="s">
        <v>34</v>
      </c>
      <c r="F4666" t="s">
        <v>315</v>
      </c>
      <c r="G4666">
        <v>-33.133333</v>
      </c>
      <c r="H4666">
        <v>-71.7</v>
      </c>
      <c r="I4666" t="s">
        <v>771</v>
      </c>
      <c r="J4666" s="2" t="s">
        <v>16</v>
      </c>
      <c r="K4666" t="s">
        <v>351</v>
      </c>
      <c r="L4666" t="s">
        <v>143</v>
      </c>
      <c r="M4666" t="s">
        <v>638</v>
      </c>
      <c r="N4666" t="s">
        <v>85</v>
      </c>
      <c r="O4666" s="6" t="s">
        <v>221</v>
      </c>
      <c r="P4666" t="s">
        <v>126</v>
      </c>
      <c r="Q4666">
        <v>21</v>
      </c>
      <c r="R4666" t="s">
        <v>213</v>
      </c>
      <c r="S4666" s="2" t="s">
        <v>37</v>
      </c>
      <c r="T4666">
        <v>6</v>
      </c>
      <c r="U4666">
        <f>AVERAGE(7.54,7.55)</f>
        <v>7.5449999999999999</v>
      </c>
      <c r="V4666">
        <f>AVERAGE(1442,1414)</f>
        <v>1428</v>
      </c>
      <c r="W4666">
        <v>20</v>
      </c>
      <c r="X4666">
        <v>18.486999999999998</v>
      </c>
      <c r="Y4666">
        <v>0.59499999999999997</v>
      </c>
    </row>
    <row r="4667" spans="1:25" x14ac:dyDescent="0.2">
      <c r="A4667" t="s">
        <v>554</v>
      </c>
      <c r="B4667">
        <v>2021</v>
      </c>
      <c r="C4667" t="s">
        <v>816</v>
      </c>
      <c r="D4667" t="s">
        <v>820</v>
      </c>
      <c r="E4667" t="s">
        <v>34</v>
      </c>
      <c r="F4667" t="s">
        <v>315</v>
      </c>
      <c r="G4667">
        <v>-33.133333</v>
      </c>
      <c r="H4667">
        <v>-71.7</v>
      </c>
      <c r="I4667" t="s">
        <v>764</v>
      </c>
      <c r="J4667" s="2" t="s">
        <v>16</v>
      </c>
      <c r="K4667" t="s">
        <v>351</v>
      </c>
      <c r="L4667" t="s">
        <v>143</v>
      </c>
      <c r="M4667" t="s">
        <v>638</v>
      </c>
      <c r="N4667" t="s">
        <v>85</v>
      </c>
      <c r="O4667" s="6" t="s">
        <v>221</v>
      </c>
      <c r="P4667" t="s">
        <v>126</v>
      </c>
      <c r="Q4667">
        <v>21</v>
      </c>
      <c r="R4667" t="s">
        <v>213</v>
      </c>
      <c r="S4667" s="2" t="s">
        <v>37</v>
      </c>
      <c r="T4667">
        <v>6</v>
      </c>
      <c r="U4667">
        <f>AVERAGE(7.54,7.55)</f>
        <v>7.5449999999999999</v>
      </c>
      <c r="V4667">
        <f>AVERAGE(1442,1414)</f>
        <v>1428</v>
      </c>
      <c r="W4667">
        <v>20</v>
      </c>
      <c r="X4667">
        <v>23.497</v>
      </c>
      <c r="Y4667">
        <v>0.58699999999999997</v>
      </c>
    </row>
    <row r="4668" spans="1:25" x14ac:dyDescent="0.2">
      <c r="A4668" t="s">
        <v>554</v>
      </c>
      <c r="B4668">
        <v>2021</v>
      </c>
      <c r="C4668" t="s">
        <v>816</v>
      </c>
      <c r="D4668" t="s">
        <v>820</v>
      </c>
      <c r="E4668" t="s">
        <v>34</v>
      </c>
      <c r="F4668" t="s">
        <v>555</v>
      </c>
      <c r="G4668">
        <v>-33.450000000000003</v>
      </c>
      <c r="H4668">
        <v>-72</v>
      </c>
      <c r="I4668" t="s">
        <v>771</v>
      </c>
      <c r="J4668" s="2" t="s">
        <v>16</v>
      </c>
      <c r="K4668" t="s">
        <v>351</v>
      </c>
      <c r="L4668" t="s">
        <v>143</v>
      </c>
      <c r="M4668" t="s">
        <v>638</v>
      </c>
      <c r="N4668" t="s">
        <v>85</v>
      </c>
      <c r="O4668" s="6" t="s">
        <v>221</v>
      </c>
      <c r="P4668" t="s">
        <v>126</v>
      </c>
      <c r="Q4668">
        <v>21</v>
      </c>
      <c r="R4668" t="s">
        <v>213</v>
      </c>
      <c r="S4668" s="2" t="s">
        <v>37</v>
      </c>
      <c r="T4668">
        <v>6</v>
      </c>
      <c r="U4668">
        <f>AVERAGE(7.54,7.55)</f>
        <v>7.5449999999999999</v>
      </c>
      <c r="V4668">
        <f>AVERAGE(1442,1414)</f>
        <v>1428</v>
      </c>
      <c r="W4668">
        <v>20</v>
      </c>
      <c r="X4668">
        <v>15.632999999999999</v>
      </c>
      <c r="Y4668">
        <v>0.7</v>
      </c>
    </row>
    <row r="4669" spans="1:25" x14ac:dyDescent="0.2">
      <c r="A4669" t="s">
        <v>554</v>
      </c>
      <c r="B4669">
        <v>2021</v>
      </c>
      <c r="C4669" t="s">
        <v>816</v>
      </c>
      <c r="D4669" t="s">
        <v>820</v>
      </c>
      <c r="E4669" t="s">
        <v>34</v>
      </c>
      <c r="F4669" t="s">
        <v>555</v>
      </c>
      <c r="G4669">
        <v>-33.450000000000003</v>
      </c>
      <c r="H4669">
        <v>-72</v>
      </c>
      <c r="I4669" t="s">
        <v>764</v>
      </c>
      <c r="J4669" s="2" t="s">
        <v>16</v>
      </c>
      <c r="K4669" t="s">
        <v>351</v>
      </c>
      <c r="L4669" t="s">
        <v>143</v>
      </c>
      <c r="M4669" t="s">
        <v>638</v>
      </c>
      <c r="N4669" t="s">
        <v>85</v>
      </c>
      <c r="O4669" s="6" t="s">
        <v>221</v>
      </c>
      <c r="P4669" t="s">
        <v>126</v>
      </c>
      <c r="Q4669">
        <v>21</v>
      </c>
      <c r="R4669" t="s">
        <v>213</v>
      </c>
      <c r="S4669" s="2" t="s">
        <v>37</v>
      </c>
      <c r="T4669">
        <v>6</v>
      </c>
      <c r="U4669">
        <f>AVERAGE(7.54,7.55)</f>
        <v>7.5449999999999999</v>
      </c>
      <c r="V4669">
        <f>AVERAGE(1442,1414)</f>
        <v>1428</v>
      </c>
      <c r="W4669">
        <v>20</v>
      </c>
      <c r="X4669">
        <v>21.817</v>
      </c>
      <c r="Y4669">
        <v>0.84299999999999997</v>
      </c>
    </row>
    <row r="4670" spans="1:25" x14ac:dyDescent="0.2">
      <c r="A4670" t="s">
        <v>554</v>
      </c>
      <c r="B4670">
        <v>2021</v>
      </c>
      <c r="C4670" t="s">
        <v>816</v>
      </c>
      <c r="D4670" t="s">
        <v>820</v>
      </c>
      <c r="E4670" t="s">
        <v>34</v>
      </c>
      <c r="F4670" t="s">
        <v>315</v>
      </c>
      <c r="G4670">
        <v>-33.133333</v>
      </c>
      <c r="H4670">
        <v>-71.7</v>
      </c>
      <c r="I4670" t="s">
        <v>771</v>
      </c>
      <c r="J4670" s="2" t="s">
        <v>7</v>
      </c>
      <c r="K4670" t="s">
        <v>351</v>
      </c>
      <c r="L4670" t="s">
        <v>143</v>
      </c>
      <c r="M4670" t="s">
        <v>638</v>
      </c>
      <c r="N4670" t="s">
        <v>86</v>
      </c>
      <c r="O4670" s="6" t="s">
        <v>272</v>
      </c>
      <c r="P4670" t="s">
        <v>126</v>
      </c>
      <c r="Q4670">
        <v>21</v>
      </c>
      <c r="R4670" t="s">
        <v>213</v>
      </c>
      <c r="S4670" s="2" t="s">
        <v>7</v>
      </c>
      <c r="T4670">
        <v>6</v>
      </c>
      <c r="U4670">
        <f>AVERAGE(7.72, 7.8)</f>
        <v>7.76</v>
      </c>
      <c r="V4670">
        <f>AVERAGE(926.28,726)</f>
        <v>826.14</v>
      </c>
      <c r="W4670">
        <v>12</v>
      </c>
      <c r="X4670">
        <v>13.93</v>
      </c>
      <c r="Y4670">
        <v>1.1719999999999999</v>
      </c>
    </row>
    <row r="4671" spans="1:25" x14ac:dyDescent="0.2">
      <c r="A4671" t="s">
        <v>554</v>
      </c>
      <c r="B4671">
        <v>2021</v>
      </c>
      <c r="C4671" t="s">
        <v>816</v>
      </c>
      <c r="D4671" t="s">
        <v>820</v>
      </c>
      <c r="E4671" t="s">
        <v>34</v>
      </c>
      <c r="F4671" t="s">
        <v>315</v>
      </c>
      <c r="G4671">
        <v>-33.133333</v>
      </c>
      <c r="H4671">
        <v>-71.7</v>
      </c>
      <c r="I4671" t="s">
        <v>764</v>
      </c>
      <c r="J4671" s="2" t="s">
        <v>7</v>
      </c>
      <c r="K4671" t="s">
        <v>351</v>
      </c>
      <c r="L4671" t="s">
        <v>143</v>
      </c>
      <c r="M4671" t="s">
        <v>638</v>
      </c>
      <c r="N4671" t="s">
        <v>86</v>
      </c>
      <c r="O4671" s="6" t="s">
        <v>272</v>
      </c>
      <c r="P4671" t="s">
        <v>126</v>
      </c>
      <c r="Q4671">
        <v>21</v>
      </c>
      <c r="R4671" t="s">
        <v>213</v>
      </c>
      <c r="S4671" s="2" t="s">
        <v>7</v>
      </c>
      <c r="T4671">
        <v>6</v>
      </c>
      <c r="U4671">
        <f>AVERAGE(7.72, 7.8)</f>
        <v>7.76</v>
      </c>
      <c r="V4671">
        <f>AVERAGE(926.28,726)</f>
        <v>826.14</v>
      </c>
      <c r="W4671">
        <v>12</v>
      </c>
      <c r="X4671">
        <v>13.25</v>
      </c>
      <c r="Y4671">
        <v>2.335</v>
      </c>
    </row>
    <row r="4672" spans="1:25" x14ac:dyDescent="0.2">
      <c r="A4672" t="s">
        <v>554</v>
      </c>
      <c r="B4672">
        <v>2021</v>
      </c>
      <c r="C4672" t="s">
        <v>816</v>
      </c>
      <c r="D4672" t="s">
        <v>820</v>
      </c>
      <c r="E4672" t="s">
        <v>34</v>
      </c>
      <c r="F4672" t="s">
        <v>555</v>
      </c>
      <c r="G4672">
        <v>-33.450000000000003</v>
      </c>
      <c r="H4672">
        <v>-72</v>
      </c>
      <c r="I4672" t="s">
        <v>771</v>
      </c>
      <c r="J4672" s="2" t="s">
        <v>7</v>
      </c>
      <c r="K4672" t="s">
        <v>351</v>
      </c>
      <c r="L4672" t="s">
        <v>143</v>
      </c>
      <c r="M4672" t="s">
        <v>638</v>
      </c>
      <c r="N4672" t="s">
        <v>86</v>
      </c>
      <c r="O4672" s="6" t="s">
        <v>272</v>
      </c>
      <c r="P4672" t="s">
        <v>126</v>
      </c>
      <c r="Q4672">
        <v>21</v>
      </c>
      <c r="R4672" t="s">
        <v>213</v>
      </c>
      <c r="S4672" s="2" t="s">
        <v>7</v>
      </c>
      <c r="T4672">
        <v>6</v>
      </c>
      <c r="U4672">
        <f>AVERAGE(7.72, 7.8)</f>
        <v>7.76</v>
      </c>
      <c r="V4672">
        <f>AVERAGE(926.28,726)</f>
        <v>826.14</v>
      </c>
      <c r="W4672">
        <v>12</v>
      </c>
      <c r="X4672">
        <v>12.625</v>
      </c>
      <c r="Y4672">
        <v>0.72499999999999998</v>
      </c>
    </row>
    <row r="4673" spans="1:25" x14ac:dyDescent="0.2">
      <c r="A4673" t="s">
        <v>554</v>
      </c>
      <c r="B4673">
        <v>2021</v>
      </c>
      <c r="C4673" t="s">
        <v>816</v>
      </c>
      <c r="D4673" t="s">
        <v>820</v>
      </c>
      <c r="E4673" t="s">
        <v>34</v>
      </c>
      <c r="F4673" t="s">
        <v>555</v>
      </c>
      <c r="G4673">
        <v>-33.450000000000003</v>
      </c>
      <c r="H4673">
        <v>-72</v>
      </c>
      <c r="I4673" t="s">
        <v>764</v>
      </c>
      <c r="J4673" s="2" t="s">
        <v>7</v>
      </c>
      <c r="K4673" t="s">
        <v>351</v>
      </c>
      <c r="L4673" t="s">
        <v>143</v>
      </c>
      <c r="M4673" t="s">
        <v>638</v>
      </c>
      <c r="N4673" t="s">
        <v>86</v>
      </c>
      <c r="O4673" s="6" t="s">
        <v>272</v>
      </c>
      <c r="P4673" t="s">
        <v>126</v>
      </c>
      <c r="Q4673">
        <v>21</v>
      </c>
      <c r="R4673" t="s">
        <v>213</v>
      </c>
      <c r="S4673" s="2" t="s">
        <v>7</v>
      </c>
      <c r="T4673">
        <v>6</v>
      </c>
      <c r="U4673">
        <f>AVERAGE(7.72, 7.8)</f>
        <v>7.76</v>
      </c>
      <c r="V4673">
        <f>AVERAGE(926.28,726)</f>
        <v>826.14</v>
      </c>
      <c r="W4673">
        <v>12</v>
      </c>
      <c r="X4673">
        <v>13.763</v>
      </c>
      <c r="Y4673">
        <v>1.39</v>
      </c>
    </row>
    <row r="4674" spans="1:25" x14ac:dyDescent="0.2">
      <c r="A4674" t="s">
        <v>554</v>
      </c>
      <c r="B4674">
        <v>2021</v>
      </c>
      <c r="C4674" t="s">
        <v>816</v>
      </c>
      <c r="D4674" t="s">
        <v>820</v>
      </c>
      <c r="E4674" t="s">
        <v>34</v>
      </c>
      <c r="F4674" t="s">
        <v>315</v>
      </c>
      <c r="G4674">
        <v>-33.133333</v>
      </c>
      <c r="H4674">
        <v>-71.7</v>
      </c>
      <c r="I4674" t="s">
        <v>771</v>
      </c>
      <c r="J4674" s="2" t="s">
        <v>5</v>
      </c>
      <c r="K4674" t="s">
        <v>351</v>
      </c>
      <c r="L4674" t="s">
        <v>143</v>
      </c>
      <c r="M4674" t="s">
        <v>638</v>
      </c>
      <c r="N4674" t="s">
        <v>86</v>
      </c>
      <c r="O4674" s="6" t="s">
        <v>272</v>
      </c>
      <c r="P4674" t="s">
        <v>126</v>
      </c>
      <c r="Q4674">
        <v>21</v>
      </c>
      <c r="R4674" t="s">
        <v>213</v>
      </c>
      <c r="S4674" s="2" t="s">
        <v>9</v>
      </c>
      <c r="T4674">
        <v>6</v>
      </c>
      <c r="U4674">
        <f>AVERAGE(7.49,7.46)</f>
        <v>7.4749999999999996</v>
      </c>
      <c r="V4674">
        <f>AVERAGE(1587,1732)</f>
        <v>1659.5</v>
      </c>
      <c r="W4674" t="s">
        <v>28</v>
      </c>
      <c r="X4674">
        <v>12.29</v>
      </c>
      <c r="Y4674">
        <v>0.76</v>
      </c>
    </row>
    <row r="4675" spans="1:25" x14ac:dyDescent="0.2">
      <c r="A4675" t="s">
        <v>554</v>
      </c>
      <c r="B4675">
        <v>2021</v>
      </c>
      <c r="C4675" t="s">
        <v>816</v>
      </c>
      <c r="D4675" t="s">
        <v>820</v>
      </c>
      <c r="E4675" t="s">
        <v>34</v>
      </c>
      <c r="F4675" t="s">
        <v>315</v>
      </c>
      <c r="G4675">
        <v>-33.133333</v>
      </c>
      <c r="H4675">
        <v>-71.7</v>
      </c>
      <c r="I4675" t="s">
        <v>764</v>
      </c>
      <c r="J4675" s="2" t="s">
        <v>5</v>
      </c>
      <c r="K4675" t="s">
        <v>351</v>
      </c>
      <c r="L4675" t="s">
        <v>143</v>
      </c>
      <c r="M4675" t="s">
        <v>638</v>
      </c>
      <c r="N4675" t="s">
        <v>86</v>
      </c>
      <c r="O4675" s="6" t="s">
        <v>272</v>
      </c>
      <c r="P4675" t="s">
        <v>126</v>
      </c>
      <c r="Q4675">
        <v>21</v>
      </c>
      <c r="R4675" t="s">
        <v>213</v>
      </c>
      <c r="S4675" s="2" t="s">
        <v>9</v>
      </c>
      <c r="T4675">
        <v>6</v>
      </c>
      <c r="U4675">
        <f>AVERAGE(7.49,7.46)</f>
        <v>7.4749999999999996</v>
      </c>
      <c r="V4675">
        <f>AVERAGE(1587,1732)</f>
        <v>1659.5</v>
      </c>
      <c r="W4675" t="s">
        <v>28</v>
      </c>
      <c r="X4675">
        <v>13.347</v>
      </c>
      <c r="Y4675">
        <v>1.22</v>
      </c>
    </row>
    <row r="4676" spans="1:25" x14ac:dyDescent="0.2">
      <c r="A4676" t="s">
        <v>554</v>
      </c>
      <c r="B4676">
        <v>2021</v>
      </c>
      <c r="C4676" t="s">
        <v>816</v>
      </c>
      <c r="D4676" t="s">
        <v>820</v>
      </c>
      <c r="E4676" t="s">
        <v>34</v>
      </c>
      <c r="F4676" t="s">
        <v>555</v>
      </c>
      <c r="G4676">
        <v>-33.450000000000003</v>
      </c>
      <c r="H4676">
        <v>-72</v>
      </c>
      <c r="I4676" t="s">
        <v>771</v>
      </c>
      <c r="J4676" s="2" t="s">
        <v>5</v>
      </c>
      <c r="K4676" t="s">
        <v>351</v>
      </c>
      <c r="L4676" t="s">
        <v>143</v>
      </c>
      <c r="M4676" t="s">
        <v>638</v>
      </c>
      <c r="N4676" t="s">
        <v>86</v>
      </c>
      <c r="O4676" s="6" t="s">
        <v>272</v>
      </c>
      <c r="P4676" t="s">
        <v>126</v>
      </c>
      <c r="Q4676">
        <v>21</v>
      </c>
      <c r="R4676" t="s">
        <v>213</v>
      </c>
      <c r="S4676" s="2" t="s">
        <v>9</v>
      </c>
      <c r="T4676">
        <v>6</v>
      </c>
      <c r="U4676">
        <f>AVERAGE(7.49,7.46)</f>
        <v>7.4749999999999996</v>
      </c>
      <c r="V4676">
        <f>AVERAGE(1587,1732)</f>
        <v>1659.5</v>
      </c>
      <c r="W4676" t="s">
        <v>28</v>
      </c>
      <c r="X4676">
        <v>12.504</v>
      </c>
      <c r="Y4676">
        <v>0.52</v>
      </c>
    </row>
    <row r="4677" spans="1:25" x14ac:dyDescent="0.2">
      <c r="A4677" t="s">
        <v>554</v>
      </c>
      <c r="B4677">
        <v>2021</v>
      </c>
      <c r="C4677" t="s">
        <v>816</v>
      </c>
      <c r="D4677" t="s">
        <v>820</v>
      </c>
      <c r="E4677" t="s">
        <v>34</v>
      </c>
      <c r="F4677" t="s">
        <v>555</v>
      </c>
      <c r="G4677">
        <v>-33.450000000000003</v>
      </c>
      <c r="H4677">
        <v>-72</v>
      </c>
      <c r="I4677" t="s">
        <v>764</v>
      </c>
      <c r="J4677" s="2" t="s">
        <v>5</v>
      </c>
      <c r="K4677" t="s">
        <v>351</v>
      </c>
      <c r="L4677" t="s">
        <v>143</v>
      </c>
      <c r="M4677" t="s">
        <v>638</v>
      </c>
      <c r="N4677" t="s">
        <v>86</v>
      </c>
      <c r="O4677" s="6" t="s">
        <v>272</v>
      </c>
      <c r="P4677" t="s">
        <v>126</v>
      </c>
      <c r="Q4677">
        <v>21</v>
      </c>
      <c r="R4677" t="s">
        <v>213</v>
      </c>
      <c r="S4677" s="2" t="s">
        <v>9</v>
      </c>
      <c r="T4677">
        <v>6</v>
      </c>
      <c r="U4677">
        <f>AVERAGE(7.49,7.46)</f>
        <v>7.4749999999999996</v>
      </c>
      <c r="V4677">
        <f>AVERAGE(1587,1732)</f>
        <v>1659.5</v>
      </c>
      <c r="W4677" t="s">
        <v>28</v>
      </c>
      <c r="X4677">
        <v>12.41</v>
      </c>
      <c r="Y4677">
        <v>0.19</v>
      </c>
    </row>
    <row r="4678" spans="1:25" x14ac:dyDescent="0.2">
      <c r="A4678" t="s">
        <v>554</v>
      </c>
      <c r="B4678">
        <v>2021</v>
      </c>
      <c r="C4678" t="s">
        <v>816</v>
      </c>
      <c r="D4678" t="s">
        <v>820</v>
      </c>
      <c r="E4678" t="s">
        <v>34</v>
      </c>
      <c r="F4678" t="s">
        <v>315</v>
      </c>
      <c r="G4678">
        <v>-33.133333</v>
      </c>
      <c r="H4678">
        <v>-71.7</v>
      </c>
      <c r="I4678" t="s">
        <v>771</v>
      </c>
      <c r="J4678" s="2" t="s">
        <v>14</v>
      </c>
      <c r="K4678" t="s">
        <v>351</v>
      </c>
      <c r="L4678" t="s">
        <v>143</v>
      </c>
      <c r="M4678" t="s">
        <v>638</v>
      </c>
      <c r="N4678" t="s">
        <v>86</v>
      </c>
      <c r="O4678" s="6" t="s">
        <v>272</v>
      </c>
      <c r="P4678" t="s">
        <v>126</v>
      </c>
      <c r="Q4678">
        <v>21</v>
      </c>
      <c r="R4678" t="s">
        <v>213</v>
      </c>
      <c r="S4678" s="2" t="s">
        <v>27</v>
      </c>
      <c r="T4678">
        <v>6</v>
      </c>
      <c r="U4678" t="s">
        <v>28</v>
      </c>
      <c r="V4678" t="s">
        <v>28</v>
      </c>
      <c r="W4678">
        <v>16</v>
      </c>
      <c r="X4678">
        <v>13.8</v>
      </c>
      <c r="Y4678">
        <v>0.17399999999999999</v>
      </c>
    </row>
    <row r="4679" spans="1:25" x14ac:dyDescent="0.2">
      <c r="A4679" t="s">
        <v>554</v>
      </c>
      <c r="B4679">
        <v>2021</v>
      </c>
      <c r="C4679" t="s">
        <v>816</v>
      </c>
      <c r="D4679" t="s">
        <v>820</v>
      </c>
      <c r="E4679" t="s">
        <v>34</v>
      </c>
      <c r="F4679" t="s">
        <v>315</v>
      </c>
      <c r="G4679">
        <v>-33.133333</v>
      </c>
      <c r="H4679">
        <v>-71.7</v>
      </c>
      <c r="I4679" t="s">
        <v>764</v>
      </c>
      <c r="J4679" s="2" t="s">
        <v>14</v>
      </c>
      <c r="K4679" t="s">
        <v>351</v>
      </c>
      <c r="L4679" t="s">
        <v>143</v>
      </c>
      <c r="M4679" t="s">
        <v>638</v>
      </c>
      <c r="N4679" t="s">
        <v>86</v>
      </c>
      <c r="O4679" s="6" t="s">
        <v>272</v>
      </c>
      <c r="P4679" t="s">
        <v>126</v>
      </c>
      <c r="Q4679">
        <v>21</v>
      </c>
      <c r="R4679" t="s">
        <v>213</v>
      </c>
      <c r="S4679" s="2" t="s">
        <v>27</v>
      </c>
      <c r="T4679">
        <v>6</v>
      </c>
      <c r="U4679" t="s">
        <v>28</v>
      </c>
      <c r="V4679" t="s">
        <v>28</v>
      </c>
      <c r="W4679">
        <v>16</v>
      </c>
      <c r="X4679">
        <v>14.53</v>
      </c>
      <c r="Y4679">
        <v>0.96899999999999997</v>
      </c>
    </row>
    <row r="4680" spans="1:25" x14ac:dyDescent="0.2">
      <c r="A4680" t="s">
        <v>554</v>
      </c>
      <c r="B4680">
        <v>2021</v>
      </c>
      <c r="C4680" t="s">
        <v>816</v>
      </c>
      <c r="D4680" t="s">
        <v>820</v>
      </c>
      <c r="E4680" t="s">
        <v>34</v>
      </c>
      <c r="F4680" t="s">
        <v>555</v>
      </c>
      <c r="G4680">
        <v>-33.450000000000003</v>
      </c>
      <c r="H4680">
        <v>-72</v>
      </c>
      <c r="I4680" t="s">
        <v>771</v>
      </c>
      <c r="J4680" s="2" t="s">
        <v>14</v>
      </c>
      <c r="K4680" t="s">
        <v>351</v>
      </c>
      <c r="L4680" t="s">
        <v>143</v>
      </c>
      <c r="M4680" t="s">
        <v>638</v>
      </c>
      <c r="N4680" t="s">
        <v>86</v>
      </c>
      <c r="O4680" s="6" t="s">
        <v>272</v>
      </c>
      <c r="P4680" t="s">
        <v>126</v>
      </c>
      <c r="Q4680">
        <v>21</v>
      </c>
      <c r="R4680" t="s">
        <v>213</v>
      </c>
      <c r="S4680" s="2" t="s">
        <v>27</v>
      </c>
      <c r="T4680">
        <v>6</v>
      </c>
      <c r="U4680" t="s">
        <v>28</v>
      </c>
      <c r="V4680" t="s">
        <v>28</v>
      </c>
      <c r="W4680">
        <v>16</v>
      </c>
      <c r="X4680">
        <v>12.525</v>
      </c>
      <c r="Y4680">
        <v>0.193</v>
      </c>
    </row>
    <row r="4681" spans="1:25" x14ac:dyDescent="0.2">
      <c r="A4681" t="s">
        <v>554</v>
      </c>
      <c r="B4681">
        <v>2021</v>
      </c>
      <c r="C4681" t="s">
        <v>816</v>
      </c>
      <c r="D4681" t="s">
        <v>820</v>
      </c>
      <c r="E4681" t="s">
        <v>34</v>
      </c>
      <c r="F4681" t="s">
        <v>555</v>
      </c>
      <c r="G4681">
        <v>-33.450000000000003</v>
      </c>
      <c r="H4681">
        <v>-72</v>
      </c>
      <c r="I4681" t="s">
        <v>764</v>
      </c>
      <c r="J4681" s="2" t="s">
        <v>14</v>
      </c>
      <c r="K4681" t="s">
        <v>351</v>
      </c>
      <c r="L4681" t="s">
        <v>143</v>
      </c>
      <c r="M4681" t="s">
        <v>638</v>
      </c>
      <c r="N4681" t="s">
        <v>86</v>
      </c>
      <c r="O4681" s="6" t="s">
        <v>272</v>
      </c>
      <c r="P4681" t="s">
        <v>126</v>
      </c>
      <c r="Q4681">
        <v>21</v>
      </c>
      <c r="R4681" t="s">
        <v>213</v>
      </c>
      <c r="S4681" s="2" t="s">
        <v>27</v>
      </c>
      <c r="T4681">
        <v>6</v>
      </c>
      <c r="U4681" t="s">
        <v>28</v>
      </c>
      <c r="V4681" t="s">
        <v>28</v>
      </c>
      <c r="W4681">
        <v>16</v>
      </c>
      <c r="X4681">
        <v>13.173</v>
      </c>
      <c r="Y4681">
        <v>0.88</v>
      </c>
    </row>
    <row r="4682" spans="1:25" x14ac:dyDescent="0.2">
      <c r="A4682" t="s">
        <v>554</v>
      </c>
      <c r="B4682">
        <v>2021</v>
      </c>
      <c r="C4682" t="s">
        <v>816</v>
      </c>
      <c r="D4682" t="s">
        <v>820</v>
      </c>
      <c r="E4682" t="s">
        <v>34</v>
      </c>
      <c r="F4682" t="s">
        <v>315</v>
      </c>
      <c r="G4682">
        <v>-33.133333</v>
      </c>
      <c r="H4682">
        <v>-71.7</v>
      </c>
      <c r="I4682" t="s">
        <v>771</v>
      </c>
      <c r="J4682" s="2" t="s">
        <v>16</v>
      </c>
      <c r="K4682" t="s">
        <v>351</v>
      </c>
      <c r="L4682" t="s">
        <v>143</v>
      </c>
      <c r="M4682" t="s">
        <v>638</v>
      </c>
      <c r="N4682" t="s">
        <v>86</v>
      </c>
      <c r="O4682" s="6" t="s">
        <v>272</v>
      </c>
      <c r="P4682" t="s">
        <v>126</v>
      </c>
      <c r="Q4682">
        <v>21</v>
      </c>
      <c r="R4682" t="s">
        <v>213</v>
      </c>
      <c r="S4682" s="2" t="s">
        <v>13</v>
      </c>
      <c r="T4682">
        <v>6</v>
      </c>
      <c r="U4682">
        <f>AVERAGE(7.46,7.47)</f>
        <v>7.4649999999999999</v>
      </c>
      <c r="V4682">
        <f>AVERAGE(1727,1689)</f>
        <v>1708</v>
      </c>
      <c r="W4682">
        <v>16</v>
      </c>
      <c r="X4682">
        <v>12.757</v>
      </c>
      <c r="Y4682">
        <v>0.25</v>
      </c>
    </row>
    <row r="4683" spans="1:25" x14ac:dyDescent="0.2">
      <c r="A4683" t="s">
        <v>554</v>
      </c>
      <c r="B4683">
        <v>2021</v>
      </c>
      <c r="C4683" t="s">
        <v>816</v>
      </c>
      <c r="D4683" t="s">
        <v>820</v>
      </c>
      <c r="E4683" t="s">
        <v>34</v>
      </c>
      <c r="F4683" t="s">
        <v>315</v>
      </c>
      <c r="G4683">
        <v>-33.133333</v>
      </c>
      <c r="H4683">
        <v>-71.7</v>
      </c>
      <c r="I4683" t="s">
        <v>764</v>
      </c>
      <c r="J4683" s="2" t="s">
        <v>16</v>
      </c>
      <c r="K4683" t="s">
        <v>351</v>
      </c>
      <c r="L4683" t="s">
        <v>143</v>
      </c>
      <c r="M4683" t="s">
        <v>638</v>
      </c>
      <c r="N4683" t="s">
        <v>86</v>
      </c>
      <c r="O4683" s="6" t="s">
        <v>272</v>
      </c>
      <c r="P4683" t="s">
        <v>126</v>
      </c>
      <c r="Q4683">
        <v>21</v>
      </c>
      <c r="R4683" t="s">
        <v>213</v>
      </c>
      <c r="S4683" s="2" t="s">
        <v>13</v>
      </c>
      <c r="T4683">
        <v>6</v>
      </c>
      <c r="U4683">
        <f>AVERAGE(7.46,7.47)</f>
        <v>7.4649999999999999</v>
      </c>
      <c r="V4683">
        <f>AVERAGE(1727,1689)</f>
        <v>1708</v>
      </c>
      <c r="W4683">
        <v>16</v>
      </c>
      <c r="X4683">
        <v>13.353</v>
      </c>
      <c r="Y4683">
        <v>0.64700000000000002</v>
      </c>
    </row>
    <row r="4684" spans="1:25" x14ac:dyDescent="0.2">
      <c r="A4684" t="s">
        <v>554</v>
      </c>
      <c r="B4684">
        <v>2021</v>
      </c>
      <c r="C4684" t="s">
        <v>816</v>
      </c>
      <c r="D4684" t="s">
        <v>820</v>
      </c>
      <c r="E4684" t="s">
        <v>34</v>
      </c>
      <c r="F4684" t="s">
        <v>555</v>
      </c>
      <c r="G4684">
        <v>-33.450000000000003</v>
      </c>
      <c r="H4684">
        <v>-72</v>
      </c>
      <c r="I4684" t="s">
        <v>771</v>
      </c>
      <c r="J4684" s="2" t="s">
        <v>16</v>
      </c>
      <c r="K4684" t="s">
        <v>351</v>
      </c>
      <c r="L4684" t="s">
        <v>143</v>
      </c>
      <c r="M4684" t="s">
        <v>638</v>
      </c>
      <c r="N4684" t="s">
        <v>86</v>
      </c>
      <c r="O4684" s="6" t="s">
        <v>272</v>
      </c>
      <c r="P4684" t="s">
        <v>126</v>
      </c>
      <c r="Q4684">
        <v>21</v>
      </c>
      <c r="R4684" t="s">
        <v>213</v>
      </c>
      <c r="S4684" s="2" t="s">
        <v>13</v>
      </c>
      <c r="T4684">
        <v>6</v>
      </c>
      <c r="U4684">
        <f>AVERAGE(7.46,7.47)</f>
        <v>7.4649999999999999</v>
      </c>
      <c r="V4684">
        <f>AVERAGE(1727,1689)</f>
        <v>1708</v>
      </c>
      <c r="W4684">
        <v>16</v>
      </c>
      <c r="X4684">
        <v>14.223000000000001</v>
      </c>
      <c r="Y4684">
        <v>0.375</v>
      </c>
    </row>
    <row r="4685" spans="1:25" x14ac:dyDescent="0.2">
      <c r="A4685" t="s">
        <v>554</v>
      </c>
      <c r="B4685">
        <v>2021</v>
      </c>
      <c r="C4685" t="s">
        <v>816</v>
      </c>
      <c r="D4685" t="s">
        <v>820</v>
      </c>
      <c r="E4685" t="s">
        <v>34</v>
      </c>
      <c r="F4685" t="s">
        <v>555</v>
      </c>
      <c r="G4685">
        <v>-33.450000000000003</v>
      </c>
      <c r="H4685">
        <v>-72</v>
      </c>
      <c r="I4685" t="s">
        <v>764</v>
      </c>
      <c r="J4685" s="2" t="s">
        <v>16</v>
      </c>
      <c r="K4685" t="s">
        <v>351</v>
      </c>
      <c r="L4685" t="s">
        <v>143</v>
      </c>
      <c r="M4685" t="s">
        <v>638</v>
      </c>
      <c r="N4685" t="s">
        <v>86</v>
      </c>
      <c r="O4685" s="6" t="s">
        <v>272</v>
      </c>
      <c r="P4685" t="s">
        <v>126</v>
      </c>
      <c r="Q4685">
        <v>21</v>
      </c>
      <c r="R4685" t="s">
        <v>213</v>
      </c>
      <c r="S4685" s="2" t="s">
        <v>13</v>
      </c>
      <c r="T4685">
        <v>6</v>
      </c>
      <c r="U4685">
        <f>AVERAGE(7.46,7.47)</f>
        <v>7.4649999999999999</v>
      </c>
      <c r="V4685">
        <f>AVERAGE(1727,1689)</f>
        <v>1708</v>
      </c>
      <c r="W4685">
        <v>16</v>
      </c>
      <c r="X4685">
        <v>13.936999999999999</v>
      </c>
      <c r="Y4685">
        <v>0.76800000000000002</v>
      </c>
    </row>
    <row r="4686" spans="1:25" x14ac:dyDescent="0.2">
      <c r="A4686" t="s">
        <v>554</v>
      </c>
      <c r="B4686">
        <v>2021</v>
      </c>
      <c r="C4686" t="s">
        <v>816</v>
      </c>
      <c r="D4686" t="s">
        <v>820</v>
      </c>
      <c r="E4686" t="s">
        <v>34</v>
      </c>
      <c r="F4686" t="s">
        <v>315</v>
      </c>
      <c r="G4686">
        <v>-33.133333</v>
      </c>
      <c r="H4686">
        <v>-71.7</v>
      </c>
      <c r="I4686" t="s">
        <v>771</v>
      </c>
      <c r="J4686" s="2" t="s">
        <v>14</v>
      </c>
      <c r="K4686" t="s">
        <v>351</v>
      </c>
      <c r="L4686" t="s">
        <v>143</v>
      </c>
      <c r="M4686" t="s">
        <v>638</v>
      </c>
      <c r="N4686" t="s">
        <v>86</v>
      </c>
      <c r="O4686" s="6" t="s">
        <v>272</v>
      </c>
      <c r="P4686" t="s">
        <v>126</v>
      </c>
      <c r="Q4686">
        <v>21</v>
      </c>
      <c r="R4686" t="s">
        <v>213</v>
      </c>
      <c r="S4686" s="2" t="s">
        <v>15</v>
      </c>
      <c r="T4686">
        <v>6</v>
      </c>
      <c r="U4686" t="s">
        <v>28</v>
      </c>
      <c r="V4686" t="s">
        <v>28</v>
      </c>
      <c r="W4686">
        <v>20</v>
      </c>
      <c r="X4686">
        <v>17.173999999999999</v>
      </c>
      <c r="Y4686">
        <v>3.4009999999999998</v>
      </c>
    </row>
    <row r="4687" spans="1:25" x14ac:dyDescent="0.2">
      <c r="A4687" t="s">
        <v>554</v>
      </c>
      <c r="B4687">
        <v>2021</v>
      </c>
      <c r="C4687" t="s">
        <v>816</v>
      </c>
      <c r="D4687" t="s">
        <v>820</v>
      </c>
      <c r="E4687" t="s">
        <v>34</v>
      </c>
      <c r="F4687" t="s">
        <v>315</v>
      </c>
      <c r="G4687">
        <v>-33.133333</v>
      </c>
      <c r="H4687">
        <v>-71.7</v>
      </c>
      <c r="I4687" t="s">
        <v>764</v>
      </c>
      <c r="J4687" s="2" t="s">
        <v>14</v>
      </c>
      <c r="K4687" t="s">
        <v>351</v>
      </c>
      <c r="L4687" t="s">
        <v>143</v>
      </c>
      <c r="M4687" t="s">
        <v>638</v>
      </c>
      <c r="N4687" t="s">
        <v>86</v>
      </c>
      <c r="O4687" s="6" t="s">
        <v>272</v>
      </c>
      <c r="P4687" t="s">
        <v>126</v>
      </c>
      <c r="Q4687">
        <v>21</v>
      </c>
      <c r="R4687" t="s">
        <v>213</v>
      </c>
      <c r="S4687" s="2" t="s">
        <v>15</v>
      </c>
      <c r="T4687">
        <v>6</v>
      </c>
      <c r="U4687" t="s">
        <v>28</v>
      </c>
      <c r="V4687" t="s">
        <v>28</v>
      </c>
      <c r="W4687">
        <v>20</v>
      </c>
      <c r="X4687">
        <v>16.5</v>
      </c>
      <c r="Y4687">
        <v>2.9</v>
      </c>
    </row>
    <row r="4688" spans="1:25" x14ac:dyDescent="0.2">
      <c r="A4688" t="s">
        <v>554</v>
      </c>
      <c r="B4688">
        <v>2021</v>
      </c>
      <c r="C4688" t="s">
        <v>816</v>
      </c>
      <c r="D4688" t="s">
        <v>820</v>
      </c>
      <c r="E4688" t="s">
        <v>34</v>
      </c>
      <c r="F4688" t="s">
        <v>555</v>
      </c>
      <c r="G4688">
        <v>-33.450000000000003</v>
      </c>
      <c r="H4688">
        <v>-72</v>
      </c>
      <c r="I4688" t="s">
        <v>771</v>
      </c>
      <c r="J4688" s="2" t="s">
        <v>14</v>
      </c>
      <c r="K4688" t="s">
        <v>351</v>
      </c>
      <c r="L4688" t="s">
        <v>143</v>
      </c>
      <c r="M4688" t="s">
        <v>638</v>
      </c>
      <c r="N4688" t="s">
        <v>86</v>
      </c>
      <c r="O4688" s="6" t="s">
        <v>272</v>
      </c>
      <c r="P4688" t="s">
        <v>126</v>
      </c>
      <c r="Q4688">
        <v>21</v>
      </c>
      <c r="R4688" t="s">
        <v>213</v>
      </c>
      <c r="S4688" s="2" t="s">
        <v>15</v>
      </c>
      <c r="T4688">
        <v>6</v>
      </c>
      <c r="U4688" t="s">
        <v>28</v>
      </c>
      <c r="V4688" t="s">
        <v>28</v>
      </c>
      <c r="W4688">
        <v>20</v>
      </c>
      <c r="X4688">
        <v>15.86</v>
      </c>
      <c r="Y4688">
        <v>0.35099999999999998</v>
      </c>
    </row>
    <row r="4689" spans="1:28" x14ac:dyDescent="0.2">
      <c r="A4689" t="s">
        <v>554</v>
      </c>
      <c r="B4689">
        <v>2021</v>
      </c>
      <c r="C4689" t="s">
        <v>816</v>
      </c>
      <c r="D4689" t="s">
        <v>820</v>
      </c>
      <c r="E4689" t="s">
        <v>34</v>
      </c>
      <c r="F4689" t="s">
        <v>555</v>
      </c>
      <c r="G4689">
        <v>-33.450000000000003</v>
      </c>
      <c r="H4689">
        <v>-72</v>
      </c>
      <c r="I4689" t="s">
        <v>764</v>
      </c>
      <c r="J4689" s="2" t="s">
        <v>14</v>
      </c>
      <c r="K4689" t="s">
        <v>351</v>
      </c>
      <c r="L4689" t="s">
        <v>143</v>
      </c>
      <c r="M4689" t="s">
        <v>638</v>
      </c>
      <c r="N4689" t="s">
        <v>86</v>
      </c>
      <c r="O4689" s="6" t="s">
        <v>272</v>
      </c>
      <c r="P4689" t="s">
        <v>126</v>
      </c>
      <c r="Q4689">
        <v>21</v>
      </c>
      <c r="R4689" t="s">
        <v>213</v>
      </c>
      <c r="S4689" s="2" t="s">
        <v>15</v>
      </c>
      <c r="T4689">
        <v>6</v>
      </c>
      <c r="U4689" t="s">
        <v>28</v>
      </c>
      <c r="V4689" t="s">
        <v>28</v>
      </c>
      <c r="W4689">
        <v>20</v>
      </c>
      <c r="X4689">
        <v>14.37</v>
      </c>
      <c r="Y4689">
        <v>0.26</v>
      </c>
    </row>
    <row r="4690" spans="1:28" x14ac:dyDescent="0.2">
      <c r="A4690" t="s">
        <v>554</v>
      </c>
      <c r="B4690">
        <v>2021</v>
      </c>
      <c r="C4690" t="s">
        <v>816</v>
      </c>
      <c r="D4690" t="s">
        <v>820</v>
      </c>
      <c r="E4690" t="s">
        <v>34</v>
      </c>
      <c r="F4690" t="s">
        <v>315</v>
      </c>
      <c r="G4690">
        <v>-33.133333</v>
      </c>
      <c r="H4690">
        <v>-71.7</v>
      </c>
      <c r="I4690" t="s">
        <v>771</v>
      </c>
      <c r="J4690" s="2" t="s">
        <v>16</v>
      </c>
      <c r="K4690" t="s">
        <v>351</v>
      </c>
      <c r="L4690" t="s">
        <v>143</v>
      </c>
      <c r="M4690" t="s">
        <v>638</v>
      </c>
      <c r="N4690" t="s">
        <v>86</v>
      </c>
      <c r="O4690" s="6" t="s">
        <v>272</v>
      </c>
      <c r="P4690" t="s">
        <v>126</v>
      </c>
      <c r="Q4690">
        <v>21</v>
      </c>
      <c r="R4690" t="s">
        <v>213</v>
      </c>
      <c r="S4690" s="2" t="s">
        <v>37</v>
      </c>
      <c r="T4690">
        <v>6</v>
      </c>
      <c r="U4690">
        <f>AVERAGE(7.54,7.55)</f>
        <v>7.5449999999999999</v>
      </c>
      <c r="V4690">
        <f>AVERAGE(1442,1414)</f>
        <v>1428</v>
      </c>
      <c r="W4690">
        <v>20</v>
      </c>
      <c r="X4690">
        <v>16.957000000000001</v>
      </c>
      <c r="Y4690">
        <v>0.98199999999999998</v>
      </c>
    </row>
    <row r="4691" spans="1:28" x14ac:dyDescent="0.2">
      <c r="A4691" t="s">
        <v>554</v>
      </c>
      <c r="B4691">
        <v>2021</v>
      </c>
      <c r="C4691" t="s">
        <v>816</v>
      </c>
      <c r="D4691" t="s">
        <v>820</v>
      </c>
      <c r="E4691" t="s">
        <v>34</v>
      </c>
      <c r="F4691" t="s">
        <v>315</v>
      </c>
      <c r="G4691">
        <v>-33.133333</v>
      </c>
      <c r="H4691">
        <v>-71.7</v>
      </c>
      <c r="I4691" t="s">
        <v>764</v>
      </c>
      <c r="J4691" s="2" t="s">
        <v>16</v>
      </c>
      <c r="K4691" t="s">
        <v>351</v>
      </c>
      <c r="L4691" t="s">
        <v>143</v>
      </c>
      <c r="M4691" t="s">
        <v>638</v>
      </c>
      <c r="N4691" t="s">
        <v>86</v>
      </c>
      <c r="O4691" s="6" t="s">
        <v>272</v>
      </c>
      <c r="P4691" t="s">
        <v>126</v>
      </c>
      <c r="Q4691">
        <v>21</v>
      </c>
      <c r="R4691" t="s">
        <v>213</v>
      </c>
      <c r="S4691" s="2" t="s">
        <v>37</v>
      </c>
      <c r="T4691">
        <v>6</v>
      </c>
      <c r="U4691">
        <f>AVERAGE(7.54,7.55)</f>
        <v>7.5449999999999999</v>
      </c>
      <c r="V4691">
        <f>AVERAGE(1442,1414)</f>
        <v>1428</v>
      </c>
      <c r="W4691">
        <v>20</v>
      </c>
      <c r="X4691">
        <v>16.157</v>
      </c>
      <c r="Y4691">
        <v>1.6779999999999999</v>
      </c>
    </row>
    <row r="4692" spans="1:28" x14ac:dyDescent="0.2">
      <c r="A4692" t="s">
        <v>554</v>
      </c>
      <c r="B4692">
        <v>2021</v>
      </c>
      <c r="C4692" t="s">
        <v>816</v>
      </c>
      <c r="D4692" t="s">
        <v>820</v>
      </c>
      <c r="E4692" t="s">
        <v>34</v>
      </c>
      <c r="F4692" t="s">
        <v>555</v>
      </c>
      <c r="G4692">
        <v>-33.450000000000003</v>
      </c>
      <c r="H4692">
        <v>-72</v>
      </c>
      <c r="I4692" t="s">
        <v>771</v>
      </c>
      <c r="J4692" s="2" t="s">
        <v>16</v>
      </c>
      <c r="K4692" t="s">
        <v>351</v>
      </c>
      <c r="L4692" t="s">
        <v>143</v>
      </c>
      <c r="M4692" t="s">
        <v>638</v>
      </c>
      <c r="N4692" t="s">
        <v>86</v>
      </c>
      <c r="O4692" s="6" t="s">
        <v>272</v>
      </c>
      <c r="P4692" t="s">
        <v>126</v>
      </c>
      <c r="Q4692">
        <v>21</v>
      </c>
      <c r="R4692" t="s">
        <v>213</v>
      </c>
      <c r="S4692" s="2" t="s">
        <v>37</v>
      </c>
      <c r="T4692">
        <v>6</v>
      </c>
      <c r="U4692">
        <f>AVERAGE(7.54,7.55)</f>
        <v>7.5449999999999999</v>
      </c>
      <c r="V4692">
        <f>AVERAGE(1442,1414)</f>
        <v>1428</v>
      </c>
      <c r="W4692">
        <v>20</v>
      </c>
      <c r="X4692">
        <v>16.54</v>
      </c>
      <c r="Y4692">
        <v>0.8</v>
      </c>
    </row>
    <row r="4693" spans="1:28" x14ac:dyDescent="0.2">
      <c r="A4693" t="s">
        <v>554</v>
      </c>
      <c r="B4693">
        <v>2021</v>
      </c>
      <c r="C4693" t="s">
        <v>816</v>
      </c>
      <c r="D4693" t="s">
        <v>820</v>
      </c>
      <c r="E4693" t="s">
        <v>34</v>
      </c>
      <c r="F4693" t="s">
        <v>555</v>
      </c>
      <c r="G4693">
        <v>-33.450000000000003</v>
      </c>
      <c r="H4693">
        <v>-72</v>
      </c>
      <c r="I4693" t="s">
        <v>764</v>
      </c>
      <c r="J4693" s="2" t="s">
        <v>16</v>
      </c>
      <c r="K4693" t="s">
        <v>351</v>
      </c>
      <c r="L4693" t="s">
        <v>143</v>
      </c>
      <c r="M4693" t="s">
        <v>638</v>
      </c>
      <c r="N4693" t="s">
        <v>86</v>
      </c>
      <c r="O4693" s="6" t="s">
        <v>272</v>
      </c>
      <c r="P4693" t="s">
        <v>126</v>
      </c>
      <c r="Q4693">
        <v>21</v>
      </c>
      <c r="R4693" t="s">
        <v>213</v>
      </c>
      <c r="S4693" s="2" t="s">
        <v>37</v>
      </c>
      <c r="T4693">
        <v>6</v>
      </c>
      <c r="U4693">
        <f>AVERAGE(7.54,7.55)</f>
        <v>7.5449999999999999</v>
      </c>
      <c r="V4693">
        <f>AVERAGE(1442,1414)</f>
        <v>1428</v>
      </c>
      <c r="W4693">
        <v>20</v>
      </c>
      <c r="X4693">
        <v>15.5</v>
      </c>
      <c r="Y4693">
        <v>0.4</v>
      </c>
    </row>
    <row r="4694" spans="1:28" x14ac:dyDescent="0.2">
      <c r="A4694" t="s">
        <v>557</v>
      </c>
      <c r="B4694">
        <v>2021</v>
      </c>
      <c r="C4694" t="s">
        <v>826</v>
      </c>
      <c r="D4694" t="s">
        <v>824</v>
      </c>
      <c r="E4694" t="s">
        <v>48</v>
      </c>
      <c r="F4694" t="s">
        <v>558</v>
      </c>
      <c r="G4694">
        <v>48.727499999999999</v>
      </c>
      <c r="H4694">
        <v>-3.9870000000000001</v>
      </c>
      <c r="J4694" s="2" t="s">
        <v>7</v>
      </c>
      <c r="K4694" t="s">
        <v>559</v>
      </c>
      <c r="L4694" t="s">
        <v>143</v>
      </c>
      <c r="M4694" t="s">
        <v>26</v>
      </c>
      <c r="N4694" t="s">
        <v>85</v>
      </c>
      <c r="O4694" t="s">
        <v>839</v>
      </c>
      <c r="P4694" t="s">
        <v>72</v>
      </c>
      <c r="Q4694">
        <v>4</v>
      </c>
      <c r="R4694" t="s">
        <v>214</v>
      </c>
      <c r="S4694" s="2" t="s">
        <v>7</v>
      </c>
      <c r="T4694">
        <v>3</v>
      </c>
      <c r="U4694" t="s">
        <v>28</v>
      </c>
      <c r="V4694" t="s">
        <v>28</v>
      </c>
      <c r="W4694">
        <v>8</v>
      </c>
      <c r="X4694">
        <f>159.1/Q4694</f>
        <v>39.774999999999999</v>
      </c>
      <c r="Y4694">
        <f>10.9/Q4694</f>
        <v>2.7250000000000001</v>
      </c>
      <c r="AA4694" s="6"/>
      <c r="AB4694" s="6"/>
    </row>
    <row r="4695" spans="1:28" x14ac:dyDescent="0.2">
      <c r="A4695" t="s">
        <v>557</v>
      </c>
      <c r="B4695">
        <v>2021</v>
      </c>
      <c r="C4695" t="s">
        <v>826</v>
      </c>
      <c r="D4695" t="s">
        <v>824</v>
      </c>
      <c r="E4695" t="s">
        <v>48</v>
      </c>
      <c r="F4695" t="s">
        <v>558</v>
      </c>
      <c r="G4695">
        <v>48.727499999999999</v>
      </c>
      <c r="H4695">
        <v>-3.9870000000000001</v>
      </c>
      <c r="J4695" s="2" t="s">
        <v>7</v>
      </c>
      <c r="K4695" t="s">
        <v>559</v>
      </c>
      <c r="L4695" t="s">
        <v>143</v>
      </c>
      <c r="M4695" t="s">
        <v>26</v>
      </c>
      <c r="N4695" t="s">
        <v>85</v>
      </c>
      <c r="O4695" t="s">
        <v>839</v>
      </c>
      <c r="P4695" t="s">
        <v>72</v>
      </c>
      <c r="Q4695">
        <v>7</v>
      </c>
      <c r="R4695" t="s">
        <v>214</v>
      </c>
      <c r="S4695" s="2" t="s">
        <v>7</v>
      </c>
      <c r="T4695">
        <v>3</v>
      </c>
      <c r="U4695" t="s">
        <v>28</v>
      </c>
      <c r="V4695" t="s">
        <v>28</v>
      </c>
      <c r="W4695">
        <v>8</v>
      </c>
      <c r="X4695">
        <f>213.6/Q4695</f>
        <v>30.514285714285712</v>
      </c>
      <c r="Y4695">
        <f>10.4/Q4695</f>
        <v>1.4857142857142858</v>
      </c>
      <c r="AA4695" s="6"/>
      <c r="AB4695" s="6"/>
    </row>
    <row r="4696" spans="1:28" x14ac:dyDescent="0.2">
      <c r="A4696" t="s">
        <v>557</v>
      </c>
      <c r="B4696">
        <v>2021</v>
      </c>
      <c r="C4696" t="s">
        <v>826</v>
      </c>
      <c r="D4696" t="s">
        <v>824</v>
      </c>
      <c r="E4696" t="s">
        <v>48</v>
      </c>
      <c r="F4696" t="s">
        <v>558</v>
      </c>
      <c r="G4696">
        <v>48.727499999999999</v>
      </c>
      <c r="H4696">
        <v>-3.9870000000000001</v>
      </c>
      <c r="J4696" s="2" t="s">
        <v>7</v>
      </c>
      <c r="K4696" t="s">
        <v>559</v>
      </c>
      <c r="L4696" t="s">
        <v>143</v>
      </c>
      <c r="M4696" t="s">
        <v>26</v>
      </c>
      <c r="N4696" t="s">
        <v>85</v>
      </c>
      <c r="O4696" t="s">
        <v>839</v>
      </c>
      <c r="P4696" t="s">
        <v>72</v>
      </c>
      <c r="Q4696">
        <v>11</v>
      </c>
      <c r="R4696" t="s">
        <v>214</v>
      </c>
      <c r="S4696" s="2" t="s">
        <v>7</v>
      </c>
      <c r="T4696">
        <v>3</v>
      </c>
      <c r="U4696" t="s">
        <v>28</v>
      </c>
      <c r="V4696" t="s">
        <v>28</v>
      </c>
      <c r="W4696">
        <v>8</v>
      </c>
      <c r="X4696">
        <f>293.6/Q4696</f>
        <v>26.690909090909091</v>
      </c>
      <c r="Y4696">
        <f>11.4/Q4696</f>
        <v>1.0363636363636364</v>
      </c>
      <c r="AA4696" s="6"/>
      <c r="AB4696" s="6"/>
    </row>
    <row r="4697" spans="1:28" x14ac:dyDescent="0.2">
      <c r="A4697" t="s">
        <v>557</v>
      </c>
      <c r="B4697">
        <v>2021</v>
      </c>
      <c r="C4697" t="s">
        <v>826</v>
      </c>
      <c r="D4697" t="s">
        <v>824</v>
      </c>
      <c r="E4697" t="s">
        <v>48</v>
      </c>
      <c r="F4697" t="s">
        <v>558</v>
      </c>
      <c r="G4697">
        <v>48.727499999999999</v>
      </c>
      <c r="H4697">
        <v>-3.9870000000000001</v>
      </c>
      <c r="J4697" s="2" t="s">
        <v>7</v>
      </c>
      <c r="K4697" t="s">
        <v>559</v>
      </c>
      <c r="L4697" t="s">
        <v>143</v>
      </c>
      <c r="M4697" t="s">
        <v>26</v>
      </c>
      <c r="N4697" t="s">
        <v>85</v>
      </c>
      <c r="O4697" t="s">
        <v>839</v>
      </c>
      <c r="P4697" t="s">
        <v>72</v>
      </c>
      <c r="Q4697">
        <v>14</v>
      </c>
      <c r="R4697" t="s">
        <v>214</v>
      </c>
      <c r="S4697" s="2" t="s">
        <v>7</v>
      </c>
      <c r="T4697">
        <v>3</v>
      </c>
      <c r="U4697" t="s">
        <v>28</v>
      </c>
      <c r="V4697" t="s">
        <v>28</v>
      </c>
      <c r="W4697">
        <v>8</v>
      </c>
      <c r="X4697">
        <f>324.8/Q4697</f>
        <v>23.2</v>
      </c>
      <c r="Y4697">
        <f>10.9/Q4697</f>
        <v>0.77857142857142858</v>
      </c>
      <c r="AA4697" s="6"/>
      <c r="AB4697" s="6"/>
    </row>
    <row r="4698" spans="1:28" x14ac:dyDescent="0.2">
      <c r="A4698" t="s">
        <v>557</v>
      </c>
      <c r="B4698">
        <v>2021</v>
      </c>
      <c r="C4698" t="s">
        <v>826</v>
      </c>
      <c r="D4698" t="s">
        <v>824</v>
      </c>
      <c r="E4698" t="s">
        <v>48</v>
      </c>
      <c r="F4698" t="s">
        <v>558</v>
      </c>
      <c r="G4698">
        <v>48.727499999999999</v>
      </c>
      <c r="H4698">
        <v>-3.9870000000000001</v>
      </c>
      <c r="J4698" s="2" t="s">
        <v>7</v>
      </c>
      <c r="K4698" t="s">
        <v>559</v>
      </c>
      <c r="L4698" t="s">
        <v>143</v>
      </c>
      <c r="M4698" t="s">
        <v>26</v>
      </c>
      <c r="N4698" t="s">
        <v>85</v>
      </c>
      <c r="O4698" t="s">
        <v>839</v>
      </c>
      <c r="P4698" t="s">
        <v>72</v>
      </c>
      <c r="Q4698">
        <v>18</v>
      </c>
      <c r="R4698" t="s">
        <v>213</v>
      </c>
      <c r="S4698" s="2" t="s">
        <v>7</v>
      </c>
      <c r="T4698">
        <v>3</v>
      </c>
      <c r="U4698" t="s">
        <v>28</v>
      </c>
      <c r="V4698" t="s">
        <v>28</v>
      </c>
      <c r="W4698">
        <v>8</v>
      </c>
      <c r="X4698">
        <f>389.1/Q4698</f>
        <v>21.616666666666667</v>
      </c>
      <c r="Y4698">
        <f>67.8/Q4698</f>
        <v>3.7666666666666666</v>
      </c>
      <c r="AA4698" s="6"/>
      <c r="AB4698" s="6"/>
    </row>
    <row r="4699" spans="1:28" x14ac:dyDescent="0.2">
      <c r="A4699" t="s">
        <v>557</v>
      </c>
      <c r="B4699">
        <v>2021</v>
      </c>
      <c r="C4699" t="s">
        <v>826</v>
      </c>
      <c r="D4699" t="s">
        <v>824</v>
      </c>
      <c r="E4699" t="s">
        <v>48</v>
      </c>
      <c r="F4699" t="s">
        <v>558</v>
      </c>
      <c r="G4699">
        <v>48.727499999999999</v>
      </c>
      <c r="H4699">
        <v>-3.9870000000000001</v>
      </c>
      <c r="J4699" s="2" t="s">
        <v>14</v>
      </c>
      <c r="K4699" t="s">
        <v>559</v>
      </c>
      <c r="L4699" t="s">
        <v>143</v>
      </c>
      <c r="M4699" t="s">
        <v>26</v>
      </c>
      <c r="N4699" t="s">
        <v>85</v>
      </c>
      <c r="O4699" t="s">
        <v>839</v>
      </c>
      <c r="P4699" t="s">
        <v>72</v>
      </c>
      <c r="Q4699">
        <v>4</v>
      </c>
      <c r="R4699" t="s">
        <v>214</v>
      </c>
      <c r="S4699" s="2" t="s">
        <v>9</v>
      </c>
      <c r="T4699">
        <v>3</v>
      </c>
      <c r="U4699" t="s">
        <v>28</v>
      </c>
      <c r="V4699" t="s">
        <v>28</v>
      </c>
      <c r="W4699">
        <v>15</v>
      </c>
      <c r="X4699">
        <f>158.6/Q4699</f>
        <v>39.65</v>
      </c>
      <c r="Y4699">
        <f>37.1/Q4699</f>
        <v>9.2750000000000004</v>
      </c>
      <c r="AA4699" s="6"/>
      <c r="AB4699" s="6"/>
    </row>
    <row r="4700" spans="1:28" x14ac:dyDescent="0.2">
      <c r="A4700" t="s">
        <v>557</v>
      </c>
      <c r="B4700">
        <v>2021</v>
      </c>
      <c r="C4700" t="s">
        <v>826</v>
      </c>
      <c r="D4700" t="s">
        <v>824</v>
      </c>
      <c r="E4700" t="s">
        <v>48</v>
      </c>
      <c r="F4700" t="s">
        <v>558</v>
      </c>
      <c r="G4700">
        <v>48.727499999999999</v>
      </c>
      <c r="H4700">
        <v>-3.9870000000000001</v>
      </c>
      <c r="J4700" s="2" t="s">
        <v>14</v>
      </c>
      <c r="K4700" t="s">
        <v>559</v>
      </c>
      <c r="L4700" t="s">
        <v>143</v>
      </c>
      <c r="M4700" t="s">
        <v>26</v>
      </c>
      <c r="N4700" t="s">
        <v>85</v>
      </c>
      <c r="O4700" t="s">
        <v>839</v>
      </c>
      <c r="P4700" t="s">
        <v>72</v>
      </c>
      <c r="Q4700">
        <v>7</v>
      </c>
      <c r="R4700" t="s">
        <v>214</v>
      </c>
      <c r="S4700" s="2" t="s">
        <v>9</v>
      </c>
      <c r="T4700">
        <v>3</v>
      </c>
      <c r="U4700" t="s">
        <v>28</v>
      </c>
      <c r="V4700" t="s">
        <v>28</v>
      </c>
      <c r="W4700">
        <v>15</v>
      </c>
      <c r="X4700">
        <f>171.4/Q4700</f>
        <v>24.485714285714288</v>
      </c>
      <c r="Y4700">
        <f>25.7/Q4700</f>
        <v>3.6714285714285713</v>
      </c>
      <c r="AA4700" s="6"/>
      <c r="AB4700" s="6"/>
    </row>
    <row r="4701" spans="1:28" x14ac:dyDescent="0.2">
      <c r="A4701" t="s">
        <v>557</v>
      </c>
      <c r="B4701">
        <v>2021</v>
      </c>
      <c r="C4701" t="s">
        <v>826</v>
      </c>
      <c r="D4701" t="s">
        <v>824</v>
      </c>
      <c r="E4701" t="s">
        <v>48</v>
      </c>
      <c r="F4701" t="s">
        <v>558</v>
      </c>
      <c r="G4701">
        <v>48.727499999999999</v>
      </c>
      <c r="H4701">
        <v>-3.9870000000000001</v>
      </c>
      <c r="J4701" s="2" t="s">
        <v>14</v>
      </c>
      <c r="K4701" t="s">
        <v>559</v>
      </c>
      <c r="L4701" t="s">
        <v>143</v>
      </c>
      <c r="M4701" t="s">
        <v>26</v>
      </c>
      <c r="N4701" t="s">
        <v>85</v>
      </c>
      <c r="O4701" t="s">
        <v>839</v>
      </c>
      <c r="P4701" t="s">
        <v>72</v>
      </c>
      <c r="Q4701">
        <v>11</v>
      </c>
      <c r="R4701" t="s">
        <v>214</v>
      </c>
      <c r="S4701" s="2" t="s">
        <v>9</v>
      </c>
      <c r="T4701">
        <v>3</v>
      </c>
      <c r="U4701" t="s">
        <v>28</v>
      </c>
      <c r="V4701" t="s">
        <v>28</v>
      </c>
      <c r="W4701">
        <v>15</v>
      </c>
      <c r="X4701">
        <f>236.2/Q4701</f>
        <v>21.472727272727273</v>
      </c>
      <c r="Y4701">
        <f>66.7/Q4701</f>
        <v>6.0636363636363635</v>
      </c>
      <c r="AA4701" s="6"/>
      <c r="AB4701" s="6"/>
    </row>
    <row r="4702" spans="1:28" x14ac:dyDescent="0.2">
      <c r="A4702" t="s">
        <v>557</v>
      </c>
      <c r="B4702">
        <v>2021</v>
      </c>
      <c r="C4702" t="s">
        <v>826</v>
      </c>
      <c r="D4702" t="s">
        <v>824</v>
      </c>
      <c r="E4702" t="s">
        <v>48</v>
      </c>
      <c r="F4702" t="s">
        <v>558</v>
      </c>
      <c r="G4702">
        <v>48.727499999999999</v>
      </c>
      <c r="H4702">
        <v>-3.9870000000000001</v>
      </c>
      <c r="J4702" s="2" t="s">
        <v>14</v>
      </c>
      <c r="K4702" t="s">
        <v>559</v>
      </c>
      <c r="L4702" t="s">
        <v>143</v>
      </c>
      <c r="M4702" t="s">
        <v>26</v>
      </c>
      <c r="N4702" t="s">
        <v>85</v>
      </c>
      <c r="O4702" t="s">
        <v>839</v>
      </c>
      <c r="P4702" t="s">
        <v>72</v>
      </c>
      <c r="Q4702">
        <v>14</v>
      </c>
      <c r="R4702" t="s">
        <v>214</v>
      </c>
      <c r="S4702" s="2" t="s">
        <v>9</v>
      </c>
      <c r="T4702">
        <v>3</v>
      </c>
      <c r="U4702" t="s">
        <v>28</v>
      </c>
      <c r="V4702" t="s">
        <v>28</v>
      </c>
      <c r="W4702">
        <v>15</v>
      </c>
      <c r="X4702">
        <f>247.1/Q4702</f>
        <v>17.649999999999999</v>
      </c>
      <c r="Y4702">
        <f>54.8/Q4702</f>
        <v>3.9142857142857141</v>
      </c>
      <c r="AA4702" s="6"/>
      <c r="AB4702" s="6"/>
    </row>
    <row r="4703" spans="1:28" x14ac:dyDescent="0.2">
      <c r="A4703" t="s">
        <v>557</v>
      </c>
      <c r="B4703">
        <v>2021</v>
      </c>
      <c r="C4703" t="s">
        <v>826</v>
      </c>
      <c r="D4703" t="s">
        <v>824</v>
      </c>
      <c r="E4703" t="s">
        <v>48</v>
      </c>
      <c r="F4703" t="s">
        <v>558</v>
      </c>
      <c r="G4703">
        <v>48.727499999999999</v>
      </c>
      <c r="H4703">
        <v>-3.9870000000000001</v>
      </c>
      <c r="J4703" s="2" t="s">
        <v>14</v>
      </c>
      <c r="K4703" t="s">
        <v>559</v>
      </c>
      <c r="L4703" t="s">
        <v>143</v>
      </c>
      <c r="M4703" t="s">
        <v>26</v>
      </c>
      <c r="N4703" t="s">
        <v>85</v>
      </c>
      <c r="O4703" t="s">
        <v>839</v>
      </c>
      <c r="P4703" t="s">
        <v>72</v>
      </c>
      <c r="Q4703">
        <v>18</v>
      </c>
      <c r="R4703" t="s">
        <v>213</v>
      </c>
      <c r="S4703" s="2" t="s">
        <v>9</v>
      </c>
      <c r="T4703">
        <v>3</v>
      </c>
      <c r="U4703" t="s">
        <v>28</v>
      </c>
      <c r="V4703" t="s">
        <v>28</v>
      </c>
      <c r="W4703">
        <v>15</v>
      </c>
      <c r="X4703">
        <f>274.3/Q4703</f>
        <v>15.238888888888889</v>
      </c>
      <c r="Y4703">
        <f>62.8/Q4703</f>
        <v>3.4888888888888889</v>
      </c>
      <c r="AA4703" s="6"/>
      <c r="AB4703" s="6"/>
    </row>
    <row r="4704" spans="1:28" x14ac:dyDescent="0.2">
      <c r="A4704" t="s">
        <v>557</v>
      </c>
      <c r="B4704">
        <v>2021</v>
      </c>
      <c r="C4704" t="s">
        <v>826</v>
      </c>
      <c r="D4704" t="s">
        <v>824</v>
      </c>
      <c r="E4704" t="s">
        <v>48</v>
      </c>
      <c r="F4704" t="s">
        <v>558</v>
      </c>
      <c r="G4704">
        <v>48.727499999999999</v>
      </c>
      <c r="H4704">
        <v>-3.9870000000000001</v>
      </c>
      <c r="J4704" s="2" t="s">
        <v>7</v>
      </c>
      <c r="K4704" t="s">
        <v>559</v>
      </c>
      <c r="L4704" t="s">
        <v>143</v>
      </c>
      <c r="M4704" t="s">
        <v>726</v>
      </c>
      <c r="N4704" t="s">
        <v>85</v>
      </c>
      <c r="O4704" s="6" t="s">
        <v>84</v>
      </c>
      <c r="Q4704">
        <v>4</v>
      </c>
      <c r="R4704" t="s">
        <v>214</v>
      </c>
      <c r="S4704" s="2" t="s">
        <v>7</v>
      </c>
      <c r="T4704">
        <v>5</v>
      </c>
      <c r="U4704" t="s">
        <v>28</v>
      </c>
      <c r="V4704" t="s">
        <v>28</v>
      </c>
      <c r="W4704">
        <v>8</v>
      </c>
      <c r="X4704">
        <v>0.5514</v>
      </c>
      <c r="Y4704">
        <f>0.5715-X4704</f>
        <v>2.0100000000000007E-2</v>
      </c>
      <c r="AA4704" s="6"/>
      <c r="AB4704" s="6"/>
    </row>
    <row r="4705" spans="1:28" x14ac:dyDescent="0.2">
      <c r="A4705" t="s">
        <v>557</v>
      </c>
      <c r="B4705">
        <v>2021</v>
      </c>
      <c r="C4705" t="s">
        <v>826</v>
      </c>
      <c r="D4705" t="s">
        <v>824</v>
      </c>
      <c r="E4705" t="s">
        <v>48</v>
      </c>
      <c r="F4705" t="s">
        <v>558</v>
      </c>
      <c r="G4705">
        <v>48.727499999999999</v>
      </c>
      <c r="H4705">
        <v>-3.9870000000000001</v>
      </c>
      <c r="J4705" s="2" t="s">
        <v>7</v>
      </c>
      <c r="K4705" t="s">
        <v>559</v>
      </c>
      <c r="L4705" t="s">
        <v>143</v>
      </c>
      <c r="M4705" t="s">
        <v>726</v>
      </c>
      <c r="N4705" t="s">
        <v>85</v>
      </c>
      <c r="O4705" s="6" t="s">
        <v>84</v>
      </c>
      <c r="Q4705">
        <v>7</v>
      </c>
      <c r="R4705" t="s">
        <v>214</v>
      </c>
      <c r="S4705" s="2" t="s">
        <v>7</v>
      </c>
      <c r="T4705">
        <v>5</v>
      </c>
      <c r="U4705" t="s">
        <v>28</v>
      </c>
      <c r="V4705" t="s">
        <v>28</v>
      </c>
      <c r="W4705">
        <v>8</v>
      </c>
      <c r="X4705">
        <v>0.51929999999999998</v>
      </c>
      <c r="Y4705">
        <f>0.5318-X4705</f>
        <v>1.2500000000000067E-2</v>
      </c>
      <c r="AA4705" s="6"/>
      <c r="AB4705" s="6"/>
    </row>
    <row r="4706" spans="1:28" x14ac:dyDescent="0.2">
      <c r="A4706" t="s">
        <v>557</v>
      </c>
      <c r="B4706">
        <v>2021</v>
      </c>
      <c r="C4706" t="s">
        <v>826</v>
      </c>
      <c r="D4706" t="s">
        <v>824</v>
      </c>
      <c r="E4706" t="s">
        <v>48</v>
      </c>
      <c r="F4706" t="s">
        <v>558</v>
      </c>
      <c r="G4706">
        <v>48.727499999999999</v>
      </c>
      <c r="H4706">
        <v>-3.9870000000000001</v>
      </c>
      <c r="J4706" s="2" t="s">
        <v>7</v>
      </c>
      <c r="K4706" t="s">
        <v>559</v>
      </c>
      <c r="L4706" t="s">
        <v>143</v>
      </c>
      <c r="M4706" t="s">
        <v>726</v>
      </c>
      <c r="N4706" t="s">
        <v>85</v>
      </c>
      <c r="O4706" s="6" t="s">
        <v>84</v>
      </c>
      <c r="Q4706">
        <v>8</v>
      </c>
      <c r="R4706" t="s">
        <v>214</v>
      </c>
      <c r="S4706" s="2" t="s">
        <v>7</v>
      </c>
      <c r="T4706">
        <v>5</v>
      </c>
      <c r="U4706" t="s">
        <v>28</v>
      </c>
      <c r="V4706" t="s">
        <v>28</v>
      </c>
      <c r="W4706">
        <v>8</v>
      </c>
      <c r="X4706">
        <v>0.55979999999999996</v>
      </c>
      <c r="Y4706">
        <f>0.5688-X4706</f>
        <v>9.000000000000008E-3</v>
      </c>
      <c r="AA4706" s="6"/>
      <c r="AB4706" s="6"/>
    </row>
    <row r="4707" spans="1:28" x14ac:dyDescent="0.2">
      <c r="A4707" t="s">
        <v>557</v>
      </c>
      <c r="B4707">
        <v>2021</v>
      </c>
      <c r="C4707" t="s">
        <v>826</v>
      </c>
      <c r="D4707" t="s">
        <v>824</v>
      </c>
      <c r="E4707" t="s">
        <v>48</v>
      </c>
      <c r="F4707" t="s">
        <v>558</v>
      </c>
      <c r="G4707">
        <v>48.727499999999999</v>
      </c>
      <c r="H4707">
        <v>-3.9870000000000001</v>
      </c>
      <c r="J4707" s="2" t="s">
        <v>7</v>
      </c>
      <c r="K4707" t="s">
        <v>559</v>
      </c>
      <c r="L4707" t="s">
        <v>143</v>
      </c>
      <c r="M4707" t="s">
        <v>726</v>
      </c>
      <c r="N4707" t="s">
        <v>85</v>
      </c>
      <c r="O4707" s="6" t="s">
        <v>84</v>
      </c>
      <c r="Q4707">
        <v>11</v>
      </c>
      <c r="R4707" t="s">
        <v>214</v>
      </c>
      <c r="S4707" s="2" t="s">
        <v>7</v>
      </c>
      <c r="T4707">
        <v>5</v>
      </c>
      <c r="U4707" t="s">
        <v>28</v>
      </c>
      <c r="V4707" t="s">
        <v>28</v>
      </c>
      <c r="W4707">
        <v>8</v>
      </c>
      <c r="X4707">
        <v>0.50280000000000002</v>
      </c>
      <c r="Y4707">
        <f>0.5195-X4707</f>
        <v>1.6699999999999937E-2</v>
      </c>
      <c r="AA4707" s="6"/>
      <c r="AB4707" s="6"/>
    </row>
    <row r="4708" spans="1:28" x14ac:dyDescent="0.2">
      <c r="A4708" t="s">
        <v>557</v>
      </c>
      <c r="B4708">
        <v>2021</v>
      </c>
      <c r="C4708" t="s">
        <v>826</v>
      </c>
      <c r="D4708" t="s">
        <v>824</v>
      </c>
      <c r="E4708" t="s">
        <v>48</v>
      </c>
      <c r="F4708" t="s">
        <v>558</v>
      </c>
      <c r="G4708">
        <v>48.727499999999999</v>
      </c>
      <c r="H4708">
        <v>-3.9870000000000001</v>
      </c>
      <c r="J4708" s="2" t="s">
        <v>7</v>
      </c>
      <c r="K4708" t="s">
        <v>559</v>
      </c>
      <c r="L4708" t="s">
        <v>143</v>
      </c>
      <c r="M4708" t="s">
        <v>726</v>
      </c>
      <c r="N4708" t="s">
        <v>85</v>
      </c>
      <c r="O4708" s="6" t="s">
        <v>84</v>
      </c>
      <c r="Q4708">
        <v>14</v>
      </c>
      <c r="R4708" t="s">
        <v>214</v>
      </c>
      <c r="S4708" s="2" t="s">
        <v>7</v>
      </c>
      <c r="T4708">
        <v>5</v>
      </c>
      <c r="U4708" t="s">
        <v>28</v>
      </c>
      <c r="V4708" t="s">
        <v>28</v>
      </c>
      <c r="W4708">
        <v>8</v>
      </c>
      <c r="X4708">
        <v>0.50209999999999999</v>
      </c>
      <c r="Y4708">
        <f>0.5183-X4708</f>
        <v>1.6199999999999992E-2</v>
      </c>
      <c r="AA4708" s="6"/>
      <c r="AB4708" s="6"/>
    </row>
    <row r="4709" spans="1:28" x14ac:dyDescent="0.2">
      <c r="A4709" t="s">
        <v>557</v>
      </c>
      <c r="B4709">
        <v>2021</v>
      </c>
      <c r="C4709" t="s">
        <v>826</v>
      </c>
      <c r="D4709" t="s">
        <v>824</v>
      </c>
      <c r="E4709" t="s">
        <v>48</v>
      </c>
      <c r="F4709" t="s">
        <v>558</v>
      </c>
      <c r="G4709">
        <v>48.727499999999999</v>
      </c>
      <c r="H4709">
        <v>-3.9870000000000001</v>
      </c>
      <c r="J4709" s="2" t="s">
        <v>7</v>
      </c>
      <c r="K4709" t="s">
        <v>559</v>
      </c>
      <c r="L4709" t="s">
        <v>143</v>
      </c>
      <c r="M4709" t="s">
        <v>726</v>
      </c>
      <c r="N4709" t="s">
        <v>85</v>
      </c>
      <c r="O4709" s="6" t="s">
        <v>84</v>
      </c>
      <c r="Q4709">
        <v>18</v>
      </c>
      <c r="R4709" t="s">
        <v>213</v>
      </c>
      <c r="S4709" s="2" t="s">
        <v>7</v>
      </c>
      <c r="T4709">
        <v>5</v>
      </c>
      <c r="U4709" t="s">
        <v>28</v>
      </c>
      <c r="V4709" t="s">
        <v>28</v>
      </c>
      <c r="W4709">
        <v>8</v>
      </c>
      <c r="X4709">
        <v>0.4375</v>
      </c>
      <c r="Y4709">
        <f>0.4636-X4709</f>
        <v>2.6100000000000012E-2</v>
      </c>
      <c r="AA4709" s="6"/>
      <c r="AB4709" s="6"/>
    </row>
    <row r="4710" spans="1:28" x14ac:dyDescent="0.2">
      <c r="A4710" t="s">
        <v>557</v>
      </c>
      <c r="B4710">
        <v>2021</v>
      </c>
      <c r="C4710" t="s">
        <v>826</v>
      </c>
      <c r="D4710" t="s">
        <v>824</v>
      </c>
      <c r="E4710" t="s">
        <v>48</v>
      </c>
      <c r="F4710" t="s">
        <v>558</v>
      </c>
      <c r="G4710">
        <v>48.727499999999999</v>
      </c>
      <c r="H4710">
        <v>-3.9870000000000001</v>
      </c>
      <c r="J4710" s="2" t="s">
        <v>14</v>
      </c>
      <c r="K4710" t="s">
        <v>559</v>
      </c>
      <c r="L4710" t="s">
        <v>143</v>
      </c>
      <c r="M4710" t="s">
        <v>726</v>
      </c>
      <c r="N4710" t="s">
        <v>85</v>
      </c>
      <c r="O4710" s="6" t="s">
        <v>84</v>
      </c>
      <c r="Q4710">
        <v>4</v>
      </c>
      <c r="R4710" t="s">
        <v>214</v>
      </c>
      <c r="S4710" s="2" t="s">
        <v>9</v>
      </c>
      <c r="T4710">
        <v>5</v>
      </c>
      <c r="U4710" t="s">
        <v>28</v>
      </c>
      <c r="V4710" t="s">
        <v>28</v>
      </c>
      <c r="W4710">
        <v>15</v>
      </c>
      <c r="X4710">
        <v>0.52629999999999999</v>
      </c>
      <c r="Y4710">
        <f>0.5779-X4710</f>
        <v>5.1599999999999979E-2</v>
      </c>
      <c r="AA4710" s="6"/>
      <c r="AB4710" s="6"/>
    </row>
    <row r="4711" spans="1:28" x14ac:dyDescent="0.2">
      <c r="A4711" t="s">
        <v>557</v>
      </c>
      <c r="B4711">
        <v>2021</v>
      </c>
      <c r="C4711" t="s">
        <v>826</v>
      </c>
      <c r="D4711" t="s">
        <v>824</v>
      </c>
      <c r="E4711" t="s">
        <v>48</v>
      </c>
      <c r="F4711" t="s">
        <v>558</v>
      </c>
      <c r="G4711">
        <v>48.727499999999999</v>
      </c>
      <c r="H4711">
        <v>-3.9870000000000001</v>
      </c>
      <c r="J4711" s="2" t="s">
        <v>14</v>
      </c>
      <c r="K4711" t="s">
        <v>559</v>
      </c>
      <c r="L4711" t="s">
        <v>143</v>
      </c>
      <c r="M4711" t="s">
        <v>726</v>
      </c>
      <c r="N4711" t="s">
        <v>85</v>
      </c>
      <c r="O4711" s="6" t="s">
        <v>84</v>
      </c>
      <c r="Q4711">
        <v>7</v>
      </c>
      <c r="R4711" t="s">
        <v>214</v>
      </c>
      <c r="S4711" s="2" t="s">
        <v>9</v>
      </c>
      <c r="T4711">
        <v>5</v>
      </c>
      <c r="U4711" t="s">
        <v>28</v>
      </c>
      <c r="V4711" t="s">
        <v>28</v>
      </c>
      <c r="W4711">
        <v>15</v>
      </c>
      <c r="X4711">
        <v>0.54620000000000002</v>
      </c>
      <c r="Y4711">
        <f>0.5572-X4711</f>
        <v>1.100000000000001E-2</v>
      </c>
      <c r="AA4711" s="6"/>
      <c r="AB4711" s="6"/>
    </row>
    <row r="4712" spans="1:28" x14ac:dyDescent="0.2">
      <c r="A4712" t="s">
        <v>557</v>
      </c>
      <c r="B4712">
        <v>2021</v>
      </c>
      <c r="C4712" t="s">
        <v>826</v>
      </c>
      <c r="D4712" t="s">
        <v>824</v>
      </c>
      <c r="E4712" t="s">
        <v>48</v>
      </c>
      <c r="F4712" t="s">
        <v>558</v>
      </c>
      <c r="G4712">
        <v>48.727499999999999</v>
      </c>
      <c r="H4712">
        <v>-3.9870000000000001</v>
      </c>
      <c r="J4712" s="2" t="s">
        <v>14</v>
      </c>
      <c r="K4712" t="s">
        <v>559</v>
      </c>
      <c r="L4712" t="s">
        <v>143</v>
      </c>
      <c r="M4712" t="s">
        <v>726</v>
      </c>
      <c r="N4712" t="s">
        <v>85</v>
      </c>
      <c r="O4712" s="6" t="s">
        <v>84</v>
      </c>
      <c r="Q4712">
        <v>8</v>
      </c>
      <c r="R4712" t="s">
        <v>214</v>
      </c>
      <c r="S4712" s="2" t="s">
        <v>9</v>
      </c>
      <c r="T4712">
        <v>5</v>
      </c>
      <c r="U4712" t="s">
        <v>28</v>
      </c>
      <c r="V4712" t="s">
        <v>28</v>
      </c>
      <c r="W4712">
        <v>15</v>
      </c>
      <c r="X4712">
        <v>0.55500000000000005</v>
      </c>
      <c r="Y4712">
        <f>0.572-X4712</f>
        <v>1.6999999999999904E-2</v>
      </c>
      <c r="AA4712" s="6"/>
      <c r="AB4712" s="6"/>
    </row>
    <row r="4713" spans="1:28" x14ac:dyDescent="0.2">
      <c r="A4713" t="s">
        <v>557</v>
      </c>
      <c r="B4713">
        <v>2021</v>
      </c>
      <c r="C4713" t="s">
        <v>826</v>
      </c>
      <c r="D4713" t="s">
        <v>824</v>
      </c>
      <c r="E4713" t="s">
        <v>48</v>
      </c>
      <c r="F4713" t="s">
        <v>558</v>
      </c>
      <c r="G4713">
        <v>48.727499999999999</v>
      </c>
      <c r="H4713">
        <v>-3.9870000000000001</v>
      </c>
      <c r="J4713" s="2" t="s">
        <v>14</v>
      </c>
      <c r="K4713" t="s">
        <v>559</v>
      </c>
      <c r="L4713" t="s">
        <v>143</v>
      </c>
      <c r="M4713" t="s">
        <v>726</v>
      </c>
      <c r="N4713" t="s">
        <v>85</v>
      </c>
      <c r="O4713" s="6" t="s">
        <v>84</v>
      </c>
      <c r="Q4713">
        <v>11</v>
      </c>
      <c r="R4713" t="s">
        <v>214</v>
      </c>
      <c r="S4713" s="2" t="s">
        <v>9</v>
      </c>
      <c r="T4713">
        <v>5</v>
      </c>
      <c r="U4713" t="s">
        <v>28</v>
      </c>
      <c r="V4713" t="s">
        <v>28</v>
      </c>
      <c r="W4713">
        <v>15</v>
      </c>
      <c r="X4713">
        <v>0.53169999999999995</v>
      </c>
      <c r="Y4713">
        <f>0.5663-X4713</f>
        <v>3.4600000000000075E-2</v>
      </c>
      <c r="AA4713" s="6"/>
      <c r="AB4713" s="6"/>
    </row>
    <row r="4714" spans="1:28" x14ac:dyDescent="0.2">
      <c r="A4714" t="s">
        <v>557</v>
      </c>
      <c r="B4714">
        <v>2021</v>
      </c>
      <c r="C4714" t="s">
        <v>826</v>
      </c>
      <c r="D4714" t="s">
        <v>824</v>
      </c>
      <c r="E4714" t="s">
        <v>48</v>
      </c>
      <c r="F4714" t="s">
        <v>558</v>
      </c>
      <c r="G4714">
        <v>48.727499999999999</v>
      </c>
      <c r="H4714">
        <v>-3.9870000000000001</v>
      </c>
      <c r="J4714" s="2" t="s">
        <v>14</v>
      </c>
      <c r="K4714" t="s">
        <v>559</v>
      </c>
      <c r="L4714" t="s">
        <v>143</v>
      </c>
      <c r="M4714" t="s">
        <v>726</v>
      </c>
      <c r="N4714" t="s">
        <v>85</v>
      </c>
      <c r="O4714" s="6" t="s">
        <v>84</v>
      </c>
      <c r="Q4714">
        <v>14</v>
      </c>
      <c r="R4714" t="s">
        <v>214</v>
      </c>
      <c r="S4714" s="2" t="s">
        <v>9</v>
      </c>
      <c r="T4714">
        <v>5</v>
      </c>
      <c r="U4714" t="s">
        <v>28</v>
      </c>
      <c r="V4714" t="s">
        <v>28</v>
      </c>
      <c r="W4714">
        <v>15</v>
      </c>
      <c r="X4714">
        <v>0.52090000000000003</v>
      </c>
      <c r="Y4714">
        <f>0.5358-X4714</f>
        <v>1.4900000000000024E-2</v>
      </c>
      <c r="AA4714" s="6"/>
      <c r="AB4714" s="6"/>
    </row>
    <row r="4715" spans="1:28" x14ac:dyDescent="0.2">
      <c r="A4715" t="s">
        <v>557</v>
      </c>
      <c r="B4715">
        <v>2021</v>
      </c>
      <c r="C4715" t="s">
        <v>826</v>
      </c>
      <c r="D4715" t="s">
        <v>824</v>
      </c>
      <c r="E4715" t="s">
        <v>48</v>
      </c>
      <c r="F4715" t="s">
        <v>558</v>
      </c>
      <c r="G4715">
        <v>48.727499999999999</v>
      </c>
      <c r="H4715">
        <v>-3.9870000000000001</v>
      </c>
      <c r="J4715" s="2" t="s">
        <v>14</v>
      </c>
      <c r="K4715" t="s">
        <v>559</v>
      </c>
      <c r="L4715" t="s">
        <v>143</v>
      </c>
      <c r="M4715" t="s">
        <v>726</v>
      </c>
      <c r="N4715" t="s">
        <v>85</v>
      </c>
      <c r="O4715" s="6" t="s">
        <v>84</v>
      </c>
      <c r="Q4715">
        <v>18</v>
      </c>
      <c r="R4715" t="s">
        <v>213</v>
      </c>
      <c r="S4715" s="2" t="s">
        <v>9</v>
      </c>
      <c r="T4715">
        <v>5</v>
      </c>
      <c r="U4715" t="s">
        <v>28</v>
      </c>
      <c r="V4715" t="s">
        <v>28</v>
      </c>
      <c r="W4715">
        <v>15</v>
      </c>
      <c r="X4715">
        <v>0.57809999999999995</v>
      </c>
      <c r="Y4715">
        <f>0.585-X4715</f>
        <v>6.9000000000000172E-3</v>
      </c>
      <c r="AA4715" s="6"/>
      <c r="AB4715" s="6"/>
    </row>
    <row r="4716" spans="1:28" x14ac:dyDescent="0.2">
      <c r="A4716" t="s">
        <v>557</v>
      </c>
      <c r="B4716">
        <v>2021</v>
      </c>
      <c r="C4716" t="s">
        <v>826</v>
      </c>
      <c r="D4716" t="s">
        <v>824</v>
      </c>
      <c r="E4716" t="s">
        <v>48</v>
      </c>
      <c r="F4716" t="s">
        <v>558</v>
      </c>
      <c r="G4716">
        <v>48.727499999999999</v>
      </c>
      <c r="H4716">
        <v>-3.9870000000000001</v>
      </c>
      <c r="J4716" s="2" t="s">
        <v>7</v>
      </c>
      <c r="K4716" t="s">
        <v>559</v>
      </c>
      <c r="L4716" t="s">
        <v>143</v>
      </c>
      <c r="M4716" t="s">
        <v>553</v>
      </c>
      <c r="N4716" t="s">
        <v>85</v>
      </c>
      <c r="O4716" s="6" t="s">
        <v>61</v>
      </c>
      <c r="P4716" t="s">
        <v>109</v>
      </c>
      <c r="Q4716">
        <v>8</v>
      </c>
      <c r="R4716" t="s">
        <v>214</v>
      </c>
      <c r="S4716" s="2" t="s">
        <v>7</v>
      </c>
      <c r="T4716">
        <v>5</v>
      </c>
      <c r="U4716" t="s">
        <v>28</v>
      </c>
      <c r="V4716" t="s">
        <v>28</v>
      </c>
      <c r="W4716">
        <v>8</v>
      </c>
      <c r="X4716">
        <v>5.601</v>
      </c>
      <c r="Y4716">
        <f>6.024-X4716</f>
        <v>0.42300000000000004</v>
      </c>
      <c r="AA4716" s="6"/>
      <c r="AB4716" s="6"/>
    </row>
    <row r="4717" spans="1:28" x14ac:dyDescent="0.2">
      <c r="A4717" t="s">
        <v>557</v>
      </c>
      <c r="B4717">
        <v>2021</v>
      </c>
      <c r="C4717" t="s">
        <v>826</v>
      </c>
      <c r="D4717" t="s">
        <v>824</v>
      </c>
      <c r="E4717" t="s">
        <v>48</v>
      </c>
      <c r="F4717" t="s">
        <v>558</v>
      </c>
      <c r="G4717">
        <v>48.727499999999999</v>
      </c>
      <c r="H4717">
        <v>-3.9870000000000001</v>
      </c>
      <c r="J4717" s="2" t="s">
        <v>14</v>
      </c>
      <c r="K4717" t="s">
        <v>559</v>
      </c>
      <c r="L4717" t="s">
        <v>143</v>
      </c>
      <c r="M4717" t="s">
        <v>553</v>
      </c>
      <c r="N4717" t="s">
        <v>85</v>
      </c>
      <c r="O4717" s="6" t="s">
        <v>61</v>
      </c>
      <c r="P4717" t="s">
        <v>109</v>
      </c>
      <c r="Q4717">
        <v>8</v>
      </c>
      <c r="R4717" t="s">
        <v>214</v>
      </c>
      <c r="S4717" s="2" t="s">
        <v>9</v>
      </c>
      <c r="T4717">
        <v>5</v>
      </c>
      <c r="U4717" t="s">
        <v>28</v>
      </c>
      <c r="V4717" t="s">
        <v>28</v>
      </c>
      <c r="W4717">
        <v>15</v>
      </c>
      <c r="X4717">
        <v>5.4969999999999999</v>
      </c>
      <c r="Y4717">
        <f>5.773-X4717</f>
        <v>0.2759999999999998</v>
      </c>
      <c r="AA4717" s="6"/>
      <c r="AB4717" s="6"/>
    </row>
    <row r="4718" spans="1:28" x14ac:dyDescent="0.2">
      <c r="A4718" t="s">
        <v>557</v>
      </c>
      <c r="B4718">
        <v>2021</v>
      </c>
      <c r="C4718" t="s">
        <v>826</v>
      </c>
      <c r="D4718" t="s">
        <v>824</v>
      </c>
      <c r="E4718" t="s">
        <v>48</v>
      </c>
      <c r="F4718" t="s">
        <v>558</v>
      </c>
      <c r="G4718">
        <v>48.727499999999999</v>
      </c>
      <c r="H4718">
        <v>-3.9870000000000001</v>
      </c>
      <c r="J4718" s="2" t="s">
        <v>7</v>
      </c>
      <c r="K4718" t="s">
        <v>559</v>
      </c>
      <c r="L4718" t="s">
        <v>143</v>
      </c>
      <c r="M4718" t="s">
        <v>553</v>
      </c>
      <c r="N4718" t="s">
        <v>85</v>
      </c>
      <c r="O4718" s="6" t="s">
        <v>521</v>
      </c>
      <c r="P4718" t="s">
        <v>109</v>
      </c>
      <c r="Q4718">
        <v>8</v>
      </c>
      <c r="R4718" t="s">
        <v>214</v>
      </c>
      <c r="S4718" s="2" t="s">
        <v>7</v>
      </c>
      <c r="T4718">
        <v>5</v>
      </c>
      <c r="U4718" t="s">
        <v>28</v>
      </c>
      <c r="V4718" t="s">
        <v>28</v>
      </c>
      <c r="W4718">
        <v>8</v>
      </c>
      <c r="X4718">
        <v>4.3380000000000001</v>
      </c>
      <c r="Y4718">
        <f>4.668-X4718</f>
        <v>0.33000000000000007</v>
      </c>
      <c r="AA4718" s="6"/>
      <c r="AB4718" s="6"/>
    </row>
    <row r="4719" spans="1:28" x14ac:dyDescent="0.2">
      <c r="A4719" t="s">
        <v>557</v>
      </c>
      <c r="B4719">
        <v>2021</v>
      </c>
      <c r="C4719" t="s">
        <v>826</v>
      </c>
      <c r="D4719" t="s">
        <v>824</v>
      </c>
      <c r="E4719" t="s">
        <v>48</v>
      </c>
      <c r="F4719" t="s">
        <v>558</v>
      </c>
      <c r="G4719">
        <v>48.727499999999999</v>
      </c>
      <c r="H4719">
        <v>-3.9870000000000001</v>
      </c>
      <c r="J4719" s="2" t="s">
        <v>14</v>
      </c>
      <c r="K4719" t="s">
        <v>559</v>
      </c>
      <c r="L4719" t="s">
        <v>143</v>
      </c>
      <c r="M4719" t="s">
        <v>553</v>
      </c>
      <c r="N4719" t="s">
        <v>85</v>
      </c>
      <c r="O4719" s="6" t="s">
        <v>521</v>
      </c>
      <c r="P4719" t="s">
        <v>109</v>
      </c>
      <c r="Q4719">
        <v>8</v>
      </c>
      <c r="R4719" t="s">
        <v>214</v>
      </c>
      <c r="S4719" s="2" t="s">
        <v>9</v>
      </c>
      <c r="T4719">
        <v>5</v>
      </c>
      <c r="U4719" t="s">
        <v>28</v>
      </c>
      <c r="V4719" t="s">
        <v>28</v>
      </c>
      <c r="W4719">
        <v>15</v>
      </c>
      <c r="X4719">
        <v>4.319</v>
      </c>
      <c r="Y4719">
        <f>4.526-X4719</f>
        <v>0.20699999999999985</v>
      </c>
      <c r="AA4719" s="6"/>
      <c r="AB4719" s="6"/>
    </row>
    <row r="4720" spans="1:28" x14ac:dyDescent="0.2">
      <c r="A4720" t="s">
        <v>557</v>
      </c>
      <c r="B4720">
        <v>2021</v>
      </c>
      <c r="C4720" t="s">
        <v>826</v>
      </c>
      <c r="D4720" t="s">
        <v>824</v>
      </c>
      <c r="E4720" t="s">
        <v>48</v>
      </c>
      <c r="F4720" t="s">
        <v>558</v>
      </c>
      <c r="G4720">
        <v>48.727499999999999</v>
      </c>
      <c r="H4720">
        <v>-3.9870000000000001</v>
      </c>
      <c r="J4720" s="2" t="s">
        <v>7</v>
      </c>
      <c r="K4720" t="s">
        <v>559</v>
      </c>
      <c r="L4720" t="s">
        <v>143</v>
      </c>
      <c r="M4720" t="s">
        <v>553</v>
      </c>
      <c r="N4720" t="s">
        <v>85</v>
      </c>
      <c r="O4720" s="6" t="s">
        <v>363</v>
      </c>
      <c r="P4720" t="s">
        <v>109</v>
      </c>
      <c r="Q4720">
        <v>8</v>
      </c>
      <c r="R4720" t="s">
        <v>214</v>
      </c>
      <c r="S4720" s="2" t="s">
        <v>7</v>
      </c>
      <c r="T4720">
        <v>5</v>
      </c>
      <c r="U4720" t="s">
        <v>28</v>
      </c>
      <c r="V4720" t="s">
        <v>28</v>
      </c>
      <c r="W4720">
        <v>8</v>
      </c>
      <c r="X4720">
        <v>0.2828</v>
      </c>
      <c r="Y4720">
        <f>0.2923-X4720</f>
        <v>9.5000000000000084E-3</v>
      </c>
      <c r="AA4720" s="6"/>
      <c r="AB4720" s="6"/>
    </row>
    <row r="4721" spans="1:28" x14ac:dyDescent="0.2">
      <c r="A4721" t="s">
        <v>557</v>
      </c>
      <c r="B4721">
        <v>2021</v>
      </c>
      <c r="C4721" t="s">
        <v>826</v>
      </c>
      <c r="D4721" t="s">
        <v>824</v>
      </c>
      <c r="E4721" t="s">
        <v>48</v>
      </c>
      <c r="F4721" t="s">
        <v>558</v>
      </c>
      <c r="G4721">
        <v>48.727499999999999</v>
      </c>
      <c r="H4721">
        <v>-3.9870000000000001</v>
      </c>
      <c r="J4721" s="2" t="s">
        <v>14</v>
      </c>
      <c r="K4721" t="s">
        <v>559</v>
      </c>
      <c r="L4721" t="s">
        <v>143</v>
      </c>
      <c r="M4721" t="s">
        <v>553</v>
      </c>
      <c r="N4721" t="s">
        <v>85</v>
      </c>
      <c r="O4721" s="6" t="s">
        <v>363</v>
      </c>
      <c r="P4721" t="s">
        <v>109</v>
      </c>
      <c r="Q4721">
        <v>8</v>
      </c>
      <c r="R4721" t="s">
        <v>214</v>
      </c>
      <c r="S4721" s="2" t="s">
        <v>9</v>
      </c>
      <c r="T4721">
        <v>5</v>
      </c>
      <c r="U4721" t="s">
        <v>28</v>
      </c>
      <c r="V4721" t="s">
        <v>28</v>
      </c>
      <c r="W4721">
        <v>15</v>
      </c>
      <c r="X4721">
        <v>0.27239999999999998</v>
      </c>
      <c r="Y4721">
        <f>0.2845-X4721</f>
        <v>1.21E-2</v>
      </c>
      <c r="AA4721" s="6"/>
      <c r="AB4721" s="6"/>
    </row>
    <row r="4722" spans="1:28" x14ac:dyDescent="0.2">
      <c r="A4722" t="s">
        <v>557</v>
      </c>
      <c r="B4722">
        <v>2021</v>
      </c>
      <c r="C4722" t="s">
        <v>826</v>
      </c>
      <c r="D4722" t="s">
        <v>824</v>
      </c>
      <c r="E4722" t="s">
        <v>48</v>
      </c>
      <c r="F4722" t="s">
        <v>558</v>
      </c>
      <c r="G4722">
        <v>48.727499999999999</v>
      </c>
      <c r="H4722">
        <v>-3.9870000000000001</v>
      </c>
      <c r="J4722" s="2" t="s">
        <v>7</v>
      </c>
      <c r="K4722" t="s">
        <v>559</v>
      </c>
      <c r="L4722" t="s">
        <v>143</v>
      </c>
      <c r="M4722" t="s">
        <v>553</v>
      </c>
      <c r="N4722" t="s">
        <v>85</v>
      </c>
      <c r="O4722" s="6" t="s">
        <v>364</v>
      </c>
      <c r="Q4722">
        <v>8</v>
      </c>
      <c r="R4722" t="s">
        <v>214</v>
      </c>
      <c r="S4722" s="2" t="s">
        <v>7</v>
      </c>
      <c r="T4722">
        <v>5</v>
      </c>
      <c r="U4722" t="s">
        <v>28</v>
      </c>
      <c r="V4722" t="s">
        <v>28</v>
      </c>
      <c r="W4722">
        <v>8</v>
      </c>
      <c r="X4722">
        <v>2.5950000000000001E-2</v>
      </c>
      <c r="Y4722">
        <f>0.03003-X4722</f>
        <v>4.0800000000000003E-3</v>
      </c>
      <c r="AA4722" s="6"/>
      <c r="AB4722" s="6"/>
    </row>
    <row r="4723" spans="1:28" x14ac:dyDescent="0.2">
      <c r="A4723" t="s">
        <v>557</v>
      </c>
      <c r="B4723">
        <v>2021</v>
      </c>
      <c r="C4723" t="s">
        <v>826</v>
      </c>
      <c r="D4723" t="s">
        <v>824</v>
      </c>
      <c r="E4723" t="s">
        <v>48</v>
      </c>
      <c r="F4723" t="s">
        <v>558</v>
      </c>
      <c r="G4723">
        <v>48.727499999999999</v>
      </c>
      <c r="H4723">
        <v>-3.9870000000000001</v>
      </c>
      <c r="J4723" s="2" t="s">
        <v>14</v>
      </c>
      <c r="K4723" t="s">
        <v>559</v>
      </c>
      <c r="L4723" t="s">
        <v>143</v>
      </c>
      <c r="M4723" t="s">
        <v>553</v>
      </c>
      <c r="N4723" t="s">
        <v>85</v>
      </c>
      <c r="O4723" s="6" t="s">
        <v>364</v>
      </c>
      <c r="Q4723">
        <v>8</v>
      </c>
      <c r="R4723" t="s">
        <v>214</v>
      </c>
      <c r="S4723" s="2" t="s">
        <v>9</v>
      </c>
      <c r="T4723">
        <v>5</v>
      </c>
      <c r="U4723" t="s">
        <v>28</v>
      </c>
      <c r="V4723" t="s">
        <v>28</v>
      </c>
      <c r="W4723">
        <v>15</v>
      </c>
      <c r="X4723">
        <v>1.1939999999999999E-2</v>
      </c>
      <c r="Y4723">
        <f>0.01401-X4723</f>
        <v>2.0700000000000007E-3</v>
      </c>
      <c r="AA4723" s="6"/>
      <c r="AB4723" s="6"/>
    </row>
    <row r="4724" spans="1:28" x14ac:dyDescent="0.2">
      <c r="A4724" t="s">
        <v>557</v>
      </c>
      <c r="B4724">
        <v>2021</v>
      </c>
      <c r="C4724" t="s">
        <v>826</v>
      </c>
      <c r="D4724" t="s">
        <v>824</v>
      </c>
      <c r="E4724" t="s">
        <v>48</v>
      </c>
      <c r="F4724" t="s">
        <v>558</v>
      </c>
      <c r="G4724">
        <v>48.727499999999999</v>
      </c>
      <c r="H4724">
        <v>-3.9870000000000001</v>
      </c>
      <c r="J4724" s="2" t="s">
        <v>7</v>
      </c>
      <c r="K4724" t="s">
        <v>559</v>
      </c>
      <c r="L4724" t="s">
        <v>143</v>
      </c>
      <c r="M4724" t="s">
        <v>553</v>
      </c>
      <c r="N4724" t="s">
        <v>85</v>
      </c>
      <c r="O4724" s="6" t="s">
        <v>61</v>
      </c>
      <c r="P4724" t="s">
        <v>109</v>
      </c>
      <c r="Q4724">
        <v>18</v>
      </c>
      <c r="R4724" t="s">
        <v>213</v>
      </c>
      <c r="S4724" s="2" t="s">
        <v>7</v>
      </c>
      <c r="T4724">
        <v>5</v>
      </c>
      <c r="U4724" t="s">
        <v>28</v>
      </c>
      <c r="V4724" t="s">
        <v>28</v>
      </c>
      <c r="W4724">
        <v>8</v>
      </c>
      <c r="X4724">
        <v>4.8159999999999998</v>
      </c>
      <c r="Y4724">
        <f>5.58-X4724</f>
        <v>0.76400000000000023</v>
      </c>
      <c r="AA4724" s="6"/>
      <c r="AB4724" s="6"/>
    </row>
    <row r="4725" spans="1:28" x14ac:dyDescent="0.2">
      <c r="A4725" t="s">
        <v>557</v>
      </c>
      <c r="B4725">
        <v>2021</v>
      </c>
      <c r="C4725" t="s">
        <v>826</v>
      </c>
      <c r="D4725" t="s">
        <v>824</v>
      </c>
      <c r="E4725" t="s">
        <v>48</v>
      </c>
      <c r="F4725" t="s">
        <v>558</v>
      </c>
      <c r="G4725">
        <v>48.727499999999999</v>
      </c>
      <c r="H4725">
        <v>-3.9870000000000001</v>
      </c>
      <c r="J4725" s="2" t="s">
        <v>14</v>
      </c>
      <c r="K4725" t="s">
        <v>559</v>
      </c>
      <c r="L4725" t="s">
        <v>143</v>
      </c>
      <c r="M4725" t="s">
        <v>553</v>
      </c>
      <c r="N4725" t="s">
        <v>85</v>
      </c>
      <c r="O4725" s="6" t="s">
        <v>61</v>
      </c>
      <c r="P4725" t="s">
        <v>109</v>
      </c>
      <c r="Q4725">
        <v>18</v>
      </c>
      <c r="R4725" t="s">
        <v>213</v>
      </c>
      <c r="S4725" s="2" t="s">
        <v>9</v>
      </c>
      <c r="T4725">
        <v>5</v>
      </c>
      <c r="U4725" t="s">
        <v>28</v>
      </c>
      <c r="V4725" t="s">
        <v>28</v>
      </c>
      <c r="W4725">
        <v>15</v>
      </c>
      <c r="X4725">
        <v>4.4109999999999996</v>
      </c>
      <c r="Y4725">
        <f>4.747-X4725</f>
        <v>0.3360000000000003</v>
      </c>
      <c r="AA4725" s="6"/>
      <c r="AB4725" s="6"/>
    </row>
    <row r="4726" spans="1:28" x14ac:dyDescent="0.2">
      <c r="A4726" t="s">
        <v>557</v>
      </c>
      <c r="B4726">
        <v>2021</v>
      </c>
      <c r="C4726" t="s">
        <v>826</v>
      </c>
      <c r="D4726" t="s">
        <v>824</v>
      </c>
      <c r="E4726" t="s">
        <v>48</v>
      </c>
      <c r="F4726" t="s">
        <v>558</v>
      </c>
      <c r="G4726">
        <v>48.727499999999999</v>
      </c>
      <c r="H4726">
        <v>-3.9870000000000001</v>
      </c>
      <c r="J4726" s="2" t="s">
        <v>7</v>
      </c>
      <c r="K4726" t="s">
        <v>559</v>
      </c>
      <c r="L4726" t="s">
        <v>143</v>
      </c>
      <c r="M4726" t="s">
        <v>553</v>
      </c>
      <c r="N4726" t="s">
        <v>85</v>
      </c>
      <c r="O4726" s="6" t="s">
        <v>521</v>
      </c>
      <c r="P4726" t="s">
        <v>109</v>
      </c>
      <c r="Q4726">
        <v>18</v>
      </c>
      <c r="R4726" t="s">
        <v>213</v>
      </c>
      <c r="S4726" s="2" t="s">
        <v>7</v>
      </c>
      <c r="T4726">
        <v>5</v>
      </c>
      <c r="U4726" t="s">
        <v>28</v>
      </c>
      <c r="V4726" t="s">
        <v>28</v>
      </c>
      <c r="W4726">
        <v>8</v>
      </c>
      <c r="X4726">
        <v>3.4220000000000002</v>
      </c>
      <c r="Y4726">
        <f>3.936-X4726</f>
        <v>0.51399999999999979</v>
      </c>
      <c r="AA4726" s="6"/>
      <c r="AB4726" s="6"/>
    </row>
    <row r="4727" spans="1:28" x14ac:dyDescent="0.2">
      <c r="A4727" t="s">
        <v>557</v>
      </c>
      <c r="B4727">
        <v>2021</v>
      </c>
      <c r="C4727" t="s">
        <v>826</v>
      </c>
      <c r="D4727" t="s">
        <v>824</v>
      </c>
      <c r="E4727" t="s">
        <v>48</v>
      </c>
      <c r="F4727" t="s">
        <v>558</v>
      </c>
      <c r="G4727">
        <v>48.727499999999999</v>
      </c>
      <c r="H4727">
        <v>-3.9870000000000001</v>
      </c>
      <c r="J4727" s="2" t="s">
        <v>14</v>
      </c>
      <c r="K4727" t="s">
        <v>559</v>
      </c>
      <c r="L4727" t="s">
        <v>143</v>
      </c>
      <c r="M4727" t="s">
        <v>553</v>
      </c>
      <c r="N4727" t="s">
        <v>85</v>
      </c>
      <c r="O4727" s="6" t="s">
        <v>521</v>
      </c>
      <c r="P4727" t="s">
        <v>109</v>
      </c>
      <c r="Q4727">
        <v>18</v>
      </c>
      <c r="R4727" t="s">
        <v>213</v>
      </c>
      <c r="S4727" s="2" t="s">
        <v>9</v>
      </c>
      <c r="T4727">
        <v>5</v>
      </c>
      <c r="U4727" t="s">
        <v>28</v>
      </c>
      <c r="V4727" t="s">
        <v>28</v>
      </c>
      <c r="W4727">
        <v>15</v>
      </c>
      <c r="X4727">
        <v>4.1539999999999999</v>
      </c>
      <c r="Y4727">
        <f>4.537-X4727</f>
        <v>0.38300000000000001</v>
      </c>
      <c r="AA4727" s="6"/>
      <c r="AB4727" s="6"/>
    </row>
    <row r="4728" spans="1:28" x14ac:dyDescent="0.2">
      <c r="A4728" t="s">
        <v>557</v>
      </c>
      <c r="B4728">
        <v>2021</v>
      </c>
      <c r="C4728" t="s">
        <v>826</v>
      </c>
      <c r="D4728" t="s">
        <v>824</v>
      </c>
      <c r="E4728" t="s">
        <v>48</v>
      </c>
      <c r="F4728" t="s">
        <v>558</v>
      </c>
      <c r="G4728">
        <v>48.727499999999999</v>
      </c>
      <c r="H4728">
        <v>-3.9870000000000001</v>
      </c>
      <c r="J4728" s="2" t="s">
        <v>7</v>
      </c>
      <c r="K4728" t="s">
        <v>559</v>
      </c>
      <c r="L4728" t="s">
        <v>143</v>
      </c>
      <c r="M4728" t="s">
        <v>553</v>
      </c>
      <c r="N4728" t="s">
        <v>85</v>
      </c>
      <c r="O4728" s="6" t="s">
        <v>363</v>
      </c>
      <c r="P4728" t="s">
        <v>109</v>
      </c>
      <c r="Q4728">
        <v>18</v>
      </c>
      <c r="R4728" t="s">
        <v>213</v>
      </c>
      <c r="S4728" s="2" t="s">
        <v>7</v>
      </c>
      <c r="T4728">
        <v>5</v>
      </c>
      <c r="U4728" t="s">
        <v>28</v>
      </c>
      <c r="V4728" t="s">
        <v>28</v>
      </c>
      <c r="W4728">
        <v>8</v>
      </c>
      <c r="X4728">
        <v>0.23730000000000001</v>
      </c>
      <c r="Y4728">
        <f>0.2721-X4728</f>
        <v>3.4799999999999998E-2</v>
      </c>
      <c r="AA4728" s="6"/>
      <c r="AB4728" s="6"/>
    </row>
    <row r="4729" spans="1:28" x14ac:dyDescent="0.2">
      <c r="A4729" t="s">
        <v>557</v>
      </c>
      <c r="B4729">
        <v>2021</v>
      </c>
      <c r="C4729" t="s">
        <v>826</v>
      </c>
      <c r="D4729" t="s">
        <v>824</v>
      </c>
      <c r="E4729" t="s">
        <v>48</v>
      </c>
      <c r="F4729" t="s">
        <v>558</v>
      </c>
      <c r="G4729">
        <v>48.727499999999999</v>
      </c>
      <c r="H4729">
        <v>-3.9870000000000001</v>
      </c>
      <c r="J4729" s="2" t="s">
        <v>14</v>
      </c>
      <c r="K4729" t="s">
        <v>559</v>
      </c>
      <c r="L4729" t="s">
        <v>143</v>
      </c>
      <c r="M4729" t="s">
        <v>553</v>
      </c>
      <c r="N4729" t="s">
        <v>85</v>
      </c>
      <c r="O4729" s="6" t="s">
        <v>363</v>
      </c>
      <c r="P4729" t="s">
        <v>109</v>
      </c>
      <c r="Q4729">
        <v>18</v>
      </c>
      <c r="R4729" t="s">
        <v>213</v>
      </c>
      <c r="S4729" s="2" t="s">
        <v>9</v>
      </c>
      <c r="T4729">
        <v>5</v>
      </c>
      <c r="U4729" t="s">
        <v>28</v>
      </c>
      <c r="V4729" t="s">
        <v>28</v>
      </c>
      <c r="W4729">
        <v>15</v>
      </c>
      <c r="X4729">
        <v>0.18060000000000001</v>
      </c>
      <c r="Y4729">
        <f>0.2107-X4729</f>
        <v>3.0099999999999988E-2</v>
      </c>
      <c r="AA4729" s="6"/>
      <c r="AB4729" s="6"/>
    </row>
    <row r="4730" spans="1:28" x14ac:dyDescent="0.2">
      <c r="A4730" t="s">
        <v>557</v>
      </c>
      <c r="B4730">
        <v>2021</v>
      </c>
      <c r="C4730" t="s">
        <v>826</v>
      </c>
      <c r="D4730" t="s">
        <v>824</v>
      </c>
      <c r="E4730" t="s">
        <v>48</v>
      </c>
      <c r="F4730" t="s">
        <v>558</v>
      </c>
      <c r="G4730">
        <v>48.727499999999999</v>
      </c>
      <c r="H4730">
        <v>-3.9870000000000001</v>
      </c>
      <c r="J4730" s="2" t="s">
        <v>7</v>
      </c>
      <c r="K4730" t="s">
        <v>559</v>
      </c>
      <c r="L4730" t="s">
        <v>143</v>
      </c>
      <c r="M4730" t="s">
        <v>553</v>
      </c>
      <c r="N4730" t="s">
        <v>85</v>
      </c>
      <c r="O4730" s="6" t="s">
        <v>364</v>
      </c>
      <c r="Q4730">
        <v>18</v>
      </c>
      <c r="R4730" t="s">
        <v>213</v>
      </c>
      <c r="S4730" s="2" t="s">
        <v>7</v>
      </c>
      <c r="T4730">
        <v>5</v>
      </c>
      <c r="U4730" t="s">
        <v>28</v>
      </c>
      <c r="V4730" t="s">
        <v>28</v>
      </c>
      <c r="W4730">
        <v>8</v>
      </c>
      <c r="X4730">
        <v>0.14180000000000001</v>
      </c>
      <c r="Y4730">
        <f>0.1688-X4730</f>
        <v>2.6999999999999996E-2</v>
      </c>
      <c r="AA4730" s="6"/>
      <c r="AB4730" s="6"/>
    </row>
    <row r="4731" spans="1:28" x14ac:dyDescent="0.2">
      <c r="A4731" t="s">
        <v>557</v>
      </c>
      <c r="B4731">
        <v>2021</v>
      </c>
      <c r="C4731" t="s">
        <v>826</v>
      </c>
      <c r="D4731" t="s">
        <v>824</v>
      </c>
      <c r="E4731" t="s">
        <v>48</v>
      </c>
      <c r="F4731" t="s">
        <v>558</v>
      </c>
      <c r="G4731">
        <v>48.727499999999999</v>
      </c>
      <c r="H4731">
        <v>-3.9870000000000001</v>
      </c>
      <c r="J4731" s="2" t="s">
        <v>14</v>
      </c>
      <c r="K4731" t="s">
        <v>559</v>
      </c>
      <c r="L4731" t="s">
        <v>143</v>
      </c>
      <c r="M4731" t="s">
        <v>553</v>
      </c>
      <c r="N4731" t="s">
        <v>85</v>
      </c>
      <c r="O4731" s="6" t="s">
        <v>364</v>
      </c>
      <c r="Q4731">
        <v>18</v>
      </c>
      <c r="R4731" t="s">
        <v>213</v>
      </c>
      <c r="S4731" s="2" t="s">
        <v>9</v>
      </c>
      <c r="T4731">
        <v>5</v>
      </c>
      <c r="U4731" t="s">
        <v>28</v>
      </c>
      <c r="V4731" t="s">
        <v>28</v>
      </c>
      <c r="W4731">
        <v>15</v>
      </c>
      <c r="X4731">
        <v>7.1400000000000005E-2</v>
      </c>
      <c r="Y4731">
        <f>0.1205-X4731</f>
        <v>4.9099999999999991E-2</v>
      </c>
      <c r="AA4731" s="6"/>
      <c r="AB4731" s="6"/>
    </row>
    <row r="4732" spans="1:28" x14ac:dyDescent="0.2">
      <c r="A4732" t="s">
        <v>557</v>
      </c>
      <c r="B4732">
        <v>2021</v>
      </c>
      <c r="C4732" t="s">
        <v>826</v>
      </c>
      <c r="D4732" t="s">
        <v>824</v>
      </c>
      <c r="E4732" t="s">
        <v>48</v>
      </c>
      <c r="F4732" t="s">
        <v>558</v>
      </c>
      <c r="G4732">
        <v>48.727499999999999</v>
      </c>
      <c r="H4732">
        <v>-3.9870000000000001</v>
      </c>
      <c r="J4732" s="2" t="s">
        <v>7</v>
      </c>
      <c r="K4732" t="s">
        <v>559</v>
      </c>
      <c r="L4732" t="s">
        <v>143</v>
      </c>
      <c r="M4732" t="s">
        <v>638</v>
      </c>
      <c r="N4732" t="s">
        <v>86</v>
      </c>
      <c r="O4732" s="6" t="s">
        <v>249</v>
      </c>
      <c r="P4732" t="s">
        <v>147</v>
      </c>
      <c r="Q4732">
        <v>8</v>
      </c>
      <c r="R4732" t="s">
        <v>214</v>
      </c>
      <c r="S4732" s="2" t="s">
        <v>7</v>
      </c>
      <c r="T4732">
        <v>3</v>
      </c>
      <c r="U4732" t="s">
        <v>28</v>
      </c>
      <c r="V4732" t="s">
        <v>28</v>
      </c>
      <c r="W4732">
        <v>8</v>
      </c>
      <c r="X4732">
        <v>57.73</v>
      </c>
      <c r="Y4732">
        <f>60.72-X4732</f>
        <v>2.990000000000002</v>
      </c>
      <c r="AA4732" s="6"/>
      <c r="AB4732" s="6"/>
    </row>
    <row r="4733" spans="1:28" x14ac:dyDescent="0.2">
      <c r="A4733" t="s">
        <v>557</v>
      </c>
      <c r="B4733">
        <v>2021</v>
      </c>
      <c r="C4733" t="s">
        <v>826</v>
      </c>
      <c r="D4733" t="s">
        <v>824</v>
      </c>
      <c r="E4733" t="s">
        <v>48</v>
      </c>
      <c r="F4733" t="s">
        <v>558</v>
      </c>
      <c r="G4733">
        <v>48.727499999999999</v>
      </c>
      <c r="H4733">
        <v>-3.9870000000000001</v>
      </c>
      <c r="J4733" s="2" t="s">
        <v>14</v>
      </c>
      <c r="K4733" t="s">
        <v>559</v>
      </c>
      <c r="L4733" t="s">
        <v>143</v>
      </c>
      <c r="M4733" t="s">
        <v>638</v>
      </c>
      <c r="N4733" t="s">
        <v>86</v>
      </c>
      <c r="O4733" s="6" t="s">
        <v>249</v>
      </c>
      <c r="P4733" t="s">
        <v>147</v>
      </c>
      <c r="Q4733">
        <v>8</v>
      </c>
      <c r="R4733" t="s">
        <v>214</v>
      </c>
      <c r="S4733" s="2" t="s">
        <v>9</v>
      </c>
      <c r="T4733">
        <v>3</v>
      </c>
      <c r="U4733" t="s">
        <v>28</v>
      </c>
      <c r="V4733" t="s">
        <v>28</v>
      </c>
      <c r="W4733">
        <v>15</v>
      </c>
      <c r="X4733">
        <v>41.86</v>
      </c>
      <c r="Y4733">
        <f>45.31-X4733</f>
        <v>3.4500000000000028</v>
      </c>
      <c r="AA4733" s="6"/>
      <c r="AB4733" s="6"/>
    </row>
    <row r="4734" spans="1:28" x14ac:dyDescent="0.2">
      <c r="A4734" t="s">
        <v>557</v>
      </c>
      <c r="B4734">
        <v>2021</v>
      </c>
      <c r="C4734" t="s">
        <v>826</v>
      </c>
      <c r="D4734" t="s">
        <v>824</v>
      </c>
      <c r="E4734" t="s">
        <v>48</v>
      </c>
      <c r="F4734" t="s">
        <v>558</v>
      </c>
      <c r="G4734">
        <v>48.727499999999999</v>
      </c>
      <c r="H4734">
        <v>-3.9870000000000001</v>
      </c>
      <c r="J4734" s="2" t="s">
        <v>7</v>
      </c>
      <c r="K4734" t="s">
        <v>559</v>
      </c>
      <c r="L4734" t="s">
        <v>143</v>
      </c>
      <c r="M4734" t="s">
        <v>638</v>
      </c>
      <c r="N4734" t="s">
        <v>86</v>
      </c>
      <c r="O4734" s="6" t="s">
        <v>249</v>
      </c>
      <c r="P4734" t="s">
        <v>147</v>
      </c>
      <c r="Q4734">
        <v>11</v>
      </c>
      <c r="R4734" t="s">
        <v>214</v>
      </c>
      <c r="S4734" s="2" t="s">
        <v>7</v>
      </c>
      <c r="T4734">
        <v>3</v>
      </c>
      <c r="U4734" t="s">
        <v>28</v>
      </c>
      <c r="V4734" t="s">
        <v>28</v>
      </c>
      <c r="W4734">
        <v>8</v>
      </c>
      <c r="X4734">
        <v>26.22</v>
      </c>
      <c r="Y4734">
        <f>28.52-X4734</f>
        <v>2.3000000000000007</v>
      </c>
      <c r="AA4734" s="6"/>
      <c r="AB4734" s="6"/>
    </row>
    <row r="4735" spans="1:28" x14ac:dyDescent="0.2">
      <c r="A4735" t="s">
        <v>557</v>
      </c>
      <c r="B4735">
        <v>2021</v>
      </c>
      <c r="C4735" t="s">
        <v>826</v>
      </c>
      <c r="D4735" t="s">
        <v>824</v>
      </c>
      <c r="E4735" t="s">
        <v>48</v>
      </c>
      <c r="F4735" t="s">
        <v>558</v>
      </c>
      <c r="G4735">
        <v>48.727499999999999</v>
      </c>
      <c r="H4735">
        <v>-3.9870000000000001</v>
      </c>
      <c r="J4735" s="2" t="s">
        <v>14</v>
      </c>
      <c r="K4735" t="s">
        <v>559</v>
      </c>
      <c r="L4735" t="s">
        <v>143</v>
      </c>
      <c r="M4735" t="s">
        <v>638</v>
      </c>
      <c r="N4735" t="s">
        <v>86</v>
      </c>
      <c r="O4735" s="6" t="s">
        <v>249</v>
      </c>
      <c r="P4735" t="s">
        <v>147</v>
      </c>
      <c r="Q4735">
        <v>11</v>
      </c>
      <c r="R4735" t="s">
        <v>214</v>
      </c>
      <c r="S4735" s="2" t="s">
        <v>9</v>
      </c>
      <c r="T4735">
        <v>3</v>
      </c>
      <c r="U4735" t="s">
        <v>28</v>
      </c>
      <c r="V4735" t="s">
        <v>28</v>
      </c>
      <c r="W4735">
        <v>15</v>
      </c>
      <c r="X4735">
        <v>37.49</v>
      </c>
      <c r="Y4735">
        <f>38.87-X4735</f>
        <v>1.3799999999999955</v>
      </c>
      <c r="AA4735" s="6"/>
      <c r="AB4735" s="6"/>
    </row>
    <row r="4736" spans="1:28" x14ac:dyDescent="0.2">
      <c r="A4736" t="s">
        <v>557</v>
      </c>
      <c r="B4736">
        <v>2021</v>
      </c>
      <c r="C4736" t="s">
        <v>826</v>
      </c>
      <c r="D4736" t="s">
        <v>824</v>
      </c>
      <c r="E4736" t="s">
        <v>48</v>
      </c>
      <c r="F4736" t="s">
        <v>558</v>
      </c>
      <c r="G4736">
        <v>48.727499999999999</v>
      </c>
      <c r="H4736">
        <v>-3.9870000000000001</v>
      </c>
      <c r="J4736" s="2" t="s">
        <v>7</v>
      </c>
      <c r="K4736" t="s">
        <v>559</v>
      </c>
      <c r="L4736" t="s">
        <v>143</v>
      </c>
      <c r="M4736" t="s">
        <v>638</v>
      </c>
      <c r="N4736" t="s">
        <v>86</v>
      </c>
      <c r="O4736" s="6" t="s">
        <v>249</v>
      </c>
      <c r="P4736" t="s">
        <v>147</v>
      </c>
      <c r="Q4736">
        <v>18</v>
      </c>
      <c r="R4736" t="s">
        <v>213</v>
      </c>
      <c r="S4736" s="2" t="s">
        <v>7</v>
      </c>
      <c r="T4736">
        <v>3</v>
      </c>
      <c r="U4736" t="s">
        <v>28</v>
      </c>
      <c r="V4736" t="s">
        <v>28</v>
      </c>
      <c r="W4736">
        <v>8</v>
      </c>
      <c r="X4736">
        <v>27.83</v>
      </c>
      <c r="Y4736">
        <f>29.44-X4736</f>
        <v>1.610000000000003</v>
      </c>
      <c r="AA4736" s="6"/>
      <c r="AB4736" s="6"/>
    </row>
    <row r="4737" spans="1:28" x14ac:dyDescent="0.2">
      <c r="A4737" t="s">
        <v>557</v>
      </c>
      <c r="B4737">
        <v>2021</v>
      </c>
      <c r="C4737" t="s">
        <v>826</v>
      </c>
      <c r="D4737" t="s">
        <v>824</v>
      </c>
      <c r="E4737" t="s">
        <v>48</v>
      </c>
      <c r="F4737" t="s">
        <v>558</v>
      </c>
      <c r="G4737">
        <v>48.727499999999999</v>
      </c>
      <c r="H4737">
        <v>-3.9870000000000001</v>
      </c>
      <c r="J4737" s="2" t="s">
        <v>14</v>
      </c>
      <c r="K4737" t="s">
        <v>559</v>
      </c>
      <c r="L4737" t="s">
        <v>143</v>
      </c>
      <c r="M4737" t="s">
        <v>638</v>
      </c>
      <c r="N4737" t="s">
        <v>86</v>
      </c>
      <c r="O4737" s="6" t="s">
        <v>249</v>
      </c>
      <c r="P4737" t="s">
        <v>147</v>
      </c>
      <c r="Q4737">
        <v>18</v>
      </c>
      <c r="R4737" t="s">
        <v>213</v>
      </c>
      <c r="S4737" s="2" t="s">
        <v>9</v>
      </c>
      <c r="T4737">
        <v>3</v>
      </c>
      <c r="U4737" t="s">
        <v>28</v>
      </c>
      <c r="V4737" t="s">
        <v>28</v>
      </c>
      <c r="W4737">
        <v>15</v>
      </c>
      <c r="X4737">
        <v>42.32</v>
      </c>
      <c r="Y4737">
        <f>44.16-X4737</f>
        <v>1.8399999999999963</v>
      </c>
      <c r="AA4737" s="6"/>
      <c r="AB4737" s="6"/>
    </row>
    <row r="4738" spans="1:28" x14ac:dyDescent="0.2">
      <c r="A4738" t="s">
        <v>557</v>
      </c>
      <c r="B4738">
        <v>2021</v>
      </c>
      <c r="C4738" t="s">
        <v>826</v>
      </c>
      <c r="D4738" t="s">
        <v>824</v>
      </c>
      <c r="E4738" t="s">
        <v>48</v>
      </c>
      <c r="F4738" t="s">
        <v>558</v>
      </c>
      <c r="G4738">
        <v>48.727499999999999</v>
      </c>
      <c r="H4738">
        <v>-3.9870000000000001</v>
      </c>
      <c r="J4738" s="2" t="s">
        <v>7</v>
      </c>
      <c r="K4738" t="s">
        <v>559</v>
      </c>
      <c r="L4738" t="s">
        <v>143</v>
      </c>
      <c r="M4738" t="s">
        <v>638</v>
      </c>
      <c r="N4738" t="s">
        <v>86</v>
      </c>
      <c r="O4738" s="6" t="s">
        <v>272</v>
      </c>
      <c r="Q4738">
        <v>8</v>
      </c>
      <c r="R4738" t="s">
        <v>214</v>
      </c>
      <c r="S4738" s="2" t="s">
        <v>7</v>
      </c>
      <c r="T4738">
        <v>4</v>
      </c>
      <c r="U4738" t="s">
        <v>28</v>
      </c>
      <c r="V4738" t="s">
        <v>28</v>
      </c>
      <c r="W4738">
        <v>8</v>
      </c>
      <c r="X4738">
        <v>5.891</v>
      </c>
      <c r="Y4738">
        <f>6.041-X4738</f>
        <v>0.15000000000000036</v>
      </c>
      <c r="AA4738" s="6"/>
      <c r="AB4738" s="6"/>
    </row>
    <row r="4739" spans="1:28" x14ac:dyDescent="0.2">
      <c r="A4739" t="s">
        <v>557</v>
      </c>
      <c r="B4739">
        <v>2021</v>
      </c>
      <c r="C4739" t="s">
        <v>826</v>
      </c>
      <c r="D4739" t="s">
        <v>824</v>
      </c>
      <c r="E4739" t="s">
        <v>48</v>
      </c>
      <c r="F4739" t="s">
        <v>558</v>
      </c>
      <c r="G4739">
        <v>48.727499999999999</v>
      </c>
      <c r="H4739">
        <v>-3.9870000000000001</v>
      </c>
      <c r="J4739" s="2" t="s">
        <v>14</v>
      </c>
      <c r="K4739" t="s">
        <v>559</v>
      </c>
      <c r="L4739" t="s">
        <v>143</v>
      </c>
      <c r="M4739" t="s">
        <v>638</v>
      </c>
      <c r="N4739" t="s">
        <v>86</v>
      </c>
      <c r="O4739" s="6" t="s">
        <v>272</v>
      </c>
      <c r="Q4739">
        <v>8</v>
      </c>
      <c r="R4739" t="s">
        <v>214</v>
      </c>
      <c r="S4739" s="2" t="s">
        <v>9</v>
      </c>
      <c r="T4739">
        <v>4</v>
      </c>
      <c r="U4739" t="s">
        <v>28</v>
      </c>
      <c r="V4739" t="s">
        <v>28</v>
      </c>
      <c r="W4739">
        <v>15</v>
      </c>
      <c r="X4739">
        <v>6.5060000000000002</v>
      </c>
      <c r="Y4739">
        <f>6.672-X4739</f>
        <v>0.16599999999999948</v>
      </c>
      <c r="AA4739" s="6"/>
      <c r="AB4739" s="6"/>
    </row>
    <row r="4740" spans="1:28" x14ac:dyDescent="0.2">
      <c r="A4740" t="s">
        <v>557</v>
      </c>
      <c r="B4740">
        <v>2021</v>
      </c>
      <c r="C4740" t="s">
        <v>826</v>
      </c>
      <c r="D4740" t="s">
        <v>824</v>
      </c>
      <c r="E4740" t="s">
        <v>48</v>
      </c>
      <c r="F4740" t="s">
        <v>558</v>
      </c>
      <c r="G4740">
        <v>48.727499999999999</v>
      </c>
      <c r="H4740">
        <v>-3.9870000000000001</v>
      </c>
      <c r="J4740" s="2" t="s">
        <v>7</v>
      </c>
      <c r="K4740" t="s">
        <v>559</v>
      </c>
      <c r="L4740" t="s">
        <v>143</v>
      </c>
      <c r="M4740" t="s">
        <v>638</v>
      </c>
      <c r="N4740" t="s">
        <v>86</v>
      </c>
      <c r="O4740" s="6" t="s">
        <v>272</v>
      </c>
      <c r="Q4740">
        <v>11</v>
      </c>
      <c r="R4740" t="s">
        <v>214</v>
      </c>
      <c r="S4740" s="2" t="s">
        <v>7</v>
      </c>
      <c r="T4740">
        <v>4</v>
      </c>
      <c r="U4740" t="s">
        <v>28</v>
      </c>
      <c r="V4740" t="s">
        <v>28</v>
      </c>
      <c r="W4740">
        <v>8</v>
      </c>
      <c r="X4740">
        <v>5.7889999999999997</v>
      </c>
      <c r="Y4740">
        <f>5.946-X4740</f>
        <v>0.15700000000000003</v>
      </c>
      <c r="AA4740" s="6"/>
      <c r="AB4740" s="6"/>
    </row>
    <row r="4741" spans="1:28" x14ac:dyDescent="0.2">
      <c r="A4741" t="s">
        <v>557</v>
      </c>
      <c r="B4741">
        <v>2021</v>
      </c>
      <c r="C4741" t="s">
        <v>826</v>
      </c>
      <c r="D4741" t="s">
        <v>824</v>
      </c>
      <c r="E4741" t="s">
        <v>48</v>
      </c>
      <c r="F4741" t="s">
        <v>558</v>
      </c>
      <c r="G4741">
        <v>48.727499999999999</v>
      </c>
      <c r="H4741">
        <v>-3.9870000000000001</v>
      </c>
      <c r="J4741" s="2" t="s">
        <v>14</v>
      </c>
      <c r="K4741" t="s">
        <v>559</v>
      </c>
      <c r="L4741" t="s">
        <v>143</v>
      </c>
      <c r="M4741" t="s">
        <v>638</v>
      </c>
      <c r="N4741" t="s">
        <v>86</v>
      </c>
      <c r="O4741" s="6" t="s">
        <v>272</v>
      </c>
      <c r="Q4741">
        <v>11</v>
      </c>
      <c r="R4741" t="s">
        <v>214</v>
      </c>
      <c r="S4741" s="2" t="s">
        <v>9</v>
      </c>
      <c r="T4741">
        <v>4</v>
      </c>
      <c r="U4741" t="s">
        <v>28</v>
      </c>
      <c r="V4741" t="s">
        <v>28</v>
      </c>
      <c r="W4741">
        <v>15</v>
      </c>
      <c r="X4741">
        <v>6.2779999999999996</v>
      </c>
      <c r="Y4741">
        <f>6.609-X4741</f>
        <v>0.33100000000000041</v>
      </c>
      <c r="AA4741" s="6"/>
      <c r="AB4741" s="6"/>
    </row>
    <row r="4742" spans="1:28" x14ac:dyDescent="0.2">
      <c r="A4742" t="s">
        <v>557</v>
      </c>
      <c r="B4742">
        <v>2021</v>
      </c>
      <c r="C4742" t="s">
        <v>826</v>
      </c>
      <c r="D4742" t="s">
        <v>824</v>
      </c>
      <c r="E4742" t="s">
        <v>48</v>
      </c>
      <c r="F4742" t="s">
        <v>558</v>
      </c>
      <c r="G4742">
        <v>48.727499999999999</v>
      </c>
      <c r="H4742">
        <v>-3.9870000000000001</v>
      </c>
      <c r="J4742" s="2" t="s">
        <v>7</v>
      </c>
      <c r="K4742" t="s">
        <v>559</v>
      </c>
      <c r="L4742" t="s">
        <v>143</v>
      </c>
      <c r="M4742" t="s">
        <v>638</v>
      </c>
      <c r="N4742" t="s">
        <v>86</v>
      </c>
      <c r="O4742" s="6" t="s">
        <v>272</v>
      </c>
      <c r="Q4742">
        <v>18</v>
      </c>
      <c r="R4742" t="s">
        <v>213</v>
      </c>
      <c r="S4742" s="2" t="s">
        <v>7</v>
      </c>
      <c r="T4742">
        <v>4</v>
      </c>
      <c r="U4742" t="s">
        <v>28</v>
      </c>
      <c r="V4742" t="s">
        <v>28</v>
      </c>
      <c r="W4742">
        <v>8</v>
      </c>
      <c r="X4742">
        <v>6.1589999999999998</v>
      </c>
      <c r="Y4742">
        <f>6.372-X4742</f>
        <v>0.21300000000000008</v>
      </c>
      <c r="AA4742" s="6"/>
      <c r="AB4742" s="6"/>
    </row>
    <row r="4743" spans="1:28" x14ac:dyDescent="0.2">
      <c r="A4743" t="s">
        <v>557</v>
      </c>
      <c r="B4743">
        <v>2021</v>
      </c>
      <c r="C4743" t="s">
        <v>826</v>
      </c>
      <c r="D4743" t="s">
        <v>824</v>
      </c>
      <c r="E4743" t="s">
        <v>48</v>
      </c>
      <c r="F4743" t="s">
        <v>558</v>
      </c>
      <c r="G4743">
        <v>48.727499999999999</v>
      </c>
      <c r="H4743">
        <v>-3.9870000000000001</v>
      </c>
      <c r="J4743" s="2" t="s">
        <v>14</v>
      </c>
      <c r="K4743" t="s">
        <v>559</v>
      </c>
      <c r="L4743" t="s">
        <v>143</v>
      </c>
      <c r="M4743" t="s">
        <v>638</v>
      </c>
      <c r="N4743" t="s">
        <v>86</v>
      </c>
      <c r="O4743" s="6" t="s">
        <v>272</v>
      </c>
      <c r="Q4743">
        <v>18</v>
      </c>
      <c r="R4743" t="s">
        <v>213</v>
      </c>
      <c r="S4743" s="2" t="s">
        <v>9</v>
      </c>
      <c r="T4743">
        <v>4</v>
      </c>
      <c r="U4743" t="s">
        <v>28</v>
      </c>
      <c r="V4743" t="s">
        <v>28</v>
      </c>
      <c r="W4743">
        <v>15</v>
      </c>
      <c r="X4743">
        <v>6.8529999999999998</v>
      </c>
      <c r="Y4743">
        <f>7.642-X4743</f>
        <v>0.78900000000000059</v>
      </c>
      <c r="AA4743" s="6"/>
      <c r="AB4743" s="6"/>
    </row>
    <row r="4744" spans="1:28" x14ac:dyDescent="0.2">
      <c r="A4744" t="s">
        <v>557</v>
      </c>
      <c r="B4744">
        <v>2021</v>
      </c>
      <c r="C4744" t="s">
        <v>826</v>
      </c>
      <c r="D4744" t="s">
        <v>824</v>
      </c>
      <c r="E4744" t="s">
        <v>48</v>
      </c>
      <c r="F4744" t="s">
        <v>558</v>
      </c>
      <c r="G4744">
        <v>48.727499999999999</v>
      </c>
      <c r="H4744">
        <v>-3.9870000000000001</v>
      </c>
      <c r="J4744" s="2" t="s">
        <v>7</v>
      </c>
      <c r="K4744" t="s">
        <v>559</v>
      </c>
      <c r="L4744" t="s">
        <v>143</v>
      </c>
      <c r="M4744" t="s">
        <v>638</v>
      </c>
      <c r="N4744" t="s">
        <v>85</v>
      </c>
      <c r="O4744" s="6" t="s">
        <v>221</v>
      </c>
      <c r="P4744" t="s">
        <v>147</v>
      </c>
      <c r="Q4744">
        <v>8</v>
      </c>
      <c r="R4744" t="s">
        <v>214</v>
      </c>
      <c r="S4744" s="2" t="s">
        <v>7</v>
      </c>
      <c r="T4744">
        <v>4</v>
      </c>
      <c r="U4744" t="s">
        <v>28</v>
      </c>
      <c r="V4744" t="s">
        <v>28</v>
      </c>
      <c r="W4744">
        <v>8</v>
      </c>
      <c r="X4744">
        <v>235.5</v>
      </c>
      <c r="Y4744">
        <f>244-X4744</f>
        <v>8.5</v>
      </c>
      <c r="AA4744" s="6"/>
      <c r="AB4744" s="6"/>
    </row>
    <row r="4745" spans="1:28" x14ac:dyDescent="0.2">
      <c r="A4745" t="s">
        <v>557</v>
      </c>
      <c r="B4745">
        <v>2021</v>
      </c>
      <c r="C4745" t="s">
        <v>826</v>
      </c>
      <c r="D4745" t="s">
        <v>824</v>
      </c>
      <c r="E4745" t="s">
        <v>48</v>
      </c>
      <c r="F4745" t="s">
        <v>558</v>
      </c>
      <c r="G4745">
        <v>48.727499999999999</v>
      </c>
      <c r="H4745">
        <v>-3.9870000000000001</v>
      </c>
      <c r="J4745" s="2" t="s">
        <v>14</v>
      </c>
      <c r="K4745" t="s">
        <v>559</v>
      </c>
      <c r="L4745" t="s">
        <v>143</v>
      </c>
      <c r="M4745" t="s">
        <v>638</v>
      </c>
      <c r="N4745" t="s">
        <v>85</v>
      </c>
      <c r="O4745" s="6" t="s">
        <v>221</v>
      </c>
      <c r="P4745" t="s">
        <v>147</v>
      </c>
      <c r="Q4745">
        <v>8</v>
      </c>
      <c r="R4745" t="s">
        <v>214</v>
      </c>
      <c r="S4745" s="2" t="s">
        <v>9</v>
      </c>
      <c r="T4745">
        <v>4</v>
      </c>
      <c r="U4745" t="s">
        <v>28</v>
      </c>
      <c r="V4745" t="s">
        <v>28</v>
      </c>
      <c r="W4745">
        <v>15</v>
      </c>
      <c r="X4745">
        <v>245.4</v>
      </c>
      <c r="Y4745">
        <f>251-X4745</f>
        <v>5.5999999999999943</v>
      </c>
      <c r="AA4745" s="6"/>
      <c r="AB4745" s="6"/>
    </row>
    <row r="4746" spans="1:28" x14ac:dyDescent="0.2">
      <c r="A4746" t="s">
        <v>557</v>
      </c>
      <c r="B4746">
        <v>2021</v>
      </c>
      <c r="C4746" t="s">
        <v>826</v>
      </c>
      <c r="D4746" t="s">
        <v>824</v>
      </c>
      <c r="E4746" t="s">
        <v>48</v>
      </c>
      <c r="F4746" t="s">
        <v>558</v>
      </c>
      <c r="G4746">
        <v>48.727499999999999</v>
      </c>
      <c r="H4746">
        <v>-3.9870000000000001</v>
      </c>
      <c r="J4746" s="2" t="s">
        <v>7</v>
      </c>
      <c r="K4746" t="s">
        <v>559</v>
      </c>
      <c r="L4746" t="s">
        <v>143</v>
      </c>
      <c r="M4746" t="s">
        <v>638</v>
      </c>
      <c r="N4746" t="s">
        <v>85</v>
      </c>
      <c r="O4746" s="6" t="s">
        <v>221</v>
      </c>
      <c r="P4746" t="s">
        <v>147</v>
      </c>
      <c r="Q4746">
        <v>11</v>
      </c>
      <c r="R4746" t="s">
        <v>214</v>
      </c>
      <c r="S4746" s="2" t="s">
        <v>7</v>
      </c>
      <c r="T4746">
        <v>4</v>
      </c>
      <c r="U4746" t="s">
        <v>28</v>
      </c>
      <c r="V4746" t="s">
        <v>28</v>
      </c>
      <c r="W4746">
        <v>8</v>
      </c>
      <c r="X4746">
        <v>239.2</v>
      </c>
      <c r="Y4746">
        <f>258.7-X4746</f>
        <v>19.5</v>
      </c>
      <c r="AA4746" s="6"/>
      <c r="AB4746" s="6"/>
    </row>
    <row r="4747" spans="1:28" x14ac:dyDescent="0.2">
      <c r="A4747" t="s">
        <v>557</v>
      </c>
      <c r="B4747">
        <v>2021</v>
      </c>
      <c r="C4747" t="s">
        <v>826</v>
      </c>
      <c r="D4747" t="s">
        <v>824</v>
      </c>
      <c r="E4747" t="s">
        <v>48</v>
      </c>
      <c r="F4747" t="s">
        <v>558</v>
      </c>
      <c r="G4747">
        <v>48.727499999999999</v>
      </c>
      <c r="H4747">
        <v>-3.9870000000000001</v>
      </c>
      <c r="J4747" s="2" t="s">
        <v>14</v>
      </c>
      <c r="K4747" t="s">
        <v>559</v>
      </c>
      <c r="L4747" t="s">
        <v>143</v>
      </c>
      <c r="M4747" t="s">
        <v>638</v>
      </c>
      <c r="N4747" t="s">
        <v>85</v>
      </c>
      <c r="O4747" s="6" t="s">
        <v>221</v>
      </c>
      <c r="P4747" t="s">
        <v>147</v>
      </c>
      <c r="Q4747">
        <v>11</v>
      </c>
      <c r="R4747" t="s">
        <v>214</v>
      </c>
      <c r="S4747" s="2" t="s">
        <v>9</v>
      </c>
      <c r="T4747">
        <v>4</v>
      </c>
      <c r="U4747" t="s">
        <v>28</v>
      </c>
      <c r="V4747" t="s">
        <v>28</v>
      </c>
      <c r="W4747">
        <v>15</v>
      </c>
      <c r="X4747">
        <v>243.6</v>
      </c>
      <c r="Y4747">
        <f>252.4-X4747</f>
        <v>8.8000000000000114</v>
      </c>
      <c r="AA4747" s="6"/>
      <c r="AB4747" s="6"/>
    </row>
    <row r="4748" spans="1:28" x14ac:dyDescent="0.2">
      <c r="A4748" t="s">
        <v>557</v>
      </c>
      <c r="B4748">
        <v>2021</v>
      </c>
      <c r="C4748" t="s">
        <v>826</v>
      </c>
      <c r="D4748" t="s">
        <v>824</v>
      </c>
      <c r="E4748" t="s">
        <v>48</v>
      </c>
      <c r="F4748" t="s">
        <v>558</v>
      </c>
      <c r="G4748">
        <v>48.727499999999999</v>
      </c>
      <c r="H4748">
        <v>-3.9870000000000001</v>
      </c>
      <c r="J4748" s="2" t="s">
        <v>7</v>
      </c>
      <c r="K4748" t="s">
        <v>559</v>
      </c>
      <c r="L4748" t="s">
        <v>143</v>
      </c>
      <c r="M4748" t="s">
        <v>638</v>
      </c>
      <c r="N4748" t="s">
        <v>85</v>
      </c>
      <c r="O4748" s="6" t="s">
        <v>221</v>
      </c>
      <c r="P4748" t="s">
        <v>147</v>
      </c>
      <c r="Q4748">
        <v>18</v>
      </c>
      <c r="R4748" t="s">
        <v>213</v>
      </c>
      <c r="S4748" s="2" t="s">
        <v>7</v>
      </c>
      <c r="T4748">
        <v>4</v>
      </c>
      <c r="U4748" t="s">
        <v>28</v>
      </c>
      <c r="V4748" t="s">
        <v>28</v>
      </c>
      <c r="W4748">
        <v>8</v>
      </c>
      <c r="X4748">
        <v>264.2</v>
      </c>
      <c r="Y4748">
        <f>269-X4748</f>
        <v>4.8000000000000114</v>
      </c>
      <c r="AA4748" s="6"/>
      <c r="AB4748" s="6"/>
    </row>
    <row r="4749" spans="1:28" x14ac:dyDescent="0.2">
      <c r="A4749" t="s">
        <v>557</v>
      </c>
      <c r="B4749">
        <v>2021</v>
      </c>
      <c r="C4749" t="s">
        <v>826</v>
      </c>
      <c r="D4749" t="s">
        <v>824</v>
      </c>
      <c r="E4749" t="s">
        <v>48</v>
      </c>
      <c r="F4749" t="s">
        <v>558</v>
      </c>
      <c r="G4749">
        <v>48.727499999999999</v>
      </c>
      <c r="H4749">
        <v>-3.9870000000000001</v>
      </c>
      <c r="J4749" s="2" t="s">
        <v>14</v>
      </c>
      <c r="K4749" t="s">
        <v>559</v>
      </c>
      <c r="L4749" t="s">
        <v>143</v>
      </c>
      <c r="M4749" t="s">
        <v>638</v>
      </c>
      <c r="N4749" t="s">
        <v>85</v>
      </c>
      <c r="O4749" s="6" t="s">
        <v>221</v>
      </c>
      <c r="P4749" t="s">
        <v>147</v>
      </c>
      <c r="Q4749">
        <v>18</v>
      </c>
      <c r="R4749" t="s">
        <v>213</v>
      </c>
      <c r="S4749" s="2" t="s">
        <v>9</v>
      </c>
      <c r="T4749">
        <v>4</v>
      </c>
      <c r="U4749" t="s">
        <v>28</v>
      </c>
      <c r="V4749" t="s">
        <v>28</v>
      </c>
      <c r="W4749">
        <v>15</v>
      </c>
      <c r="X4749">
        <v>260.5</v>
      </c>
      <c r="Y4749">
        <f>278.6-X4749</f>
        <v>18.100000000000023</v>
      </c>
      <c r="AA4749" s="6"/>
      <c r="AB4749" s="6"/>
    </row>
    <row r="4750" spans="1:28" x14ac:dyDescent="0.2">
      <c r="A4750" t="s">
        <v>557</v>
      </c>
      <c r="B4750">
        <v>2021</v>
      </c>
      <c r="C4750" t="s">
        <v>826</v>
      </c>
      <c r="D4750" t="s">
        <v>824</v>
      </c>
      <c r="E4750" t="s">
        <v>48</v>
      </c>
      <c r="F4750" t="s">
        <v>558</v>
      </c>
      <c r="G4750">
        <v>48.727499999999999</v>
      </c>
      <c r="H4750">
        <v>-3.9870000000000001</v>
      </c>
      <c r="J4750" s="2" t="s">
        <v>7</v>
      </c>
      <c r="K4750" t="s">
        <v>559</v>
      </c>
      <c r="L4750" t="s">
        <v>143</v>
      </c>
      <c r="M4750" t="s">
        <v>638</v>
      </c>
      <c r="N4750" t="s">
        <v>85</v>
      </c>
      <c r="O4750" s="6" t="s">
        <v>107</v>
      </c>
      <c r="P4750" t="s">
        <v>147</v>
      </c>
      <c r="Q4750">
        <v>8</v>
      </c>
      <c r="R4750" t="s">
        <v>214</v>
      </c>
      <c r="S4750" s="2" t="s">
        <v>7</v>
      </c>
      <c r="T4750">
        <v>4</v>
      </c>
      <c r="U4750" t="s">
        <v>28</v>
      </c>
      <c r="V4750" t="s">
        <v>28</v>
      </c>
      <c r="W4750">
        <v>8</v>
      </c>
      <c r="X4750">
        <v>46.69</v>
      </c>
      <c r="Y4750">
        <f>48.08-X4750</f>
        <v>1.3900000000000006</v>
      </c>
      <c r="AA4750" s="6"/>
      <c r="AB4750" s="6"/>
    </row>
    <row r="4751" spans="1:28" x14ac:dyDescent="0.2">
      <c r="A4751" t="s">
        <v>557</v>
      </c>
      <c r="B4751">
        <v>2021</v>
      </c>
      <c r="C4751" t="s">
        <v>826</v>
      </c>
      <c r="D4751" t="s">
        <v>824</v>
      </c>
      <c r="E4751" t="s">
        <v>48</v>
      </c>
      <c r="F4751" t="s">
        <v>558</v>
      </c>
      <c r="G4751">
        <v>48.727499999999999</v>
      </c>
      <c r="H4751">
        <v>-3.9870000000000001</v>
      </c>
      <c r="J4751" s="2" t="s">
        <v>14</v>
      </c>
      <c r="K4751" t="s">
        <v>559</v>
      </c>
      <c r="L4751" t="s">
        <v>143</v>
      </c>
      <c r="M4751" t="s">
        <v>638</v>
      </c>
      <c r="N4751" t="s">
        <v>85</v>
      </c>
      <c r="O4751" s="6" t="s">
        <v>107</v>
      </c>
      <c r="P4751" t="s">
        <v>147</v>
      </c>
      <c r="Q4751">
        <v>8</v>
      </c>
      <c r="R4751" t="s">
        <v>214</v>
      </c>
      <c r="S4751" s="2" t="s">
        <v>9</v>
      </c>
      <c r="T4751">
        <v>4</v>
      </c>
      <c r="U4751" t="s">
        <v>28</v>
      </c>
      <c r="V4751" t="s">
        <v>28</v>
      </c>
      <c r="W4751">
        <v>15</v>
      </c>
      <c r="X4751">
        <v>44.03</v>
      </c>
      <c r="Y4751">
        <f>45.86-X4751</f>
        <v>1.8299999999999983</v>
      </c>
      <c r="AA4751" s="6"/>
      <c r="AB4751" s="6"/>
    </row>
    <row r="4752" spans="1:28" x14ac:dyDescent="0.2">
      <c r="A4752" t="s">
        <v>557</v>
      </c>
      <c r="B4752">
        <v>2021</v>
      </c>
      <c r="C4752" t="s">
        <v>826</v>
      </c>
      <c r="D4752" t="s">
        <v>824</v>
      </c>
      <c r="E4752" t="s">
        <v>48</v>
      </c>
      <c r="F4752" t="s">
        <v>558</v>
      </c>
      <c r="G4752">
        <v>48.727499999999999</v>
      </c>
      <c r="H4752">
        <v>-3.9870000000000001</v>
      </c>
      <c r="J4752" s="2" t="s">
        <v>7</v>
      </c>
      <c r="K4752" t="s">
        <v>559</v>
      </c>
      <c r="L4752" t="s">
        <v>143</v>
      </c>
      <c r="M4752" t="s">
        <v>638</v>
      </c>
      <c r="N4752" t="s">
        <v>85</v>
      </c>
      <c r="O4752" s="6" t="s">
        <v>107</v>
      </c>
      <c r="P4752" t="s">
        <v>147</v>
      </c>
      <c r="Q4752">
        <v>11</v>
      </c>
      <c r="R4752" t="s">
        <v>214</v>
      </c>
      <c r="S4752" s="2" t="s">
        <v>7</v>
      </c>
      <c r="T4752">
        <v>4</v>
      </c>
      <c r="U4752" t="s">
        <v>28</v>
      </c>
      <c r="V4752" t="s">
        <v>28</v>
      </c>
      <c r="W4752">
        <v>8</v>
      </c>
      <c r="X4752">
        <v>48.13</v>
      </c>
      <c r="Y4752">
        <f>50.74-X4752</f>
        <v>2.6099999999999994</v>
      </c>
      <c r="AA4752" s="6"/>
      <c r="AB4752" s="6"/>
    </row>
    <row r="4753" spans="1:28" x14ac:dyDescent="0.2">
      <c r="A4753" t="s">
        <v>557</v>
      </c>
      <c r="B4753">
        <v>2021</v>
      </c>
      <c r="C4753" t="s">
        <v>826</v>
      </c>
      <c r="D4753" t="s">
        <v>824</v>
      </c>
      <c r="E4753" t="s">
        <v>48</v>
      </c>
      <c r="F4753" t="s">
        <v>558</v>
      </c>
      <c r="G4753">
        <v>48.727499999999999</v>
      </c>
      <c r="H4753">
        <v>-3.9870000000000001</v>
      </c>
      <c r="J4753" s="2" t="s">
        <v>14</v>
      </c>
      <c r="K4753" t="s">
        <v>559</v>
      </c>
      <c r="L4753" t="s">
        <v>143</v>
      </c>
      <c r="M4753" t="s">
        <v>638</v>
      </c>
      <c r="N4753" t="s">
        <v>85</v>
      </c>
      <c r="O4753" s="6" t="s">
        <v>107</v>
      </c>
      <c r="P4753" t="s">
        <v>147</v>
      </c>
      <c r="Q4753">
        <v>11</v>
      </c>
      <c r="R4753" t="s">
        <v>214</v>
      </c>
      <c r="S4753" s="2" t="s">
        <v>9</v>
      </c>
      <c r="T4753">
        <v>4</v>
      </c>
      <c r="U4753" t="s">
        <v>28</v>
      </c>
      <c r="V4753" t="s">
        <v>28</v>
      </c>
      <c r="W4753">
        <v>15</v>
      </c>
      <c r="X4753">
        <v>45.3</v>
      </c>
      <c r="Y4753">
        <f>47.47-X4753</f>
        <v>2.1700000000000017</v>
      </c>
      <c r="AA4753" s="6"/>
      <c r="AB4753" s="6"/>
    </row>
    <row r="4754" spans="1:28" x14ac:dyDescent="0.2">
      <c r="A4754" t="s">
        <v>557</v>
      </c>
      <c r="B4754">
        <v>2021</v>
      </c>
      <c r="C4754" t="s">
        <v>826</v>
      </c>
      <c r="D4754" t="s">
        <v>824</v>
      </c>
      <c r="E4754" t="s">
        <v>48</v>
      </c>
      <c r="F4754" t="s">
        <v>558</v>
      </c>
      <c r="G4754">
        <v>48.727499999999999</v>
      </c>
      <c r="H4754">
        <v>-3.9870000000000001</v>
      </c>
      <c r="J4754" s="2" t="s">
        <v>7</v>
      </c>
      <c r="K4754" t="s">
        <v>559</v>
      </c>
      <c r="L4754" t="s">
        <v>143</v>
      </c>
      <c r="M4754" t="s">
        <v>638</v>
      </c>
      <c r="N4754" t="s">
        <v>85</v>
      </c>
      <c r="O4754" s="6" t="s">
        <v>107</v>
      </c>
      <c r="P4754" t="s">
        <v>147</v>
      </c>
      <c r="Q4754">
        <v>18</v>
      </c>
      <c r="R4754" t="s">
        <v>213</v>
      </c>
      <c r="S4754" s="2" t="s">
        <v>7</v>
      </c>
      <c r="T4754">
        <v>4</v>
      </c>
      <c r="U4754" t="s">
        <v>28</v>
      </c>
      <c r="V4754" t="s">
        <v>28</v>
      </c>
      <c r="W4754">
        <v>8</v>
      </c>
      <c r="X4754">
        <v>49.63</v>
      </c>
      <c r="Y4754">
        <f>X4754-48.69</f>
        <v>0.94000000000000483</v>
      </c>
      <c r="AA4754" s="6"/>
      <c r="AB4754" s="6"/>
    </row>
    <row r="4755" spans="1:28" x14ac:dyDescent="0.2">
      <c r="A4755" t="s">
        <v>557</v>
      </c>
      <c r="B4755">
        <v>2021</v>
      </c>
      <c r="C4755" t="s">
        <v>826</v>
      </c>
      <c r="D4755" t="s">
        <v>824</v>
      </c>
      <c r="E4755" t="s">
        <v>48</v>
      </c>
      <c r="F4755" t="s">
        <v>558</v>
      </c>
      <c r="G4755">
        <v>48.727499999999999</v>
      </c>
      <c r="H4755">
        <v>-3.9870000000000001</v>
      </c>
      <c r="J4755" s="2" t="s">
        <v>14</v>
      </c>
      <c r="K4755" t="s">
        <v>559</v>
      </c>
      <c r="L4755" t="s">
        <v>143</v>
      </c>
      <c r="M4755" t="s">
        <v>638</v>
      </c>
      <c r="N4755" t="s">
        <v>85</v>
      </c>
      <c r="O4755" t="s">
        <v>107</v>
      </c>
      <c r="P4755" t="s">
        <v>147</v>
      </c>
      <c r="Q4755">
        <v>18</v>
      </c>
      <c r="R4755" t="s">
        <v>213</v>
      </c>
      <c r="S4755" s="2" t="s">
        <v>9</v>
      </c>
      <c r="T4755">
        <v>4</v>
      </c>
      <c r="U4755" t="s">
        <v>28</v>
      </c>
      <c r="V4755" t="s">
        <v>28</v>
      </c>
      <c r="W4755">
        <v>15</v>
      </c>
      <c r="X4755">
        <v>44.58</v>
      </c>
      <c r="Y4755">
        <f>46.75-X4755</f>
        <v>2.1700000000000017</v>
      </c>
      <c r="AA4755" s="6"/>
      <c r="AB4755" s="6"/>
    </row>
    <row r="4756" spans="1:28" x14ac:dyDescent="0.2">
      <c r="A4756" t="s">
        <v>560</v>
      </c>
      <c r="B4756">
        <v>2021</v>
      </c>
      <c r="C4756" t="s">
        <v>811</v>
      </c>
      <c r="D4756" t="s">
        <v>818</v>
      </c>
      <c r="E4756" t="s">
        <v>561</v>
      </c>
      <c r="F4756" t="s">
        <v>562</v>
      </c>
      <c r="G4756">
        <v>-43.016666999999998</v>
      </c>
      <c r="H4756">
        <v>147.55000000000001</v>
      </c>
      <c r="I4756" t="s">
        <v>767</v>
      </c>
      <c r="J4756" s="2" t="s">
        <v>7</v>
      </c>
      <c r="K4756" t="s">
        <v>41</v>
      </c>
      <c r="L4756" t="s">
        <v>3</v>
      </c>
      <c r="M4756" t="s">
        <v>26</v>
      </c>
      <c r="N4756" t="s">
        <v>85</v>
      </c>
      <c r="O4756" s="6" t="s">
        <v>80</v>
      </c>
      <c r="P4756" t="s">
        <v>454</v>
      </c>
      <c r="Q4756">
        <v>30</v>
      </c>
      <c r="R4756" t="s">
        <v>213</v>
      </c>
      <c r="S4756" s="2" t="s">
        <v>7</v>
      </c>
      <c r="T4756">
        <v>6</v>
      </c>
      <c r="U4756" t="s">
        <v>28</v>
      </c>
      <c r="V4756" t="s">
        <v>28</v>
      </c>
      <c r="W4756">
        <v>15.3</v>
      </c>
      <c r="X4756">
        <f>AVERAGE(5.48, 6.32, 11.67, 6.43, 7.84, 8.23)</f>
        <v>7.6616666666666662</v>
      </c>
      <c r="Y4756">
        <f>STDEV(5.48, 6.32, 11.67, 6.43, 7.84, 8.23)</f>
        <v>2.2135168096643589</v>
      </c>
      <c r="AA4756" s="6"/>
      <c r="AB4756" s="6"/>
    </row>
    <row r="4757" spans="1:28" x14ac:dyDescent="0.2">
      <c r="A4757" t="s">
        <v>560</v>
      </c>
      <c r="B4757">
        <v>2021</v>
      </c>
      <c r="C4757" t="s">
        <v>811</v>
      </c>
      <c r="D4757" t="s">
        <v>818</v>
      </c>
      <c r="E4757" t="s">
        <v>561</v>
      </c>
      <c r="F4757" t="s">
        <v>562</v>
      </c>
      <c r="G4757">
        <v>-43.016666999999998</v>
      </c>
      <c r="H4757">
        <v>147.55000000000001</v>
      </c>
      <c r="I4757" t="s">
        <v>767</v>
      </c>
      <c r="J4757" s="2" t="s">
        <v>14</v>
      </c>
      <c r="K4757" t="s">
        <v>41</v>
      </c>
      <c r="L4757" t="s">
        <v>3</v>
      </c>
      <c r="M4757" t="s">
        <v>26</v>
      </c>
      <c r="N4757" t="s">
        <v>85</v>
      </c>
      <c r="O4757" s="6" t="s">
        <v>80</v>
      </c>
      <c r="P4757" t="s">
        <v>454</v>
      </c>
      <c r="Q4757">
        <v>30</v>
      </c>
      <c r="R4757" t="s">
        <v>213</v>
      </c>
      <c r="S4757" s="2" t="s">
        <v>9</v>
      </c>
      <c r="T4757">
        <v>3</v>
      </c>
      <c r="U4757" t="s">
        <v>28</v>
      </c>
      <c r="V4757" t="s">
        <v>28</v>
      </c>
      <c r="W4757">
        <v>16.899999999999999</v>
      </c>
      <c r="X4757">
        <f>AVERAGE(7.47, 9.6, 10.74)</f>
        <v>9.2700000000000014</v>
      </c>
      <c r="Y4757">
        <f>STDEV(7.47, 9.6, 10.74)</f>
        <v>1.6597891432347556</v>
      </c>
      <c r="AA4757" s="6"/>
      <c r="AB4757" s="6"/>
    </row>
    <row r="4758" spans="1:28" x14ac:dyDescent="0.2">
      <c r="A4758" t="s">
        <v>560</v>
      </c>
      <c r="B4758">
        <v>2021</v>
      </c>
      <c r="C4758" t="s">
        <v>811</v>
      </c>
      <c r="D4758" t="s">
        <v>818</v>
      </c>
      <c r="E4758" t="s">
        <v>561</v>
      </c>
      <c r="F4758" t="s">
        <v>562</v>
      </c>
      <c r="G4758">
        <v>-43.016666999999998</v>
      </c>
      <c r="H4758">
        <v>147.55000000000001</v>
      </c>
      <c r="I4758" t="s">
        <v>767</v>
      </c>
      <c r="J4758" s="2" t="s">
        <v>14</v>
      </c>
      <c r="K4758" t="s">
        <v>41</v>
      </c>
      <c r="L4758" t="s">
        <v>3</v>
      </c>
      <c r="M4758" t="s">
        <v>26</v>
      </c>
      <c r="N4758" t="s">
        <v>85</v>
      </c>
      <c r="O4758" s="6" t="s">
        <v>80</v>
      </c>
      <c r="P4758" t="s">
        <v>454</v>
      </c>
      <c r="Q4758">
        <v>30</v>
      </c>
      <c r="R4758" t="s">
        <v>213</v>
      </c>
      <c r="S4758" s="2" t="s">
        <v>27</v>
      </c>
      <c r="T4758">
        <v>6</v>
      </c>
      <c r="U4758" t="s">
        <v>28</v>
      </c>
      <c r="V4758" t="s">
        <v>28</v>
      </c>
      <c r="W4758">
        <v>18.5</v>
      </c>
      <c r="X4758">
        <f>AVERAGE(3.49, 5.81, 7, 4.92, 5.28, 5.67)</f>
        <v>5.3616666666666672</v>
      </c>
      <c r="Y4758">
        <f>STDEV(3.49, 5.81, 7, 4.92, 5.28, 5.67)</f>
        <v>1.1562943685180971</v>
      </c>
      <c r="AA4758" s="6"/>
      <c r="AB4758" s="6"/>
    </row>
    <row r="4759" spans="1:28" x14ac:dyDescent="0.2">
      <c r="A4759" t="s">
        <v>560</v>
      </c>
      <c r="B4759">
        <v>2021</v>
      </c>
      <c r="C4759" t="s">
        <v>811</v>
      </c>
      <c r="D4759" t="s">
        <v>818</v>
      </c>
      <c r="E4759" t="s">
        <v>561</v>
      </c>
      <c r="F4759" t="s">
        <v>562</v>
      </c>
      <c r="G4759">
        <v>-43.016666999999998</v>
      </c>
      <c r="H4759">
        <v>147.55000000000001</v>
      </c>
      <c r="I4759" t="s">
        <v>767</v>
      </c>
      <c r="J4759" s="2" t="s">
        <v>14</v>
      </c>
      <c r="K4759" t="s">
        <v>41</v>
      </c>
      <c r="L4759" t="s">
        <v>3</v>
      </c>
      <c r="M4759" t="s">
        <v>26</v>
      </c>
      <c r="N4759" t="s">
        <v>85</v>
      </c>
      <c r="O4759" s="6" t="s">
        <v>80</v>
      </c>
      <c r="P4759" t="s">
        <v>454</v>
      </c>
      <c r="Q4759">
        <v>30</v>
      </c>
      <c r="R4759" t="s">
        <v>213</v>
      </c>
      <c r="S4759" s="2" t="s">
        <v>15</v>
      </c>
      <c r="T4759">
        <v>3</v>
      </c>
      <c r="U4759" t="s">
        <v>28</v>
      </c>
      <c r="V4759" t="s">
        <v>28</v>
      </c>
      <c r="W4759">
        <v>19.899999999999999</v>
      </c>
      <c r="X4759">
        <f>AVERAGE(3.36, 4.48, 5.65)</f>
        <v>4.496666666666667</v>
      </c>
      <c r="Y4759">
        <f>STDEV(3.36, 4.48, 5.65)</f>
        <v>1.1450909716408273</v>
      </c>
      <c r="AA4759" s="6"/>
      <c r="AB4759" s="6"/>
    </row>
    <row r="4760" spans="1:28" x14ac:dyDescent="0.2">
      <c r="A4760" t="s">
        <v>560</v>
      </c>
      <c r="B4760">
        <v>2021</v>
      </c>
      <c r="C4760" t="s">
        <v>811</v>
      </c>
      <c r="D4760" t="s">
        <v>818</v>
      </c>
      <c r="E4760" t="s">
        <v>561</v>
      </c>
      <c r="F4760" t="s">
        <v>562</v>
      </c>
      <c r="G4760">
        <v>-43.016666999999998</v>
      </c>
      <c r="H4760">
        <v>147.55000000000001</v>
      </c>
      <c r="I4760" t="s">
        <v>767</v>
      </c>
      <c r="J4760" s="2" t="s">
        <v>14</v>
      </c>
      <c r="K4760" t="s">
        <v>41</v>
      </c>
      <c r="L4760" t="s">
        <v>3</v>
      </c>
      <c r="M4760" t="s">
        <v>26</v>
      </c>
      <c r="N4760" t="s">
        <v>85</v>
      </c>
      <c r="O4760" s="6" t="s">
        <v>80</v>
      </c>
      <c r="P4760" t="s">
        <v>454</v>
      </c>
      <c r="Q4760">
        <v>30</v>
      </c>
      <c r="R4760" t="s">
        <v>213</v>
      </c>
      <c r="S4760" s="2" t="s">
        <v>37</v>
      </c>
      <c r="T4760">
        <v>6</v>
      </c>
      <c r="U4760" t="s">
        <v>28</v>
      </c>
      <c r="V4760" t="s">
        <v>28</v>
      </c>
      <c r="W4760">
        <v>21.1</v>
      </c>
      <c r="X4760">
        <f>AVERAGE(0.02, 0.45, 0.69, 0.09, 0.09, 0.09)</f>
        <v>0.23833333333333337</v>
      </c>
      <c r="Y4760">
        <f>STDEV(0.02, 0.45, 0.69, 0.09, 0.09, 0.09)</f>
        <v>0.26925205044096995</v>
      </c>
      <c r="AA4760" s="6"/>
      <c r="AB4760" s="6"/>
    </row>
    <row r="4761" spans="1:28" x14ac:dyDescent="0.2">
      <c r="A4761" t="s">
        <v>560</v>
      </c>
      <c r="B4761">
        <v>2021</v>
      </c>
      <c r="C4761" t="s">
        <v>811</v>
      </c>
      <c r="D4761" t="s">
        <v>818</v>
      </c>
      <c r="E4761" t="s">
        <v>561</v>
      </c>
      <c r="F4761" t="s">
        <v>562</v>
      </c>
      <c r="G4761">
        <v>-43.016666999999998</v>
      </c>
      <c r="H4761">
        <v>147.55000000000001</v>
      </c>
      <c r="I4761" t="s">
        <v>767</v>
      </c>
      <c r="J4761" s="2" t="s">
        <v>14</v>
      </c>
      <c r="K4761" t="s">
        <v>41</v>
      </c>
      <c r="L4761" t="s">
        <v>3</v>
      </c>
      <c r="M4761" t="s">
        <v>26</v>
      </c>
      <c r="N4761" t="s">
        <v>85</v>
      </c>
      <c r="O4761" s="6" t="s">
        <v>80</v>
      </c>
      <c r="P4761" t="s">
        <v>454</v>
      </c>
      <c r="Q4761">
        <v>30</v>
      </c>
      <c r="R4761" t="s">
        <v>213</v>
      </c>
      <c r="S4761" s="2" t="s">
        <v>116</v>
      </c>
      <c r="T4761">
        <v>3</v>
      </c>
      <c r="U4761" t="s">
        <v>28</v>
      </c>
      <c r="V4761" t="s">
        <v>28</v>
      </c>
      <c r="W4761">
        <v>22.4</v>
      </c>
      <c r="X4761">
        <v>0.09</v>
      </c>
      <c r="Y4761">
        <v>0</v>
      </c>
      <c r="AA4761" s="6"/>
      <c r="AB4761" s="6"/>
    </row>
    <row r="4762" spans="1:28" x14ac:dyDescent="0.2">
      <c r="A4762" t="s">
        <v>560</v>
      </c>
      <c r="B4762">
        <v>2021</v>
      </c>
      <c r="C4762" t="s">
        <v>811</v>
      </c>
      <c r="D4762" t="s">
        <v>818</v>
      </c>
      <c r="E4762" t="s">
        <v>561</v>
      </c>
      <c r="F4762" t="s">
        <v>562</v>
      </c>
      <c r="G4762">
        <v>-43.016666999999998</v>
      </c>
      <c r="H4762">
        <v>147.55000000000001</v>
      </c>
      <c r="I4762" t="s">
        <v>767</v>
      </c>
      <c r="J4762" s="2" t="s">
        <v>7</v>
      </c>
      <c r="K4762" t="s">
        <v>40</v>
      </c>
      <c r="L4762" t="s">
        <v>3</v>
      </c>
      <c r="M4762" t="s">
        <v>26</v>
      </c>
      <c r="N4762" t="s">
        <v>85</v>
      </c>
      <c r="O4762" s="6" t="s">
        <v>80</v>
      </c>
      <c r="P4762" t="s">
        <v>454</v>
      </c>
      <c r="Q4762">
        <v>30</v>
      </c>
      <c r="R4762" t="s">
        <v>213</v>
      </c>
      <c r="S4762" s="2" t="s">
        <v>7</v>
      </c>
      <c r="T4762">
        <v>6</v>
      </c>
      <c r="U4762" t="s">
        <v>28</v>
      </c>
      <c r="V4762" t="s">
        <v>28</v>
      </c>
      <c r="W4762">
        <v>15.3</v>
      </c>
      <c r="X4762">
        <f>AVERAGE(4.27, 6.47, 14.69, 5.44, 6.69, 7.94)</f>
        <v>7.583333333333333</v>
      </c>
      <c r="Y4762">
        <f>STDEV(4.27, 6.47, 14.69, 5.44, 6.69, 7.94)</f>
        <v>3.6943614694107381</v>
      </c>
      <c r="AA4762" s="6"/>
      <c r="AB4762" s="6"/>
    </row>
    <row r="4763" spans="1:28" x14ac:dyDescent="0.2">
      <c r="A4763" t="s">
        <v>560</v>
      </c>
      <c r="B4763">
        <v>2021</v>
      </c>
      <c r="C4763" t="s">
        <v>811</v>
      </c>
      <c r="D4763" t="s">
        <v>818</v>
      </c>
      <c r="E4763" t="s">
        <v>561</v>
      </c>
      <c r="F4763" t="s">
        <v>562</v>
      </c>
      <c r="G4763">
        <v>-43.016666999999998</v>
      </c>
      <c r="H4763">
        <v>147.55000000000001</v>
      </c>
      <c r="I4763" t="s">
        <v>767</v>
      </c>
      <c r="J4763" s="2" t="s">
        <v>14</v>
      </c>
      <c r="K4763" t="s">
        <v>40</v>
      </c>
      <c r="L4763" t="s">
        <v>3</v>
      </c>
      <c r="M4763" t="s">
        <v>26</v>
      </c>
      <c r="N4763" t="s">
        <v>85</v>
      </c>
      <c r="O4763" s="6" t="s">
        <v>80</v>
      </c>
      <c r="P4763" t="s">
        <v>454</v>
      </c>
      <c r="Q4763">
        <v>30</v>
      </c>
      <c r="R4763" t="s">
        <v>213</v>
      </c>
      <c r="S4763" s="2" t="s">
        <v>9</v>
      </c>
      <c r="T4763">
        <v>3</v>
      </c>
      <c r="U4763" t="s">
        <v>28</v>
      </c>
      <c r="V4763" t="s">
        <v>28</v>
      </c>
      <c r="W4763">
        <v>16.899999999999999</v>
      </c>
      <c r="X4763">
        <f>AVERAGE(8.16, 11.32, 14.82)</f>
        <v>11.433333333333332</v>
      </c>
      <c r="Y4763">
        <f>STDEV(8.16, 11.32, 14.82)</f>
        <v>3.3314461324375926</v>
      </c>
      <c r="AA4763" s="6"/>
      <c r="AB4763" s="6"/>
    </row>
    <row r="4764" spans="1:28" x14ac:dyDescent="0.2">
      <c r="A4764" t="s">
        <v>560</v>
      </c>
      <c r="B4764">
        <v>2021</v>
      </c>
      <c r="C4764" t="s">
        <v>811</v>
      </c>
      <c r="D4764" t="s">
        <v>818</v>
      </c>
      <c r="E4764" t="s">
        <v>561</v>
      </c>
      <c r="F4764" t="s">
        <v>562</v>
      </c>
      <c r="G4764">
        <v>-43.016666999999998</v>
      </c>
      <c r="H4764">
        <v>147.55000000000001</v>
      </c>
      <c r="I4764" t="s">
        <v>767</v>
      </c>
      <c r="J4764" s="2" t="s">
        <v>14</v>
      </c>
      <c r="K4764" t="s">
        <v>40</v>
      </c>
      <c r="L4764" t="s">
        <v>3</v>
      </c>
      <c r="M4764" t="s">
        <v>26</v>
      </c>
      <c r="N4764" t="s">
        <v>85</v>
      </c>
      <c r="O4764" s="6" t="s">
        <v>80</v>
      </c>
      <c r="P4764" t="s">
        <v>454</v>
      </c>
      <c r="Q4764">
        <v>30</v>
      </c>
      <c r="R4764" t="s">
        <v>213</v>
      </c>
      <c r="S4764" s="2" t="s">
        <v>27</v>
      </c>
      <c r="T4764">
        <v>6</v>
      </c>
      <c r="U4764" t="s">
        <v>28</v>
      </c>
      <c r="V4764" t="s">
        <v>28</v>
      </c>
      <c r="W4764">
        <v>18.5</v>
      </c>
      <c r="X4764">
        <f>AVERAGE(4.02, 4.9, 5.87, 5.71, 6.76, 7.3)</f>
        <v>5.7599999999999989</v>
      </c>
      <c r="Y4764">
        <f>STDEV(4.02, 4.9, 5.87, 5.71, 6.76, 7.3)</f>
        <v>1.1961103628010303</v>
      </c>
      <c r="AA4764" s="6"/>
      <c r="AB4764" s="6"/>
    </row>
    <row r="4765" spans="1:28" x14ac:dyDescent="0.2">
      <c r="A4765" t="s">
        <v>560</v>
      </c>
      <c r="B4765">
        <v>2021</v>
      </c>
      <c r="C4765" t="s">
        <v>811</v>
      </c>
      <c r="D4765" t="s">
        <v>818</v>
      </c>
      <c r="E4765" t="s">
        <v>561</v>
      </c>
      <c r="F4765" t="s">
        <v>562</v>
      </c>
      <c r="G4765">
        <v>-43.016666999999998</v>
      </c>
      <c r="H4765">
        <v>147.55000000000001</v>
      </c>
      <c r="I4765" t="s">
        <v>767</v>
      </c>
      <c r="J4765" s="2" t="s">
        <v>14</v>
      </c>
      <c r="K4765" t="s">
        <v>40</v>
      </c>
      <c r="L4765" t="s">
        <v>3</v>
      </c>
      <c r="M4765" t="s">
        <v>26</v>
      </c>
      <c r="N4765" t="s">
        <v>85</v>
      </c>
      <c r="O4765" s="6" t="s">
        <v>80</v>
      </c>
      <c r="P4765" t="s">
        <v>454</v>
      </c>
      <c r="Q4765">
        <v>30</v>
      </c>
      <c r="R4765" t="s">
        <v>213</v>
      </c>
      <c r="S4765" s="2" t="s">
        <v>15</v>
      </c>
      <c r="T4765">
        <v>3</v>
      </c>
      <c r="U4765" t="s">
        <v>28</v>
      </c>
      <c r="V4765" t="s">
        <v>28</v>
      </c>
      <c r="W4765">
        <v>19.899999999999999</v>
      </c>
      <c r="X4765">
        <f>AVERAGE(3.42, 5.19, 6.47)</f>
        <v>5.0266666666666664</v>
      </c>
      <c r="Y4765">
        <f>STDEV(3.42, 5.19, 6.47)</f>
        <v>1.5315460598145063</v>
      </c>
      <c r="AA4765" s="6"/>
      <c r="AB4765" s="6"/>
    </row>
    <row r="4766" spans="1:28" x14ac:dyDescent="0.2">
      <c r="A4766" t="s">
        <v>560</v>
      </c>
      <c r="B4766">
        <v>2021</v>
      </c>
      <c r="C4766" t="s">
        <v>811</v>
      </c>
      <c r="D4766" t="s">
        <v>818</v>
      </c>
      <c r="E4766" t="s">
        <v>561</v>
      </c>
      <c r="F4766" t="s">
        <v>562</v>
      </c>
      <c r="G4766">
        <v>-43.016666999999998</v>
      </c>
      <c r="H4766">
        <v>147.55000000000001</v>
      </c>
      <c r="I4766" t="s">
        <v>767</v>
      </c>
      <c r="J4766" s="2" t="s">
        <v>14</v>
      </c>
      <c r="K4766" t="s">
        <v>40</v>
      </c>
      <c r="L4766" t="s">
        <v>3</v>
      </c>
      <c r="M4766" t="s">
        <v>26</v>
      </c>
      <c r="N4766" t="s">
        <v>85</v>
      </c>
      <c r="O4766" s="6" t="s">
        <v>80</v>
      </c>
      <c r="P4766" t="s">
        <v>454</v>
      </c>
      <c r="Q4766">
        <v>30</v>
      </c>
      <c r="R4766" t="s">
        <v>213</v>
      </c>
      <c r="S4766" s="2" t="s">
        <v>37</v>
      </c>
      <c r="T4766">
        <v>6</v>
      </c>
      <c r="U4766" t="s">
        <v>28</v>
      </c>
      <c r="V4766" t="s">
        <v>28</v>
      </c>
      <c r="W4766">
        <v>21.1</v>
      </c>
      <c r="X4766">
        <f>AVERAGE(0, 0.03, 0.74, 0, 0, 0.03)</f>
        <v>0.13333333333333333</v>
      </c>
      <c r="Y4766">
        <f>STDEV(0, 0.03, 0.74, 0, 0, 0.03)</f>
        <v>0.29756791941784766</v>
      </c>
      <c r="AA4766" s="6"/>
      <c r="AB4766" s="6"/>
    </row>
    <row r="4767" spans="1:28" x14ac:dyDescent="0.2">
      <c r="A4767" t="s">
        <v>560</v>
      </c>
      <c r="B4767">
        <v>2021</v>
      </c>
      <c r="C4767" t="s">
        <v>811</v>
      </c>
      <c r="D4767" t="s">
        <v>818</v>
      </c>
      <c r="E4767" t="s">
        <v>561</v>
      </c>
      <c r="F4767" t="s">
        <v>562</v>
      </c>
      <c r="G4767">
        <v>-43.016666999999998</v>
      </c>
      <c r="H4767">
        <v>147.55000000000001</v>
      </c>
      <c r="I4767" t="s">
        <v>767</v>
      </c>
      <c r="J4767" s="2" t="s">
        <v>14</v>
      </c>
      <c r="K4767" t="s">
        <v>40</v>
      </c>
      <c r="L4767" t="s">
        <v>3</v>
      </c>
      <c r="M4767" t="s">
        <v>26</v>
      </c>
      <c r="N4767" t="s">
        <v>85</v>
      </c>
      <c r="O4767" s="6" t="s">
        <v>80</v>
      </c>
      <c r="P4767" t="s">
        <v>454</v>
      </c>
      <c r="Q4767">
        <v>30</v>
      </c>
      <c r="R4767" t="s">
        <v>213</v>
      </c>
      <c r="S4767" s="2" t="s">
        <v>116</v>
      </c>
      <c r="T4767">
        <v>3</v>
      </c>
      <c r="U4767" t="s">
        <v>28</v>
      </c>
      <c r="V4767" t="s">
        <v>28</v>
      </c>
      <c r="W4767">
        <v>22.4</v>
      </c>
      <c r="X4767">
        <v>0</v>
      </c>
      <c r="Y4767">
        <v>0</v>
      </c>
      <c r="AA4767" s="6"/>
      <c r="AB4767" s="6"/>
    </row>
    <row r="4768" spans="1:28" x14ac:dyDescent="0.2">
      <c r="A4768" t="s">
        <v>560</v>
      </c>
      <c r="B4768">
        <v>2021</v>
      </c>
      <c r="C4768" t="s">
        <v>811</v>
      </c>
      <c r="D4768" t="s">
        <v>818</v>
      </c>
      <c r="E4768" t="s">
        <v>561</v>
      </c>
      <c r="F4768" t="s">
        <v>562</v>
      </c>
      <c r="G4768">
        <v>-43.016666999999998</v>
      </c>
      <c r="H4768">
        <v>147.55000000000001</v>
      </c>
      <c r="I4768" t="s">
        <v>767</v>
      </c>
      <c r="J4768" s="2" t="s">
        <v>7</v>
      </c>
      <c r="K4768" t="s">
        <v>41</v>
      </c>
      <c r="L4768" t="s">
        <v>3</v>
      </c>
      <c r="M4768" t="s">
        <v>727</v>
      </c>
      <c r="N4768" t="s">
        <v>85</v>
      </c>
      <c r="O4768" s="6" t="s">
        <v>142</v>
      </c>
      <c r="P4768" t="s">
        <v>74</v>
      </c>
      <c r="Q4768">
        <v>30</v>
      </c>
      <c r="R4768" t="s">
        <v>213</v>
      </c>
      <c r="S4768" s="2" t="s">
        <v>7</v>
      </c>
      <c r="T4768">
        <v>6</v>
      </c>
      <c r="U4768" t="s">
        <v>28</v>
      </c>
      <c r="V4768" t="s">
        <v>28</v>
      </c>
      <c r="W4768">
        <v>15.3</v>
      </c>
      <c r="X4768">
        <f>AVERAGE(5.19, 8.34, 9.61, 10.07, 11.06, 17.42)</f>
        <v>10.281666666666668</v>
      </c>
      <c r="Y4768">
        <f>STDEV(5.19, 8.34, 9.61, 10.07, 11.06, 17.42)</f>
        <v>4.0435796847183134</v>
      </c>
      <c r="AA4768" s="6"/>
      <c r="AB4768" s="6"/>
    </row>
    <row r="4769" spans="1:30" x14ac:dyDescent="0.2">
      <c r="A4769" t="s">
        <v>560</v>
      </c>
      <c r="B4769">
        <v>2021</v>
      </c>
      <c r="C4769" t="s">
        <v>811</v>
      </c>
      <c r="D4769" t="s">
        <v>818</v>
      </c>
      <c r="E4769" t="s">
        <v>561</v>
      </c>
      <c r="F4769" t="s">
        <v>562</v>
      </c>
      <c r="G4769">
        <v>-43.016666999999998</v>
      </c>
      <c r="H4769">
        <v>147.55000000000001</v>
      </c>
      <c r="I4769" t="s">
        <v>767</v>
      </c>
      <c r="J4769" s="2" t="s">
        <v>14</v>
      </c>
      <c r="K4769" t="s">
        <v>41</v>
      </c>
      <c r="L4769" t="s">
        <v>3</v>
      </c>
      <c r="M4769" t="s">
        <v>727</v>
      </c>
      <c r="N4769" t="s">
        <v>85</v>
      </c>
      <c r="O4769" s="6" t="s">
        <v>142</v>
      </c>
      <c r="P4769" t="s">
        <v>74</v>
      </c>
      <c r="Q4769">
        <v>30</v>
      </c>
      <c r="R4769" t="s">
        <v>213</v>
      </c>
      <c r="S4769" s="2" t="s">
        <v>9</v>
      </c>
      <c r="T4769">
        <v>3</v>
      </c>
      <c r="U4769" t="s">
        <v>28</v>
      </c>
      <c r="V4769" t="s">
        <v>28</v>
      </c>
      <c r="W4769">
        <v>16.899999999999999</v>
      </c>
      <c r="X4769">
        <f>AVERAGE(8.33, 10.03, 11.05)</f>
        <v>9.8033333333333328</v>
      </c>
      <c r="Y4769">
        <f>STDEV(8.33, 10.03, 11.05)</f>
        <v>1.3740936406713129</v>
      </c>
      <c r="AA4769" s="6"/>
      <c r="AB4769" s="6"/>
    </row>
    <row r="4770" spans="1:30" x14ac:dyDescent="0.2">
      <c r="A4770" t="s">
        <v>560</v>
      </c>
      <c r="B4770">
        <v>2021</v>
      </c>
      <c r="C4770" t="s">
        <v>811</v>
      </c>
      <c r="D4770" t="s">
        <v>818</v>
      </c>
      <c r="E4770" t="s">
        <v>561</v>
      </c>
      <c r="F4770" t="s">
        <v>562</v>
      </c>
      <c r="G4770">
        <v>-43.016666999999998</v>
      </c>
      <c r="H4770">
        <v>147.55000000000001</v>
      </c>
      <c r="I4770" t="s">
        <v>767</v>
      </c>
      <c r="J4770" s="2" t="s">
        <v>14</v>
      </c>
      <c r="K4770" t="s">
        <v>41</v>
      </c>
      <c r="L4770" t="s">
        <v>3</v>
      </c>
      <c r="M4770" t="s">
        <v>727</v>
      </c>
      <c r="N4770" t="s">
        <v>85</v>
      </c>
      <c r="O4770" s="6" t="s">
        <v>142</v>
      </c>
      <c r="P4770" t="s">
        <v>74</v>
      </c>
      <c r="Q4770">
        <v>30</v>
      </c>
      <c r="R4770" t="s">
        <v>213</v>
      </c>
      <c r="S4770" s="2" t="s">
        <v>27</v>
      </c>
      <c r="T4770">
        <v>6</v>
      </c>
      <c r="U4770" t="s">
        <v>28</v>
      </c>
      <c r="V4770" t="s">
        <v>28</v>
      </c>
      <c r="W4770">
        <v>18.5</v>
      </c>
      <c r="X4770">
        <f>AVERAGE(-0.22, 3.29, 3.92, 5.2, 7.97, 12.99)</f>
        <v>5.5249999999999995</v>
      </c>
      <c r="Y4770">
        <f>STDEV(-0.22, 3.29, 3.92, 5.2, 7.97, 12.99)</f>
        <v>4.5251773445910386</v>
      </c>
      <c r="AA4770" s="6"/>
      <c r="AB4770" s="6"/>
    </row>
    <row r="4771" spans="1:30" x14ac:dyDescent="0.2">
      <c r="A4771" t="s">
        <v>560</v>
      </c>
      <c r="B4771">
        <v>2021</v>
      </c>
      <c r="C4771" t="s">
        <v>811</v>
      </c>
      <c r="D4771" t="s">
        <v>818</v>
      </c>
      <c r="E4771" t="s">
        <v>561</v>
      </c>
      <c r="F4771" t="s">
        <v>562</v>
      </c>
      <c r="G4771">
        <v>-43.016666999999998</v>
      </c>
      <c r="H4771">
        <v>147.55000000000001</v>
      </c>
      <c r="I4771" t="s">
        <v>767</v>
      </c>
      <c r="J4771" s="2" t="s">
        <v>14</v>
      </c>
      <c r="K4771" t="s">
        <v>41</v>
      </c>
      <c r="L4771" t="s">
        <v>3</v>
      </c>
      <c r="M4771" t="s">
        <v>727</v>
      </c>
      <c r="N4771" t="s">
        <v>85</v>
      </c>
      <c r="O4771" s="6" t="s">
        <v>142</v>
      </c>
      <c r="P4771" t="s">
        <v>74</v>
      </c>
      <c r="Q4771">
        <v>30</v>
      </c>
      <c r="R4771" t="s">
        <v>213</v>
      </c>
      <c r="S4771" s="2" t="s">
        <v>15</v>
      </c>
      <c r="T4771">
        <v>3</v>
      </c>
      <c r="U4771" t="s">
        <v>28</v>
      </c>
      <c r="V4771" t="s">
        <v>28</v>
      </c>
      <c r="W4771">
        <v>19.899999999999999</v>
      </c>
      <c r="X4771">
        <f>AVERAGE(3.24, 4.26, 7.97)</f>
        <v>5.1566666666666663</v>
      </c>
      <c r="Y4771">
        <f>STDEV(3.24, 4.26, 7.97)</f>
        <v>2.4892234398167914</v>
      </c>
      <c r="AA4771" s="6"/>
      <c r="AB4771" s="6"/>
    </row>
    <row r="4772" spans="1:30" x14ac:dyDescent="0.2">
      <c r="A4772" t="s">
        <v>560</v>
      </c>
      <c r="B4772">
        <v>2021</v>
      </c>
      <c r="C4772" t="s">
        <v>811</v>
      </c>
      <c r="D4772" t="s">
        <v>818</v>
      </c>
      <c r="E4772" t="s">
        <v>561</v>
      </c>
      <c r="F4772" t="s">
        <v>562</v>
      </c>
      <c r="G4772">
        <v>-43.016666999999998</v>
      </c>
      <c r="H4772">
        <v>147.55000000000001</v>
      </c>
      <c r="I4772" t="s">
        <v>767</v>
      </c>
      <c r="J4772" s="2" t="s">
        <v>14</v>
      </c>
      <c r="K4772" t="s">
        <v>41</v>
      </c>
      <c r="L4772" t="s">
        <v>3</v>
      </c>
      <c r="M4772" t="s">
        <v>727</v>
      </c>
      <c r="N4772" t="s">
        <v>85</v>
      </c>
      <c r="O4772" s="6" t="s">
        <v>142</v>
      </c>
      <c r="P4772" t="s">
        <v>74</v>
      </c>
      <c r="Q4772">
        <v>30</v>
      </c>
      <c r="R4772" t="s">
        <v>213</v>
      </c>
      <c r="S4772" s="2" t="s">
        <v>37</v>
      </c>
      <c r="T4772">
        <v>6</v>
      </c>
      <c r="U4772" t="s">
        <v>28</v>
      </c>
      <c r="V4772" t="s">
        <v>28</v>
      </c>
      <c r="W4772">
        <v>21.1</v>
      </c>
      <c r="X4772">
        <f>AVERAGE(0, 1.15, 0, 0, 2.23, 0)</f>
        <v>0.56333333333333335</v>
      </c>
      <c r="Y4772">
        <f>STDEV(0, 1.15, 0, 0, 2.23, 0)</f>
        <v>0.93715882680934437</v>
      </c>
      <c r="AA4772" s="6"/>
      <c r="AB4772" s="6"/>
    </row>
    <row r="4773" spans="1:30" x14ac:dyDescent="0.2">
      <c r="A4773" t="s">
        <v>560</v>
      </c>
      <c r="B4773">
        <v>2021</v>
      </c>
      <c r="C4773" t="s">
        <v>811</v>
      </c>
      <c r="D4773" t="s">
        <v>818</v>
      </c>
      <c r="E4773" t="s">
        <v>561</v>
      </c>
      <c r="F4773" t="s">
        <v>562</v>
      </c>
      <c r="G4773">
        <v>-43.016666999999998</v>
      </c>
      <c r="H4773">
        <v>147.55000000000001</v>
      </c>
      <c r="I4773" t="s">
        <v>767</v>
      </c>
      <c r="J4773" s="2" t="s">
        <v>14</v>
      </c>
      <c r="K4773" t="s">
        <v>41</v>
      </c>
      <c r="L4773" t="s">
        <v>3</v>
      </c>
      <c r="M4773" t="s">
        <v>727</v>
      </c>
      <c r="N4773" t="s">
        <v>85</v>
      </c>
      <c r="O4773" s="6" t="s">
        <v>142</v>
      </c>
      <c r="P4773" t="s">
        <v>74</v>
      </c>
      <c r="Q4773">
        <v>30</v>
      </c>
      <c r="R4773" t="s">
        <v>213</v>
      </c>
      <c r="S4773" s="2" t="s">
        <v>116</v>
      </c>
      <c r="T4773">
        <v>3</v>
      </c>
      <c r="U4773" t="s">
        <v>28</v>
      </c>
      <c r="V4773" t="s">
        <v>28</v>
      </c>
      <c r="W4773">
        <v>22.4</v>
      </c>
      <c r="X4773">
        <f>AVERAGE(0,0,2.23)</f>
        <v>0.74333333333333329</v>
      </c>
      <c r="Y4773">
        <f>STDEV(0, 0, 2.23)</f>
        <v>1.2874911002928655</v>
      </c>
      <c r="AA4773" s="6"/>
      <c r="AB4773" s="6"/>
    </row>
    <row r="4774" spans="1:30" x14ac:dyDescent="0.2">
      <c r="A4774" t="s">
        <v>563</v>
      </c>
      <c r="B4774">
        <v>1997</v>
      </c>
      <c r="C4774" t="s">
        <v>826</v>
      </c>
      <c r="D4774" t="s">
        <v>824</v>
      </c>
      <c r="E4774" t="s">
        <v>48</v>
      </c>
      <c r="F4774" t="s">
        <v>566</v>
      </c>
      <c r="G4774">
        <v>40.937705000000001</v>
      </c>
      <c r="H4774">
        <v>-73.149041999999994</v>
      </c>
      <c r="J4774" s="2" t="s">
        <v>7</v>
      </c>
      <c r="K4774" t="s">
        <v>564</v>
      </c>
      <c r="L4774" t="s">
        <v>143</v>
      </c>
      <c r="M4774" t="s">
        <v>73</v>
      </c>
      <c r="N4774" t="s">
        <v>85</v>
      </c>
      <c r="O4774" s="6" t="s">
        <v>410</v>
      </c>
      <c r="P4774" t="s">
        <v>567</v>
      </c>
      <c r="Q4774">
        <v>10.5</v>
      </c>
      <c r="R4774" t="s">
        <v>213</v>
      </c>
      <c r="S4774" s="2" t="s">
        <v>7</v>
      </c>
      <c r="T4774">
        <v>4</v>
      </c>
      <c r="U4774" t="s">
        <v>28</v>
      </c>
      <c r="V4774" t="s">
        <v>28</v>
      </c>
      <c r="W4774">
        <v>12</v>
      </c>
      <c r="X4774" s="2">
        <v>1.52</v>
      </c>
      <c r="Y4774" s="6">
        <f t="shared" ref="Y4774:Y4797" si="84">Z4774*SQRT(T4774)</f>
        <v>0.12000000000000011</v>
      </c>
      <c r="Z4774">
        <f>1.58-X4774</f>
        <v>6.0000000000000053E-2</v>
      </c>
      <c r="AA4774" s="6"/>
      <c r="AB4774" s="6"/>
    </row>
    <row r="4775" spans="1:30" x14ac:dyDescent="0.2">
      <c r="A4775" t="s">
        <v>563</v>
      </c>
      <c r="B4775">
        <v>1997</v>
      </c>
      <c r="C4775" t="s">
        <v>826</v>
      </c>
      <c r="D4775" t="s">
        <v>824</v>
      </c>
      <c r="E4775" t="s">
        <v>48</v>
      </c>
      <c r="F4775" t="s">
        <v>566</v>
      </c>
      <c r="G4775">
        <v>40.937705000000001</v>
      </c>
      <c r="H4775">
        <v>-73.149041999999994</v>
      </c>
      <c r="J4775" s="2" t="s">
        <v>14</v>
      </c>
      <c r="K4775" t="s">
        <v>564</v>
      </c>
      <c r="L4775" t="s">
        <v>143</v>
      </c>
      <c r="M4775" t="s">
        <v>73</v>
      </c>
      <c r="N4775" t="s">
        <v>85</v>
      </c>
      <c r="O4775" s="6" t="s">
        <v>410</v>
      </c>
      <c r="P4775" t="s">
        <v>567</v>
      </c>
      <c r="Q4775">
        <v>10.5</v>
      </c>
      <c r="R4775" t="s">
        <v>213</v>
      </c>
      <c r="S4775" s="2" t="s">
        <v>27</v>
      </c>
      <c r="T4775">
        <v>4</v>
      </c>
      <c r="U4775" t="s">
        <v>28</v>
      </c>
      <c r="V4775" t="s">
        <v>28</v>
      </c>
      <c r="W4775">
        <v>22</v>
      </c>
      <c r="X4775">
        <v>1.3</v>
      </c>
      <c r="Y4775" s="6">
        <f t="shared" si="84"/>
        <v>0.1599999999999997</v>
      </c>
      <c r="Z4775">
        <f>1.38-X4775</f>
        <v>7.9999999999999849E-2</v>
      </c>
      <c r="AA4775" s="6"/>
      <c r="AB4775" s="6"/>
    </row>
    <row r="4776" spans="1:30" x14ac:dyDescent="0.2">
      <c r="A4776" t="s">
        <v>563</v>
      </c>
      <c r="B4776">
        <v>1997</v>
      </c>
      <c r="C4776" t="s">
        <v>826</v>
      </c>
      <c r="D4776" t="s">
        <v>824</v>
      </c>
      <c r="E4776" t="s">
        <v>48</v>
      </c>
      <c r="F4776" t="s">
        <v>565</v>
      </c>
      <c r="G4776">
        <v>43.839677000000002</v>
      </c>
      <c r="H4776">
        <v>-69.561995999999994</v>
      </c>
      <c r="J4776" s="2" t="s">
        <v>7</v>
      </c>
      <c r="K4776" t="s">
        <v>564</v>
      </c>
      <c r="L4776" t="s">
        <v>143</v>
      </c>
      <c r="M4776" t="s">
        <v>73</v>
      </c>
      <c r="N4776" t="s">
        <v>85</v>
      </c>
      <c r="O4776" s="6" t="s">
        <v>410</v>
      </c>
      <c r="P4776" t="s">
        <v>567</v>
      </c>
      <c r="Q4776">
        <v>10.5</v>
      </c>
      <c r="R4776" t="s">
        <v>213</v>
      </c>
      <c r="S4776" s="2" t="s">
        <v>7</v>
      </c>
      <c r="T4776">
        <v>4</v>
      </c>
      <c r="U4776" t="s">
        <v>28</v>
      </c>
      <c r="V4776" t="s">
        <v>28</v>
      </c>
      <c r="W4776">
        <v>12</v>
      </c>
      <c r="X4776">
        <v>1</v>
      </c>
      <c r="Y4776" s="6">
        <f t="shared" si="84"/>
        <v>0.16000000000000014</v>
      </c>
      <c r="Z4776">
        <f>1.08-X4776</f>
        <v>8.0000000000000071E-2</v>
      </c>
      <c r="AA4776" s="6"/>
      <c r="AB4776" s="6"/>
    </row>
    <row r="4777" spans="1:30" x14ac:dyDescent="0.2">
      <c r="A4777" t="s">
        <v>563</v>
      </c>
      <c r="B4777">
        <v>1997</v>
      </c>
      <c r="C4777" t="s">
        <v>826</v>
      </c>
      <c r="D4777" t="s">
        <v>824</v>
      </c>
      <c r="E4777" t="s">
        <v>48</v>
      </c>
      <c r="F4777" t="s">
        <v>565</v>
      </c>
      <c r="G4777">
        <v>43.839677000000002</v>
      </c>
      <c r="H4777">
        <v>-69.561995999999994</v>
      </c>
      <c r="J4777" s="2" t="s">
        <v>14</v>
      </c>
      <c r="K4777" t="s">
        <v>564</v>
      </c>
      <c r="L4777" t="s">
        <v>143</v>
      </c>
      <c r="M4777" t="s">
        <v>73</v>
      </c>
      <c r="N4777" t="s">
        <v>85</v>
      </c>
      <c r="O4777" s="6" t="s">
        <v>410</v>
      </c>
      <c r="P4777" t="s">
        <v>567</v>
      </c>
      <c r="Q4777">
        <v>10.5</v>
      </c>
      <c r="R4777" t="s">
        <v>213</v>
      </c>
      <c r="S4777" s="2" t="s">
        <v>27</v>
      </c>
      <c r="T4777">
        <v>4</v>
      </c>
      <c r="U4777" t="s">
        <v>28</v>
      </c>
      <c r="V4777" t="s">
        <v>28</v>
      </c>
      <c r="W4777">
        <v>22</v>
      </c>
      <c r="X4777">
        <v>0.87</v>
      </c>
      <c r="Y4777" s="6">
        <f t="shared" si="84"/>
        <v>0.1399999999999999</v>
      </c>
      <c r="Z4777">
        <f>0.94-X4777</f>
        <v>6.9999999999999951E-2</v>
      </c>
      <c r="AA4777" s="6"/>
      <c r="AB4777" s="6"/>
    </row>
    <row r="4778" spans="1:30" x14ac:dyDescent="0.2">
      <c r="A4778" t="s">
        <v>563</v>
      </c>
      <c r="B4778">
        <v>1997</v>
      </c>
      <c r="C4778" t="s">
        <v>826</v>
      </c>
      <c r="D4778" t="s">
        <v>824</v>
      </c>
      <c r="E4778" t="s">
        <v>48</v>
      </c>
      <c r="F4778" t="s">
        <v>566</v>
      </c>
      <c r="G4778">
        <v>40.937705000000001</v>
      </c>
      <c r="H4778">
        <v>-73.149041999999994</v>
      </c>
      <c r="J4778" s="2" t="s">
        <v>7</v>
      </c>
      <c r="K4778" t="s">
        <v>564</v>
      </c>
      <c r="L4778" t="s">
        <v>143</v>
      </c>
      <c r="M4778" t="s">
        <v>172</v>
      </c>
      <c r="N4778" t="s">
        <v>86</v>
      </c>
      <c r="O4778" s="6" t="s">
        <v>62</v>
      </c>
      <c r="P4778" t="s">
        <v>567</v>
      </c>
      <c r="Q4778">
        <v>10.5</v>
      </c>
      <c r="R4778" t="s">
        <v>213</v>
      </c>
      <c r="S4778" s="2" t="s">
        <v>7</v>
      </c>
      <c r="T4778">
        <v>4</v>
      </c>
      <c r="U4778" t="s">
        <v>28</v>
      </c>
      <c r="V4778" t="s">
        <v>28</v>
      </c>
      <c r="W4778">
        <v>12</v>
      </c>
      <c r="X4778">
        <v>0.17</v>
      </c>
      <c r="Y4778" s="6">
        <f t="shared" si="84"/>
        <v>0.15999999999999998</v>
      </c>
      <c r="Z4778">
        <f>0.25-X4778</f>
        <v>7.9999999999999988E-2</v>
      </c>
      <c r="AA4778" s="6"/>
      <c r="AB4778" s="6"/>
    </row>
    <row r="4779" spans="1:30" x14ac:dyDescent="0.2">
      <c r="A4779" t="s">
        <v>563</v>
      </c>
      <c r="B4779">
        <v>1997</v>
      </c>
      <c r="C4779" t="s">
        <v>826</v>
      </c>
      <c r="D4779" t="s">
        <v>824</v>
      </c>
      <c r="E4779" t="s">
        <v>48</v>
      </c>
      <c r="F4779" t="s">
        <v>566</v>
      </c>
      <c r="G4779">
        <v>40.937705000000001</v>
      </c>
      <c r="H4779">
        <v>-73.149041999999994</v>
      </c>
      <c r="J4779" s="2" t="s">
        <v>14</v>
      </c>
      <c r="K4779" t="s">
        <v>564</v>
      </c>
      <c r="L4779" t="s">
        <v>143</v>
      </c>
      <c r="M4779" t="s">
        <v>172</v>
      </c>
      <c r="N4779" t="s">
        <v>86</v>
      </c>
      <c r="O4779" s="6" t="s">
        <v>62</v>
      </c>
      <c r="P4779" t="s">
        <v>567</v>
      </c>
      <c r="Q4779">
        <v>10.5</v>
      </c>
      <c r="R4779" t="s">
        <v>213</v>
      </c>
      <c r="S4779" s="2" t="s">
        <v>27</v>
      </c>
      <c r="T4779">
        <v>4</v>
      </c>
      <c r="U4779" t="s">
        <v>28</v>
      </c>
      <c r="V4779" t="s">
        <v>28</v>
      </c>
      <c r="W4779">
        <v>22</v>
      </c>
      <c r="X4779">
        <v>0.34</v>
      </c>
      <c r="Y4779" s="6">
        <f t="shared" si="84"/>
        <v>0.15999999999999992</v>
      </c>
      <c r="Z4779">
        <f>0.42-X4779</f>
        <v>7.999999999999996E-2</v>
      </c>
      <c r="AA4779" s="6"/>
      <c r="AB4779" s="6"/>
    </row>
    <row r="4780" spans="1:30" x14ac:dyDescent="0.2">
      <c r="A4780" t="s">
        <v>563</v>
      </c>
      <c r="B4780">
        <v>1997</v>
      </c>
      <c r="C4780" t="s">
        <v>826</v>
      </c>
      <c r="D4780" t="s">
        <v>824</v>
      </c>
      <c r="E4780" t="s">
        <v>48</v>
      </c>
      <c r="F4780" t="s">
        <v>565</v>
      </c>
      <c r="G4780">
        <v>43.839677000000002</v>
      </c>
      <c r="H4780">
        <v>-69.561995999999994</v>
      </c>
      <c r="J4780" s="2" t="s">
        <v>7</v>
      </c>
      <c r="K4780" t="s">
        <v>564</v>
      </c>
      <c r="L4780" t="s">
        <v>143</v>
      </c>
      <c r="M4780" t="s">
        <v>172</v>
      </c>
      <c r="N4780" t="s">
        <v>86</v>
      </c>
      <c r="O4780" s="6" t="s">
        <v>62</v>
      </c>
      <c r="P4780" t="s">
        <v>567</v>
      </c>
      <c r="Q4780">
        <v>10.5</v>
      </c>
      <c r="R4780" t="s">
        <v>213</v>
      </c>
      <c r="S4780" s="2" t="s">
        <v>7</v>
      </c>
      <c r="T4780">
        <v>4</v>
      </c>
      <c r="U4780" t="s">
        <v>28</v>
      </c>
      <c r="V4780" t="s">
        <v>28</v>
      </c>
      <c r="W4780">
        <v>12</v>
      </c>
      <c r="X4780">
        <v>0.13</v>
      </c>
      <c r="Y4780" s="6">
        <f t="shared" si="84"/>
        <v>0.1</v>
      </c>
      <c r="Z4780">
        <f>X4780-0.08</f>
        <v>0.05</v>
      </c>
      <c r="AA4780" s="6"/>
      <c r="AB4780" s="6"/>
    </row>
    <row r="4781" spans="1:30" x14ac:dyDescent="0.2">
      <c r="A4781" t="s">
        <v>563</v>
      </c>
      <c r="B4781">
        <v>1997</v>
      </c>
      <c r="C4781" t="s">
        <v>826</v>
      </c>
      <c r="D4781" t="s">
        <v>824</v>
      </c>
      <c r="E4781" t="s">
        <v>48</v>
      </c>
      <c r="F4781" t="s">
        <v>565</v>
      </c>
      <c r="G4781">
        <v>43.839677000000002</v>
      </c>
      <c r="H4781">
        <v>-69.561995999999994</v>
      </c>
      <c r="J4781" s="2" t="s">
        <v>14</v>
      </c>
      <c r="K4781" t="s">
        <v>564</v>
      </c>
      <c r="L4781" t="s">
        <v>143</v>
      </c>
      <c r="M4781" t="s">
        <v>172</v>
      </c>
      <c r="N4781" t="s">
        <v>86</v>
      </c>
      <c r="O4781" s="6" t="s">
        <v>62</v>
      </c>
      <c r="P4781" t="s">
        <v>567</v>
      </c>
      <c r="Q4781">
        <v>10.5</v>
      </c>
      <c r="R4781" t="s">
        <v>213</v>
      </c>
      <c r="S4781" s="2" t="s">
        <v>27</v>
      </c>
      <c r="T4781">
        <v>4</v>
      </c>
      <c r="U4781" t="s">
        <v>28</v>
      </c>
      <c r="V4781" t="s">
        <v>28</v>
      </c>
      <c r="W4781">
        <v>22</v>
      </c>
      <c r="X4781">
        <v>0.3</v>
      </c>
      <c r="Y4781" s="6">
        <f t="shared" si="84"/>
        <v>0.13999999999999996</v>
      </c>
      <c r="Z4781">
        <f>X4781-0.23</f>
        <v>6.9999999999999979E-2</v>
      </c>
      <c r="AA4781" s="6"/>
      <c r="AB4781" s="6"/>
    </row>
    <row r="4782" spans="1:30" x14ac:dyDescent="0.2">
      <c r="A4782" t="s">
        <v>563</v>
      </c>
      <c r="B4782">
        <v>1997</v>
      </c>
      <c r="C4782" t="s">
        <v>826</v>
      </c>
      <c r="D4782" t="s">
        <v>824</v>
      </c>
      <c r="E4782" t="s">
        <v>48</v>
      </c>
      <c r="F4782" t="s">
        <v>566</v>
      </c>
      <c r="G4782">
        <v>40.937705000000001</v>
      </c>
      <c r="H4782">
        <v>-73.149041999999994</v>
      </c>
      <c r="J4782" s="2" t="s">
        <v>7</v>
      </c>
      <c r="K4782" t="s">
        <v>564</v>
      </c>
      <c r="L4782" t="s">
        <v>143</v>
      </c>
      <c r="M4782" t="s">
        <v>726</v>
      </c>
      <c r="N4782" t="s">
        <v>86</v>
      </c>
      <c r="O4782" s="6" t="s">
        <v>568</v>
      </c>
      <c r="P4782" t="s">
        <v>70</v>
      </c>
      <c r="Q4782">
        <v>10.5</v>
      </c>
      <c r="R4782" t="s">
        <v>213</v>
      </c>
      <c r="S4782" s="2" t="s">
        <v>7</v>
      </c>
      <c r="T4782">
        <v>3</v>
      </c>
      <c r="U4782" t="s">
        <v>28</v>
      </c>
      <c r="V4782" t="s">
        <v>28</v>
      </c>
      <c r="W4782">
        <v>12</v>
      </c>
      <c r="X4782">
        <v>4.79</v>
      </c>
      <c r="Y4782" s="6">
        <f t="shared" si="84"/>
        <v>1.073871500692704</v>
      </c>
      <c r="Z4782">
        <f>5.41-X4782</f>
        <v>0.62000000000000011</v>
      </c>
      <c r="AA4782" s="6"/>
      <c r="AB4782" s="6"/>
      <c r="AD4782" s="4"/>
    </row>
    <row r="4783" spans="1:30" x14ac:dyDescent="0.2">
      <c r="A4783" t="s">
        <v>563</v>
      </c>
      <c r="B4783">
        <v>1997</v>
      </c>
      <c r="C4783" t="s">
        <v>826</v>
      </c>
      <c r="D4783" t="s">
        <v>824</v>
      </c>
      <c r="E4783" t="s">
        <v>48</v>
      </c>
      <c r="F4783" t="s">
        <v>566</v>
      </c>
      <c r="G4783">
        <v>40.937705000000001</v>
      </c>
      <c r="H4783">
        <v>-73.149041999999994</v>
      </c>
      <c r="J4783" s="2" t="s">
        <v>14</v>
      </c>
      <c r="K4783" t="s">
        <v>564</v>
      </c>
      <c r="L4783" t="s">
        <v>143</v>
      </c>
      <c r="M4783" t="s">
        <v>726</v>
      </c>
      <c r="N4783" t="s">
        <v>86</v>
      </c>
      <c r="O4783" s="6" t="s">
        <v>568</v>
      </c>
      <c r="P4783" t="s">
        <v>70</v>
      </c>
      <c r="Q4783">
        <v>10.5</v>
      </c>
      <c r="R4783" t="s">
        <v>213</v>
      </c>
      <c r="S4783" s="2" t="s">
        <v>9</v>
      </c>
      <c r="T4783">
        <v>3</v>
      </c>
      <c r="U4783" t="s">
        <v>28</v>
      </c>
      <c r="V4783" t="s">
        <v>28</v>
      </c>
      <c r="W4783">
        <v>20</v>
      </c>
      <c r="X4783">
        <v>5.27</v>
      </c>
      <c r="Y4783" s="6">
        <f t="shared" si="84"/>
        <v>1.3163586137523478</v>
      </c>
      <c r="Z4783">
        <f>6.03-X4783</f>
        <v>0.76000000000000068</v>
      </c>
      <c r="AA4783" s="6"/>
      <c r="AB4783" s="6"/>
      <c r="AD4783" s="4"/>
    </row>
    <row r="4784" spans="1:30" x14ac:dyDescent="0.2">
      <c r="A4784" t="s">
        <v>563</v>
      </c>
      <c r="B4784">
        <v>1997</v>
      </c>
      <c r="C4784" t="s">
        <v>826</v>
      </c>
      <c r="D4784" t="s">
        <v>824</v>
      </c>
      <c r="E4784" t="s">
        <v>48</v>
      </c>
      <c r="F4784" t="s">
        <v>565</v>
      </c>
      <c r="G4784">
        <v>43.839677000000002</v>
      </c>
      <c r="H4784">
        <v>-69.561995999999994</v>
      </c>
      <c r="J4784" s="2" t="s">
        <v>7</v>
      </c>
      <c r="K4784" t="s">
        <v>564</v>
      </c>
      <c r="L4784" t="s">
        <v>143</v>
      </c>
      <c r="M4784" t="s">
        <v>726</v>
      </c>
      <c r="N4784" t="s">
        <v>86</v>
      </c>
      <c r="O4784" s="6" t="s">
        <v>568</v>
      </c>
      <c r="P4784" t="s">
        <v>70</v>
      </c>
      <c r="Q4784">
        <v>10.5</v>
      </c>
      <c r="R4784" t="s">
        <v>213</v>
      </c>
      <c r="S4784" s="2" t="s">
        <v>7</v>
      </c>
      <c r="T4784">
        <v>3</v>
      </c>
      <c r="U4784" t="s">
        <v>28</v>
      </c>
      <c r="V4784" t="s">
        <v>28</v>
      </c>
      <c r="W4784">
        <v>12</v>
      </c>
      <c r="X4784">
        <v>3.56</v>
      </c>
      <c r="Y4784" s="6">
        <f t="shared" si="84"/>
        <v>0.7274613391789283</v>
      </c>
      <c r="Z4784">
        <f>X4784-3.14</f>
        <v>0.41999999999999993</v>
      </c>
      <c r="AA4784" s="6"/>
      <c r="AB4784" s="6"/>
      <c r="AD4784" s="4"/>
    </row>
    <row r="4785" spans="1:30" x14ac:dyDescent="0.2">
      <c r="A4785" t="s">
        <v>563</v>
      </c>
      <c r="B4785">
        <v>1997</v>
      </c>
      <c r="C4785" t="s">
        <v>826</v>
      </c>
      <c r="D4785" t="s">
        <v>824</v>
      </c>
      <c r="E4785" t="s">
        <v>48</v>
      </c>
      <c r="F4785" t="s">
        <v>565</v>
      </c>
      <c r="G4785">
        <v>43.839677000000002</v>
      </c>
      <c r="H4785">
        <v>-69.561995999999994</v>
      </c>
      <c r="J4785" s="2" t="s">
        <v>14</v>
      </c>
      <c r="K4785" t="s">
        <v>564</v>
      </c>
      <c r="L4785" t="s">
        <v>143</v>
      </c>
      <c r="M4785" t="s">
        <v>726</v>
      </c>
      <c r="N4785" t="s">
        <v>86</v>
      </c>
      <c r="O4785" s="6" t="s">
        <v>568</v>
      </c>
      <c r="P4785" t="s">
        <v>70</v>
      </c>
      <c r="Q4785">
        <v>10.5</v>
      </c>
      <c r="R4785" t="s">
        <v>213</v>
      </c>
      <c r="S4785" s="2" t="s">
        <v>9</v>
      </c>
      <c r="T4785">
        <v>3</v>
      </c>
      <c r="U4785" t="s">
        <v>28</v>
      </c>
      <c r="V4785" t="s">
        <v>28</v>
      </c>
      <c r="W4785">
        <v>20</v>
      </c>
      <c r="X4785">
        <v>4.3099999999999996</v>
      </c>
      <c r="Y4785" s="6">
        <f t="shared" si="84"/>
        <v>1.2817175976009687</v>
      </c>
      <c r="Z4785">
        <f>X4785-3.57</f>
        <v>0.73999999999999977</v>
      </c>
      <c r="AA4785" s="6"/>
      <c r="AB4785" s="6"/>
      <c r="AD4785" s="4"/>
    </row>
    <row r="4786" spans="1:30" x14ac:dyDescent="0.2">
      <c r="A4786" t="s">
        <v>563</v>
      </c>
      <c r="B4786">
        <v>1997</v>
      </c>
      <c r="C4786" t="s">
        <v>826</v>
      </c>
      <c r="D4786" t="s">
        <v>824</v>
      </c>
      <c r="E4786" t="s">
        <v>48</v>
      </c>
      <c r="F4786" t="s">
        <v>565</v>
      </c>
      <c r="G4786">
        <v>43.839677000000002</v>
      </c>
      <c r="H4786">
        <v>-69.561995999999994</v>
      </c>
      <c r="J4786" s="2" t="s">
        <v>7</v>
      </c>
      <c r="K4786" t="s">
        <v>564</v>
      </c>
      <c r="L4786" t="s">
        <v>143</v>
      </c>
      <c r="M4786" t="s">
        <v>638</v>
      </c>
      <c r="N4786" t="s">
        <v>85</v>
      </c>
      <c r="O4786" s="6" t="s">
        <v>107</v>
      </c>
      <c r="P4786" t="s">
        <v>126</v>
      </c>
      <c r="Q4786">
        <v>10.5</v>
      </c>
      <c r="R4786" t="s">
        <v>213</v>
      </c>
      <c r="S4786" s="2" t="s">
        <v>7</v>
      </c>
      <c r="T4786">
        <v>29</v>
      </c>
      <c r="U4786" t="s">
        <v>28</v>
      </c>
      <c r="V4786" t="s">
        <v>28</v>
      </c>
      <c r="W4786">
        <v>12</v>
      </c>
      <c r="X4786">
        <v>2.78</v>
      </c>
      <c r="Y4786" s="6">
        <f t="shared" si="84"/>
        <v>0.3231098884280702</v>
      </c>
      <c r="Z4786">
        <v>0.06</v>
      </c>
      <c r="AA4786" s="6"/>
      <c r="AB4786" s="6"/>
      <c r="AD4786" s="4"/>
    </row>
    <row r="4787" spans="1:30" x14ac:dyDescent="0.2">
      <c r="A4787" t="s">
        <v>563</v>
      </c>
      <c r="B4787">
        <v>1997</v>
      </c>
      <c r="C4787" t="s">
        <v>826</v>
      </c>
      <c r="D4787" t="s">
        <v>824</v>
      </c>
      <c r="E4787" t="s">
        <v>48</v>
      </c>
      <c r="F4787" t="s">
        <v>565</v>
      </c>
      <c r="G4787">
        <v>43.839677000000002</v>
      </c>
      <c r="H4787">
        <v>-69.561995999999994</v>
      </c>
      <c r="J4787" s="2" t="s">
        <v>14</v>
      </c>
      <c r="K4787" t="s">
        <v>564</v>
      </c>
      <c r="L4787" t="s">
        <v>143</v>
      </c>
      <c r="M4787" t="s">
        <v>638</v>
      </c>
      <c r="N4787" t="s">
        <v>85</v>
      </c>
      <c r="O4787" s="6" t="s">
        <v>107</v>
      </c>
      <c r="P4787" t="s">
        <v>126</v>
      </c>
      <c r="Q4787">
        <v>10.5</v>
      </c>
      <c r="R4787" t="s">
        <v>213</v>
      </c>
      <c r="S4787" s="2" t="s">
        <v>27</v>
      </c>
      <c r="T4787">
        <v>21</v>
      </c>
      <c r="U4787" t="s">
        <v>28</v>
      </c>
      <c r="V4787" t="s">
        <v>28</v>
      </c>
      <c r="W4787">
        <v>22</v>
      </c>
      <c r="X4787">
        <v>2.4700000000000002</v>
      </c>
      <c r="Y4787" s="6">
        <f t="shared" si="84"/>
        <v>0.41243181254602557</v>
      </c>
      <c r="Z4787">
        <v>0.09</v>
      </c>
      <c r="AA4787" s="6"/>
      <c r="AB4787" s="6"/>
      <c r="AD4787" s="4"/>
    </row>
    <row r="4788" spans="1:30" x14ac:dyDescent="0.2">
      <c r="A4788" t="s">
        <v>563</v>
      </c>
      <c r="B4788">
        <v>1997</v>
      </c>
      <c r="C4788" t="s">
        <v>826</v>
      </c>
      <c r="D4788" t="s">
        <v>824</v>
      </c>
      <c r="E4788" t="s">
        <v>48</v>
      </c>
      <c r="F4788" t="s">
        <v>566</v>
      </c>
      <c r="G4788">
        <v>40.937705000000001</v>
      </c>
      <c r="H4788">
        <v>-73.149041999999994</v>
      </c>
      <c r="J4788" s="2" t="s">
        <v>7</v>
      </c>
      <c r="K4788" t="s">
        <v>564</v>
      </c>
      <c r="L4788" t="s">
        <v>143</v>
      </c>
      <c r="M4788" t="s">
        <v>638</v>
      </c>
      <c r="N4788" t="s">
        <v>85</v>
      </c>
      <c r="O4788" s="6" t="s">
        <v>107</v>
      </c>
      <c r="P4788" t="s">
        <v>126</v>
      </c>
      <c r="Q4788">
        <v>10.5</v>
      </c>
      <c r="R4788" t="s">
        <v>213</v>
      </c>
      <c r="S4788" s="2" t="s">
        <v>7</v>
      </c>
      <c r="T4788">
        <v>20</v>
      </c>
      <c r="U4788" t="s">
        <v>28</v>
      </c>
      <c r="V4788" t="s">
        <v>28</v>
      </c>
      <c r="W4788">
        <v>12</v>
      </c>
      <c r="X4788">
        <v>3.5</v>
      </c>
      <c r="Y4788" s="6">
        <f t="shared" si="84"/>
        <v>0.49193495504995377</v>
      </c>
      <c r="Z4788">
        <v>0.11</v>
      </c>
      <c r="AA4788" s="6"/>
      <c r="AB4788" s="6"/>
      <c r="AD4788" s="4"/>
    </row>
    <row r="4789" spans="1:30" x14ac:dyDescent="0.2">
      <c r="A4789" t="s">
        <v>563</v>
      </c>
      <c r="B4789">
        <v>1997</v>
      </c>
      <c r="C4789" t="s">
        <v>826</v>
      </c>
      <c r="D4789" t="s">
        <v>824</v>
      </c>
      <c r="E4789" t="s">
        <v>48</v>
      </c>
      <c r="F4789" t="s">
        <v>566</v>
      </c>
      <c r="G4789">
        <v>40.937705000000001</v>
      </c>
      <c r="H4789">
        <v>-73.149041999999994</v>
      </c>
      <c r="J4789" s="2" t="s">
        <v>14</v>
      </c>
      <c r="K4789" t="s">
        <v>564</v>
      </c>
      <c r="L4789" t="s">
        <v>143</v>
      </c>
      <c r="M4789" t="s">
        <v>638</v>
      </c>
      <c r="N4789" t="s">
        <v>85</v>
      </c>
      <c r="O4789" s="6" t="s">
        <v>107</v>
      </c>
      <c r="P4789" t="s">
        <v>126</v>
      </c>
      <c r="Q4789">
        <v>10.5</v>
      </c>
      <c r="R4789" t="s">
        <v>213</v>
      </c>
      <c r="S4789" s="2" t="s">
        <v>27</v>
      </c>
      <c r="T4789">
        <v>22</v>
      </c>
      <c r="U4789" t="s">
        <v>28</v>
      </c>
      <c r="V4789" t="s">
        <v>28</v>
      </c>
      <c r="W4789">
        <v>22</v>
      </c>
      <c r="X4789">
        <v>3.16</v>
      </c>
      <c r="Y4789" s="6">
        <f t="shared" si="84"/>
        <v>0.51594573358057727</v>
      </c>
      <c r="Z4789">
        <v>0.11</v>
      </c>
      <c r="AA4789" s="6"/>
      <c r="AB4789" s="6"/>
      <c r="AD4789" s="4"/>
    </row>
    <row r="4790" spans="1:30" x14ac:dyDescent="0.2">
      <c r="A4790" t="s">
        <v>563</v>
      </c>
      <c r="B4790">
        <v>1997</v>
      </c>
      <c r="C4790" t="s">
        <v>826</v>
      </c>
      <c r="D4790" t="s">
        <v>824</v>
      </c>
      <c r="E4790" t="s">
        <v>48</v>
      </c>
      <c r="F4790" t="s">
        <v>565</v>
      </c>
      <c r="G4790">
        <v>43.839677000000002</v>
      </c>
      <c r="H4790">
        <v>-69.561995999999994</v>
      </c>
      <c r="J4790" s="2" t="s">
        <v>7</v>
      </c>
      <c r="K4790" t="s">
        <v>564</v>
      </c>
      <c r="L4790" t="s">
        <v>143</v>
      </c>
      <c r="M4790" t="s">
        <v>638</v>
      </c>
      <c r="N4790" t="s">
        <v>85</v>
      </c>
      <c r="O4790" s="6" t="s">
        <v>348</v>
      </c>
      <c r="P4790" t="s">
        <v>391</v>
      </c>
      <c r="Q4790">
        <v>10.5</v>
      </c>
      <c r="R4790" t="s">
        <v>213</v>
      </c>
      <c r="S4790" s="2" t="s">
        <v>7</v>
      </c>
      <c r="T4790">
        <v>26</v>
      </c>
      <c r="U4790" t="s">
        <v>28</v>
      </c>
      <c r="V4790" t="s">
        <v>28</v>
      </c>
      <c r="W4790">
        <v>12</v>
      </c>
      <c r="X4790">
        <v>305</v>
      </c>
      <c r="Y4790" s="6">
        <f t="shared" si="84"/>
        <v>71.386273190298979</v>
      </c>
      <c r="Z4790">
        <v>14</v>
      </c>
      <c r="AA4790" s="6"/>
      <c r="AB4790" s="6"/>
      <c r="AD4790" s="4"/>
    </row>
    <row r="4791" spans="1:30" x14ac:dyDescent="0.2">
      <c r="A4791" t="s">
        <v>563</v>
      </c>
      <c r="B4791">
        <v>1997</v>
      </c>
      <c r="C4791" t="s">
        <v>826</v>
      </c>
      <c r="D4791" t="s">
        <v>824</v>
      </c>
      <c r="E4791" t="s">
        <v>48</v>
      </c>
      <c r="F4791" t="s">
        <v>565</v>
      </c>
      <c r="G4791">
        <v>43.839677000000002</v>
      </c>
      <c r="H4791">
        <v>-69.561995999999994</v>
      </c>
      <c r="J4791" s="2" t="s">
        <v>14</v>
      </c>
      <c r="K4791" t="s">
        <v>564</v>
      </c>
      <c r="L4791" t="s">
        <v>143</v>
      </c>
      <c r="M4791" t="s">
        <v>638</v>
      </c>
      <c r="N4791" t="s">
        <v>85</v>
      </c>
      <c r="O4791" s="6" t="s">
        <v>348</v>
      </c>
      <c r="P4791" t="s">
        <v>391</v>
      </c>
      <c r="Q4791">
        <v>10.5</v>
      </c>
      <c r="R4791" t="s">
        <v>213</v>
      </c>
      <c r="S4791" s="2" t="s">
        <v>27</v>
      </c>
      <c r="T4791">
        <v>16</v>
      </c>
      <c r="U4791" t="s">
        <v>28</v>
      </c>
      <c r="V4791" t="s">
        <v>28</v>
      </c>
      <c r="W4791">
        <v>22</v>
      </c>
      <c r="X4791">
        <v>322</v>
      </c>
      <c r="Y4791" s="6">
        <f t="shared" si="84"/>
        <v>104</v>
      </c>
      <c r="Z4791">
        <v>26</v>
      </c>
      <c r="AA4791" s="6"/>
      <c r="AB4791" s="6"/>
      <c r="AD4791" s="4"/>
    </row>
    <row r="4792" spans="1:30" x14ac:dyDescent="0.2">
      <c r="A4792" t="s">
        <v>563</v>
      </c>
      <c r="B4792">
        <v>1997</v>
      </c>
      <c r="C4792" t="s">
        <v>826</v>
      </c>
      <c r="D4792" t="s">
        <v>824</v>
      </c>
      <c r="E4792" t="s">
        <v>48</v>
      </c>
      <c r="F4792" t="s">
        <v>566</v>
      </c>
      <c r="G4792">
        <v>40.937705000000001</v>
      </c>
      <c r="H4792">
        <v>-73.149041999999994</v>
      </c>
      <c r="J4792" s="2" t="s">
        <v>7</v>
      </c>
      <c r="K4792" t="s">
        <v>564</v>
      </c>
      <c r="L4792" t="s">
        <v>143</v>
      </c>
      <c r="M4792" t="s">
        <v>638</v>
      </c>
      <c r="N4792" t="s">
        <v>85</v>
      </c>
      <c r="O4792" s="6" t="s">
        <v>348</v>
      </c>
      <c r="P4792" t="s">
        <v>391</v>
      </c>
      <c r="Q4792">
        <v>10.5</v>
      </c>
      <c r="R4792" t="s">
        <v>213</v>
      </c>
      <c r="S4792" s="2" t="s">
        <v>7</v>
      </c>
      <c r="T4792">
        <v>18</v>
      </c>
      <c r="U4792" t="s">
        <v>28</v>
      </c>
      <c r="V4792" t="s">
        <v>28</v>
      </c>
      <c r="W4792">
        <v>12</v>
      </c>
      <c r="X4792">
        <v>461</v>
      </c>
      <c r="Y4792" s="6">
        <f t="shared" si="84"/>
        <v>93.33809511662426</v>
      </c>
      <c r="Z4792">
        <v>22</v>
      </c>
      <c r="AA4792" s="6"/>
      <c r="AB4792" s="6"/>
      <c r="AD4792" s="4"/>
    </row>
    <row r="4793" spans="1:30" x14ac:dyDescent="0.2">
      <c r="A4793" t="s">
        <v>563</v>
      </c>
      <c r="B4793">
        <v>1997</v>
      </c>
      <c r="C4793" t="s">
        <v>826</v>
      </c>
      <c r="D4793" t="s">
        <v>824</v>
      </c>
      <c r="E4793" t="s">
        <v>48</v>
      </c>
      <c r="F4793" t="s">
        <v>566</v>
      </c>
      <c r="G4793">
        <v>40.937705000000001</v>
      </c>
      <c r="H4793">
        <v>-73.149041999999994</v>
      </c>
      <c r="J4793" s="2" t="s">
        <v>14</v>
      </c>
      <c r="K4793" t="s">
        <v>564</v>
      </c>
      <c r="L4793" t="s">
        <v>143</v>
      </c>
      <c r="M4793" t="s">
        <v>638</v>
      </c>
      <c r="N4793" t="s">
        <v>85</v>
      </c>
      <c r="O4793" s="6" t="s">
        <v>348</v>
      </c>
      <c r="P4793" t="s">
        <v>391</v>
      </c>
      <c r="Q4793">
        <v>10.5</v>
      </c>
      <c r="R4793" t="s">
        <v>213</v>
      </c>
      <c r="S4793" s="2" t="s">
        <v>27</v>
      </c>
      <c r="T4793">
        <v>16</v>
      </c>
      <c r="U4793" t="s">
        <v>28</v>
      </c>
      <c r="V4793" t="s">
        <v>28</v>
      </c>
      <c r="W4793">
        <v>22</v>
      </c>
      <c r="X4793">
        <v>554</v>
      </c>
      <c r="Y4793" s="6">
        <f t="shared" si="84"/>
        <v>80</v>
      </c>
      <c r="Z4793">
        <v>20</v>
      </c>
      <c r="AA4793" s="6"/>
      <c r="AB4793" s="6"/>
      <c r="AD4793" s="4"/>
    </row>
    <row r="4794" spans="1:30" x14ac:dyDescent="0.2">
      <c r="A4794" t="s">
        <v>563</v>
      </c>
      <c r="B4794">
        <v>1997</v>
      </c>
      <c r="C4794" t="s">
        <v>826</v>
      </c>
      <c r="D4794" t="s">
        <v>824</v>
      </c>
      <c r="E4794" t="s">
        <v>48</v>
      </c>
      <c r="F4794" t="s">
        <v>565</v>
      </c>
      <c r="G4794">
        <v>43.839677000000002</v>
      </c>
      <c r="H4794">
        <v>-69.561995999999994</v>
      </c>
      <c r="J4794" s="2" t="s">
        <v>7</v>
      </c>
      <c r="K4794" t="s">
        <v>564</v>
      </c>
      <c r="L4794" t="s">
        <v>143</v>
      </c>
      <c r="M4794" t="s">
        <v>638</v>
      </c>
      <c r="N4794" t="s">
        <v>85</v>
      </c>
      <c r="O4794" s="6" t="s">
        <v>221</v>
      </c>
      <c r="P4794" t="s">
        <v>126</v>
      </c>
      <c r="Q4794">
        <v>10.5</v>
      </c>
      <c r="R4794" t="s">
        <v>213</v>
      </c>
      <c r="S4794" s="2" t="s">
        <v>7</v>
      </c>
      <c r="T4794">
        <v>29</v>
      </c>
      <c r="U4794" t="s">
        <v>28</v>
      </c>
      <c r="V4794" t="s">
        <v>28</v>
      </c>
      <c r="W4794">
        <v>12</v>
      </c>
      <c r="X4794">
        <v>27.1</v>
      </c>
      <c r="Y4794" s="6">
        <f t="shared" si="84"/>
        <v>3.2310988842807022</v>
      </c>
      <c r="Z4794">
        <v>0.6</v>
      </c>
      <c r="AA4794" s="6"/>
      <c r="AB4794" s="6"/>
      <c r="AD4794" s="4"/>
    </row>
    <row r="4795" spans="1:30" x14ac:dyDescent="0.2">
      <c r="A4795" t="s">
        <v>563</v>
      </c>
      <c r="B4795">
        <v>1997</v>
      </c>
      <c r="C4795" t="s">
        <v>826</v>
      </c>
      <c r="D4795" t="s">
        <v>824</v>
      </c>
      <c r="E4795" t="s">
        <v>48</v>
      </c>
      <c r="F4795" t="s">
        <v>565</v>
      </c>
      <c r="G4795">
        <v>43.839677000000002</v>
      </c>
      <c r="H4795">
        <v>-69.561995999999994</v>
      </c>
      <c r="J4795" s="2" t="s">
        <v>14</v>
      </c>
      <c r="K4795" t="s">
        <v>564</v>
      </c>
      <c r="L4795" t="s">
        <v>143</v>
      </c>
      <c r="M4795" t="s">
        <v>638</v>
      </c>
      <c r="N4795" t="s">
        <v>85</v>
      </c>
      <c r="O4795" s="6" t="s">
        <v>221</v>
      </c>
      <c r="P4795" t="s">
        <v>126</v>
      </c>
      <c r="Q4795">
        <v>10.5</v>
      </c>
      <c r="R4795" t="s">
        <v>213</v>
      </c>
      <c r="S4795" s="2" t="s">
        <v>27</v>
      </c>
      <c r="T4795">
        <v>17</v>
      </c>
      <c r="U4795" t="s">
        <v>28</v>
      </c>
      <c r="V4795" t="s">
        <v>28</v>
      </c>
      <c r="W4795">
        <v>22</v>
      </c>
      <c r="X4795">
        <v>23.3</v>
      </c>
      <c r="Y4795" s="6">
        <f t="shared" si="84"/>
        <v>3.7107950630558948</v>
      </c>
      <c r="Z4795">
        <v>0.9</v>
      </c>
      <c r="AA4795" s="6"/>
      <c r="AB4795" s="6"/>
      <c r="AD4795" s="4"/>
    </row>
    <row r="4796" spans="1:30" x14ac:dyDescent="0.2">
      <c r="A4796" t="s">
        <v>563</v>
      </c>
      <c r="B4796">
        <v>1997</v>
      </c>
      <c r="C4796" t="s">
        <v>826</v>
      </c>
      <c r="D4796" t="s">
        <v>824</v>
      </c>
      <c r="E4796" t="s">
        <v>48</v>
      </c>
      <c r="F4796" t="s">
        <v>566</v>
      </c>
      <c r="G4796">
        <v>40.937705000000001</v>
      </c>
      <c r="H4796">
        <v>-73.149041999999994</v>
      </c>
      <c r="J4796" s="2" t="s">
        <v>7</v>
      </c>
      <c r="K4796" t="s">
        <v>564</v>
      </c>
      <c r="L4796" t="s">
        <v>143</v>
      </c>
      <c r="M4796" t="s">
        <v>638</v>
      </c>
      <c r="N4796" t="s">
        <v>85</v>
      </c>
      <c r="O4796" s="6" t="s">
        <v>221</v>
      </c>
      <c r="P4796" t="s">
        <v>126</v>
      </c>
      <c r="Q4796">
        <v>10.5</v>
      </c>
      <c r="R4796" t="s">
        <v>213</v>
      </c>
      <c r="S4796" s="2" t="s">
        <v>7</v>
      </c>
      <c r="T4796">
        <v>19</v>
      </c>
      <c r="U4796" t="s">
        <v>28</v>
      </c>
      <c r="V4796" t="s">
        <v>28</v>
      </c>
      <c r="W4796">
        <v>12</v>
      </c>
      <c r="X4796">
        <v>29.6</v>
      </c>
      <c r="Y4796" s="6">
        <f t="shared" si="84"/>
        <v>1.7435595774162698</v>
      </c>
      <c r="Z4796">
        <v>0.4</v>
      </c>
      <c r="AA4796" s="6"/>
      <c r="AB4796" s="6"/>
      <c r="AD4796" s="4"/>
    </row>
    <row r="4797" spans="1:30" x14ac:dyDescent="0.2">
      <c r="A4797" t="s">
        <v>563</v>
      </c>
      <c r="B4797">
        <v>1997</v>
      </c>
      <c r="C4797" t="s">
        <v>826</v>
      </c>
      <c r="D4797" t="s">
        <v>824</v>
      </c>
      <c r="E4797" t="s">
        <v>48</v>
      </c>
      <c r="F4797" t="s">
        <v>566</v>
      </c>
      <c r="G4797">
        <v>40.937705000000001</v>
      </c>
      <c r="H4797">
        <v>-73.149041999999994</v>
      </c>
      <c r="J4797" s="2" t="s">
        <v>14</v>
      </c>
      <c r="K4797" t="s">
        <v>564</v>
      </c>
      <c r="L4797" t="s">
        <v>143</v>
      </c>
      <c r="M4797" t="s">
        <v>638</v>
      </c>
      <c r="N4797" t="s">
        <v>85</v>
      </c>
      <c r="O4797" s="6" t="s">
        <v>221</v>
      </c>
      <c r="P4797" t="s">
        <v>126</v>
      </c>
      <c r="Q4797">
        <v>10.5</v>
      </c>
      <c r="R4797" t="s">
        <v>213</v>
      </c>
      <c r="S4797" s="2" t="s">
        <v>27</v>
      </c>
      <c r="T4797">
        <v>12</v>
      </c>
      <c r="U4797" t="s">
        <v>28</v>
      </c>
      <c r="V4797" t="s">
        <v>28</v>
      </c>
      <c r="W4797">
        <v>22</v>
      </c>
      <c r="X4797">
        <v>25.6</v>
      </c>
      <c r="Y4797" s="6">
        <f t="shared" si="84"/>
        <v>2.4248711305964279</v>
      </c>
      <c r="Z4797">
        <v>0.7</v>
      </c>
      <c r="AA4797" s="6"/>
      <c r="AB4797" s="6"/>
      <c r="AD4797" s="4"/>
    </row>
    <row r="4798" spans="1:30" x14ac:dyDescent="0.2">
      <c r="A4798" t="s">
        <v>569</v>
      </c>
      <c r="B4798">
        <v>2020</v>
      </c>
      <c r="C4798" t="s">
        <v>816</v>
      </c>
      <c r="D4798" t="s">
        <v>817</v>
      </c>
      <c r="E4798" t="s">
        <v>263</v>
      </c>
      <c r="F4798" t="s">
        <v>532</v>
      </c>
      <c r="G4798">
        <v>78.933079000000006</v>
      </c>
      <c r="H4798">
        <v>12.286752</v>
      </c>
      <c r="J4798" s="2" t="s">
        <v>7</v>
      </c>
      <c r="K4798" t="s">
        <v>143</v>
      </c>
      <c r="L4798" t="s">
        <v>143</v>
      </c>
      <c r="M4798" t="s">
        <v>726</v>
      </c>
      <c r="N4798" t="s">
        <v>85</v>
      </c>
      <c r="O4798" s="6" t="s">
        <v>84</v>
      </c>
      <c r="Q4798">
        <v>4</v>
      </c>
      <c r="R4798" t="s">
        <v>214</v>
      </c>
      <c r="S4798" s="2" t="s">
        <v>7</v>
      </c>
      <c r="T4798">
        <v>4</v>
      </c>
      <c r="U4798" t="s">
        <v>28</v>
      </c>
      <c r="V4798" t="s">
        <v>28</v>
      </c>
      <c r="W4798">
        <v>0</v>
      </c>
      <c r="X4798">
        <v>0.61450000000000005</v>
      </c>
      <c r="Y4798" s="6">
        <f>0.6235-X4798</f>
        <v>9.000000000000008E-3</v>
      </c>
      <c r="AA4798" s="6"/>
      <c r="AB4798" s="6"/>
      <c r="AC4798" s="4"/>
    </row>
    <row r="4799" spans="1:30" x14ac:dyDescent="0.2">
      <c r="A4799" t="s">
        <v>569</v>
      </c>
      <c r="B4799">
        <v>2020</v>
      </c>
      <c r="C4799" t="s">
        <v>816</v>
      </c>
      <c r="D4799" t="s">
        <v>817</v>
      </c>
      <c r="E4799" t="s">
        <v>263</v>
      </c>
      <c r="F4799" t="s">
        <v>532</v>
      </c>
      <c r="G4799">
        <v>78.933079000000006</v>
      </c>
      <c r="H4799">
        <v>12.286752</v>
      </c>
      <c r="J4799" s="2" t="s">
        <v>7</v>
      </c>
      <c r="K4799" t="s">
        <v>143</v>
      </c>
      <c r="L4799" t="s">
        <v>143</v>
      </c>
      <c r="M4799" t="s">
        <v>726</v>
      </c>
      <c r="N4799" t="s">
        <v>85</v>
      </c>
      <c r="O4799" s="6" t="s">
        <v>84</v>
      </c>
      <c r="Q4799">
        <v>8</v>
      </c>
      <c r="R4799" t="s">
        <v>214</v>
      </c>
      <c r="S4799" s="2" t="s">
        <v>7</v>
      </c>
      <c r="T4799">
        <v>4</v>
      </c>
      <c r="U4799" t="s">
        <v>28</v>
      </c>
      <c r="V4799" t="s">
        <v>28</v>
      </c>
      <c r="W4799">
        <v>0</v>
      </c>
      <c r="X4799">
        <v>0.62229999999999996</v>
      </c>
      <c r="Y4799" s="6">
        <f>0.6307-X4799</f>
        <v>8.4000000000000741E-3</v>
      </c>
      <c r="AA4799" s="6"/>
      <c r="AB4799" s="6"/>
      <c r="AC4799" s="4"/>
    </row>
    <row r="4800" spans="1:30" x14ac:dyDescent="0.2">
      <c r="A4800" t="s">
        <v>569</v>
      </c>
      <c r="B4800">
        <v>2020</v>
      </c>
      <c r="C4800" t="s">
        <v>816</v>
      </c>
      <c r="D4800" t="s">
        <v>817</v>
      </c>
      <c r="E4800" t="s">
        <v>263</v>
      </c>
      <c r="F4800" t="s">
        <v>532</v>
      </c>
      <c r="G4800">
        <v>78.933079000000006</v>
      </c>
      <c r="H4800">
        <v>12.286752</v>
      </c>
      <c r="J4800" s="2" t="s">
        <v>7</v>
      </c>
      <c r="K4800" t="s">
        <v>143</v>
      </c>
      <c r="L4800" t="s">
        <v>143</v>
      </c>
      <c r="M4800" t="s">
        <v>726</v>
      </c>
      <c r="N4800" t="s">
        <v>85</v>
      </c>
      <c r="O4800" s="6" t="s">
        <v>84</v>
      </c>
      <c r="Q4800">
        <v>12</v>
      </c>
      <c r="R4800" t="s">
        <v>214</v>
      </c>
      <c r="S4800" s="2" t="s">
        <v>7</v>
      </c>
      <c r="T4800">
        <v>4</v>
      </c>
      <c r="U4800" t="s">
        <v>28</v>
      </c>
      <c r="V4800" t="s">
        <v>28</v>
      </c>
      <c r="W4800">
        <v>0</v>
      </c>
      <c r="X4800">
        <v>0.65710000000000002</v>
      </c>
      <c r="Y4800">
        <f>0.6637-X4800</f>
        <v>6.5999999999999392E-3</v>
      </c>
      <c r="AA4800" s="6"/>
      <c r="AB4800" s="6"/>
      <c r="AC4800" s="4"/>
    </row>
    <row r="4801" spans="1:29" x14ac:dyDescent="0.2">
      <c r="A4801" t="s">
        <v>569</v>
      </c>
      <c r="B4801">
        <v>2020</v>
      </c>
      <c r="C4801" t="s">
        <v>816</v>
      </c>
      <c r="D4801" t="s">
        <v>817</v>
      </c>
      <c r="E4801" t="s">
        <v>263</v>
      </c>
      <c r="F4801" t="s">
        <v>532</v>
      </c>
      <c r="G4801">
        <v>78.933079000000006</v>
      </c>
      <c r="H4801">
        <v>12.286752</v>
      </c>
      <c r="J4801" s="2" t="s">
        <v>7</v>
      </c>
      <c r="K4801" t="s">
        <v>143</v>
      </c>
      <c r="L4801" t="s">
        <v>143</v>
      </c>
      <c r="M4801" t="s">
        <v>726</v>
      </c>
      <c r="N4801" t="s">
        <v>85</v>
      </c>
      <c r="O4801" s="6" t="s">
        <v>84</v>
      </c>
      <c r="Q4801">
        <v>15</v>
      </c>
      <c r="R4801" t="s">
        <v>213</v>
      </c>
      <c r="S4801" s="2" t="s">
        <v>7</v>
      </c>
      <c r="T4801">
        <v>4</v>
      </c>
      <c r="U4801" t="s">
        <v>28</v>
      </c>
      <c r="V4801" t="s">
        <v>28</v>
      </c>
      <c r="W4801">
        <v>0</v>
      </c>
      <c r="X4801">
        <v>0.66490000000000005</v>
      </c>
      <c r="Y4801">
        <f>0.6733-X4801</f>
        <v>8.3999999999999631E-3</v>
      </c>
      <c r="AA4801" s="6"/>
      <c r="AB4801" s="6"/>
      <c r="AC4801" s="4"/>
    </row>
    <row r="4802" spans="1:29" x14ac:dyDescent="0.2">
      <c r="A4802" t="s">
        <v>569</v>
      </c>
      <c r="B4802">
        <v>2020</v>
      </c>
      <c r="C4802" t="s">
        <v>816</v>
      </c>
      <c r="D4802" t="s">
        <v>817</v>
      </c>
      <c r="E4802" t="s">
        <v>263</v>
      </c>
      <c r="F4802" t="s">
        <v>532</v>
      </c>
      <c r="G4802">
        <v>78.933079000000006</v>
      </c>
      <c r="H4802">
        <v>12.286752</v>
      </c>
      <c r="J4802" s="2" t="s">
        <v>14</v>
      </c>
      <c r="K4802" t="s">
        <v>143</v>
      </c>
      <c r="L4802" t="s">
        <v>143</v>
      </c>
      <c r="M4802" t="s">
        <v>726</v>
      </c>
      <c r="N4802" t="s">
        <v>85</v>
      </c>
      <c r="O4802" s="6" t="s">
        <v>84</v>
      </c>
      <c r="Q4802">
        <v>4</v>
      </c>
      <c r="R4802" t="s">
        <v>214</v>
      </c>
      <c r="S4802" s="2" t="s">
        <v>9</v>
      </c>
      <c r="T4802">
        <v>4</v>
      </c>
      <c r="U4802" t="s">
        <v>28</v>
      </c>
      <c r="V4802" t="s">
        <v>28</v>
      </c>
      <c r="W4802">
        <v>5</v>
      </c>
      <c r="X4802">
        <v>0.64570000000000005</v>
      </c>
      <c r="Y4802">
        <f>0.6553-X4802</f>
        <v>9.5999999999999419E-3</v>
      </c>
      <c r="AA4802" s="6"/>
      <c r="AB4802" s="6"/>
      <c r="AC4802" s="4"/>
    </row>
    <row r="4803" spans="1:29" x14ac:dyDescent="0.2">
      <c r="A4803" t="s">
        <v>569</v>
      </c>
      <c r="B4803">
        <v>2020</v>
      </c>
      <c r="C4803" t="s">
        <v>816</v>
      </c>
      <c r="D4803" t="s">
        <v>817</v>
      </c>
      <c r="E4803" t="s">
        <v>263</v>
      </c>
      <c r="F4803" t="s">
        <v>532</v>
      </c>
      <c r="G4803">
        <v>78.933079000000006</v>
      </c>
      <c r="H4803">
        <v>12.286752</v>
      </c>
      <c r="J4803" s="2" t="s">
        <v>14</v>
      </c>
      <c r="K4803" t="s">
        <v>143</v>
      </c>
      <c r="L4803" t="s">
        <v>143</v>
      </c>
      <c r="M4803" t="s">
        <v>726</v>
      </c>
      <c r="N4803" t="s">
        <v>85</v>
      </c>
      <c r="O4803" s="6" t="s">
        <v>84</v>
      </c>
      <c r="Q4803">
        <v>8</v>
      </c>
      <c r="R4803" t="s">
        <v>214</v>
      </c>
      <c r="S4803" s="2" t="s">
        <v>9</v>
      </c>
      <c r="T4803">
        <v>4</v>
      </c>
      <c r="U4803" t="s">
        <v>28</v>
      </c>
      <c r="V4803" t="s">
        <v>28</v>
      </c>
      <c r="W4803">
        <v>5</v>
      </c>
      <c r="X4803">
        <v>0.65649999999999997</v>
      </c>
      <c r="Y4803">
        <f>0.6661-X4803</f>
        <v>9.6000000000000529E-3</v>
      </c>
      <c r="AA4803" s="6"/>
      <c r="AB4803" s="6"/>
      <c r="AC4803" s="4"/>
    </row>
    <row r="4804" spans="1:29" x14ac:dyDescent="0.2">
      <c r="A4804" t="s">
        <v>569</v>
      </c>
      <c r="B4804">
        <v>2020</v>
      </c>
      <c r="C4804" t="s">
        <v>816</v>
      </c>
      <c r="D4804" t="s">
        <v>817</v>
      </c>
      <c r="E4804" t="s">
        <v>263</v>
      </c>
      <c r="F4804" t="s">
        <v>532</v>
      </c>
      <c r="G4804">
        <v>78.933079000000006</v>
      </c>
      <c r="H4804">
        <v>12.286752</v>
      </c>
      <c r="J4804" s="2" t="s">
        <v>14</v>
      </c>
      <c r="K4804" t="s">
        <v>143</v>
      </c>
      <c r="L4804" t="s">
        <v>143</v>
      </c>
      <c r="M4804" t="s">
        <v>726</v>
      </c>
      <c r="N4804" t="s">
        <v>85</v>
      </c>
      <c r="O4804" s="6" t="s">
        <v>84</v>
      </c>
      <c r="Q4804">
        <v>12</v>
      </c>
      <c r="R4804" t="s">
        <v>214</v>
      </c>
      <c r="S4804" s="2" t="s">
        <v>9</v>
      </c>
      <c r="T4804">
        <v>4</v>
      </c>
      <c r="U4804" t="s">
        <v>28</v>
      </c>
      <c r="V4804" t="s">
        <v>28</v>
      </c>
      <c r="W4804">
        <v>5</v>
      </c>
      <c r="X4804">
        <v>0.66310000000000002</v>
      </c>
      <c r="Y4804">
        <f>0.6679-X4804</f>
        <v>4.8000000000000265E-3</v>
      </c>
      <c r="AA4804" s="6"/>
      <c r="AB4804" s="6"/>
      <c r="AC4804" s="4"/>
    </row>
    <row r="4805" spans="1:29" x14ac:dyDescent="0.2">
      <c r="A4805" t="s">
        <v>569</v>
      </c>
      <c r="B4805">
        <v>2020</v>
      </c>
      <c r="C4805" t="s">
        <v>816</v>
      </c>
      <c r="D4805" t="s">
        <v>817</v>
      </c>
      <c r="E4805" t="s">
        <v>263</v>
      </c>
      <c r="F4805" t="s">
        <v>532</v>
      </c>
      <c r="G4805">
        <v>78.933079000000006</v>
      </c>
      <c r="H4805">
        <v>12.286752</v>
      </c>
      <c r="J4805" s="2" t="s">
        <v>14</v>
      </c>
      <c r="K4805" t="s">
        <v>143</v>
      </c>
      <c r="L4805" t="s">
        <v>143</v>
      </c>
      <c r="M4805" t="s">
        <v>726</v>
      </c>
      <c r="N4805" t="s">
        <v>85</v>
      </c>
      <c r="O4805" s="6" t="s">
        <v>84</v>
      </c>
      <c r="Q4805">
        <v>15</v>
      </c>
      <c r="R4805" t="s">
        <v>213</v>
      </c>
      <c r="S4805" s="2" t="s">
        <v>9</v>
      </c>
      <c r="T4805">
        <v>4</v>
      </c>
      <c r="U4805" t="s">
        <v>28</v>
      </c>
      <c r="V4805" t="s">
        <v>28</v>
      </c>
      <c r="W4805">
        <v>5</v>
      </c>
      <c r="X4805">
        <v>0.69979999999999998</v>
      </c>
      <c r="Y4805">
        <f>0.7094-X4805</f>
        <v>9.6000000000000529E-3</v>
      </c>
      <c r="AA4805" s="6"/>
      <c r="AB4805" s="6"/>
      <c r="AC4805" s="4"/>
    </row>
    <row r="4806" spans="1:29" x14ac:dyDescent="0.2">
      <c r="A4806" t="s">
        <v>569</v>
      </c>
      <c r="B4806">
        <v>2020</v>
      </c>
      <c r="C4806" t="s">
        <v>816</v>
      </c>
      <c r="D4806" t="s">
        <v>817</v>
      </c>
      <c r="E4806" t="s">
        <v>263</v>
      </c>
      <c r="F4806" t="s">
        <v>532</v>
      </c>
      <c r="G4806">
        <v>78.933079000000006</v>
      </c>
      <c r="H4806">
        <v>12.286752</v>
      </c>
      <c r="J4806" s="2" t="s">
        <v>14</v>
      </c>
      <c r="K4806" t="s">
        <v>143</v>
      </c>
      <c r="L4806" t="s">
        <v>143</v>
      </c>
      <c r="M4806" t="s">
        <v>726</v>
      </c>
      <c r="N4806" t="s">
        <v>85</v>
      </c>
      <c r="O4806" s="6" t="s">
        <v>84</v>
      </c>
      <c r="Q4806">
        <v>4</v>
      </c>
      <c r="R4806" t="s">
        <v>214</v>
      </c>
      <c r="S4806" s="2" t="s">
        <v>27</v>
      </c>
      <c r="T4806">
        <v>4</v>
      </c>
      <c r="U4806" t="s">
        <v>28</v>
      </c>
      <c r="V4806" t="s">
        <v>28</v>
      </c>
      <c r="W4806">
        <v>10</v>
      </c>
      <c r="X4806">
        <v>0.70040000000000002</v>
      </c>
      <c r="Y4806">
        <f>0.7136-X4806</f>
        <v>1.319999999999999E-2</v>
      </c>
      <c r="AA4806" s="6"/>
      <c r="AB4806" s="6"/>
    </row>
    <row r="4807" spans="1:29" x14ac:dyDescent="0.2">
      <c r="A4807" t="s">
        <v>569</v>
      </c>
      <c r="B4807">
        <v>2020</v>
      </c>
      <c r="C4807" t="s">
        <v>816</v>
      </c>
      <c r="D4807" t="s">
        <v>817</v>
      </c>
      <c r="E4807" t="s">
        <v>263</v>
      </c>
      <c r="F4807" t="s">
        <v>532</v>
      </c>
      <c r="G4807">
        <v>78.933079000000006</v>
      </c>
      <c r="H4807">
        <v>12.286752</v>
      </c>
      <c r="J4807" s="2" t="s">
        <v>14</v>
      </c>
      <c r="K4807" t="s">
        <v>143</v>
      </c>
      <c r="L4807" t="s">
        <v>143</v>
      </c>
      <c r="M4807" t="s">
        <v>726</v>
      </c>
      <c r="N4807" t="s">
        <v>85</v>
      </c>
      <c r="O4807" s="6" t="s">
        <v>84</v>
      </c>
      <c r="Q4807">
        <v>8</v>
      </c>
      <c r="R4807" t="s">
        <v>214</v>
      </c>
      <c r="S4807" s="2" t="s">
        <v>27</v>
      </c>
      <c r="T4807">
        <v>4</v>
      </c>
      <c r="U4807" t="s">
        <v>28</v>
      </c>
      <c r="V4807" t="s">
        <v>28</v>
      </c>
      <c r="W4807">
        <v>10</v>
      </c>
      <c r="X4807">
        <v>0.7016</v>
      </c>
      <c r="Y4807">
        <f>0.7142-X4807</f>
        <v>1.2599999999999945E-2</v>
      </c>
      <c r="AA4807" s="6"/>
      <c r="AB4807" s="6"/>
    </row>
    <row r="4808" spans="1:29" x14ac:dyDescent="0.2">
      <c r="A4808" t="s">
        <v>569</v>
      </c>
      <c r="B4808">
        <v>2020</v>
      </c>
      <c r="C4808" t="s">
        <v>816</v>
      </c>
      <c r="D4808" t="s">
        <v>817</v>
      </c>
      <c r="E4808" t="s">
        <v>263</v>
      </c>
      <c r="F4808" t="s">
        <v>532</v>
      </c>
      <c r="G4808">
        <v>78.933079000000006</v>
      </c>
      <c r="H4808">
        <v>12.286752</v>
      </c>
      <c r="J4808" s="2" t="s">
        <v>14</v>
      </c>
      <c r="K4808" t="s">
        <v>143</v>
      </c>
      <c r="L4808" t="s">
        <v>143</v>
      </c>
      <c r="M4808" t="s">
        <v>726</v>
      </c>
      <c r="N4808" t="s">
        <v>85</v>
      </c>
      <c r="O4808" s="6" t="s">
        <v>84</v>
      </c>
      <c r="Q4808">
        <v>12</v>
      </c>
      <c r="R4808" t="s">
        <v>214</v>
      </c>
      <c r="S4808" s="2" t="s">
        <v>27</v>
      </c>
      <c r="T4808">
        <v>4</v>
      </c>
      <c r="U4808" t="s">
        <v>28</v>
      </c>
      <c r="V4808" t="s">
        <v>28</v>
      </c>
      <c r="W4808">
        <v>10</v>
      </c>
      <c r="X4808">
        <v>0.71299999999999997</v>
      </c>
      <c r="Y4808">
        <f>0.7274-X4808</f>
        <v>1.4400000000000079E-2</v>
      </c>
      <c r="AA4808" s="6"/>
      <c r="AB4808" s="6"/>
    </row>
    <row r="4809" spans="1:29" x14ac:dyDescent="0.2">
      <c r="A4809" t="s">
        <v>569</v>
      </c>
      <c r="B4809">
        <v>2020</v>
      </c>
      <c r="C4809" t="s">
        <v>816</v>
      </c>
      <c r="D4809" t="s">
        <v>817</v>
      </c>
      <c r="E4809" t="s">
        <v>263</v>
      </c>
      <c r="F4809" t="s">
        <v>532</v>
      </c>
      <c r="G4809">
        <v>78.933079000000006</v>
      </c>
      <c r="H4809">
        <v>12.286752</v>
      </c>
      <c r="J4809" s="2" t="s">
        <v>14</v>
      </c>
      <c r="K4809" t="s">
        <v>143</v>
      </c>
      <c r="L4809" t="s">
        <v>143</v>
      </c>
      <c r="M4809" t="s">
        <v>726</v>
      </c>
      <c r="N4809" t="s">
        <v>85</v>
      </c>
      <c r="O4809" s="6" t="s">
        <v>84</v>
      </c>
      <c r="Q4809">
        <v>15</v>
      </c>
      <c r="R4809" t="s">
        <v>213</v>
      </c>
      <c r="S4809" s="2" t="s">
        <v>27</v>
      </c>
      <c r="T4809">
        <v>4</v>
      </c>
      <c r="U4809" t="s">
        <v>28</v>
      </c>
      <c r="V4809" t="s">
        <v>28</v>
      </c>
      <c r="W4809">
        <v>10</v>
      </c>
      <c r="X4809">
        <v>0.67820000000000003</v>
      </c>
      <c r="Y4809">
        <f>0.6842-X4809</f>
        <v>6.0000000000000053E-3</v>
      </c>
      <c r="AA4809" s="6"/>
      <c r="AB4809" s="6"/>
    </row>
    <row r="4810" spans="1:29" x14ac:dyDescent="0.2">
      <c r="A4810" t="s">
        <v>569</v>
      </c>
      <c r="B4810">
        <v>2020</v>
      </c>
      <c r="C4810" t="s">
        <v>816</v>
      </c>
      <c r="D4810" t="s">
        <v>817</v>
      </c>
      <c r="E4810" t="s">
        <v>263</v>
      </c>
      <c r="F4810" t="s">
        <v>532</v>
      </c>
      <c r="G4810">
        <v>78.933079000000006</v>
      </c>
      <c r="H4810">
        <v>12.286752</v>
      </c>
      <c r="J4810" s="2" t="s">
        <v>14</v>
      </c>
      <c r="K4810" t="s">
        <v>143</v>
      </c>
      <c r="L4810" t="s">
        <v>143</v>
      </c>
      <c r="M4810" t="s">
        <v>726</v>
      </c>
      <c r="N4810" t="s">
        <v>85</v>
      </c>
      <c r="O4810" s="6" t="s">
        <v>84</v>
      </c>
      <c r="Q4810">
        <v>4</v>
      </c>
      <c r="R4810" t="s">
        <v>214</v>
      </c>
      <c r="S4810" s="2" t="s">
        <v>13</v>
      </c>
      <c r="T4810">
        <v>4</v>
      </c>
      <c r="U4810" t="s">
        <v>28</v>
      </c>
      <c r="V4810" t="s">
        <v>28</v>
      </c>
      <c r="W4810">
        <v>15</v>
      </c>
      <c r="X4810">
        <v>0.68300000000000005</v>
      </c>
      <c r="Y4810">
        <f>0.7064-X4810</f>
        <v>2.3399999999999976E-2</v>
      </c>
      <c r="AA4810" s="6"/>
      <c r="AB4810" s="6"/>
    </row>
    <row r="4811" spans="1:29" x14ac:dyDescent="0.2">
      <c r="A4811" t="s">
        <v>569</v>
      </c>
      <c r="B4811">
        <v>2020</v>
      </c>
      <c r="C4811" t="s">
        <v>816</v>
      </c>
      <c r="D4811" t="s">
        <v>817</v>
      </c>
      <c r="E4811" t="s">
        <v>263</v>
      </c>
      <c r="F4811" t="s">
        <v>532</v>
      </c>
      <c r="G4811">
        <v>78.933079000000006</v>
      </c>
      <c r="H4811">
        <v>12.286752</v>
      </c>
      <c r="J4811" s="2" t="s">
        <v>14</v>
      </c>
      <c r="K4811" t="s">
        <v>143</v>
      </c>
      <c r="L4811" t="s">
        <v>143</v>
      </c>
      <c r="M4811" t="s">
        <v>726</v>
      </c>
      <c r="N4811" t="s">
        <v>85</v>
      </c>
      <c r="O4811" s="6" t="s">
        <v>84</v>
      </c>
      <c r="Q4811">
        <v>8</v>
      </c>
      <c r="R4811" t="s">
        <v>214</v>
      </c>
      <c r="S4811" s="2" t="s">
        <v>13</v>
      </c>
      <c r="T4811">
        <v>4</v>
      </c>
      <c r="U4811" t="s">
        <v>28</v>
      </c>
      <c r="V4811" t="s">
        <v>28</v>
      </c>
      <c r="W4811">
        <v>15</v>
      </c>
      <c r="X4811">
        <v>0.69020000000000004</v>
      </c>
      <c r="Y4811">
        <f>0.7154-X4811</f>
        <v>2.52E-2</v>
      </c>
      <c r="AA4811" s="6"/>
      <c r="AB4811" s="6"/>
    </row>
    <row r="4812" spans="1:29" x14ac:dyDescent="0.2">
      <c r="A4812" t="s">
        <v>569</v>
      </c>
      <c r="B4812">
        <v>2020</v>
      </c>
      <c r="C4812" t="s">
        <v>816</v>
      </c>
      <c r="D4812" t="s">
        <v>817</v>
      </c>
      <c r="E4812" t="s">
        <v>263</v>
      </c>
      <c r="F4812" t="s">
        <v>532</v>
      </c>
      <c r="G4812">
        <v>78.933079000000006</v>
      </c>
      <c r="H4812">
        <v>12.286752</v>
      </c>
      <c r="J4812" s="2" t="s">
        <v>14</v>
      </c>
      <c r="K4812" t="s">
        <v>143</v>
      </c>
      <c r="L4812" t="s">
        <v>143</v>
      </c>
      <c r="M4812" t="s">
        <v>726</v>
      </c>
      <c r="N4812" t="s">
        <v>85</v>
      </c>
      <c r="O4812" s="6" t="s">
        <v>84</v>
      </c>
      <c r="Q4812">
        <v>12</v>
      </c>
      <c r="R4812" t="s">
        <v>214</v>
      </c>
      <c r="S4812" s="2" t="s">
        <v>13</v>
      </c>
      <c r="T4812">
        <v>4</v>
      </c>
      <c r="U4812" t="s">
        <v>28</v>
      </c>
      <c r="V4812" t="s">
        <v>28</v>
      </c>
      <c r="W4812">
        <v>15</v>
      </c>
      <c r="X4812">
        <v>0.64629999999999999</v>
      </c>
      <c r="Y4812">
        <f>0.6625-X4812</f>
        <v>1.6199999999999992E-2</v>
      </c>
      <c r="AA4812" s="6"/>
      <c r="AB4812" s="6"/>
    </row>
    <row r="4813" spans="1:29" x14ac:dyDescent="0.2">
      <c r="A4813" t="s">
        <v>569</v>
      </c>
      <c r="B4813">
        <v>2020</v>
      </c>
      <c r="C4813" t="s">
        <v>816</v>
      </c>
      <c r="D4813" t="s">
        <v>817</v>
      </c>
      <c r="E4813" t="s">
        <v>263</v>
      </c>
      <c r="F4813" t="s">
        <v>532</v>
      </c>
      <c r="G4813">
        <v>78.933079000000006</v>
      </c>
      <c r="H4813">
        <v>12.286752</v>
      </c>
      <c r="J4813" s="2" t="s">
        <v>14</v>
      </c>
      <c r="K4813" t="s">
        <v>143</v>
      </c>
      <c r="L4813" t="s">
        <v>143</v>
      </c>
      <c r="M4813" t="s">
        <v>726</v>
      </c>
      <c r="N4813" t="s">
        <v>85</v>
      </c>
      <c r="O4813" s="6" t="s">
        <v>84</v>
      </c>
      <c r="Q4813">
        <v>15</v>
      </c>
      <c r="R4813" t="s">
        <v>213</v>
      </c>
      <c r="S4813" s="2" t="s">
        <v>13</v>
      </c>
      <c r="T4813">
        <v>4</v>
      </c>
      <c r="U4813" t="s">
        <v>28</v>
      </c>
      <c r="V4813" t="s">
        <v>28</v>
      </c>
      <c r="W4813">
        <v>15</v>
      </c>
      <c r="X4813">
        <v>0.53349999999999997</v>
      </c>
      <c r="Y4813">
        <f>0.5569-X4813</f>
        <v>2.3399999999999976E-2</v>
      </c>
      <c r="AA4813" s="6"/>
      <c r="AB4813" s="6"/>
    </row>
    <row r="4814" spans="1:29" x14ac:dyDescent="0.2">
      <c r="A4814" t="s">
        <v>569</v>
      </c>
      <c r="B4814">
        <v>2020</v>
      </c>
      <c r="C4814" t="s">
        <v>816</v>
      </c>
      <c r="D4814" t="s">
        <v>817</v>
      </c>
      <c r="E4814" t="s">
        <v>263</v>
      </c>
      <c r="F4814" t="s">
        <v>532</v>
      </c>
      <c r="G4814">
        <v>78.933079000000006</v>
      </c>
      <c r="H4814">
        <v>12.286752</v>
      </c>
      <c r="J4814" s="2" t="s">
        <v>7</v>
      </c>
      <c r="K4814" t="s">
        <v>143</v>
      </c>
      <c r="L4814" t="s">
        <v>143</v>
      </c>
      <c r="M4814" t="s">
        <v>553</v>
      </c>
      <c r="N4814" t="s">
        <v>85</v>
      </c>
      <c r="O4814" s="6" t="s">
        <v>61</v>
      </c>
      <c r="P4814" t="s">
        <v>67</v>
      </c>
      <c r="Q4814">
        <v>14</v>
      </c>
      <c r="R4814" t="s">
        <v>213</v>
      </c>
      <c r="S4814" s="2" t="s">
        <v>7</v>
      </c>
      <c r="T4814">
        <v>4</v>
      </c>
      <c r="U4814" t="s">
        <v>28</v>
      </c>
      <c r="V4814" t="s">
        <v>28</v>
      </c>
      <c r="W4814">
        <v>0</v>
      </c>
      <c r="X4814">
        <v>509.75</v>
      </c>
      <c r="Y4814">
        <v>181.89</v>
      </c>
      <c r="AA4814" s="6"/>
      <c r="AB4814" s="6"/>
    </row>
    <row r="4815" spans="1:29" x14ac:dyDescent="0.2">
      <c r="A4815" t="s">
        <v>569</v>
      </c>
      <c r="B4815">
        <v>2020</v>
      </c>
      <c r="C4815" t="s">
        <v>816</v>
      </c>
      <c r="D4815" t="s">
        <v>817</v>
      </c>
      <c r="E4815" t="s">
        <v>263</v>
      </c>
      <c r="F4815" t="s">
        <v>532</v>
      </c>
      <c r="G4815">
        <v>78.933079000000006</v>
      </c>
      <c r="H4815">
        <v>12.286752</v>
      </c>
      <c r="J4815" s="2" t="s">
        <v>14</v>
      </c>
      <c r="K4815" t="s">
        <v>143</v>
      </c>
      <c r="L4815" t="s">
        <v>143</v>
      </c>
      <c r="M4815" t="s">
        <v>553</v>
      </c>
      <c r="N4815" t="s">
        <v>85</v>
      </c>
      <c r="O4815" s="6" t="s">
        <v>61</v>
      </c>
      <c r="P4815" t="s">
        <v>67</v>
      </c>
      <c r="Q4815">
        <v>14</v>
      </c>
      <c r="R4815" t="s">
        <v>213</v>
      </c>
      <c r="S4815" s="2" t="s">
        <v>9</v>
      </c>
      <c r="T4815">
        <v>4</v>
      </c>
      <c r="U4815" t="s">
        <v>28</v>
      </c>
      <c r="V4815" t="s">
        <v>28</v>
      </c>
      <c r="W4815">
        <v>5</v>
      </c>
      <c r="X4815">
        <v>512.39</v>
      </c>
      <c r="Y4815">
        <v>77.36</v>
      </c>
      <c r="AA4815" s="6"/>
      <c r="AB4815" s="6"/>
    </row>
    <row r="4816" spans="1:29" x14ac:dyDescent="0.2">
      <c r="A4816" t="s">
        <v>569</v>
      </c>
      <c r="B4816">
        <v>2020</v>
      </c>
      <c r="C4816" t="s">
        <v>816</v>
      </c>
      <c r="D4816" t="s">
        <v>817</v>
      </c>
      <c r="E4816" t="s">
        <v>263</v>
      </c>
      <c r="F4816" t="s">
        <v>532</v>
      </c>
      <c r="G4816">
        <v>78.933079000000006</v>
      </c>
      <c r="H4816">
        <v>12.286752</v>
      </c>
      <c r="J4816" s="2" t="s">
        <v>14</v>
      </c>
      <c r="K4816" t="s">
        <v>143</v>
      </c>
      <c r="L4816" t="s">
        <v>143</v>
      </c>
      <c r="M4816" t="s">
        <v>553</v>
      </c>
      <c r="N4816" t="s">
        <v>85</v>
      </c>
      <c r="O4816" s="6" t="s">
        <v>61</v>
      </c>
      <c r="P4816" t="s">
        <v>67</v>
      </c>
      <c r="Q4816">
        <v>14</v>
      </c>
      <c r="R4816" t="s">
        <v>213</v>
      </c>
      <c r="S4816" s="2" t="s">
        <v>27</v>
      </c>
      <c r="T4816">
        <v>4</v>
      </c>
      <c r="U4816" t="s">
        <v>28</v>
      </c>
      <c r="V4816" t="s">
        <v>28</v>
      </c>
      <c r="W4816">
        <v>10</v>
      </c>
      <c r="X4816">
        <v>878.25</v>
      </c>
      <c r="Y4816">
        <v>206.58</v>
      </c>
      <c r="AA4816" s="6"/>
      <c r="AB4816" s="6"/>
    </row>
    <row r="4817" spans="1:29" x14ac:dyDescent="0.2">
      <c r="A4817" t="s">
        <v>569</v>
      </c>
      <c r="B4817">
        <v>2020</v>
      </c>
      <c r="C4817" t="s">
        <v>816</v>
      </c>
      <c r="D4817" t="s">
        <v>817</v>
      </c>
      <c r="E4817" t="s">
        <v>263</v>
      </c>
      <c r="F4817" t="s">
        <v>532</v>
      </c>
      <c r="G4817">
        <v>78.933079000000006</v>
      </c>
      <c r="H4817">
        <v>12.286752</v>
      </c>
      <c r="J4817" s="2" t="s">
        <v>14</v>
      </c>
      <c r="K4817" t="s">
        <v>143</v>
      </c>
      <c r="L4817" t="s">
        <v>143</v>
      </c>
      <c r="M4817" t="s">
        <v>553</v>
      </c>
      <c r="N4817" t="s">
        <v>85</v>
      </c>
      <c r="O4817" s="6" t="s">
        <v>61</v>
      </c>
      <c r="P4817" t="s">
        <v>67</v>
      </c>
      <c r="Q4817">
        <v>14</v>
      </c>
      <c r="R4817" t="s">
        <v>213</v>
      </c>
      <c r="S4817" s="2" t="s">
        <v>13</v>
      </c>
      <c r="T4817">
        <v>4</v>
      </c>
      <c r="U4817" t="s">
        <v>28</v>
      </c>
      <c r="V4817" t="s">
        <v>28</v>
      </c>
      <c r="W4817">
        <v>15</v>
      </c>
      <c r="X4817">
        <v>609.79</v>
      </c>
      <c r="Y4817">
        <v>55.48</v>
      </c>
      <c r="AA4817" s="6"/>
      <c r="AB4817" s="6"/>
    </row>
    <row r="4818" spans="1:29" x14ac:dyDescent="0.2">
      <c r="A4818" t="s">
        <v>569</v>
      </c>
      <c r="B4818">
        <v>2020</v>
      </c>
      <c r="C4818" t="s">
        <v>816</v>
      </c>
      <c r="D4818" t="s">
        <v>817</v>
      </c>
      <c r="E4818" t="s">
        <v>263</v>
      </c>
      <c r="F4818" t="s">
        <v>532</v>
      </c>
      <c r="G4818">
        <v>78.933079000000006</v>
      </c>
      <c r="H4818">
        <v>12.286752</v>
      </c>
      <c r="J4818" s="2" t="s">
        <v>7</v>
      </c>
      <c r="K4818" t="s">
        <v>143</v>
      </c>
      <c r="L4818" t="s">
        <v>143</v>
      </c>
      <c r="M4818" t="s">
        <v>553</v>
      </c>
      <c r="N4818" t="s">
        <v>85</v>
      </c>
      <c r="O4818" s="6" t="s">
        <v>241</v>
      </c>
      <c r="P4818" t="s">
        <v>67</v>
      </c>
      <c r="Q4818">
        <v>14</v>
      </c>
      <c r="R4818" t="s">
        <v>213</v>
      </c>
      <c r="S4818" s="2" t="s">
        <v>7</v>
      </c>
      <c r="T4818">
        <v>4</v>
      </c>
      <c r="U4818" t="s">
        <v>28</v>
      </c>
      <c r="V4818" t="s">
        <v>28</v>
      </c>
      <c r="W4818">
        <v>0</v>
      </c>
      <c r="X4818">
        <v>156.37</v>
      </c>
      <c r="Y4818">
        <v>42.05</v>
      </c>
      <c r="AA4818" s="6"/>
      <c r="AB4818" s="6"/>
    </row>
    <row r="4819" spans="1:29" x14ac:dyDescent="0.2">
      <c r="A4819" t="s">
        <v>569</v>
      </c>
      <c r="B4819">
        <v>2020</v>
      </c>
      <c r="C4819" t="s">
        <v>816</v>
      </c>
      <c r="D4819" t="s">
        <v>817</v>
      </c>
      <c r="E4819" t="s">
        <v>263</v>
      </c>
      <c r="F4819" t="s">
        <v>532</v>
      </c>
      <c r="G4819">
        <v>78.933079000000006</v>
      </c>
      <c r="H4819">
        <v>12.286752</v>
      </c>
      <c r="J4819" s="2" t="s">
        <v>14</v>
      </c>
      <c r="K4819" t="s">
        <v>143</v>
      </c>
      <c r="L4819" t="s">
        <v>143</v>
      </c>
      <c r="M4819" t="s">
        <v>553</v>
      </c>
      <c r="N4819" t="s">
        <v>85</v>
      </c>
      <c r="O4819" s="6" t="s">
        <v>241</v>
      </c>
      <c r="P4819" t="s">
        <v>67</v>
      </c>
      <c r="Q4819">
        <v>14</v>
      </c>
      <c r="R4819" t="s">
        <v>213</v>
      </c>
      <c r="S4819" s="2" t="s">
        <v>9</v>
      </c>
      <c r="T4819">
        <v>4</v>
      </c>
      <c r="U4819" t="s">
        <v>28</v>
      </c>
      <c r="V4819" t="s">
        <v>28</v>
      </c>
      <c r="W4819">
        <v>5</v>
      </c>
      <c r="X4819">
        <v>165.26</v>
      </c>
      <c r="Y4819">
        <v>10.96</v>
      </c>
      <c r="AA4819" s="6"/>
      <c r="AB4819" s="6"/>
    </row>
    <row r="4820" spans="1:29" x14ac:dyDescent="0.2">
      <c r="A4820" t="s">
        <v>569</v>
      </c>
      <c r="B4820">
        <v>2020</v>
      </c>
      <c r="C4820" t="s">
        <v>816</v>
      </c>
      <c r="D4820" t="s">
        <v>817</v>
      </c>
      <c r="E4820" t="s">
        <v>263</v>
      </c>
      <c r="F4820" t="s">
        <v>532</v>
      </c>
      <c r="G4820">
        <v>78.933079000000006</v>
      </c>
      <c r="H4820">
        <v>12.286752</v>
      </c>
      <c r="J4820" s="2" t="s">
        <v>14</v>
      </c>
      <c r="K4820" t="s">
        <v>143</v>
      </c>
      <c r="L4820" t="s">
        <v>143</v>
      </c>
      <c r="M4820" t="s">
        <v>553</v>
      </c>
      <c r="N4820" t="s">
        <v>85</v>
      </c>
      <c r="O4820" s="6" t="s">
        <v>241</v>
      </c>
      <c r="P4820" t="s">
        <v>67</v>
      </c>
      <c r="Q4820">
        <v>14</v>
      </c>
      <c r="R4820" t="s">
        <v>213</v>
      </c>
      <c r="S4820" s="2" t="s">
        <v>27</v>
      </c>
      <c r="T4820">
        <v>4</v>
      </c>
      <c r="U4820" t="s">
        <v>28</v>
      </c>
      <c r="V4820" t="s">
        <v>28</v>
      </c>
      <c r="W4820">
        <v>10</v>
      </c>
      <c r="X4820">
        <v>202.54</v>
      </c>
      <c r="Y4820">
        <v>22.19</v>
      </c>
      <c r="AA4820" s="6"/>
      <c r="AB4820" s="6"/>
    </row>
    <row r="4821" spans="1:29" x14ac:dyDescent="0.2">
      <c r="A4821" t="s">
        <v>569</v>
      </c>
      <c r="B4821">
        <v>2020</v>
      </c>
      <c r="C4821" t="s">
        <v>816</v>
      </c>
      <c r="D4821" t="s">
        <v>817</v>
      </c>
      <c r="E4821" t="s">
        <v>263</v>
      </c>
      <c r="F4821" t="s">
        <v>532</v>
      </c>
      <c r="G4821">
        <v>78.933079000000006</v>
      </c>
      <c r="H4821">
        <v>12.286752</v>
      </c>
      <c r="J4821" s="2" t="s">
        <v>14</v>
      </c>
      <c r="K4821" t="s">
        <v>143</v>
      </c>
      <c r="L4821" t="s">
        <v>143</v>
      </c>
      <c r="M4821" t="s">
        <v>553</v>
      </c>
      <c r="N4821" t="s">
        <v>85</v>
      </c>
      <c r="O4821" s="6" t="s">
        <v>241</v>
      </c>
      <c r="P4821" t="s">
        <v>67</v>
      </c>
      <c r="Q4821">
        <v>14</v>
      </c>
      <c r="R4821" t="s">
        <v>213</v>
      </c>
      <c r="S4821" s="2" t="s">
        <v>13</v>
      </c>
      <c r="T4821">
        <v>4</v>
      </c>
      <c r="U4821" t="s">
        <v>28</v>
      </c>
      <c r="V4821" t="s">
        <v>28</v>
      </c>
      <c r="W4821">
        <v>15</v>
      </c>
      <c r="X4821">
        <v>170.94</v>
      </c>
      <c r="Y4821">
        <v>4.1500000000000004</v>
      </c>
      <c r="AA4821" s="6"/>
      <c r="AB4821" s="6"/>
    </row>
    <row r="4822" spans="1:29" x14ac:dyDescent="0.2">
      <c r="A4822" t="s">
        <v>569</v>
      </c>
      <c r="B4822">
        <v>2020</v>
      </c>
      <c r="C4822" t="s">
        <v>816</v>
      </c>
      <c r="D4822" t="s">
        <v>817</v>
      </c>
      <c r="E4822" t="s">
        <v>263</v>
      </c>
      <c r="F4822" t="s">
        <v>532</v>
      </c>
      <c r="G4822">
        <v>78.933079000000006</v>
      </c>
      <c r="H4822">
        <v>12.286752</v>
      </c>
      <c r="J4822" s="2" t="s">
        <v>7</v>
      </c>
      <c r="K4822" t="s">
        <v>143</v>
      </c>
      <c r="L4822" t="s">
        <v>143</v>
      </c>
      <c r="M4822" t="s">
        <v>553</v>
      </c>
      <c r="N4822" t="s">
        <v>85</v>
      </c>
      <c r="O4822" s="6" t="s">
        <v>242</v>
      </c>
      <c r="P4822" t="s">
        <v>67</v>
      </c>
      <c r="Q4822">
        <v>14</v>
      </c>
      <c r="R4822" t="s">
        <v>213</v>
      </c>
      <c r="S4822" s="2" t="s">
        <v>7</v>
      </c>
      <c r="T4822">
        <v>4</v>
      </c>
      <c r="U4822" t="s">
        <v>28</v>
      </c>
      <c r="V4822" t="s">
        <v>28</v>
      </c>
      <c r="W4822">
        <v>0</v>
      </c>
      <c r="X4822">
        <v>352.31</v>
      </c>
      <c r="Y4822">
        <v>111.02</v>
      </c>
      <c r="AA4822" s="6"/>
      <c r="AB4822" s="6"/>
      <c r="AC4822" s="2"/>
    </row>
    <row r="4823" spans="1:29" x14ac:dyDescent="0.2">
      <c r="A4823" t="s">
        <v>569</v>
      </c>
      <c r="B4823">
        <v>2020</v>
      </c>
      <c r="C4823" t="s">
        <v>816</v>
      </c>
      <c r="D4823" t="s">
        <v>817</v>
      </c>
      <c r="E4823" t="s">
        <v>263</v>
      </c>
      <c r="F4823" t="s">
        <v>532</v>
      </c>
      <c r="G4823">
        <v>78.933079000000006</v>
      </c>
      <c r="H4823">
        <v>12.286752</v>
      </c>
      <c r="J4823" s="2" t="s">
        <v>14</v>
      </c>
      <c r="K4823" t="s">
        <v>143</v>
      </c>
      <c r="L4823" t="s">
        <v>143</v>
      </c>
      <c r="M4823" t="s">
        <v>553</v>
      </c>
      <c r="N4823" t="s">
        <v>85</v>
      </c>
      <c r="O4823" s="6" t="s">
        <v>242</v>
      </c>
      <c r="P4823" t="s">
        <v>67</v>
      </c>
      <c r="Q4823">
        <v>14</v>
      </c>
      <c r="R4823" t="s">
        <v>213</v>
      </c>
      <c r="S4823" s="2" t="s">
        <v>9</v>
      </c>
      <c r="T4823">
        <v>4</v>
      </c>
      <c r="U4823" t="s">
        <v>28</v>
      </c>
      <c r="V4823" t="s">
        <v>28</v>
      </c>
      <c r="W4823">
        <v>5</v>
      </c>
      <c r="X4823">
        <v>370.47</v>
      </c>
      <c r="Y4823">
        <v>47.86</v>
      </c>
      <c r="AA4823" s="6"/>
      <c r="AB4823" s="6"/>
    </row>
    <row r="4824" spans="1:29" x14ac:dyDescent="0.2">
      <c r="A4824" t="s">
        <v>569</v>
      </c>
      <c r="B4824">
        <v>2020</v>
      </c>
      <c r="C4824" t="s">
        <v>816</v>
      </c>
      <c r="D4824" t="s">
        <v>817</v>
      </c>
      <c r="E4824" t="s">
        <v>263</v>
      </c>
      <c r="F4824" t="s">
        <v>532</v>
      </c>
      <c r="G4824">
        <v>78.933079000000006</v>
      </c>
      <c r="H4824">
        <v>12.286752</v>
      </c>
      <c r="J4824" s="2" t="s">
        <v>14</v>
      </c>
      <c r="K4824" t="s">
        <v>143</v>
      </c>
      <c r="L4824" t="s">
        <v>143</v>
      </c>
      <c r="M4824" t="s">
        <v>553</v>
      </c>
      <c r="N4824" t="s">
        <v>85</v>
      </c>
      <c r="O4824" s="6" t="s">
        <v>242</v>
      </c>
      <c r="P4824" t="s">
        <v>67</v>
      </c>
      <c r="Q4824">
        <v>14</v>
      </c>
      <c r="R4824" t="s">
        <v>213</v>
      </c>
      <c r="S4824" s="2" t="s">
        <v>27</v>
      </c>
      <c r="T4824">
        <v>4</v>
      </c>
      <c r="U4824" t="s">
        <v>28</v>
      </c>
      <c r="V4824" t="s">
        <v>28</v>
      </c>
      <c r="W4824">
        <v>10</v>
      </c>
      <c r="X4824">
        <v>573.65</v>
      </c>
      <c r="Y4824">
        <v>107.87</v>
      </c>
      <c r="AA4824" s="6"/>
      <c r="AB4824" s="6"/>
    </row>
    <row r="4825" spans="1:29" x14ac:dyDescent="0.2">
      <c r="A4825" t="s">
        <v>569</v>
      </c>
      <c r="B4825">
        <v>2020</v>
      </c>
      <c r="C4825" t="s">
        <v>816</v>
      </c>
      <c r="D4825" t="s">
        <v>817</v>
      </c>
      <c r="E4825" t="s">
        <v>263</v>
      </c>
      <c r="F4825" t="s">
        <v>532</v>
      </c>
      <c r="G4825">
        <v>78.933079000000006</v>
      </c>
      <c r="H4825">
        <v>12.286752</v>
      </c>
      <c r="J4825" s="2" t="s">
        <v>14</v>
      </c>
      <c r="K4825" t="s">
        <v>143</v>
      </c>
      <c r="L4825" t="s">
        <v>143</v>
      </c>
      <c r="M4825" t="s">
        <v>553</v>
      </c>
      <c r="N4825" t="s">
        <v>85</v>
      </c>
      <c r="O4825" s="6" t="s">
        <v>242</v>
      </c>
      <c r="P4825" t="s">
        <v>67</v>
      </c>
      <c r="Q4825">
        <v>14</v>
      </c>
      <c r="R4825" t="s">
        <v>213</v>
      </c>
      <c r="S4825" s="2" t="s">
        <v>13</v>
      </c>
      <c r="T4825">
        <v>4</v>
      </c>
      <c r="U4825" t="s">
        <v>28</v>
      </c>
      <c r="V4825" t="s">
        <v>28</v>
      </c>
      <c r="W4825">
        <v>15</v>
      </c>
      <c r="X4825">
        <v>418.52</v>
      </c>
      <c r="Y4825">
        <v>36.11</v>
      </c>
      <c r="AA4825" s="6"/>
      <c r="AB4825" s="6"/>
    </row>
    <row r="4826" spans="1:29" x14ac:dyDescent="0.2">
      <c r="A4826" t="s">
        <v>569</v>
      </c>
      <c r="B4826">
        <v>2020</v>
      </c>
      <c r="C4826" t="s">
        <v>816</v>
      </c>
      <c r="D4826" t="s">
        <v>817</v>
      </c>
      <c r="E4826" t="s">
        <v>263</v>
      </c>
      <c r="F4826" t="s">
        <v>532</v>
      </c>
      <c r="G4826">
        <v>78.933079000000006</v>
      </c>
      <c r="H4826">
        <v>12.286752</v>
      </c>
      <c r="J4826" s="2" t="s">
        <v>7</v>
      </c>
      <c r="K4826" t="s">
        <v>143</v>
      </c>
      <c r="L4826" t="s">
        <v>143</v>
      </c>
      <c r="M4826" t="s">
        <v>553</v>
      </c>
      <c r="N4826" t="s">
        <v>86</v>
      </c>
      <c r="O4826" s="6" t="s">
        <v>243</v>
      </c>
      <c r="P4826" t="s">
        <v>67</v>
      </c>
      <c r="Q4826">
        <v>14</v>
      </c>
      <c r="R4826" t="s">
        <v>213</v>
      </c>
      <c r="S4826" s="2" t="s">
        <v>7</v>
      </c>
      <c r="T4826">
        <v>4</v>
      </c>
      <c r="U4826" t="s">
        <v>28</v>
      </c>
      <c r="V4826" t="s">
        <v>28</v>
      </c>
      <c r="W4826">
        <v>0</v>
      </c>
      <c r="X4826">
        <v>63.54</v>
      </c>
      <c r="Y4826">
        <v>13.38</v>
      </c>
      <c r="AA4826" s="6"/>
      <c r="AB4826" s="6"/>
      <c r="AC4826" s="2"/>
    </row>
    <row r="4827" spans="1:29" x14ac:dyDescent="0.2">
      <c r="A4827" t="s">
        <v>569</v>
      </c>
      <c r="B4827">
        <v>2020</v>
      </c>
      <c r="C4827" t="s">
        <v>816</v>
      </c>
      <c r="D4827" t="s">
        <v>817</v>
      </c>
      <c r="E4827" t="s">
        <v>263</v>
      </c>
      <c r="F4827" t="s">
        <v>532</v>
      </c>
      <c r="G4827">
        <v>78.933079000000006</v>
      </c>
      <c r="H4827">
        <v>12.286752</v>
      </c>
      <c r="J4827" s="2" t="s">
        <v>14</v>
      </c>
      <c r="K4827" t="s">
        <v>143</v>
      </c>
      <c r="L4827" t="s">
        <v>143</v>
      </c>
      <c r="M4827" t="s">
        <v>553</v>
      </c>
      <c r="N4827" t="s">
        <v>86</v>
      </c>
      <c r="O4827" s="6" t="s">
        <v>243</v>
      </c>
      <c r="P4827" t="s">
        <v>67</v>
      </c>
      <c r="Q4827">
        <v>14</v>
      </c>
      <c r="R4827" t="s">
        <v>213</v>
      </c>
      <c r="S4827" s="2" t="s">
        <v>9</v>
      </c>
      <c r="T4827">
        <v>4</v>
      </c>
      <c r="U4827" t="s">
        <v>28</v>
      </c>
      <c r="V4827" t="s">
        <v>28</v>
      </c>
      <c r="W4827">
        <v>5</v>
      </c>
      <c r="X4827">
        <v>71.17</v>
      </c>
      <c r="Y4827">
        <v>2.42</v>
      </c>
      <c r="AA4827" s="6"/>
      <c r="AB4827" s="6"/>
    </row>
    <row r="4828" spans="1:29" x14ac:dyDescent="0.2">
      <c r="A4828" t="s">
        <v>569</v>
      </c>
      <c r="B4828">
        <v>2020</v>
      </c>
      <c r="C4828" t="s">
        <v>816</v>
      </c>
      <c r="D4828" t="s">
        <v>817</v>
      </c>
      <c r="E4828" t="s">
        <v>263</v>
      </c>
      <c r="F4828" t="s">
        <v>532</v>
      </c>
      <c r="G4828">
        <v>78.933079000000006</v>
      </c>
      <c r="H4828">
        <v>12.286752</v>
      </c>
      <c r="J4828" s="2" t="s">
        <v>14</v>
      </c>
      <c r="K4828" t="s">
        <v>143</v>
      </c>
      <c r="L4828" t="s">
        <v>143</v>
      </c>
      <c r="M4828" t="s">
        <v>553</v>
      </c>
      <c r="N4828" t="s">
        <v>86</v>
      </c>
      <c r="O4828" s="6" t="s">
        <v>243</v>
      </c>
      <c r="P4828" t="s">
        <v>67</v>
      </c>
      <c r="Q4828">
        <v>14</v>
      </c>
      <c r="R4828" t="s">
        <v>213</v>
      </c>
      <c r="S4828" s="2" t="s">
        <v>27</v>
      </c>
      <c r="T4828">
        <v>4</v>
      </c>
      <c r="U4828" t="s">
        <v>28</v>
      </c>
      <c r="V4828" t="s">
        <v>28</v>
      </c>
      <c r="W4828">
        <v>10</v>
      </c>
      <c r="X4828">
        <v>77.19</v>
      </c>
      <c r="Y4828">
        <v>7.86</v>
      </c>
      <c r="AA4828" s="6"/>
      <c r="AB4828" s="6"/>
    </row>
    <row r="4829" spans="1:29" x14ac:dyDescent="0.2">
      <c r="A4829" t="s">
        <v>569</v>
      </c>
      <c r="B4829">
        <v>2020</v>
      </c>
      <c r="C4829" t="s">
        <v>816</v>
      </c>
      <c r="D4829" t="s">
        <v>817</v>
      </c>
      <c r="E4829" t="s">
        <v>263</v>
      </c>
      <c r="F4829" t="s">
        <v>532</v>
      </c>
      <c r="G4829">
        <v>78.933079000000006</v>
      </c>
      <c r="H4829">
        <v>12.286752</v>
      </c>
      <c r="J4829" s="2" t="s">
        <v>14</v>
      </c>
      <c r="K4829" t="s">
        <v>143</v>
      </c>
      <c r="L4829" t="s">
        <v>143</v>
      </c>
      <c r="M4829" t="s">
        <v>553</v>
      </c>
      <c r="N4829" t="s">
        <v>86</v>
      </c>
      <c r="O4829" s="6" t="s">
        <v>243</v>
      </c>
      <c r="P4829" t="s">
        <v>67</v>
      </c>
      <c r="Q4829">
        <v>14</v>
      </c>
      <c r="R4829" t="s">
        <v>213</v>
      </c>
      <c r="S4829" s="2" t="s">
        <v>13</v>
      </c>
      <c r="T4829">
        <v>4</v>
      </c>
      <c r="U4829" t="s">
        <v>28</v>
      </c>
      <c r="V4829" t="s">
        <v>28</v>
      </c>
      <c r="W4829">
        <v>15</v>
      </c>
      <c r="X4829">
        <v>78.03</v>
      </c>
      <c r="Y4829">
        <v>2.0299999999999998</v>
      </c>
      <c r="AA4829" s="6"/>
      <c r="AB4829" s="6"/>
    </row>
    <row r="4830" spans="1:29" x14ac:dyDescent="0.2">
      <c r="A4830" t="s">
        <v>569</v>
      </c>
      <c r="B4830">
        <v>2020</v>
      </c>
      <c r="C4830" t="s">
        <v>816</v>
      </c>
      <c r="D4830" t="s">
        <v>817</v>
      </c>
      <c r="E4830" t="s">
        <v>263</v>
      </c>
      <c r="F4830" t="s">
        <v>532</v>
      </c>
      <c r="G4830">
        <v>78.933079000000006</v>
      </c>
      <c r="H4830">
        <v>12.286752</v>
      </c>
      <c r="J4830" s="2" t="s">
        <v>7</v>
      </c>
      <c r="K4830" t="s">
        <v>143</v>
      </c>
      <c r="L4830" t="s">
        <v>143</v>
      </c>
      <c r="M4830" t="s">
        <v>553</v>
      </c>
      <c r="N4830" t="s">
        <v>85</v>
      </c>
      <c r="O4830" s="6" t="s">
        <v>363</v>
      </c>
      <c r="P4830" t="s">
        <v>67</v>
      </c>
      <c r="Q4830">
        <v>14</v>
      </c>
      <c r="R4830" t="s">
        <v>213</v>
      </c>
      <c r="S4830" s="2" t="s">
        <v>7</v>
      </c>
      <c r="T4830">
        <v>4</v>
      </c>
      <c r="U4830" t="s">
        <v>28</v>
      </c>
      <c r="V4830" t="s">
        <v>28</v>
      </c>
      <c r="W4830">
        <v>0</v>
      </c>
      <c r="X4830">
        <v>88.14</v>
      </c>
      <c r="Y4830">
        <v>6.07</v>
      </c>
      <c r="AA4830" s="6"/>
      <c r="AB4830" s="6"/>
      <c r="AC4830" s="2"/>
    </row>
    <row r="4831" spans="1:29" x14ac:dyDescent="0.2">
      <c r="A4831" t="s">
        <v>569</v>
      </c>
      <c r="B4831">
        <v>2020</v>
      </c>
      <c r="C4831" t="s">
        <v>816</v>
      </c>
      <c r="D4831" t="s">
        <v>817</v>
      </c>
      <c r="E4831" t="s">
        <v>263</v>
      </c>
      <c r="F4831" t="s">
        <v>532</v>
      </c>
      <c r="G4831">
        <v>78.933079000000006</v>
      </c>
      <c r="H4831">
        <v>12.286752</v>
      </c>
      <c r="J4831" s="2" t="s">
        <v>14</v>
      </c>
      <c r="K4831" t="s">
        <v>143</v>
      </c>
      <c r="L4831" t="s">
        <v>143</v>
      </c>
      <c r="M4831" t="s">
        <v>553</v>
      </c>
      <c r="N4831" t="s">
        <v>85</v>
      </c>
      <c r="O4831" s="6" t="s">
        <v>363</v>
      </c>
      <c r="P4831" t="s">
        <v>67</v>
      </c>
      <c r="Q4831">
        <v>14</v>
      </c>
      <c r="R4831" t="s">
        <v>213</v>
      </c>
      <c r="S4831" s="2" t="s">
        <v>9</v>
      </c>
      <c r="T4831">
        <v>4</v>
      </c>
      <c r="U4831" t="s">
        <v>28</v>
      </c>
      <c r="V4831" t="s">
        <v>28</v>
      </c>
      <c r="W4831">
        <v>5</v>
      </c>
      <c r="X4831">
        <v>55.38</v>
      </c>
      <c r="Y4831">
        <v>10.24</v>
      </c>
      <c r="AA4831" s="6"/>
      <c r="AB4831" s="6"/>
    </row>
    <row r="4832" spans="1:29" x14ac:dyDescent="0.2">
      <c r="A4832" t="s">
        <v>569</v>
      </c>
      <c r="B4832">
        <v>2020</v>
      </c>
      <c r="C4832" t="s">
        <v>816</v>
      </c>
      <c r="D4832" t="s">
        <v>817</v>
      </c>
      <c r="E4832" t="s">
        <v>263</v>
      </c>
      <c r="F4832" t="s">
        <v>532</v>
      </c>
      <c r="G4832">
        <v>78.933079000000006</v>
      </c>
      <c r="H4832">
        <v>12.286752</v>
      </c>
      <c r="J4832" s="2" t="s">
        <v>14</v>
      </c>
      <c r="K4832" t="s">
        <v>143</v>
      </c>
      <c r="L4832" t="s">
        <v>143</v>
      </c>
      <c r="M4832" t="s">
        <v>553</v>
      </c>
      <c r="N4832" t="s">
        <v>85</v>
      </c>
      <c r="O4832" s="6" t="s">
        <v>363</v>
      </c>
      <c r="P4832" t="s">
        <v>67</v>
      </c>
      <c r="Q4832">
        <v>14</v>
      </c>
      <c r="R4832" t="s">
        <v>213</v>
      </c>
      <c r="S4832" s="2" t="s">
        <v>27</v>
      </c>
      <c r="T4832">
        <v>4</v>
      </c>
      <c r="U4832" t="s">
        <v>28</v>
      </c>
      <c r="V4832" t="s">
        <v>28</v>
      </c>
      <c r="W4832">
        <v>10</v>
      </c>
      <c r="X4832">
        <v>85.86</v>
      </c>
      <c r="Y4832">
        <v>26.29</v>
      </c>
      <c r="AA4832" s="6"/>
      <c r="AB4832" s="6"/>
    </row>
    <row r="4833" spans="1:28" x14ac:dyDescent="0.2">
      <c r="A4833" t="s">
        <v>569</v>
      </c>
      <c r="B4833">
        <v>2020</v>
      </c>
      <c r="C4833" t="s">
        <v>816</v>
      </c>
      <c r="D4833" t="s">
        <v>817</v>
      </c>
      <c r="E4833" t="s">
        <v>263</v>
      </c>
      <c r="F4833" t="s">
        <v>532</v>
      </c>
      <c r="G4833">
        <v>78.933079000000006</v>
      </c>
      <c r="H4833">
        <v>12.286752</v>
      </c>
      <c r="J4833" s="2" t="s">
        <v>14</v>
      </c>
      <c r="K4833" t="s">
        <v>143</v>
      </c>
      <c r="L4833" t="s">
        <v>143</v>
      </c>
      <c r="M4833" t="s">
        <v>553</v>
      </c>
      <c r="N4833" t="s">
        <v>85</v>
      </c>
      <c r="O4833" s="6" t="s">
        <v>363</v>
      </c>
      <c r="P4833" t="s">
        <v>67</v>
      </c>
      <c r="Q4833">
        <v>14</v>
      </c>
      <c r="R4833" t="s">
        <v>213</v>
      </c>
      <c r="S4833" s="2" t="s">
        <v>13</v>
      </c>
      <c r="T4833">
        <v>4</v>
      </c>
      <c r="U4833" t="s">
        <v>28</v>
      </c>
      <c r="V4833" t="s">
        <v>28</v>
      </c>
      <c r="W4833">
        <v>15</v>
      </c>
      <c r="X4833">
        <v>92.34</v>
      </c>
      <c r="Y4833">
        <v>10.72</v>
      </c>
      <c r="AA4833" s="6"/>
      <c r="AB4833" s="6"/>
    </row>
    <row r="4834" spans="1:28" x14ac:dyDescent="0.2">
      <c r="A4834" t="s">
        <v>569</v>
      </c>
      <c r="B4834">
        <v>2020</v>
      </c>
      <c r="C4834" t="s">
        <v>816</v>
      </c>
      <c r="D4834" t="s">
        <v>817</v>
      </c>
      <c r="E4834" t="s">
        <v>263</v>
      </c>
      <c r="F4834" t="s">
        <v>532</v>
      </c>
      <c r="G4834">
        <v>78.933079000000006</v>
      </c>
      <c r="H4834">
        <v>12.286752</v>
      </c>
      <c r="J4834" s="2" t="s">
        <v>7</v>
      </c>
      <c r="K4834" t="s">
        <v>143</v>
      </c>
      <c r="L4834" t="s">
        <v>143</v>
      </c>
      <c r="M4834" t="s">
        <v>637</v>
      </c>
      <c r="N4834" t="s">
        <v>85</v>
      </c>
      <c r="O4834" s="6" t="s">
        <v>148</v>
      </c>
      <c r="P4834" t="s">
        <v>147</v>
      </c>
      <c r="Q4834">
        <v>14</v>
      </c>
      <c r="R4834" t="s">
        <v>213</v>
      </c>
      <c r="S4834" s="2" t="s">
        <v>7</v>
      </c>
      <c r="T4834">
        <v>4</v>
      </c>
      <c r="U4834" t="s">
        <v>28</v>
      </c>
      <c r="V4834" t="s">
        <v>28</v>
      </c>
      <c r="W4834">
        <v>0</v>
      </c>
      <c r="X4834">
        <v>1.42</v>
      </c>
      <c r="Y4834">
        <v>0.12</v>
      </c>
      <c r="AA4834" s="6"/>
      <c r="AB4834" s="6"/>
    </row>
    <row r="4835" spans="1:28" x14ac:dyDescent="0.2">
      <c r="A4835" t="s">
        <v>569</v>
      </c>
      <c r="B4835">
        <v>2020</v>
      </c>
      <c r="C4835" t="s">
        <v>816</v>
      </c>
      <c r="D4835" t="s">
        <v>817</v>
      </c>
      <c r="E4835" t="s">
        <v>263</v>
      </c>
      <c r="F4835" t="s">
        <v>532</v>
      </c>
      <c r="G4835">
        <v>78.933079000000006</v>
      </c>
      <c r="H4835">
        <v>12.286752</v>
      </c>
      <c r="J4835" s="2" t="s">
        <v>14</v>
      </c>
      <c r="K4835" t="s">
        <v>143</v>
      </c>
      <c r="L4835" t="s">
        <v>143</v>
      </c>
      <c r="M4835" t="s">
        <v>637</v>
      </c>
      <c r="N4835" t="s">
        <v>85</v>
      </c>
      <c r="O4835" s="6" t="s">
        <v>148</v>
      </c>
      <c r="P4835" t="s">
        <v>147</v>
      </c>
      <c r="Q4835">
        <v>14</v>
      </c>
      <c r="R4835" t="s">
        <v>213</v>
      </c>
      <c r="S4835" s="2" t="s">
        <v>9</v>
      </c>
      <c r="T4835">
        <v>4</v>
      </c>
      <c r="U4835" t="s">
        <v>28</v>
      </c>
      <c r="V4835" t="s">
        <v>28</v>
      </c>
      <c r="W4835">
        <v>5</v>
      </c>
      <c r="X4835">
        <v>1.43</v>
      </c>
      <c r="Y4835">
        <v>0.15</v>
      </c>
      <c r="AA4835" s="6"/>
      <c r="AB4835" s="6"/>
    </row>
    <row r="4836" spans="1:28" x14ac:dyDescent="0.2">
      <c r="A4836" t="s">
        <v>569</v>
      </c>
      <c r="B4836">
        <v>2020</v>
      </c>
      <c r="C4836" t="s">
        <v>816</v>
      </c>
      <c r="D4836" t="s">
        <v>817</v>
      </c>
      <c r="E4836" t="s">
        <v>263</v>
      </c>
      <c r="F4836" t="s">
        <v>532</v>
      </c>
      <c r="G4836">
        <v>78.933079000000006</v>
      </c>
      <c r="H4836">
        <v>12.286752</v>
      </c>
      <c r="J4836" s="2" t="s">
        <v>14</v>
      </c>
      <c r="K4836" t="s">
        <v>143</v>
      </c>
      <c r="L4836" t="s">
        <v>143</v>
      </c>
      <c r="M4836" t="s">
        <v>637</v>
      </c>
      <c r="N4836" t="s">
        <v>85</v>
      </c>
      <c r="O4836" s="6" t="s">
        <v>148</v>
      </c>
      <c r="P4836" t="s">
        <v>147</v>
      </c>
      <c r="Q4836">
        <v>14</v>
      </c>
      <c r="R4836" t="s">
        <v>213</v>
      </c>
      <c r="S4836" s="2" t="s">
        <v>27</v>
      </c>
      <c r="T4836">
        <v>4</v>
      </c>
      <c r="U4836" t="s">
        <v>28</v>
      </c>
      <c r="V4836" t="s">
        <v>28</v>
      </c>
      <c r="W4836">
        <v>10</v>
      </c>
      <c r="X4836">
        <v>1.24</v>
      </c>
      <c r="Y4836">
        <v>0.12</v>
      </c>
      <c r="AA4836" s="6"/>
      <c r="AB4836" s="6"/>
    </row>
    <row r="4837" spans="1:28" x14ac:dyDescent="0.2">
      <c r="A4837" t="s">
        <v>569</v>
      </c>
      <c r="B4837">
        <v>2020</v>
      </c>
      <c r="C4837" t="s">
        <v>816</v>
      </c>
      <c r="D4837" t="s">
        <v>817</v>
      </c>
      <c r="E4837" t="s">
        <v>263</v>
      </c>
      <c r="F4837" t="s">
        <v>532</v>
      </c>
      <c r="G4837">
        <v>78.933079000000006</v>
      </c>
      <c r="H4837">
        <v>12.286752</v>
      </c>
      <c r="J4837" s="2" t="s">
        <v>14</v>
      </c>
      <c r="K4837" t="s">
        <v>143</v>
      </c>
      <c r="L4837" t="s">
        <v>143</v>
      </c>
      <c r="M4837" t="s">
        <v>637</v>
      </c>
      <c r="N4837" t="s">
        <v>85</v>
      </c>
      <c r="O4837" s="6" t="s">
        <v>148</v>
      </c>
      <c r="P4837" t="s">
        <v>147</v>
      </c>
      <c r="Q4837">
        <v>14</v>
      </c>
      <c r="R4837" t="s">
        <v>213</v>
      </c>
      <c r="S4837" s="2" t="s">
        <v>13</v>
      </c>
      <c r="T4837">
        <v>4</v>
      </c>
      <c r="U4837" t="s">
        <v>28</v>
      </c>
      <c r="V4837" t="s">
        <v>28</v>
      </c>
      <c r="W4837">
        <v>15</v>
      </c>
      <c r="X4837">
        <v>1.2</v>
      </c>
      <c r="Y4837">
        <v>0.18</v>
      </c>
      <c r="AA4837" s="6"/>
      <c r="AB4837" s="6"/>
    </row>
    <row r="4838" spans="1:28" x14ac:dyDescent="0.2">
      <c r="A4838" t="s">
        <v>569</v>
      </c>
      <c r="B4838">
        <v>2020</v>
      </c>
      <c r="C4838" t="s">
        <v>816</v>
      </c>
      <c r="D4838" t="s">
        <v>817</v>
      </c>
      <c r="E4838" t="s">
        <v>263</v>
      </c>
      <c r="F4838" t="s">
        <v>532</v>
      </c>
      <c r="G4838">
        <v>78.933079000000006</v>
      </c>
      <c r="H4838">
        <v>12.286752</v>
      </c>
      <c r="J4838" s="2" t="s">
        <v>7</v>
      </c>
      <c r="K4838" t="s">
        <v>143</v>
      </c>
      <c r="L4838" t="s">
        <v>143</v>
      </c>
      <c r="M4838" t="s">
        <v>553</v>
      </c>
      <c r="N4838" t="s">
        <v>85</v>
      </c>
      <c r="O4838" s="6" t="s">
        <v>364</v>
      </c>
      <c r="Q4838">
        <v>14</v>
      </c>
      <c r="R4838" t="s">
        <v>213</v>
      </c>
      <c r="S4838" s="2" t="s">
        <v>7</v>
      </c>
      <c r="T4838">
        <v>4</v>
      </c>
      <c r="U4838" t="s">
        <v>28</v>
      </c>
      <c r="V4838" t="s">
        <v>28</v>
      </c>
      <c r="W4838">
        <v>0</v>
      </c>
      <c r="X4838" s="20">
        <v>0.1667001271411396</v>
      </c>
      <c r="Y4838" s="20">
        <v>3.2946362290133278E-2</v>
      </c>
      <c r="AA4838" s="6"/>
      <c r="AB4838" s="6"/>
    </row>
    <row r="4839" spans="1:28" x14ac:dyDescent="0.2">
      <c r="A4839" t="s">
        <v>569</v>
      </c>
      <c r="B4839">
        <v>2020</v>
      </c>
      <c r="C4839" t="s">
        <v>816</v>
      </c>
      <c r="D4839" t="s">
        <v>817</v>
      </c>
      <c r="E4839" t="s">
        <v>263</v>
      </c>
      <c r="F4839" t="s">
        <v>532</v>
      </c>
      <c r="G4839">
        <v>78.933079000000006</v>
      </c>
      <c r="H4839">
        <v>12.286752</v>
      </c>
      <c r="J4839" s="2" t="s">
        <v>14</v>
      </c>
      <c r="K4839" t="s">
        <v>143</v>
      </c>
      <c r="L4839" t="s">
        <v>143</v>
      </c>
      <c r="M4839" t="s">
        <v>553</v>
      </c>
      <c r="N4839" t="s">
        <v>85</v>
      </c>
      <c r="O4839" s="6" t="s">
        <v>364</v>
      </c>
      <c r="Q4839">
        <v>14</v>
      </c>
      <c r="R4839" t="s">
        <v>213</v>
      </c>
      <c r="S4839" s="2" t="s">
        <v>9</v>
      </c>
      <c r="T4839">
        <v>4</v>
      </c>
      <c r="U4839" t="s">
        <v>28</v>
      </c>
      <c r="V4839" t="s">
        <v>28</v>
      </c>
      <c r="W4839">
        <v>5</v>
      </c>
      <c r="X4839" s="20">
        <v>0.19585269913193545</v>
      </c>
      <c r="Y4839" s="20">
        <v>6.627858210609415E-2</v>
      </c>
      <c r="AA4839" s="6"/>
      <c r="AB4839" s="6"/>
    </row>
    <row r="4840" spans="1:28" x14ac:dyDescent="0.2">
      <c r="A4840" t="s">
        <v>569</v>
      </c>
      <c r="B4840">
        <v>2020</v>
      </c>
      <c r="C4840" t="s">
        <v>816</v>
      </c>
      <c r="D4840" t="s">
        <v>817</v>
      </c>
      <c r="E4840" t="s">
        <v>263</v>
      </c>
      <c r="F4840" t="s">
        <v>532</v>
      </c>
      <c r="G4840">
        <v>78.933079000000006</v>
      </c>
      <c r="H4840">
        <v>12.286752</v>
      </c>
      <c r="J4840" s="2" t="s">
        <v>14</v>
      </c>
      <c r="K4840" t="s">
        <v>143</v>
      </c>
      <c r="L4840" t="s">
        <v>143</v>
      </c>
      <c r="M4840" t="s">
        <v>553</v>
      </c>
      <c r="N4840" t="s">
        <v>85</v>
      </c>
      <c r="O4840" s="6" t="s">
        <v>364</v>
      </c>
      <c r="Q4840">
        <v>14</v>
      </c>
      <c r="R4840" t="s">
        <v>213</v>
      </c>
      <c r="S4840" s="2" t="s">
        <v>27</v>
      </c>
      <c r="T4840">
        <v>4</v>
      </c>
      <c r="U4840" t="s">
        <v>28</v>
      </c>
      <c r="V4840" t="s">
        <v>28</v>
      </c>
      <c r="W4840">
        <v>10</v>
      </c>
      <c r="X4840" s="20">
        <v>0.11355666957616424</v>
      </c>
      <c r="Y4840" s="20">
        <v>3.9973926305128402E-2</v>
      </c>
      <c r="AA4840" s="6"/>
      <c r="AB4840" s="6"/>
    </row>
    <row r="4841" spans="1:28" x14ac:dyDescent="0.2">
      <c r="A4841" t="s">
        <v>569</v>
      </c>
      <c r="B4841">
        <v>2020</v>
      </c>
      <c r="C4841" t="s">
        <v>816</v>
      </c>
      <c r="D4841" t="s">
        <v>817</v>
      </c>
      <c r="E4841" t="s">
        <v>263</v>
      </c>
      <c r="F4841" t="s">
        <v>532</v>
      </c>
      <c r="G4841">
        <v>78.933079000000006</v>
      </c>
      <c r="H4841">
        <v>12.286752</v>
      </c>
      <c r="J4841" s="2" t="s">
        <v>14</v>
      </c>
      <c r="K4841" t="s">
        <v>143</v>
      </c>
      <c r="L4841" t="s">
        <v>143</v>
      </c>
      <c r="M4841" t="s">
        <v>553</v>
      </c>
      <c r="N4841" t="s">
        <v>85</v>
      </c>
      <c r="O4841" s="6" t="s">
        <v>364</v>
      </c>
      <c r="Q4841">
        <v>14</v>
      </c>
      <c r="R4841" t="s">
        <v>213</v>
      </c>
      <c r="S4841" s="2" t="s">
        <v>13</v>
      </c>
      <c r="T4841">
        <v>4</v>
      </c>
      <c r="U4841" t="s">
        <v>28</v>
      </c>
      <c r="V4841" t="s">
        <v>28</v>
      </c>
      <c r="W4841">
        <v>15</v>
      </c>
      <c r="X4841" s="20">
        <v>0.37071673241037356</v>
      </c>
      <c r="Y4841" s="20">
        <v>5.9306303176073237E-2</v>
      </c>
      <c r="AA4841" s="6"/>
      <c r="AB4841" s="6"/>
    </row>
    <row r="4842" spans="1:28" x14ac:dyDescent="0.2">
      <c r="A4842" t="s">
        <v>569</v>
      </c>
      <c r="B4842">
        <v>2020</v>
      </c>
      <c r="C4842" t="s">
        <v>816</v>
      </c>
      <c r="D4842" t="s">
        <v>817</v>
      </c>
      <c r="E4842" t="s">
        <v>263</v>
      </c>
      <c r="F4842" t="s">
        <v>532</v>
      </c>
      <c r="G4842">
        <v>78.933079000000006</v>
      </c>
      <c r="H4842">
        <v>12.286752</v>
      </c>
      <c r="J4842" s="2" t="s">
        <v>7</v>
      </c>
      <c r="K4842" t="s">
        <v>143</v>
      </c>
      <c r="L4842" t="s">
        <v>143</v>
      </c>
      <c r="M4842" t="s">
        <v>638</v>
      </c>
      <c r="N4842" t="s">
        <v>86</v>
      </c>
      <c r="O4842" s="6" t="s">
        <v>249</v>
      </c>
      <c r="P4842" t="s">
        <v>570</v>
      </c>
      <c r="Q4842">
        <v>14</v>
      </c>
      <c r="R4842" t="s">
        <v>213</v>
      </c>
      <c r="S4842" s="2" t="s">
        <v>7</v>
      </c>
      <c r="T4842">
        <v>4</v>
      </c>
      <c r="U4842" t="s">
        <v>28</v>
      </c>
      <c r="V4842" t="s">
        <v>28</v>
      </c>
      <c r="W4842">
        <v>0</v>
      </c>
      <c r="X4842" s="20">
        <v>1575.7112102531228</v>
      </c>
      <c r="Y4842" s="20">
        <v>91.400081092950188</v>
      </c>
      <c r="AA4842" s="6"/>
      <c r="AB4842" s="6"/>
    </row>
    <row r="4843" spans="1:28" x14ac:dyDescent="0.2">
      <c r="A4843" t="s">
        <v>569</v>
      </c>
      <c r="B4843">
        <v>2020</v>
      </c>
      <c r="C4843" t="s">
        <v>816</v>
      </c>
      <c r="D4843" t="s">
        <v>817</v>
      </c>
      <c r="E4843" t="s">
        <v>263</v>
      </c>
      <c r="F4843" t="s">
        <v>532</v>
      </c>
      <c r="G4843">
        <v>78.933079000000006</v>
      </c>
      <c r="H4843">
        <v>12.286752</v>
      </c>
      <c r="J4843" s="2" t="s">
        <v>14</v>
      </c>
      <c r="K4843" t="s">
        <v>143</v>
      </c>
      <c r="L4843" t="s">
        <v>143</v>
      </c>
      <c r="M4843" t="s">
        <v>638</v>
      </c>
      <c r="N4843" t="s">
        <v>86</v>
      </c>
      <c r="O4843" s="6" t="s">
        <v>249</v>
      </c>
      <c r="P4843" t="s">
        <v>570</v>
      </c>
      <c r="Q4843">
        <v>14</v>
      </c>
      <c r="R4843" t="s">
        <v>213</v>
      </c>
      <c r="S4843" s="2" t="s">
        <v>9</v>
      </c>
      <c r="T4843">
        <v>4</v>
      </c>
      <c r="U4843" t="s">
        <v>28</v>
      </c>
      <c r="V4843" t="s">
        <v>28</v>
      </c>
      <c r="W4843">
        <v>5</v>
      </c>
      <c r="X4843" s="20">
        <v>1599.854300680594</v>
      </c>
      <c r="Y4843" s="20">
        <v>81.168556900060736</v>
      </c>
      <c r="AA4843" s="6"/>
      <c r="AB4843" s="6"/>
    </row>
    <row r="4844" spans="1:28" x14ac:dyDescent="0.2">
      <c r="A4844" t="s">
        <v>569</v>
      </c>
      <c r="B4844">
        <v>2020</v>
      </c>
      <c r="C4844" t="s">
        <v>816</v>
      </c>
      <c r="D4844" t="s">
        <v>817</v>
      </c>
      <c r="E4844" t="s">
        <v>263</v>
      </c>
      <c r="F4844" t="s">
        <v>532</v>
      </c>
      <c r="G4844">
        <v>78.933079000000006</v>
      </c>
      <c r="H4844">
        <v>12.286752</v>
      </c>
      <c r="J4844" s="2" t="s">
        <v>14</v>
      </c>
      <c r="K4844" t="s">
        <v>143</v>
      </c>
      <c r="L4844" t="s">
        <v>143</v>
      </c>
      <c r="M4844" t="s">
        <v>638</v>
      </c>
      <c r="N4844" t="s">
        <v>86</v>
      </c>
      <c r="O4844" s="6" t="s">
        <v>249</v>
      </c>
      <c r="P4844" t="s">
        <v>570</v>
      </c>
      <c r="Q4844">
        <v>14</v>
      </c>
      <c r="R4844" t="s">
        <v>213</v>
      </c>
      <c r="S4844" s="2" t="s">
        <v>27</v>
      </c>
      <c r="T4844">
        <v>4</v>
      </c>
      <c r="U4844" t="s">
        <v>28</v>
      </c>
      <c r="V4844" t="s">
        <v>28</v>
      </c>
      <c r="W4844">
        <v>10</v>
      </c>
      <c r="X4844">
        <v>1610.8040000000001</v>
      </c>
      <c r="Y4844">
        <v>174.65199999999999</v>
      </c>
      <c r="AA4844" s="6"/>
      <c r="AB4844" s="6"/>
    </row>
    <row r="4845" spans="1:28" x14ac:dyDescent="0.2">
      <c r="A4845" t="s">
        <v>569</v>
      </c>
      <c r="B4845">
        <v>2020</v>
      </c>
      <c r="C4845" t="s">
        <v>816</v>
      </c>
      <c r="D4845" t="s">
        <v>817</v>
      </c>
      <c r="E4845" t="s">
        <v>263</v>
      </c>
      <c r="F4845" t="s">
        <v>532</v>
      </c>
      <c r="G4845">
        <v>78.933079000000006</v>
      </c>
      <c r="H4845">
        <v>12.286752</v>
      </c>
      <c r="J4845" s="2" t="s">
        <v>14</v>
      </c>
      <c r="K4845" t="s">
        <v>143</v>
      </c>
      <c r="L4845" t="s">
        <v>143</v>
      </c>
      <c r="M4845" t="s">
        <v>638</v>
      </c>
      <c r="N4845" t="s">
        <v>86</v>
      </c>
      <c r="O4845" s="6" t="s">
        <v>249</v>
      </c>
      <c r="P4845" t="s">
        <v>570</v>
      </c>
      <c r="Q4845">
        <v>14</v>
      </c>
      <c r="R4845" t="s">
        <v>213</v>
      </c>
      <c r="S4845" s="2" t="s">
        <v>13</v>
      </c>
      <c r="T4845">
        <v>4</v>
      </c>
      <c r="U4845" t="s">
        <v>28</v>
      </c>
      <c r="V4845" t="s">
        <v>28</v>
      </c>
      <c r="W4845">
        <v>15</v>
      </c>
      <c r="X4845" s="20">
        <v>1322.7932361899179</v>
      </c>
      <c r="Y4845" s="20">
        <v>77.696322400479275</v>
      </c>
      <c r="AA4845" s="6"/>
      <c r="AB4845" s="6"/>
    </row>
    <row r="4846" spans="1:28" x14ac:dyDescent="0.2">
      <c r="A4846" t="s">
        <v>569</v>
      </c>
      <c r="B4846">
        <v>2020</v>
      </c>
      <c r="C4846" t="s">
        <v>816</v>
      </c>
      <c r="D4846" t="s">
        <v>817</v>
      </c>
      <c r="E4846" t="s">
        <v>263</v>
      </c>
      <c r="F4846" t="s">
        <v>532</v>
      </c>
      <c r="G4846">
        <v>78.933079000000006</v>
      </c>
      <c r="H4846">
        <v>12.286752</v>
      </c>
      <c r="J4846" s="2" t="s">
        <v>7</v>
      </c>
      <c r="K4846" t="s">
        <v>143</v>
      </c>
      <c r="L4846" t="s">
        <v>143</v>
      </c>
      <c r="M4846" t="s">
        <v>638</v>
      </c>
      <c r="N4846" t="s">
        <v>86</v>
      </c>
      <c r="O4846" s="6" t="s">
        <v>272</v>
      </c>
      <c r="Q4846">
        <v>14</v>
      </c>
      <c r="R4846" t="s">
        <v>213</v>
      </c>
      <c r="S4846" s="2" t="s">
        <v>7</v>
      </c>
      <c r="T4846">
        <v>4</v>
      </c>
      <c r="U4846" t="s">
        <v>28</v>
      </c>
      <c r="V4846" t="s">
        <v>28</v>
      </c>
      <c r="W4846">
        <v>0</v>
      </c>
      <c r="X4846" s="20">
        <v>15.174817343559612</v>
      </c>
      <c r="Y4846" s="20">
        <v>0.74578030272634455</v>
      </c>
      <c r="AA4846" s="6"/>
      <c r="AB4846" s="6"/>
    </row>
    <row r="4847" spans="1:28" x14ac:dyDescent="0.2">
      <c r="A4847" t="s">
        <v>569</v>
      </c>
      <c r="B4847">
        <v>2020</v>
      </c>
      <c r="C4847" t="s">
        <v>816</v>
      </c>
      <c r="D4847" t="s">
        <v>817</v>
      </c>
      <c r="E4847" t="s">
        <v>263</v>
      </c>
      <c r="F4847" t="s">
        <v>532</v>
      </c>
      <c r="G4847">
        <v>78.933079000000006</v>
      </c>
      <c r="H4847">
        <v>12.286752</v>
      </c>
      <c r="J4847" s="2" t="s">
        <v>14</v>
      </c>
      <c r="K4847" t="s">
        <v>143</v>
      </c>
      <c r="L4847" t="s">
        <v>143</v>
      </c>
      <c r="M4847" t="s">
        <v>638</v>
      </c>
      <c r="N4847" t="s">
        <v>86</v>
      </c>
      <c r="O4847" s="6" t="s">
        <v>272</v>
      </c>
      <c r="Q4847">
        <v>14</v>
      </c>
      <c r="R4847" t="s">
        <v>213</v>
      </c>
      <c r="S4847" s="2" t="s">
        <v>9</v>
      </c>
      <c r="T4847">
        <v>4</v>
      </c>
      <c r="U4847" t="s">
        <v>28</v>
      </c>
      <c r="V4847" t="s">
        <v>28</v>
      </c>
      <c r="W4847">
        <v>5</v>
      </c>
      <c r="X4847" s="20">
        <v>16.824721966238567</v>
      </c>
      <c r="Y4847" s="20">
        <v>0.6979942153749874</v>
      </c>
      <c r="AA4847" s="6"/>
      <c r="AB4847" s="6"/>
    </row>
    <row r="4848" spans="1:28" x14ac:dyDescent="0.2">
      <c r="A4848" t="s">
        <v>569</v>
      </c>
      <c r="B4848">
        <v>2020</v>
      </c>
      <c r="C4848" t="s">
        <v>816</v>
      </c>
      <c r="D4848" t="s">
        <v>817</v>
      </c>
      <c r="E4848" t="s">
        <v>263</v>
      </c>
      <c r="F4848" t="s">
        <v>532</v>
      </c>
      <c r="G4848">
        <v>78.933079000000006</v>
      </c>
      <c r="H4848">
        <v>12.286752</v>
      </c>
      <c r="J4848" s="2" t="s">
        <v>14</v>
      </c>
      <c r="K4848" t="s">
        <v>143</v>
      </c>
      <c r="L4848" t="s">
        <v>143</v>
      </c>
      <c r="M4848" t="s">
        <v>638</v>
      </c>
      <c r="N4848" t="s">
        <v>86</v>
      </c>
      <c r="O4848" s="6" t="s">
        <v>272</v>
      </c>
      <c r="Q4848">
        <v>14</v>
      </c>
      <c r="R4848" t="s">
        <v>213</v>
      </c>
      <c r="S4848" s="2" t="s">
        <v>27</v>
      </c>
      <c r="T4848">
        <v>4</v>
      </c>
      <c r="U4848" t="s">
        <v>28</v>
      </c>
      <c r="V4848" t="s">
        <v>28</v>
      </c>
      <c r="W4848">
        <v>10</v>
      </c>
      <c r="X4848" s="20">
        <v>26.416257450933866</v>
      </c>
      <c r="Y4848" s="20">
        <v>0.85014762539891575</v>
      </c>
      <c r="AA4848" s="6"/>
      <c r="AB4848" s="6"/>
    </row>
    <row r="4849" spans="1:28" x14ac:dyDescent="0.2">
      <c r="A4849" t="s">
        <v>569</v>
      </c>
      <c r="B4849">
        <v>2020</v>
      </c>
      <c r="C4849" t="s">
        <v>816</v>
      </c>
      <c r="D4849" t="s">
        <v>817</v>
      </c>
      <c r="E4849" t="s">
        <v>263</v>
      </c>
      <c r="F4849" t="s">
        <v>532</v>
      </c>
      <c r="G4849">
        <v>78.933079000000006</v>
      </c>
      <c r="H4849">
        <v>12.286752</v>
      </c>
      <c r="J4849" s="2" t="s">
        <v>14</v>
      </c>
      <c r="K4849" t="s">
        <v>143</v>
      </c>
      <c r="L4849" t="s">
        <v>143</v>
      </c>
      <c r="M4849" t="s">
        <v>638</v>
      </c>
      <c r="N4849" t="s">
        <v>86</v>
      </c>
      <c r="O4849" s="6" t="s">
        <v>272</v>
      </c>
      <c r="Q4849">
        <v>14</v>
      </c>
      <c r="R4849" t="s">
        <v>213</v>
      </c>
      <c r="S4849" s="2" t="s">
        <v>13</v>
      </c>
      <c r="T4849">
        <v>4</v>
      </c>
      <c r="U4849" t="s">
        <v>28</v>
      </c>
      <c r="V4849" t="s">
        <v>28</v>
      </c>
      <c r="W4849">
        <v>15</v>
      </c>
      <c r="X4849" s="20">
        <v>26.844579367729338</v>
      </c>
      <c r="Y4849" s="20">
        <v>0.46392882884596293</v>
      </c>
      <c r="AA4849" s="6"/>
      <c r="AB4849" s="6"/>
    </row>
    <row r="4850" spans="1:28" x14ac:dyDescent="0.2">
      <c r="A4850" t="s">
        <v>569</v>
      </c>
      <c r="B4850">
        <v>2020</v>
      </c>
      <c r="C4850" t="s">
        <v>816</v>
      </c>
      <c r="D4850" t="s">
        <v>817</v>
      </c>
      <c r="E4850" t="s">
        <v>263</v>
      </c>
      <c r="F4850" t="s">
        <v>532</v>
      </c>
      <c r="G4850">
        <v>78.933079000000006</v>
      </c>
      <c r="H4850">
        <v>12.286752</v>
      </c>
      <c r="J4850" s="2" t="s">
        <v>7</v>
      </c>
      <c r="K4850" t="s">
        <v>143</v>
      </c>
      <c r="L4850" t="s">
        <v>143</v>
      </c>
      <c r="M4850" t="s">
        <v>638</v>
      </c>
      <c r="N4850" t="s">
        <v>85</v>
      </c>
      <c r="O4850" s="6" t="s">
        <v>221</v>
      </c>
      <c r="P4850" t="s">
        <v>147</v>
      </c>
      <c r="Q4850">
        <v>14</v>
      </c>
      <c r="R4850" t="s">
        <v>213</v>
      </c>
      <c r="S4850" s="2" t="s">
        <v>7</v>
      </c>
      <c r="T4850">
        <v>4</v>
      </c>
      <c r="U4850" t="s">
        <v>28</v>
      </c>
      <c r="V4850" t="s">
        <v>28</v>
      </c>
      <c r="W4850">
        <v>0</v>
      </c>
      <c r="X4850" s="20">
        <v>351.97091648446792</v>
      </c>
      <c r="Y4850" s="20">
        <v>18.372795866914885</v>
      </c>
      <c r="AA4850" s="6"/>
      <c r="AB4850" s="6"/>
    </row>
    <row r="4851" spans="1:28" x14ac:dyDescent="0.2">
      <c r="A4851" t="s">
        <v>569</v>
      </c>
      <c r="B4851">
        <v>2020</v>
      </c>
      <c r="C4851" t="s">
        <v>816</v>
      </c>
      <c r="D4851" t="s">
        <v>817</v>
      </c>
      <c r="E4851" t="s">
        <v>263</v>
      </c>
      <c r="F4851" t="s">
        <v>532</v>
      </c>
      <c r="G4851">
        <v>78.933079000000006</v>
      </c>
      <c r="H4851">
        <v>12.286752</v>
      </c>
      <c r="J4851" s="2" t="s">
        <v>14</v>
      </c>
      <c r="K4851" t="s">
        <v>143</v>
      </c>
      <c r="L4851" t="s">
        <v>143</v>
      </c>
      <c r="M4851" t="s">
        <v>638</v>
      </c>
      <c r="N4851" t="s">
        <v>85</v>
      </c>
      <c r="O4851" s="6" t="s">
        <v>221</v>
      </c>
      <c r="P4851" t="s">
        <v>147</v>
      </c>
      <c r="Q4851">
        <v>14</v>
      </c>
      <c r="R4851" t="s">
        <v>213</v>
      </c>
      <c r="S4851" s="2" t="s">
        <v>9</v>
      </c>
      <c r="T4851">
        <v>4</v>
      </c>
      <c r="U4851" t="s">
        <v>28</v>
      </c>
      <c r="V4851" t="s">
        <v>28</v>
      </c>
      <c r="W4851">
        <v>5</v>
      </c>
      <c r="X4851" s="20">
        <v>337.74726211016355</v>
      </c>
      <c r="Y4851" s="20">
        <v>10.214778449216174</v>
      </c>
      <c r="AA4851" s="6"/>
      <c r="AB4851" s="6"/>
    </row>
    <row r="4852" spans="1:28" x14ac:dyDescent="0.2">
      <c r="A4852" t="s">
        <v>569</v>
      </c>
      <c r="B4852">
        <v>2020</v>
      </c>
      <c r="C4852" t="s">
        <v>816</v>
      </c>
      <c r="D4852" t="s">
        <v>817</v>
      </c>
      <c r="E4852" t="s">
        <v>263</v>
      </c>
      <c r="F4852" t="s">
        <v>532</v>
      </c>
      <c r="G4852">
        <v>78.933079000000006</v>
      </c>
      <c r="H4852">
        <v>12.286752</v>
      </c>
      <c r="J4852" s="2" t="s">
        <v>14</v>
      </c>
      <c r="K4852" t="s">
        <v>143</v>
      </c>
      <c r="L4852" t="s">
        <v>143</v>
      </c>
      <c r="M4852" t="s">
        <v>638</v>
      </c>
      <c r="N4852" t="s">
        <v>85</v>
      </c>
      <c r="O4852" s="6" t="s">
        <v>221</v>
      </c>
      <c r="P4852" t="s">
        <v>147</v>
      </c>
      <c r="Q4852">
        <v>14</v>
      </c>
      <c r="R4852" t="s">
        <v>213</v>
      </c>
      <c r="S4852" s="2" t="s">
        <v>27</v>
      </c>
      <c r="T4852">
        <v>4</v>
      </c>
      <c r="U4852" t="s">
        <v>28</v>
      </c>
      <c r="V4852" t="s">
        <v>28</v>
      </c>
      <c r="W4852">
        <v>10</v>
      </c>
      <c r="X4852" s="20">
        <v>374.62840281571198</v>
      </c>
      <c r="Y4852" s="20">
        <v>4.5134789263374646</v>
      </c>
      <c r="AA4852" s="6"/>
      <c r="AB4852" s="6"/>
    </row>
    <row r="4853" spans="1:28" x14ac:dyDescent="0.2">
      <c r="A4853" t="s">
        <v>569</v>
      </c>
      <c r="B4853">
        <v>2020</v>
      </c>
      <c r="C4853" t="s">
        <v>816</v>
      </c>
      <c r="D4853" t="s">
        <v>817</v>
      </c>
      <c r="E4853" t="s">
        <v>263</v>
      </c>
      <c r="F4853" t="s">
        <v>532</v>
      </c>
      <c r="G4853">
        <v>78.933079000000006</v>
      </c>
      <c r="H4853">
        <v>12.286752</v>
      </c>
      <c r="J4853" s="2" t="s">
        <v>14</v>
      </c>
      <c r="K4853" t="s">
        <v>143</v>
      </c>
      <c r="L4853" t="s">
        <v>143</v>
      </c>
      <c r="M4853" t="s">
        <v>638</v>
      </c>
      <c r="N4853" t="s">
        <v>85</v>
      </c>
      <c r="O4853" s="6" t="s">
        <v>221</v>
      </c>
      <c r="P4853" t="s">
        <v>147</v>
      </c>
      <c r="Q4853">
        <v>14</v>
      </c>
      <c r="R4853" t="s">
        <v>213</v>
      </c>
      <c r="S4853" s="2" t="s">
        <v>13</v>
      </c>
      <c r="T4853">
        <v>4</v>
      </c>
      <c r="U4853" t="s">
        <v>28</v>
      </c>
      <c r="V4853" t="s">
        <v>28</v>
      </c>
      <c r="W4853">
        <v>15</v>
      </c>
      <c r="X4853" s="20">
        <v>377.20576643917775</v>
      </c>
      <c r="Y4853" s="20">
        <v>2.0825856046091067</v>
      </c>
      <c r="AA4853" s="6"/>
      <c r="AB4853" s="6"/>
    </row>
    <row r="4854" spans="1:28" x14ac:dyDescent="0.2">
      <c r="A4854" t="s">
        <v>569</v>
      </c>
      <c r="B4854">
        <v>2020</v>
      </c>
      <c r="C4854" t="s">
        <v>816</v>
      </c>
      <c r="D4854" t="s">
        <v>817</v>
      </c>
      <c r="E4854" t="s">
        <v>263</v>
      </c>
      <c r="F4854" t="s">
        <v>532</v>
      </c>
      <c r="G4854">
        <v>78.933079000000006</v>
      </c>
      <c r="H4854">
        <v>12.286752</v>
      </c>
      <c r="J4854" s="2" t="s">
        <v>7</v>
      </c>
      <c r="K4854" t="s">
        <v>143</v>
      </c>
      <c r="L4854" t="s">
        <v>143</v>
      </c>
      <c r="M4854" t="s">
        <v>638</v>
      </c>
      <c r="N4854" t="s">
        <v>85</v>
      </c>
      <c r="O4854" s="6" t="s">
        <v>107</v>
      </c>
      <c r="P4854" t="s">
        <v>147</v>
      </c>
      <c r="Q4854">
        <v>14</v>
      </c>
      <c r="R4854" t="s">
        <v>213</v>
      </c>
      <c r="S4854" s="2" t="s">
        <v>7</v>
      </c>
      <c r="T4854">
        <v>4</v>
      </c>
      <c r="U4854" t="s">
        <v>28</v>
      </c>
      <c r="V4854" t="s">
        <v>28</v>
      </c>
      <c r="W4854">
        <v>0</v>
      </c>
      <c r="X4854" s="20">
        <v>26.148827319462516</v>
      </c>
      <c r="Y4854" s="20">
        <v>1.3409542674974577</v>
      </c>
      <c r="AA4854" s="6"/>
      <c r="AB4854" s="6"/>
    </row>
    <row r="4855" spans="1:28" x14ac:dyDescent="0.2">
      <c r="A4855" t="s">
        <v>569</v>
      </c>
      <c r="B4855">
        <v>2020</v>
      </c>
      <c r="C4855" t="s">
        <v>816</v>
      </c>
      <c r="D4855" t="s">
        <v>817</v>
      </c>
      <c r="E4855" t="s">
        <v>263</v>
      </c>
      <c r="F4855" t="s">
        <v>532</v>
      </c>
      <c r="G4855">
        <v>78.933079000000006</v>
      </c>
      <c r="H4855">
        <v>12.286752</v>
      </c>
      <c r="J4855" s="2" t="s">
        <v>14</v>
      </c>
      <c r="K4855" t="s">
        <v>143</v>
      </c>
      <c r="L4855" t="s">
        <v>143</v>
      </c>
      <c r="M4855" t="s">
        <v>638</v>
      </c>
      <c r="N4855" t="s">
        <v>85</v>
      </c>
      <c r="O4855" s="6" t="s">
        <v>107</v>
      </c>
      <c r="P4855" t="s">
        <v>147</v>
      </c>
      <c r="Q4855">
        <v>14</v>
      </c>
      <c r="R4855" t="s">
        <v>213</v>
      </c>
      <c r="S4855" s="2" t="s">
        <v>9</v>
      </c>
      <c r="T4855">
        <v>4</v>
      </c>
      <c r="U4855" t="s">
        <v>28</v>
      </c>
      <c r="V4855" t="s">
        <v>28</v>
      </c>
      <c r="W4855">
        <v>5</v>
      </c>
      <c r="X4855" s="20">
        <v>24.091591452810732</v>
      </c>
      <c r="Y4855" s="20">
        <v>1.0573647875819892</v>
      </c>
      <c r="AA4855" s="6"/>
      <c r="AB4855" s="6"/>
    </row>
    <row r="4856" spans="1:28" x14ac:dyDescent="0.2">
      <c r="A4856" t="s">
        <v>569</v>
      </c>
      <c r="B4856">
        <v>2020</v>
      </c>
      <c r="C4856" t="s">
        <v>816</v>
      </c>
      <c r="D4856" t="s">
        <v>817</v>
      </c>
      <c r="E4856" t="s">
        <v>263</v>
      </c>
      <c r="F4856" t="s">
        <v>532</v>
      </c>
      <c r="G4856">
        <v>78.933079000000006</v>
      </c>
      <c r="H4856">
        <v>12.286752</v>
      </c>
      <c r="J4856" s="2" t="s">
        <v>14</v>
      </c>
      <c r="K4856" t="s">
        <v>143</v>
      </c>
      <c r="L4856" t="s">
        <v>143</v>
      </c>
      <c r="M4856" t="s">
        <v>638</v>
      </c>
      <c r="N4856" t="s">
        <v>85</v>
      </c>
      <c r="O4856" s="6" t="s">
        <v>107</v>
      </c>
      <c r="P4856" t="s">
        <v>147</v>
      </c>
      <c r="Q4856">
        <v>14</v>
      </c>
      <c r="R4856" t="s">
        <v>213</v>
      </c>
      <c r="S4856" s="2" t="s">
        <v>27</v>
      </c>
      <c r="T4856">
        <v>4</v>
      </c>
      <c r="U4856" t="s">
        <v>28</v>
      </c>
      <c r="V4856" t="s">
        <v>28</v>
      </c>
      <c r="W4856">
        <v>10</v>
      </c>
      <c r="X4856" s="20">
        <v>17.094233381448966</v>
      </c>
      <c r="Y4856" s="20">
        <v>0.53096974291679377</v>
      </c>
      <c r="AA4856" s="6"/>
      <c r="AB4856" s="6"/>
    </row>
    <row r="4857" spans="1:28" x14ac:dyDescent="0.2">
      <c r="A4857" t="s">
        <v>569</v>
      </c>
      <c r="B4857">
        <v>2020</v>
      </c>
      <c r="C4857" t="s">
        <v>816</v>
      </c>
      <c r="D4857" t="s">
        <v>817</v>
      </c>
      <c r="E4857" t="s">
        <v>263</v>
      </c>
      <c r="F4857" t="s">
        <v>532</v>
      </c>
      <c r="G4857">
        <v>78.933079000000006</v>
      </c>
      <c r="H4857">
        <v>12.286752</v>
      </c>
      <c r="J4857" s="2" t="s">
        <v>14</v>
      </c>
      <c r="K4857" t="s">
        <v>143</v>
      </c>
      <c r="L4857" t="s">
        <v>143</v>
      </c>
      <c r="M4857" t="s">
        <v>638</v>
      </c>
      <c r="N4857" t="s">
        <v>85</v>
      </c>
      <c r="O4857" s="6" t="s">
        <v>107</v>
      </c>
      <c r="P4857" t="s">
        <v>147</v>
      </c>
      <c r="Q4857">
        <v>14</v>
      </c>
      <c r="R4857" t="s">
        <v>213</v>
      </c>
      <c r="S4857" s="2" t="s">
        <v>13</v>
      </c>
      <c r="T4857">
        <v>4</v>
      </c>
      <c r="U4857" t="s">
        <v>28</v>
      </c>
      <c r="V4857" t="s">
        <v>28</v>
      </c>
      <c r="W4857">
        <v>15</v>
      </c>
      <c r="X4857" s="20">
        <v>16.246566515019474</v>
      </c>
      <c r="Y4857" s="20">
        <v>0.27279817197331346</v>
      </c>
      <c r="AA4857" s="6"/>
      <c r="AB4857" s="6"/>
    </row>
    <row r="4858" spans="1:28" x14ac:dyDescent="0.2">
      <c r="A4858" t="s">
        <v>571</v>
      </c>
      <c r="B4858">
        <v>2013</v>
      </c>
      <c r="C4858" t="s">
        <v>826</v>
      </c>
      <c r="D4858" t="s">
        <v>812</v>
      </c>
      <c r="E4858" t="s">
        <v>175</v>
      </c>
      <c r="F4858" t="s">
        <v>572</v>
      </c>
      <c r="G4858">
        <v>-34.473394999999996</v>
      </c>
      <c r="H4858">
        <v>138.29218399999999</v>
      </c>
      <c r="I4858" t="s">
        <v>545</v>
      </c>
      <c r="J4858" s="2" t="s">
        <v>7</v>
      </c>
      <c r="K4858" t="s">
        <v>573</v>
      </c>
      <c r="L4858" t="s">
        <v>144</v>
      </c>
      <c r="M4858" t="s">
        <v>26</v>
      </c>
      <c r="N4858" t="s">
        <v>85</v>
      </c>
      <c r="O4858" t="s">
        <v>839</v>
      </c>
      <c r="P4858" t="s">
        <v>574</v>
      </c>
      <c r="Q4858">
        <v>42</v>
      </c>
      <c r="R4858" t="s">
        <v>213</v>
      </c>
      <c r="S4858" s="2" t="s">
        <v>7</v>
      </c>
      <c r="T4858">
        <v>3</v>
      </c>
      <c r="U4858">
        <v>8.18</v>
      </c>
      <c r="V4858">
        <f>AVERAGE(280,380)</f>
        <v>330</v>
      </c>
      <c r="W4858" t="s">
        <v>28</v>
      </c>
      <c r="X4858">
        <v>1.1480000000000001E-2</v>
      </c>
      <c r="Y4858" s="6">
        <f t="shared" ref="Y4858:Y4865" si="85">Z4858*SQRT(T4858)</f>
        <v>6.9801647545025729E-3</v>
      </c>
      <c r="Z4858">
        <f>0.01551-X4858</f>
        <v>4.0299999999999989E-3</v>
      </c>
      <c r="AA4858" s="6"/>
      <c r="AB4858" s="6"/>
    </row>
    <row r="4859" spans="1:28" x14ac:dyDescent="0.2">
      <c r="A4859" t="s">
        <v>571</v>
      </c>
      <c r="B4859">
        <v>2013</v>
      </c>
      <c r="C4859" t="s">
        <v>826</v>
      </c>
      <c r="D4859" t="s">
        <v>812</v>
      </c>
      <c r="E4859" t="s">
        <v>175</v>
      </c>
      <c r="F4859" t="s">
        <v>572</v>
      </c>
      <c r="G4859">
        <v>-34.473394999999996</v>
      </c>
      <c r="H4859">
        <v>138.29218399999999</v>
      </c>
      <c r="I4859" t="s">
        <v>545</v>
      </c>
      <c r="J4859" s="2" t="s">
        <v>5</v>
      </c>
      <c r="K4859" t="s">
        <v>573</v>
      </c>
      <c r="L4859" t="s">
        <v>144</v>
      </c>
      <c r="M4859" t="s">
        <v>26</v>
      </c>
      <c r="N4859" t="s">
        <v>85</v>
      </c>
      <c r="O4859" t="s">
        <v>839</v>
      </c>
      <c r="P4859" t="s">
        <v>574</v>
      </c>
      <c r="Q4859">
        <v>42</v>
      </c>
      <c r="R4859" t="s">
        <v>213</v>
      </c>
      <c r="S4859" s="2" t="s">
        <v>9</v>
      </c>
      <c r="T4859">
        <v>3</v>
      </c>
      <c r="U4859">
        <v>7.96</v>
      </c>
      <c r="V4859">
        <f>AVERAGE(550,650)</f>
        <v>600</v>
      </c>
      <c r="W4859" t="s">
        <v>28</v>
      </c>
      <c r="X4859">
        <v>1.026E-2</v>
      </c>
      <c r="Y4859" s="6">
        <f t="shared" si="85"/>
        <v>5.3000754711607645E-3</v>
      </c>
      <c r="Z4859">
        <f>0.01332-X4859</f>
        <v>3.0600000000000002E-3</v>
      </c>
      <c r="AA4859" s="6"/>
      <c r="AB4859" s="6"/>
    </row>
    <row r="4860" spans="1:28" x14ac:dyDescent="0.2">
      <c r="A4860" t="s">
        <v>571</v>
      </c>
      <c r="B4860">
        <v>2013</v>
      </c>
      <c r="C4860" t="s">
        <v>826</v>
      </c>
      <c r="D4860" t="s">
        <v>812</v>
      </c>
      <c r="E4860" t="s">
        <v>175</v>
      </c>
      <c r="F4860" t="s">
        <v>572</v>
      </c>
      <c r="G4860">
        <v>-34.473394999999996</v>
      </c>
      <c r="H4860">
        <v>138.29218399999999</v>
      </c>
      <c r="I4860" t="s">
        <v>545</v>
      </c>
      <c r="J4860" s="2" t="s">
        <v>7</v>
      </c>
      <c r="K4860" t="s">
        <v>573</v>
      </c>
      <c r="L4860" t="s">
        <v>144</v>
      </c>
      <c r="M4860" t="s">
        <v>638</v>
      </c>
      <c r="N4860" t="s">
        <v>86</v>
      </c>
      <c r="O4860" s="6" t="s">
        <v>272</v>
      </c>
      <c r="Q4860">
        <v>42</v>
      </c>
      <c r="R4860" t="s">
        <v>213</v>
      </c>
      <c r="S4860" s="2" t="s">
        <v>7</v>
      </c>
      <c r="T4860">
        <v>3</v>
      </c>
      <c r="U4860">
        <v>8.18</v>
      </c>
      <c r="V4860">
        <f>AVERAGE(280,380)</f>
        <v>330</v>
      </c>
      <c r="W4860" t="s">
        <v>28</v>
      </c>
      <c r="X4860">
        <v>29.94</v>
      </c>
      <c r="Y4860" s="6">
        <f t="shared" si="85"/>
        <v>3.0310889132455352</v>
      </c>
      <c r="Z4860">
        <f>31.69-X4860</f>
        <v>1.75</v>
      </c>
      <c r="AA4860" s="6"/>
      <c r="AB4860" s="6"/>
    </row>
    <row r="4861" spans="1:28" x14ac:dyDescent="0.2">
      <c r="A4861" t="s">
        <v>571</v>
      </c>
      <c r="B4861">
        <v>2013</v>
      </c>
      <c r="C4861" t="s">
        <v>826</v>
      </c>
      <c r="D4861" t="s">
        <v>812</v>
      </c>
      <c r="E4861" t="s">
        <v>175</v>
      </c>
      <c r="F4861" t="s">
        <v>572</v>
      </c>
      <c r="G4861">
        <v>-34.473394999999996</v>
      </c>
      <c r="H4861">
        <v>138.29218399999999</v>
      </c>
      <c r="I4861" t="s">
        <v>545</v>
      </c>
      <c r="J4861" s="2" t="s">
        <v>5</v>
      </c>
      <c r="K4861" t="s">
        <v>573</v>
      </c>
      <c r="L4861" t="s">
        <v>144</v>
      </c>
      <c r="M4861" t="s">
        <v>638</v>
      </c>
      <c r="N4861" t="s">
        <v>86</v>
      </c>
      <c r="O4861" s="6" t="s">
        <v>272</v>
      </c>
      <c r="Q4861">
        <v>42</v>
      </c>
      <c r="R4861" t="s">
        <v>213</v>
      </c>
      <c r="S4861" s="2" t="s">
        <v>9</v>
      </c>
      <c r="T4861">
        <v>3</v>
      </c>
      <c r="U4861">
        <v>7.96</v>
      </c>
      <c r="V4861">
        <f>AVERAGE(550,650)</f>
        <v>600</v>
      </c>
      <c r="W4861" t="s">
        <v>28</v>
      </c>
      <c r="X4861">
        <v>29.24</v>
      </c>
      <c r="Y4861" s="6">
        <f t="shared" si="85"/>
        <v>2.009178936779898</v>
      </c>
      <c r="Z4861">
        <f>30.4-X4861</f>
        <v>1.1600000000000001</v>
      </c>
      <c r="AA4861" s="6"/>
      <c r="AB4861" s="6"/>
    </row>
    <row r="4862" spans="1:28" x14ac:dyDescent="0.2">
      <c r="A4862" t="s">
        <v>571</v>
      </c>
      <c r="B4862">
        <v>2013</v>
      </c>
      <c r="C4862" t="s">
        <v>826</v>
      </c>
      <c r="D4862" t="s">
        <v>812</v>
      </c>
      <c r="E4862" t="s">
        <v>175</v>
      </c>
      <c r="F4862" t="s">
        <v>572</v>
      </c>
      <c r="G4862">
        <v>-34.473394999999996</v>
      </c>
      <c r="H4862">
        <v>138.29218399999999</v>
      </c>
      <c r="I4862" t="s">
        <v>545</v>
      </c>
      <c r="J4862" s="2" t="s">
        <v>7</v>
      </c>
      <c r="K4862" t="s">
        <v>573</v>
      </c>
      <c r="L4862" t="s">
        <v>144</v>
      </c>
      <c r="M4862" t="s">
        <v>638</v>
      </c>
      <c r="N4862" t="s">
        <v>85</v>
      </c>
      <c r="O4862" s="6" t="s">
        <v>107</v>
      </c>
      <c r="P4862" t="s">
        <v>70</v>
      </c>
      <c r="Q4862">
        <v>42</v>
      </c>
      <c r="R4862" t="s">
        <v>213</v>
      </c>
      <c r="S4862" s="2" t="s">
        <v>7</v>
      </c>
      <c r="T4862">
        <v>3</v>
      </c>
      <c r="U4862">
        <v>8.18</v>
      </c>
      <c r="V4862">
        <f>AVERAGE(280,380)</f>
        <v>330</v>
      </c>
      <c r="W4862" t="s">
        <v>28</v>
      </c>
      <c r="X4862">
        <v>1.18</v>
      </c>
      <c r="Y4862" s="6">
        <f t="shared" si="85"/>
        <v>0.12124355652982151</v>
      </c>
      <c r="Z4862">
        <f>1.25-X4862</f>
        <v>7.0000000000000062E-2</v>
      </c>
      <c r="AA4862" s="6"/>
      <c r="AB4862" s="6"/>
    </row>
    <row r="4863" spans="1:28" x14ac:dyDescent="0.2">
      <c r="A4863" t="s">
        <v>571</v>
      </c>
      <c r="B4863">
        <v>2013</v>
      </c>
      <c r="C4863" t="s">
        <v>826</v>
      </c>
      <c r="D4863" t="s">
        <v>812</v>
      </c>
      <c r="E4863" t="s">
        <v>175</v>
      </c>
      <c r="F4863" t="s">
        <v>572</v>
      </c>
      <c r="G4863">
        <v>-34.473394999999996</v>
      </c>
      <c r="H4863">
        <v>138.29218399999999</v>
      </c>
      <c r="I4863" t="s">
        <v>545</v>
      </c>
      <c r="J4863" s="2" t="s">
        <v>5</v>
      </c>
      <c r="K4863" t="s">
        <v>573</v>
      </c>
      <c r="L4863" t="s">
        <v>144</v>
      </c>
      <c r="M4863" t="s">
        <v>638</v>
      </c>
      <c r="N4863" t="s">
        <v>85</v>
      </c>
      <c r="O4863" s="6" t="s">
        <v>107</v>
      </c>
      <c r="P4863" t="s">
        <v>70</v>
      </c>
      <c r="Q4863">
        <v>42</v>
      </c>
      <c r="R4863" t="s">
        <v>213</v>
      </c>
      <c r="S4863" s="2" t="s">
        <v>9</v>
      </c>
      <c r="T4863">
        <v>3</v>
      </c>
      <c r="U4863">
        <v>7.96</v>
      </c>
      <c r="V4863">
        <f>AVERAGE(550,650)</f>
        <v>600</v>
      </c>
      <c r="W4863" t="s">
        <v>28</v>
      </c>
      <c r="X4863">
        <v>1.33</v>
      </c>
      <c r="Y4863" s="6">
        <f t="shared" si="85"/>
        <v>0.12124355652982112</v>
      </c>
      <c r="Z4863">
        <f>1.4-X4863</f>
        <v>6.999999999999984E-2</v>
      </c>
      <c r="AA4863" s="6"/>
      <c r="AB4863" s="6"/>
    </row>
    <row r="4864" spans="1:28" x14ac:dyDescent="0.2">
      <c r="A4864" t="s">
        <v>571</v>
      </c>
      <c r="B4864">
        <v>2013</v>
      </c>
      <c r="C4864" t="s">
        <v>826</v>
      </c>
      <c r="D4864" t="s">
        <v>812</v>
      </c>
      <c r="E4864" t="s">
        <v>175</v>
      </c>
      <c r="F4864" t="s">
        <v>572</v>
      </c>
      <c r="G4864">
        <v>-34.473394999999996</v>
      </c>
      <c r="H4864">
        <v>138.29218399999999</v>
      </c>
      <c r="I4864" t="s">
        <v>545</v>
      </c>
      <c r="J4864" s="2" t="s">
        <v>7</v>
      </c>
      <c r="K4864" t="s">
        <v>573</v>
      </c>
      <c r="L4864" t="s">
        <v>144</v>
      </c>
      <c r="M4864" t="s">
        <v>638</v>
      </c>
      <c r="N4864" t="s">
        <v>85</v>
      </c>
      <c r="O4864" s="6" t="s">
        <v>221</v>
      </c>
      <c r="P4864" t="s">
        <v>70</v>
      </c>
      <c r="Q4864">
        <v>42</v>
      </c>
      <c r="R4864" t="s">
        <v>213</v>
      </c>
      <c r="S4864" s="2" t="s">
        <v>7</v>
      </c>
      <c r="T4864">
        <v>3</v>
      </c>
      <c r="U4864">
        <v>8.18</v>
      </c>
      <c r="V4864">
        <f>AVERAGE(280,380)</f>
        <v>330</v>
      </c>
      <c r="W4864" t="s">
        <v>28</v>
      </c>
      <c r="X4864">
        <v>35.1</v>
      </c>
      <c r="Y4864" s="6">
        <f t="shared" si="85"/>
        <v>1.056550992617014</v>
      </c>
      <c r="Z4864">
        <f>35.71-X4864</f>
        <v>0.60999999999999943</v>
      </c>
      <c r="AA4864" s="6"/>
      <c r="AB4864" s="6"/>
    </row>
    <row r="4865" spans="1:28" x14ac:dyDescent="0.2">
      <c r="A4865" t="s">
        <v>571</v>
      </c>
      <c r="B4865">
        <v>2013</v>
      </c>
      <c r="C4865" t="s">
        <v>826</v>
      </c>
      <c r="D4865" t="s">
        <v>812</v>
      </c>
      <c r="E4865" t="s">
        <v>175</v>
      </c>
      <c r="F4865" t="s">
        <v>572</v>
      </c>
      <c r="G4865">
        <v>-34.473394999999996</v>
      </c>
      <c r="H4865">
        <v>138.29218399999999</v>
      </c>
      <c r="I4865" t="s">
        <v>545</v>
      </c>
      <c r="J4865" s="2" t="s">
        <v>5</v>
      </c>
      <c r="K4865" t="s">
        <v>573</v>
      </c>
      <c r="L4865" t="s">
        <v>144</v>
      </c>
      <c r="M4865" t="s">
        <v>638</v>
      </c>
      <c r="N4865" t="s">
        <v>85</v>
      </c>
      <c r="O4865" s="6" t="s">
        <v>221</v>
      </c>
      <c r="P4865" t="s">
        <v>70</v>
      </c>
      <c r="Q4865">
        <v>42</v>
      </c>
      <c r="R4865" t="s">
        <v>213</v>
      </c>
      <c r="S4865" s="2" t="s">
        <v>9</v>
      </c>
      <c r="T4865">
        <v>3</v>
      </c>
      <c r="U4865">
        <v>7.96</v>
      </c>
      <c r="V4865">
        <f>AVERAGE(550,650)</f>
        <v>600</v>
      </c>
      <c r="W4865" t="s">
        <v>28</v>
      </c>
      <c r="X4865">
        <v>38.53</v>
      </c>
      <c r="Y4865" s="6">
        <f t="shared" si="85"/>
        <v>0.93530743608719225</v>
      </c>
      <c r="Z4865">
        <f>39.07-X4865</f>
        <v>0.53999999999999915</v>
      </c>
      <c r="AA4865" s="6"/>
      <c r="AB4865" s="6"/>
    </row>
    <row r="4866" spans="1:28" x14ac:dyDescent="0.2">
      <c r="A4866" t="s">
        <v>575</v>
      </c>
      <c r="B4866">
        <v>2015</v>
      </c>
      <c r="C4866" t="s">
        <v>805</v>
      </c>
      <c r="D4866" t="s">
        <v>806</v>
      </c>
      <c r="E4866" t="s">
        <v>577</v>
      </c>
      <c r="F4866" t="s">
        <v>576</v>
      </c>
      <c r="G4866">
        <v>44.477347000000002</v>
      </c>
      <c r="H4866">
        <v>-63.546725000000002</v>
      </c>
      <c r="I4866" t="s">
        <v>771</v>
      </c>
      <c r="J4866" s="2" t="s">
        <v>7</v>
      </c>
      <c r="K4866" t="s">
        <v>578</v>
      </c>
      <c r="L4866" t="s">
        <v>144</v>
      </c>
      <c r="M4866" t="s">
        <v>12</v>
      </c>
      <c r="N4866" t="s">
        <v>85</v>
      </c>
      <c r="O4866" s="6" t="s">
        <v>12</v>
      </c>
      <c r="P4866" t="s">
        <v>70</v>
      </c>
      <c r="Q4866">
        <v>7</v>
      </c>
      <c r="R4866" t="s">
        <v>214</v>
      </c>
      <c r="S4866" s="2" t="s">
        <v>7</v>
      </c>
      <c r="T4866">
        <v>1</v>
      </c>
      <c r="U4866" t="s">
        <v>28</v>
      </c>
      <c r="V4866" t="s">
        <v>28</v>
      </c>
      <c r="W4866">
        <v>11.6</v>
      </c>
      <c r="X4866">
        <v>100</v>
      </c>
      <c r="Y4866" t="s">
        <v>28</v>
      </c>
      <c r="Z4866" t="s">
        <v>28</v>
      </c>
      <c r="AA4866" t="s">
        <v>28</v>
      </c>
      <c r="AB4866" t="s">
        <v>28</v>
      </c>
    </row>
    <row r="4867" spans="1:28" x14ac:dyDescent="0.2">
      <c r="A4867" t="s">
        <v>575</v>
      </c>
      <c r="B4867">
        <v>2015</v>
      </c>
      <c r="C4867" t="s">
        <v>805</v>
      </c>
      <c r="D4867" t="s">
        <v>806</v>
      </c>
      <c r="E4867" t="s">
        <v>577</v>
      </c>
      <c r="F4867" t="s">
        <v>576</v>
      </c>
      <c r="G4867">
        <v>44.477347000000002</v>
      </c>
      <c r="H4867">
        <v>-63.546725000000002</v>
      </c>
      <c r="I4867" t="s">
        <v>771</v>
      </c>
      <c r="J4867" s="2" t="s">
        <v>7</v>
      </c>
      <c r="K4867" t="s">
        <v>578</v>
      </c>
      <c r="L4867" t="s">
        <v>144</v>
      </c>
      <c r="M4867" t="s">
        <v>12</v>
      </c>
      <c r="N4867" t="s">
        <v>85</v>
      </c>
      <c r="O4867" s="6" t="s">
        <v>12</v>
      </c>
      <c r="P4867" t="s">
        <v>70</v>
      </c>
      <c r="Q4867">
        <v>14</v>
      </c>
      <c r="R4867" t="s">
        <v>214</v>
      </c>
      <c r="S4867" s="2" t="s">
        <v>7</v>
      </c>
      <c r="T4867">
        <v>1</v>
      </c>
      <c r="U4867" t="s">
        <v>28</v>
      </c>
      <c r="V4867" t="s">
        <v>28</v>
      </c>
      <c r="W4867">
        <v>11.6</v>
      </c>
      <c r="X4867">
        <v>100</v>
      </c>
      <c r="Y4867" t="s">
        <v>28</v>
      </c>
      <c r="Z4867" t="s">
        <v>28</v>
      </c>
      <c r="AA4867" t="s">
        <v>28</v>
      </c>
      <c r="AB4867" t="s">
        <v>28</v>
      </c>
    </row>
    <row r="4868" spans="1:28" x14ac:dyDescent="0.2">
      <c r="A4868" t="s">
        <v>575</v>
      </c>
      <c r="B4868">
        <v>2015</v>
      </c>
      <c r="C4868" t="s">
        <v>805</v>
      </c>
      <c r="D4868" t="s">
        <v>806</v>
      </c>
      <c r="E4868" t="s">
        <v>577</v>
      </c>
      <c r="F4868" t="s">
        <v>576</v>
      </c>
      <c r="G4868">
        <v>44.477347000000002</v>
      </c>
      <c r="H4868">
        <v>-63.546725000000002</v>
      </c>
      <c r="I4868" t="s">
        <v>771</v>
      </c>
      <c r="J4868" s="2" t="s">
        <v>7</v>
      </c>
      <c r="K4868" t="s">
        <v>578</v>
      </c>
      <c r="L4868" t="s">
        <v>144</v>
      </c>
      <c r="M4868" t="s">
        <v>12</v>
      </c>
      <c r="N4868" t="s">
        <v>85</v>
      </c>
      <c r="O4868" s="6" t="s">
        <v>12</v>
      </c>
      <c r="P4868" t="s">
        <v>70</v>
      </c>
      <c r="Q4868">
        <v>21</v>
      </c>
      <c r="R4868" t="s">
        <v>213</v>
      </c>
      <c r="S4868" s="2" t="s">
        <v>7</v>
      </c>
      <c r="T4868">
        <v>1</v>
      </c>
      <c r="U4868" t="s">
        <v>28</v>
      </c>
      <c r="V4868" t="s">
        <v>28</v>
      </c>
      <c r="W4868">
        <v>11.6</v>
      </c>
      <c r="X4868">
        <v>100</v>
      </c>
      <c r="Y4868" t="s">
        <v>28</v>
      </c>
      <c r="Z4868" t="s">
        <v>28</v>
      </c>
      <c r="AA4868" t="s">
        <v>28</v>
      </c>
      <c r="AB4868" t="s">
        <v>28</v>
      </c>
    </row>
    <row r="4869" spans="1:28" x14ac:dyDescent="0.2">
      <c r="A4869" t="s">
        <v>575</v>
      </c>
      <c r="B4869">
        <v>2015</v>
      </c>
      <c r="C4869" t="s">
        <v>805</v>
      </c>
      <c r="D4869" t="s">
        <v>806</v>
      </c>
      <c r="E4869" t="s">
        <v>577</v>
      </c>
      <c r="F4869" t="s">
        <v>576</v>
      </c>
      <c r="G4869">
        <v>44.477347000000002</v>
      </c>
      <c r="H4869">
        <v>-63.546725000000002</v>
      </c>
      <c r="I4869" t="s">
        <v>771</v>
      </c>
      <c r="J4869" s="2" t="s">
        <v>14</v>
      </c>
      <c r="K4869" t="s">
        <v>578</v>
      </c>
      <c r="L4869" t="s">
        <v>144</v>
      </c>
      <c r="M4869" t="s">
        <v>12</v>
      </c>
      <c r="N4869" t="s">
        <v>85</v>
      </c>
      <c r="O4869" s="6" t="s">
        <v>12</v>
      </c>
      <c r="P4869" t="s">
        <v>70</v>
      </c>
      <c r="Q4869">
        <v>7</v>
      </c>
      <c r="R4869" t="s">
        <v>214</v>
      </c>
      <c r="S4869" s="2" t="s">
        <v>9</v>
      </c>
      <c r="T4869">
        <v>1</v>
      </c>
      <c r="U4869" t="s">
        <v>28</v>
      </c>
      <c r="V4869" t="s">
        <v>28</v>
      </c>
      <c r="W4869">
        <v>14.4</v>
      </c>
      <c r="X4869">
        <v>100</v>
      </c>
      <c r="Y4869" t="s">
        <v>28</v>
      </c>
      <c r="Z4869" t="s">
        <v>28</v>
      </c>
      <c r="AA4869" t="s">
        <v>28</v>
      </c>
      <c r="AB4869" t="s">
        <v>28</v>
      </c>
    </row>
    <row r="4870" spans="1:28" x14ac:dyDescent="0.2">
      <c r="A4870" t="s">
        <v>575</v>
      </c>
      <c r="B4870">
        <v>2015</v>
      </c>
      <c r="C4870" t="s">
        <v>805</v>
      </c>
      <c r="D4870" t="s">
        <v>806</v>
      </c>
      <c r="E4870" t="s">
        <v>577</v>
      </c>
      <c r="F4870" t="s">
        <v>576</v>
      </c>
      <c r="G4870">
        <v>44.477347000000002</v>
      </c>
      <c r="H4870">
        <v>-63.546725000000002</v>
      </c>
      <c r="I4870" t="s">
        <v>771</v>
      </c>
      <c r="J4870" s="2" t="s">
        <v>14</v>
      </c>
      <c r="K4870" t="s">
        <v>578</v>
      </c>
      <c r="L4870" t="s">
        <v>144</v>
      </c>
      <c r="M4870" t="s">
        <v>12</v>
      </c>
      <c r="N4870" t="s">
        <v>85</v>
      </c>
      <c r="O4870" s="6" t="s">
        <v>12</v>
      </c>
      <c r="P4870" t="s">
        <v>70</v>
      </c>
      <c r="Q4870">
        <v>14</v>
      </c>
      <c r="R4870" t="s">
        <v>214</v>
      </c>
      <c r="S4870" s="2" t="s">
        <v>9</v>
      </c>
      <c r="T4870">
        <v>1</v>
      </c>
      <c r="U4870" t="s">
        <v>28</v>
      </c>
      <c r="V4870" t="s">
        <v>28</v>
      </c>
      <c r="W4870">
        <v>14.4</v>
      </c>
      <c r="X4870">
        <v>100</v>
      </c>
      <c r="Y4870" t="s">
        <v>28</v>
      </c>
      <c r="Z4870" t="s">
        <v>28</v>
      </c>
      <c r="AA4870" t="s">
        <v>28</v>
      </c>
      <c r="AB4870" t="s">
        <v>28</v>
      </c>
    </row>
    <row r="4871" spans="1:28" x14ac:dyDescent="0.2">
      <c r="A4871" t="s">
        <v>575</v>
      </c>
      <c r="B4871">
        <v>2015</v>
      </c>
      <c r="C4871" t="s">
        <v>805</v>
      </c>
      <c r="D4871" t="s">
        <v>806</v>
      </c>
      <c r="E4871" t="s">
        <v>577</v>
      </c>
      <c r="F4871" t="s">
        <v>576</v>
      </c>
      <c r="G4871">
        <v>44.477347000000002</v>
      </c>
      <c r="H4871">
        <v>-63.546725000000002</v>
      </c>
      <c r="I4871" t="s">
        <v>771</v>
      </c>
      <c r="J4871" s="2" t="s">
        <v>14</v>
      </c>
      <c r="K4871" t="s">
        <v>578</v>
      </c>
      <c r="L4871" t="s">
        <v>144</v>
      </c>
      <c r="M4871" t="s">
        <v>12</v>
      </c>
      <c r="N4871" t="s">
        <v>85</v>
      </c>
      <c r="O4871" s="6" t="s">
        <v>12</v>
      </c>
      <c r="P4871" t="s">
        <v>70</v>
      </c>
      <c r="Q4871">
        <v>21</v>
      </c>
      <c r="R4871" t="s">
        <v>213</v>
      </c>
      <c r="S4871" s="2" t="s">
        <v>9</v>
      </c>
      <c r="T4871">
        <v>1</v>
      </c>
      <c r="U4871" t="s">
        <v>28</v>
      </c>
      <c r="V4871" t="s">
        <v>28</v>
      </c>
      <c r="W4871">
        <v>14.4</v>
      </c>
      <c r="X4871">
        <v>100</v>
      </c>
      <c r="Y4871" t="s">
        <v>28</v>
      </c>
      <c r="Z4871" t="s">
        <v>28</v>
      </c>
      <c r="AA4871" t="s">
        <v>28</v>
      </c>
      <c r="AB4871" t="s">
        <v>28</v>
      </c>
    </row>
    <row r="4872" spans="1:28" x14ac:dyDescent="0.2">
      <c r="A4872" t="s">
        <v>575</v>
      </c>
      <c r="B4872">
        <v>2015</v>
      </c>
      <c r="C4872" t="s">
        <v>805</v>
      </c>
      <c r="D4872" t="s">
        <v>806</v>
      </c>
      <c r="E4872" t="s">
        <v>577</v>
      </c>
      <c r="F4872" t="s">
        <v>576</v>
      </c>
      <c r="G4872">
        <v>44.477347000000002</v>
      </c>
      <c r="H4872">
        <v>-63.546725000000002</v>
      </c>
      <c r="I4872" t="s">
        <v>771</v>
      </c>
      <c r="J4872" s="2" t="s">
        <v>14</v>
      </c>
      <c r="K4872" t="s">
        <v>578</v>
      </c>
      <c r="L4872" t="s">
        <v>144</v>
      </c>
      <c r="M4872" t="s">
        <v>12</v>
      </c>
      <c r="N4872" t="s">
        <v>85</v>
      </c>
      <c r="O4872" s="6" t="s">
        <v>12</v>
      </c>
      <c r="P4872" t="s">
        <v>70</v>
      </c>
      <c r="Q4872">
        <v>7</v>
      </c>
      <c r="R4872" t="s">
        <v>214</v>
      </c>
      <c r="S4872" s="2" t="s">
        <v>27</v>
      </c>
      <c r="T4872">
        <v>1</v>
      </c>
      <c r="U4872" t="s">
        <v>28</v>
      </c>
      <c r="V4872" t="s">
        <v>28</v>
      </c>
      <c r="W4872">
        <v>18.2</v>
      </c>
      <c r="X4872">
        <v>100</v>
      </c>
      <c r="Y4872" t="s">
        <v>28</v>
      </c>
      <c r="Z4872" t="s">
        <v>28</v>
      </c>
      <c r="AA4872" t="s">
        <v>28</v>
      </c>
      <c r="AB4872" t="s">
        <v>28</v>
      </c>
    </row>
    <row r="4873" spans="1:28" x14ac:dyDescent="0.2">
      <c r="A4873" t="s">
        <v>575</v>
      </c>
      <c r="B4873">
        <v>2015</v>
      </c>
      <c r="C4873" t="s">
        <v>805</v>
      </c>
      <c r="D4873" t="s">
        <v>806</v>
      </c>
      <c r="E4873" t="s">
        <v>577</v>
      </c>
      <c r="F4873" t="s">
        <v>576</v>
      </c>
      <c r="G4873">
        <v>44.477347000000002</v>
      </c>
      <c r="H4873">
        <v>-63.546725000000002</v>
      </c>
      <c r="I4873" t="s">
        <v>771</v>
      </c>
      <c r="J4873" s="2" t="s">
        <v>14</v>
      </c>
      <c r="K4873" t="s">
        <v>578</v>
      </c>
      <c r="L4873" t="s">
        <v>144</v>
      </c>
      <c r="M4873" t="s">
        <v>12</v>
      </c>
      <c r="N4873" t="s">
        <v>85</v>
      </c>
      <c r="O4873" s="6" t="s">
        <v>12</v>
      </c>
      <c r="P4873" t="s">
        <v>70</v>
      </c>
      <c r="Q4873">
        <v>14</v>
      </c>
      <c r="R4873" t="s">
        <v>214</v>
      </c>
      <c r="S4873" s="2" t="s">
        <v>27</v>
      </c>
      <c r="T4873">
        <v>1</v>
      </c>
      <c r="U4873" t="s">
        <v>28</v>
      </c>
      <c r="V4873" t="s">
        <v>28</v>
      </c>
      <c r="W4873">
        <v>18.2</v>
      </c>
      <c r="X4873">
        <v>66</v>
      </c>
      <c r="Y4873" t="s">
        <v>28</v>
      </c>
      <c r="Z4873" t="s">
        <v>28</v>
      </c>
      <c r="AA4873" t="s">
        <v>28</v>
      </c>
      <c r="AB4873" t="s">
        <v>28</v>
      </c>
    </row>
    <row r="4874" spans="1:28" x14ac:dyDescent="0.2">
      <c r="A4874" t="s">
        <v>575</v>
      </c>
      <c r="B4874">
        <v>2015</v>
      </c>
      <c r="C4874" t="s">
        <v>805</v>
      </c>
      <c r="D4874" t="s">
        <v>806</v>
      </c>
      <c r="E4874" t="s">
        <v>577</v>
      </c>
      <c r="F4874" t="s">
        <v>576</v>
      </c>
      <c r="G4874">
        <v>44.477347000000002</v>
      </c>
      <c r="H4874">
        <v>-63.546725000000002</v>
      </c>
      <c r="I4874" t="s">
        <v>771</v>
      </c>
      <c r="J4874" s="2" t="s">
        <v>14</v>
      </c>
      <c r="K4874" t="s">
        <v>578</v>
      </c>
      <c r="L4874" t="s">
        <v>144</v>
      </c>
      <c r="M4874" t="s">
        <v>12</v>
      </c>
      <c r="N4874" t="s">
        <v>85</v>
      </c>
      <c r="O4874" s="6" t="s">
        <v>12</v>
      </c>
      <c r="P4874" t="s">
        <v>70</v>
      </c>
      <c r="Q4874">
        <v>21</v>
      </c>
      <c r="R4874" t="s">
        <v>213</v>
      </c>
      <c r="S4874" s="2" t="s">
        <v>27</v>
      </c>
      <c r="T4874">
        <v>1</v>
      </c>
      <c r="U4874" t="s">
        <v>28</v>
      </c>
      <c r="V4874" t="s">
        <v>28</v>
      </c>
      <c r="W4874">
        <v>18.2</v>
      </c>
      <c r="X4874">
        <v>33</v>
      </c>
      <c r="Y4874" t="s">
        <v>28</v>
      </c>
      <c r="Z4874" t="s">
        <v>28</v>
      </c>
      <c r="AA4874" t="s">
        <v>28</v>
      </c>
      <c r="AB4874" t="s">
        <v>28</v>
      </c>
    </row>
    <row r="4875" spans="1:28" x14ac:dyDescent="0.2">
      <c r="A4875" t="s">
        <v>575</v>
      </c>
      <c r="B4875">
        <v>2015</v>
      </c>
      <c r="C4875" t="s">
        <v>805</v>
      </c>
      <c r="D4875" t="s">
        <v>806</v>
      </c>
      <c r="E4875" t="s">
        <v>577</v>
      </c>
      <c r="F4875" t="s">
        <v>576</v>
      </c>
      <c r="G4875">
        <v>44.477347000000002</v>
      </c>
      <c r="H4875">
        <v>-63.546725000000002</v>
      </c>
      <c r="I4875" t="s">
        <v>771</v>
      </c>
      <c r="J4875" s="2" t="s">
        <v>14</v>
      </c>
      <c r="K4875" t="s">
        <v>578</v>
      </c>
      <c r="L4875" t="s">
        <v>144</v>
      </c>
      <c r="M4875" t="s">
        <v>12</v>
      </c>
      <c r="N4875" t="s">
        <v>85</v>
      </c>
      <c r="O4875" s="6" t="s">
        <v>12</v>
      </c>
      <c r="P4875" t="s">
        <v>70</v>
      </c>
      <c r="Q4875">
        <v>7</v>
      </c>
      <c r="R4875" t="s">
        <v>214</v>
      </c>
      <c r="S4875" s="2" t="s">
        <v>13</v>
      </c>
      <c r="T4875">
        <v>1</v>
      </c>
      <c r="U4875" t="s">
        <v>28</v>
      </c>
      <c r="V4875" t="s">
        <v>28</v>
      </c>
      <c r="W4875">
        <v>20.8</v>
      </c>
      <c r="X4875">
        <v>66</v>
      </c>
      <c r="Y4875" t="s">
        <v>28</v>
      </c>
      <c r="Z4875" t="s">
        <v>28</v>
      </c>
      <c r="AA4875" t="s">
        <v>28</v>
      </c>
      <c r="AB4875" t="s">
        <v>28</v>
      </c>
    </row>
    <row r="4876" spans="1:28" x14ac:dyDescent="0.2">
      <c r="A4876" t="s">
        <v>575</v>
      </c>
      <c r="B4876">
        <v>2015</v>
      </c>
      <c r="C4876" t="s">
        <v>805</v>
      </c>
      <c r="D4876" t="s">
        <v>806</v>
      </c>
      <c r="E4876" t="s">
        <v>577</v>
      </c>
      <c r="F4876" t="s">
        <v>576</v>
      </c>
      <c r="G4876">
        <v>44.477347000000002</v>
      </c>
      <c r="H4876">
        <v>-63.546725000000002</v>
      </c>
      <c r="I4876" t="s">
        <v>771</v>
      </c>
      <c r="J4876" s="2" t="s">
        <v>14</v>
      </c>
      <c r="K4876" t="s">
        <v>578</v>
      </c>
      <c r="L4876" t="s">
        <v>144</v>
      </c>
      <c r="M4876" t="s">
        <v>12</v>
      </c>
      <c r="N4876" t="s">
        <v>85</v>
      </c>
      <c r="O4876" s="6" t="s">
        <v>12</v>
      </c>
      <c r="P4876" t="s">
        <v>70</v>
      </c>
      <c r="Q4876">
        <v>14</v>
      </c>
      <c r="R4876" t="s">
        <v>214</v>
      </c>
      <c r="S4876" s="2" t="s">
        <v>13</v>
      </c>
      <c r="T4876">
        <v>1</v>
      </c>
      <c r="U4876" t="s">
        <v>28</v>
      </c>
      <c r="V4876" t="s">
        <v>28</v>
      </c>
      <c r="W4876">
        <v>20.8</v>
      </c>
      <c r="X4876">
        <v>0</v>
      </c>
      <c r="Y4876" t="s">
        <v>28</v>
      </c>
      <c r="Z4876" t="s">
        <v>28</v>
      </c>
      <c r="AA4876" t="s">
        <v>28</v>
      </c>
      <c r="AB4876" t="s">
        <v>28</v>
      </c>
    </row>
    <row r="4877" spans="1:28" x14ac:dyDescent="0.2">
      <c r="A4877" t="s">
        <v>575</v>
      </c>
      <c r="B4877">
        <v>2015</v>
      </c>
      <c r="C4877" t="s">
        <v>805</v>
      </c>
      <c r="D4877" t="s">
        <v>806</v>
      </c>
      <c r="E4877" t="s">
        <v>577</v>
      </c>
      <c r="F4877" t="s">
        <v>576</v>
      </c>
      <c r="G4877">
        <v>44.477347000000002</v>
      </c>
      <c r="H4877">
        <v>-63.546725000000002</v>
      </c>
      <c r="I4877" t="s">
        <v>771</v>
      </c>
      <c r="J4877" s="2" t="s">
        <v>14</v>
      </c>
      <c r="K4877" t="s">
        <v>578</v>
      </c>
      <c r="L4877" t="s">
        <v>144</v>
      </c>
      <c r="M4877" t="s">
        <v>12</v>
      </c>
      <c r="N4877" t="s">
        <v>85</v>
      </c>
      <c r="O4877" s="6" t="s">
        <v>12</v>
      </c>
      <c r="P4877" t="s">
        <v>70</v>
      </c>
      <c r="Q4877">
        <v>21</v>
      </c>
      <c r="R4877" t="s">
        <v>213</v>
      </c>
      <c r="S4877" s="2" t="s">
        <v>13</v>
      </c>
      <c r="T4877">
        <v>1</v>
      </c>
      <c r="U4877" t="s">
        <v>28</v>
      </c>
      <c r="V4877" t="s">
        <v>28</v>
      </c>
      <c r="W4877">
        <v>20.8</v>
      </c>
      <c r="X4877">
        <v>0</v>
      </c>
      <c r="Y4877" t="s">
        <v>28</v>
      </c>
      <c r="Z4877" t="s">
        <v>28</v>
      </c>
      <c r="AA4877" t="s">
        <v>28</v>
      </c>
      <c r="AB4877" t="s">
        <v>28</v>
      </c>
    </row>
    <row r="4878" spans="1:28" x14ac:dyDescent="0.2">
      <c r="A4878" t="s">
        <v>575</v>
      </c>
      <c r="B4878">
        <v>2015</v>
      </c>
      <c r="C4878" t="s">
        <v>816</v>
      </c>
      <c r="D4878" t="s">
        <v>817</v>
      </c>
      <c r="E4878" t="s">
        <v>31</v>
      </c>
      <c r="F4878" t="s">
        <v>576</v>
      </c>
      <c r="G4878">
        <v>44.477347000000002</v>
      </c>
      <c r="H4878">
        <v>-63.546725000000002</v>
      </c>
      <c r="I4878" t="s">
        <v>771</v>
      </c>
      <c r="J4878" s="2" t="s">
        <v>7</v>
      </c>
      <c r="K4878" t="s">
        <v>578</v>
      </c>
      <c r="L4878" t="s">
        <v>144</v>
      </c>
      <c r="M4878" t="s">
        <v>12</v>
      </c>
      <c r="N4878" t="s">
        <v>85</v>
      </c>
      <c r="O4878" s="6" t="s">
        <v>12</v>
      </c>
      <c r="P4878" t="s">
        <v>70</v>
      </c>
      <c r="Q4878">
        <v>7</v>
      </c>
      <c r="R4878" t="s">
        <v>214</v>
      </c>
      <c r="S4878" s="2" t="s">
        <v>7</v>
      </c>
      <c r="T4878">
        <v>1</v>
      </c>
      <c r="U4878" t="s">
        <v>28</v>
      </c>
      <c r="V4878" t="s">
        <v>28</v>
      </c>
      <c r="W4878">
        <v>11.6</v>
      </c>
      <c r="X4878">
        <v>100</v>
      </c>
      <c r="Y4878" t="s">
        <v>28</v>
      </c>
      <c r="Z4878" t="s">
        <v>28</v>
      </c>
      <c r="AA4878" t="s">
        <v>28</v>
      </c>
      <c r="AB4878" t="s">
        <v>28</v>
      </c>
    </row>
    <row r="4879" spans="1:28" x14ac:dyDescent="0.2">
      <c r="A4879" t="s">
        <v>575</v>
      </c>
      <c r="B4879">
        <v>2015</v>
      </c>
      <c r="C4879" t="s">
        <v>816</v>
      </c>
      <c r="D4879" t="s">
        <v>817</v>
      </c>
      <c r="E4879" t="s">
        <v>31</v>
      </c>
      <c r="F4879" t="s">
        <v>576</v>
      </c>
      <c r="G4879">
        <v>44.477347000000002</v>
      </c>
      <c r="H4879">
        <v>-63.546725000000002</v>
      </c>
      <c r="I4879" t="s">
        <v>771</v>
      </c>
      <c r="J4879" s="2" t="s">
        <v>7</v>
      </c>
      <c r="K4879" t="s">
        <v>578</v>
      </c>
      <c r="L4879" t="s">
        <v>144</v>
      </c>
      <c r="M4879" t="s">
        <v>12</v>
      </c>
      <c r="N4879" t="s">
        <v>85</v>
      </c>
      <c r="O4879" s="6" t="s">
        <v>12</v>
      </c>
      <c r="P4879" t="s">
        <v>70</v>
      </c>
      <c r="Q4879">
        <v>14</v>
      </c>
      <c r="R4879" t="s">
        <v>214</v>
      </c>
      <c r="S4879" s="2" t="s">
        <v>7</v>
      </c>
      <c r="T4879">
        <v>1</v>
      </c>
      <c r="U4879" t="s">
        <v>28</v>
      </c>
      <c r="V4879" t="s">
        <v>28</v>
      </c>
      <c r="W4879">
        <v>11.6</v>
      </c>
      <c r="X4879">
        <v>100</v>
      </c>
      <c r="Y4879" t="s">
        <v>28</v>
      </c>
      <c r="Z4879" t="s">
        <v>28</v>
      </c>
      <c r="AA4879" t="s">
        <v>28</v>
      </c>
      <c r="AB4879" t="s">
        <v>28</v>
      </c>
    </row>
    <row r="4880" spans="1:28" x14ac:dyDescent="0.2">
      <c r="A4880" t="s">
        <v>575</v>
      </c>
      <c r="B4880">
        <v>2015</v>
      </c>
      <c r="C4880" t="s">
        <v>816</v>
      </c>
      <c r="D4880" t="s">
        <v>817</v>
      </c>
      <c r="E4880" t="s">
        <v>31</v>
      </c>
      <c r="F4880" t="s">
        <v>576</v>
      </c>
      <c r="G4880">
        <v>44.477347000000002</v>
      </c>
      <c r="H4880">
        <v>-63.546725000000002</v>
      </c>
      <c r="I4880" t="s">
        <v>771</v>
      </c>
      <c r="J4880" s="2" t="s">
        <v>7</v>
      </c>
      <c r="K4880" t="s">
        <v>578</v>
      </c>
      <c r="L4880" t="s">
        <v>144</v>
      </c>
      <c r="M4880" t="s">
        <v>12</v>
      </c>
      <c r="N4880" t="s">
        <v>85</v>
      </c>
      <c r="O4880" s="6" t="s">
        <v>12</v>
      </c>
      <c r="P4880" t="s">
        <v>70</v>
      </c>
      <c r="Q4880">
        <v>21</v>
      </c>
      <c r="R4880" t="s">
        <v>213</v>
      </c>
      <c r="S4880" s="2" t="s">
        <v>7</v>
      </c>
      <c r="T4880">
        <v>1</v>
      </c>
      <c r="U4880" t="s">
        <v>28</v>
      </c>
      <c r="V4880" t="s">
        <v>28</v>
      </c>
      <c r="W4880">
        <v>11.6</v>
      </c>
      <c r="X4880">
        <v>100</v>
      </c>
      <c r="Y4880" t="s">
        <v>28</v>
      </c>
      <c r="Z4880" t="s">
        <v>28</v>
      </c>
      <c r="AA4880" t="s">
        <v>28</v>
      </c>
      <c r="AB4880" t="s">
        <v>28</v>
      </c>
    </row>
    <row r="4881" spans="1:28" x14ac:dyDescent="0.2">
      <c r="A4881" t="s">
        <v>575</v>
      </c>
      <c r="B4881">
        <v>2015</v>
      </c>
      <c r="C4881" t="s">
        <v>816</v>
      </c>
      <c r="D4881" t="s">
        <v>817</v>
      </c>
      <c r="E4881" t="s">
        <v>31</v>
      </c>
      <c r="F4881" t="s">
        <v>576</v>
      </c>
      <c r="G4881">
        <v>44.477347000000002</v>
      </c>
      <c r="H4881">
        <v>-63.546725000000002</v>
      </c>
      <c r="I4881" t="s">
        <v>771</v>
      </c>
      <c r="J4881" s="2" t="s">
        <v>14</v>
      </c>
      <c r="K4881" t="s">
        <v>578</v>
      </c>
      <c r="L4881" t="s">
        <v>144</v>
      </c>
      <c r="M4881" t="s">
        <v>12</v>
      </c>
      <c r="N4881" t="s">
        <v>85</v>
      </c>
      <c r="O4881" s="6" t="s">
        <v>12</v>
      </c>
      <c r="P4881" t="s">
        <v>70</v>
      </c>
      <c r="Q4881">
        <v>7</v>
      </c>
      <c r="R4881" t="s">
        <v>214</v>
      </c>
      <c r="S4881" s="2" t="s">
        <v>9</v>
      </c>
      <c r="T4881">
        <v>1</v>
      </c>
      <c r="U4881" t="s">
        <v>28</v>
      </c>
      <c r="V4881" t="s">
        <v>28</v>
      </c>
      <c r="W4881">
        <v>14.4</v>
      </c>
      <c r="X4881">
        <v>100</v>
      </c>
      <c r="Y4881" t="s">
        <v>28</v>
      </c>
      <c r="Z4881" t="s">
        <v>28</v>
      </c>
      <c r="AA4881" t="s">
        <v>28</v>
      </c>
      <c r="AB4881" t="s">
        <v>28</v>
      </c>
    </row>
    <row r="4882" spans="1:28" x14ac:dyDescent="0.2">
      <c r="A4882" t="s">
        <v>575</v>
      </c>
      <c r="B4882">
        <v>2015</v>
      </c>
      <c r="C4882" t="s">
        <v>816</v>
      </c>
      <c r="D4882" t="s">
        <v>817</v>
      </c>
      <c r="E4882" t="s">
        <v>31</v>
      </c>
      <c r="F4882" t="s">
        <v>576</v>
      </c>
      <c r="G4882">
        <v>44.477347000000002</v>
      </c>
      <c r="H4882">
        <v>-63.546725000000002</v>
      </c>
      <c r="I4882" t="s">
        <v>771</v>
      </c>
      <c r="J4882" s="2" t="s">
        <v>14</v>
      </c>
      <c r="K4882" t="s">
        <v>578</v>
      </c>
      <c r="L4882" t="s">
        <v>144</v>
      </c>
      <c r="M4882" t="s">
        <v>12</v>
      </c>
      <c r="N4882" t="s">
        <v>85</v>
      </c>
      <c r="O4882" s="6" t="s">
        <v>12</v>
      </c>
      <c r="P4882" t="s">
        <v>70</v>
      </c>
      <c r="Q4882">
        <v>14</v>
      </c>
      <c r="R4882" t="s">
        <v>214</v>
      </c>
      <c r="S4882" s="2" t="s">
        <v>9</v>
      </c>
      <c r="T4882">
        <v>1</v>
      </c>
      <c r="U4882" t="s">
        <v>28</v>
      </c>
      <c r="V4882" t="s">
        <v>28</v>
      </c>
      <c r="W4882">
        <v>14.4</v>
      </c>
      <c r="X4882">
        <v>100</v>
      </c>
      <c r="Y4882" t="s">
        <v>28</v>
      </c>
      <c r="Z4882" t="s">
        <v>28</v>
      </c>
      <c r="AA4882" t="s">
        <v>28</v>
      </c>
      <c r="AB4882" t="s">
        <v>28</v>
      </c>
    </row>
    <row r="4883" spans="1:28" x14ac:dyDescent="0.2">
      <c r="A4883" t="s">
        <v>575</v>
      </c>
      <c r="B4883">
        <v>2015</v>
      </c>
      <c r="C4883" t="s">
        <v>816</v>
      </c>
      <c r="D4883" t="s">
        <v>817</v>
      </c>
      <c r="E4883" t="s">
        <v>31</v>
      </c>
      <c r="F4883" t="s">
        <v>576</v>
      </c>
      <c r="G4883">
        <v>44.477347000000002</v>
      </c>
      <c r="H4883">
        <v>-63.546725000000002</v>
      </c>
      <c r="I4883" t="s">
        <v>771</v>
      </c>
      <c r="J4883" s="2" t="s">
        <v>14</v>
      </c>
      <c r="K4883" t="s">
        <v>578</v>
      </c>
      <c r="L4883" t="s">
        <v>144</v>
      </c>
      <c r="M4883" t="s">
        <v>12</v>
      </c>
      <c r="N4883" t="s">
        <v>85</v>
      </c>
      <c r="O4883" s="6" t="s">
        <v>12</v>
      </c>
      <c r="P4883" t="s">
        <v>70</v>
      </c>
      <c r="Q4883">
        <v>21</v>
      </c>
      <c r="R4883" t="s">
        <v>213</v>
      </c>
      <c r="S4883" s="2" t="s">
        <v>9</v>
      </c>
      <c r="T4883">
        <v>1</v>
      </c>
      <c r="U4883" t="s">
        <v>28</v>
      </c>
      <c r="V4883" t="s">
        <v>28</v>
      </c>
      <c r="W4883">
        <v>14.4</v>
      </c>
      <c r="X4883">
        <v>100</v>
      </c>
      <c r="Y4883" t="s">
        <v>28</v>
      </c>
      <c r="Z4883" t="s">
        <v>28</v>
      </c>
      <c r="AA4883" t="s">
        <v>28</v>
      </c>
      <c r="AB4883" t="s">
        <v>28</v>
      </c>
    </row>
    <row r="4884" spans="1:28" x14ac:dyDescent="0.2">
      <c r="A4884" t="s">
        <v>575</v>
      </c>
      <c r="B4884">
        <v>2015</v>
      </c>
      <c r="C4884" t="s">
        <v>816</v>
      </c>
      <c r="D4884" t="s">
        <v>817</v>
      </c>
      <c r="E4884" t="s">
        <v>31</v>
      </c>
      <c r="F4884" t="s">
        <v>576</v>
      </c>
      <c r="G4884">
        <v>44.477347000000002</v>
      </c>
      <c r="H4884">
        <v>-63.546725000000002</v>
      </c>
      <c r="I4884" t="s">
        <v>771</v>
      </c>
      <c r="J4884" s="2" t="s">
        <v>14</v>
      </c>
      <c r="K4884" t="s">
        <v>578</v>
      </c>
      <c r="L4884" t="s">
        <v>144</v>
      </c>
      <c r="M4884" t="s">
        <v>12</v>
      </c>
      <c r="N4884" t="s">
        <v>85</v>
      </c>
      <c r="O4884" s="6" t="s">
        <v>12</v>
      </c>
      <c r="P4884" t="s">
        <v>70</v>
      </c>
      <c r="Q4884">
        <v>7</v>
      </c>
      <c r="R4884" t="s">
        <v>214</v>
      </c>
      <c r="S4884" s="2" t="s">
        <v>27</v>
      </c>
      <c r="T4884">
        <v>1</v>
      </c>
      <c r="U4884" t="s">
        <v>28</v>
      </c>
      <c r="V4884" t="s">
        <v>28</v>
      </c>
      <c r="W4884">
        <v>18.2</v>
      </c>
      <c r="X4884">
        <v>100</v>
      </c>
      <c r="Y4884" t="s">
        <v>28</v>
      </c>
      <c r="Z4884" t="s">
        <v>28</v>
      </c>
      <c r="AA4884" t="s">
        <v>28</v>
      </c>
      <c r="AB4884" t="s">
        <v>28</v>
      </c>
    </row>
    <row r="4885" spans="1:28" x14ac:dyDescent="0.2">
      <c r="A4885" t="s">
        <v>575</v>
      </c>
      <c r="B4885">
        <v>2015</v>
      </c>
      <c r="C4885" t="s">
        <v>816</v>
      </c>
      <c r="D4885" t="s">
        <v>817</v>
      </c>
      <c r="E4885" t="s">
        <v>31</v>
      </c>
      <c r="F4885" t="s">
        <v>576</v>
      </c>
      <c r="G4885">
        <v>44.477347000000002</v>
      </c>
      <c r="H4885">
        <v>-63.546725000000002</v>
      </c>
      <c r="I4885" t="s">
        <v>771</v>
      </c>
      <c r="J4885" s="2" t="s">
        <v>14</v>
      </c>
      <c r="K4885" t="s">
        <v>578</v>
      </c>
      <c r="L4885" t="s">
        <v>144</v>
      </c>
      <c r="M4885" t="s">
        <v>12</v>
      </c>
      <c r="N4885" t="s">
        <v>85</v>
      </c>
      <c r="O4885" s="6" t="s">
        <v>12</v>
      </c>
      <c r="P4885" t="s">
        <v>70</v>
      </c>
      <c r="Q4885">
        <v>14</v>
      </c>
      <c r="R4885" t="s">
        <v>214</v>
      </c>
      <c r="S4885" s="2" t="s">
        <v>27</v>
      </c>
      <c r="T4885">
        <v>1</v>
      </c>
      <c r="U4885" t="s">
        <v>28</v>
      </c>
      <c r="V4885" t="s">
        <v>28</v>
      </c>
      <c r="W4885">
        <v>18.2</v>
      </c>
      <c r="X4885">
        <v>33</v>
      </c>
      <c r="Y4885" t="s">
        <v>28</v>
      </c>
      <c r="Z4885" t="s">
        <v>28</v>
      </c>
      <c r="AA4885" t="s">
        <v>28</v>
      </c>
      <c r="AB4885" t="s">
        <v>28</v>
      </c>
    </row>
    <row r="4886" spans="1:28" x14ac:dyDescent="0.2">
      <c r="A4886" t="s">
        <v>575</v>
      </c>
      <c r="B4886">
        <v>2015</v>
      </c>
      <c r="C4886" t="s">
        <v>816</v>
      </c>
      <c r="D4886" t="s">
        <v>817</v>
      </c>
      <c r="E4886" t="s">
        <v>31</v>
      </c>
      <c r="F4886" t="s">
        <v>576</v>
      </c>
      <c r="G4886">
        <v>44.477347000000002</v>
      </c>
      <c r="H4886">
        <v>-63.546725000000002</v>
      </c>
      <c r="I4886" t="s">
        <v>771</v>
      </c>
      <c r="J4886" s="2" t="s">
        <v>14</v>
      </c>
      <c r="K4886" t="s">
        <v>578</v>
      </c>
      <c r="L4886" t="s">
        <v>144</v>
      </c>
      <c r="M4886" t="s">
        <v>12</v>
      </c>
      <c r="N4886" t="s">
        <v>85</v>
      </c>
      <c r="O4886" s="6" t="s">
        <v>12</v>
      </c>
      <c r="P4886" t="s">
        <v>70</v>
      </c>
      <c r="Q4886">
        <v>21</v>
      </c>
      <c r="R4886" t="s">
        <v>213</v>
      </c>
      <c r="S4886" s="2" t="s">
        <v>27</v>
      </c>
      <c r="T4886">
        <v>1</v>
      </c>
      <c r="U4886" t="s">
        <v>28</v>
      </c>
      <c r="V4886" t="s">
        <v>28</v>
      </c>
      <c r="W4886">
        <v>18.2</v>
      </c>
      <c r="X4886">
        <v>33</v>
      </c>
      <c r="Y4886" t="s">
        <v>28</v>
      </c>
      <c r="Z4886" t="s">
        <v>28</v>
      </c>
      <c r="AA4886" t="s">
        <v>28</v>
      </c>
      <c r="AB4886" t="s">
        <v>28</v>
      </c>
    </row>
    <row r="4887" spans="1:28" x14ac:dyDescent="0.2">
      <c r="A4887" t="s">
        <v>575</v>
      </c>
      <c r="B4887">
        <v>2015</v>
      </c>
      <c r="C4887" t="s">
        <v>816</v>
      </c>
      <c r="D4887" t="s">
        <v>817</v>
      </c>
      <c r="E4887" t="s">
        <v>31</v>
      </c>
      <c r="F4887" t="s">
        <v>576</v>
      </c>
      <c r="G4887">
        <v>44.477347000000002</v>
      </c>
      <c r="H4887">
        <v>-63.546725000000002</v>
      </c>
      <c r="I4887" t="s">
        <v>771</v>
      </c>
      <c r="J4887" s="2" t="s">
        <v>14</v>
      </c>
      <c r="K4887" t="s">
        <v>578</v>
      </c>
      <c r="L4887" t="s">
        <v>144</v>
      </c>
      <c r="M4887" t="s">
        <v>12</v>
      </c>
      <c r="N4887" t="s">
        <v>85</v>
      </c>
      <c r="O4887" s="6" t="s">
        <v>12</v>
      </c>
      <c r="P4887" t="s">
        <v>70</v>
      </c>
      <c r="Q4887">
        <v>7</v>
      </c>
      <c r="R4887" t="s">
        <v>214</v>
      </c>
      <c r="S4887" s="2" t="s">
        <v>13</v>
      </c>
      <c r="T4887">
        <v>1</v>
      </c>
      <c r="U4887" t="s">
        <v>28</v>
      </c>
      <c r="V4887" t="s">
        <v>28</v>
      </c>
      <c r="W4887">
        <v>20.8</v>
      </c>
      <c r="X4887">
        <v>0</v>
      </c>
      <c r="Y4887" t="s">
        <v>28</v>
      </c>
      <c r="Z4887" t="s">
        <v>28</v>
      </c>
      <c r="AA4887" t="s">
        <v>28</v>
      </c>
      <c r="AB4887" t="s">
        <v>28</v>
      </c>
    </row>
    <row r="4888" spans="1:28" x14ac:dyDescent="0.2">
      <c r="A4888" t="s">
        <v>575</v>
      </c>
      <c r="B4888">
        <v>2015</v>
      </c>
      <c r="C4888" t="s">
        <v>816</v>
      </c>
      <c r="D4888" t="s">
        <v>817</v>
      </c>
      <c r="E4888" t="s">
        <v>31</v>
      </c>
      <c r="F4888" t="s">
        <v>576</v>
      </c>
      <c r="G4888">
        <v>44.477347000000002</v>
      </c>
      <c r="H4888">
        <v>-63.546725000000002</v>
      </c>
      <c r="I4888" t="s">
        <v>771</v>
      </c>
      <c r="J4888" s="2" t="s">
        <v>14</v>
      </c>
      <c r="K4888" t="s">
        <v>578</v>
      </c>
      <c r="L4888" t="s">
        <v>144</v>
      </c>
      <c r="M4888" t="s">
        <v>12</v>
      </c>
      <c r="N4888" t="s">
        <v>85</v>
      </c>
      <c r="O4888" s="6" t="s">
        <v>12</v>
      </c>
      <c r="P4888" t="s">
        <v>70</v>
      </c>
      <c r="Q4888">
        <v>14</v>
      </c>
      <c r="R4888" t="s">
        <v>214</v>
      </c>
      <c r="S4888" s="2" t="s">
        <v>13</v>
      </c>
      <c r="T4888">
        <v>1</v>
      </c>
      <c r="U4888" t="s">
        <v>28</v>
      </c>
      <c r="V4888" t="s">
        <v>28</v>
      </c>
      <c r="W4888">
        <v>20.8</v>
      </c>
      <c r="X4888">
        <v>0</v>
      </c>
      <c r="Y4888" t="s">
        <v>28</v>
      </c>
      <c r="Z4888" t="s">
        <v>28</v>
      </c>
      <c r="AA4888" t="s">
        <v>28</v>
      </c>
      <c r="AB4888" t="s">
        <v>28</v>
      </c>
    </row>
    <row r="4889" spans="1:28" x14ac:dyDescent="0.2">
      <c r="A4889" t="s">
        <v>575</v>
      </c>
      <c r="B4889">
        <v>2015</v>
      </c>
      <c r="C4889" t="s">
        <v>816</v>
      </c>
      <c r="D4889" t="s">
        <v>817</v>
      </c>
      <c r="E4889" t="s">
        <v>31</v>
      </c>
      <c r="F4889" t="s">
        <v>576</v>
      </c>
      <c r="G4889">
        <v>44.477347000000002</v>
      </c>
      <c r="H4889">
        <v>-63.546725000000002</v>
      </c>
      <c r="I4889" t="s">
        <v>771</v>
      </c>
      <c r="J4889" s="2" t="s">
        <v>14</v>
      </c>
      <c r="K4889" t="s">
        <v>578</v>
      </c>
      <c r="L4889" t="s">
        <v>144</v>
      </c>
      <c r="M4889" t="s">
        <v>12</v>
      </c>
      <c r="N4889" t="s">
        <v>85</v>
      </c>
      <c r="O4889" s="6" t="s">
        <v>12</v>
      </c>
      <c r="P4889" t="s">
        <v>70</v>
      </c>
      <c r="Q4889">
        <v>21</v>
      </c>
      <c r="R4889" t="s">
        <v>213</v>
      </c>
      <c r="S4889" s="2" t="s">
        <v>13</v>
      </c>
      <c r="T4889">
        <v>1</v>
      </c>
      <c r="U4889" t="s">
        <v>28</v>
      </c>
      <c r="V4889" t="s">
        <v>28</v>
      </c>
      <c r="W4889">
        <v>20.8</v>
      </c>
      <c r="X4889">
        <v>0</v>
      </c>
      <c r="Y4889" t="s">
        <v>28</v>
      </c>
      <c r="Z4889" t="s">
        <v>28</v>
      </c>
      <c r="AA4889" t="s">
        <v>28</v>
      </c>
      <c r="AB4889" t="s">
        <v>28</v>
      </c>
    </row>
    <row r="4890" spans="1:28" x14ac:dyDescent="0.2">
      <c r="A4890" t="s">
        <v>575</v>
      </c>
      <c r="B4890">
        <v>2015</v>
      </c>
      <c r="C4890" t="s">
        <v>826</v>
      </c>
      <c r="D4890" t="s">
        <v>824</v>
      </c>
      <c r="E4890" t="s">
        <v>48</v>
      </c>
      <c r="F4890" t="s">
        <v>576</v>
      </c>
      <c r="G4890">
        <v>44.477347000000002</v>
      </c>
      <c r="H4890">
        <v>-63.546725000000002</v>
      </c>
      <c r="I4890" t="s">
        <v>771</v>
      </c>
      <c r="J4890" s="2" t="s">
        <v>7</v>
      </c>
      <c r="K4890" t="s">
        <v>579</v>
      </c>
      <c r="L4890" t="s">
        <v>144</v>
      </c>
      <c r="M4890" t="s">
        <v>12</v>
      </c>
      <c r="N4890" t="s">
        <v>85</v>
      </c>
      <c r="O4890" s="6" t="s">
        <v>12</v>
      </c>
      <c r="P4890" t="s">
        <v>70</v>
      </c>
      <c r="Q4890">
        <v>7</v>
      </c>
      <c r="R4890" t="s">
        <v>214</v>
      </c>
      <c r="S4890" s="2" t="s">
        <v>7</v>
      </c>
      <c r="T4890">
        <v>1</v>
      </c>
      <c r="U4890" t="s">
        <v>28</v>
      </c>
      <c r="V4890" t="s">
        <v>28</v>
      </c>
      <c r="W4890">
        <v>11.6</v>
      </c>
      <c r="X4890">
        <v>100</v>
      </c>
      <c r="Y4890" t="s">
        <v>28</v>
      </c>
      <c r="Z4890" t="s">
        <v>28</v>
      </c>
      <c r="AA4890" t="s">
        <v>28</v>
      </c>
      <c r="AB4890" t="s">
        <v>28</v>
      </c>
    </row>
    <row r="4891" spans="1:28" x14ac:dyDescent="0.2">
      <c r="A4891" t="s">
        <v>575</v>
      </c>
      <c r="B4891">
        <v>2015</v>
      </c>
      <c r="C4891" t="s">
        <v>826</v>
      </c>
      <c r="D4891" t="s">
        <v>824</v>
      </c>
      <c r="E4891" t="s">
        <v>48</v>
      </c>
      <c r="F4891" t="s">
        <v>576</v>
      </c>
      <c r="G4891">
        <v>44.477347000000002</v>
      </c>
      <c r="H4891">
        <v>-63.546725000000002</v>
      </c>
      <c r="I4891" t="s">
        <v>771</v>
      </c>
      <c r="J4891" s="2" t="s">
        <v>7</v>
      </c>
      <c r="K4891" t="s">
        <v>579</v>
      </c>
      <c r="L4891" t="s">
        <v>144</v>
      </c>
      <c r="M4891" t="s">
        <v>12</v>
      </c>
      <c r="N4891" t="s">
        <v>85</v>
      </c>
      <c r="O4891" s="6" t="s">
        <v>12</v>
      </c>
      <c r="P4891" t="s">
        <v>70</v>
      </c>
      <c r="Q4891">
        <v>14</v>
      </c>
      <c r="R4891" t="s">
        <v>214</v>
      </c>
      <c r="S4891" s="2" t="s">
        <v>7</v>
      </c>
      <c r="T4891">
        <v>1</v>
      </c>
      <c r="U4891" t="s">
        <v>28</v>
      </c>
      <c r="V4891" t="s">
        <v>28</v>
      </c>
      <c r="W4891">
        <v>11.6</v>
      </c>
      <c r="X4891">
        <v>100</v>
      </c>
      <c r="Y4891" t="s">
        <v>28</v>
      </c>
      <c r="Z4891" t="s">
        <v>28</v>
      </c>
      <c r="AA4891" t="s">
        <v>28</v>
      </c>
      <c r="AB4891" t="s">
        <v>28</v>
      </c>
    </row>
    <row r="4892" spans="1:28" x14ac:dyDescent="0.2">
      <c r="A4892" t="s">
        <v>575</v>
      </c>
      <c r="B4892">
        <v>2015</v>
      </c>
      <c r="C4892" t="s">
        <v>826</v>
      </c>
      <c r="D4892" t="s">
        <v>824</v>
      </c>
      <c r="E4892" t="s">
        <v>48</v>
      </c>
      <c r="F4892" t="s">
        <v>576</v>
      </c>
      <c r="G4892">
        <v>44.477347000000002</v>
      </c>
      <c r="H4892">
        <v>-63.546725000000002</v>
      </c>
      <c r="I4892" t="s">
        <v>771</v>
      </c>
      <c r="J4892" s="2" t="s">
        <v>7</v>
      </c>
      <c r="K4892" t="s">
        <v>579</v>
      </c>
      <c r="L4892" t="s">
        <v>144</v>
      </c>
      <c r="M4892" t="s">
        <v>12</v>
      </c>
      <c r="N4892" t="s">
        <v>85</v>
      </c>
      <c r="O4892" s="6" t="s">
        <v>12</v>
      </c>
      <c r="P4892" t="s">
        <v>70</v>
      </c>
      <c r="Q4892">
        <v>21</v>
      </c>
      <c r="R4892" t="s">
        <v>213</v>
      </c>
      <c r="S4892" s="2" t="s">
        <v>7</v>
      </c>
      <c r="T4892">
        <v>1</v>
      </c>
      <c r="U4892" t="s">
        <v>28</v>
      </c>
      <c r="V4892" t="s">
        <v>28</v>
      </c>
      <c r="W4892">
        <v>11.6</v>
      </c>
      <c r="X4892">
        <v>100</v>
      </c>
      <c r="Y4892" t="s">
        <v>28</v>
      </c>
      <c r="Z4892" t="s">
        <v>28</v>
      </c>
      <c r="AA4892" t="s">
        <v>28</v>
      </c>
      <c r="AB4892" t="s">
        <v>28</v>
      </c>
    </row>
    <row r="4893" spans="1:28" x14ac:dyDescent="0.2">
      <c r="A4893" t="s">
        <v>575</v>
      </c>
      <c r="B4893">
        <v>2015</v>
      </c>
      <c r="C4893" t="s">
        <v>826</v>
      </c>
      <c r="D4893" t="s">
        <v>824</v>
      </c>
      <c r="E4893" t="s">
        <v>48</v>
      </c>
      <c r="F4893" t="s">
        <v>576</v>
      </c>
      <c r="G4893">
        <v>44.477347000000002</v>
      </c>
      <c r="H4893">
        <v>-63.546725000000002</v>
      </c>
      <c r="I4893" t="s">
        <v>771</v>
      </c>
      <c r="J4893" s="2" t="s">
        <v>14</v>
      </c>
      <c r="K4893" t="s">
        <v>579</v>
      </c>
      <c r="L4893" t="s">
        <v>144</v>
      </c>
      <c r="M4893" t="s">
        <v>12</v>
      </c>
      <c r="N4893" t="s">
        <v>85</v>
      </c>
      <c r="O4893" s="6" t="s">
        <v>12</v>
      </c>
      <c r="P4893" t="s">
        <v>70</v>
      </c>
      <c r="Q4893">
        <v>7</v>
      </c>
      <c r="R4893" t="s">
        <v>214</v>
      </c>
      <c r="S4893" s="2" t="s">
        <v>9</v>
      </c>
      <c r="T4893">
        <v>1</v>
      </c>
      <c r="U4893" t="s">
        <v>28</v>
      </c>
      <c r="V4893" t="s">
        <v>28</v>
      </c>
      <c r="W4893">
        <v>14.4</v>
      </c>
      <c r="X4893">
        <v>100</v>
      </c>
      <c r="Y4893" t="s">
        <v>28</v>
      </c>
      <c r="Z4893" t="s">
        <v>28</v>
      </c>
      <c r="AA4893" t="s">
        <v>28</v>
      </c>
      <c r="AB4893" t="s">
        <v>28</v>
      </c>
    </row>
    <row r="4894" spans="1:28" x14ac:dyDescent="0.2">
      <c r="A4894" t="s">
        <v>575</v>
      </c>
      <c r="B4894">
        <v>2015</v>
      </c>
      <c r="C4894" t="s">
        <v>826</v>
      </c>
      <c r="D4894" t="s">
        <v>824</v>
      </c>
      <c r="E4894" t="s">
        <v>48</v>
      </c>
      <c r="F4894" t="s">
        <v>576</v>
      </c>
      <c r="G4894">
        <v>44.477347000000002</v>
      </c>
      <c r="H4894">
        <v>-63.546725000000002</v>
      </c>
      <c r="I4894" t="s">
        <v>771</v>
      </c>
      <c r="J4894" s="2" t="s">
        <v>14</v>
      </c>
      <c r="K4894" t="s">
        <v>579</v>
      </c>
      <c r="L4894" t="s">
        <v>144</v>
      </c>
      <c r="M4894" t="s">
        <v>12</v>
      </c>
      <c r="N4894" t="s">
        <v>85</v>
      </c>
      <c r="O4894" s="6" t="s">
        <v>12</v>
      </c>
      <c r="P4894" t="s">
        <v>70</v>
      </c>
      <c r="Q4894">
        <v>14</v>
      </c>
      <c r="R4894" t="s">
        <v>214</v>
      </c>
      <c r="S4894" s="2" t="s">
        <v>9</v>
      </c>
      <c r="T4894">
        <v>1</v>
      </c>
      <c r="U4894" t="s">
        <v>28</v>
      </c>
      <c r="V4894" t="s">
        <v>28</v>
      </c>
      <c r="W4894">
        <v>14.4</v>
      </c>
      <c r="X4894">
        <v>100</v>
      </c>
      <c r="Y4894" t="s">
        <v>28</v>
      </c>
      <c r="Z4894" t="s">
        <v>28</v>
      </c>
      <c r="AA4894" t="s">
        <v>28</v>
      </c>
      <c r="AB4894" t="s">
        <v>28</v>
      </c>
    </row>
    <row r="4895" spans="1:28" x14ac:dyDescent="0.2">
      <c r="A4895" t="s">
        <v>575</v>
      </c>
      <c r="B4895">
        <v>2015</v>
      </c>
      <c r="C4895" t="s">
        <v>826</v>
      </c>
      <c r="D4895" t="s">
        <v>824</v>
      </c>
      <c r="E4895" t="s">
        <v>48</v>
      </c>
      <c r="F4895" t="s">
        <v>576</v>
      </c>
      <c r="G4895">
        <v>44.477347000000002</v>
      </c>
      <c r="H4895">
        <v>-63.546725000000002</v>
      </c>
      <c r="I4895" t="s">
        <v>771</v>
      </c>
      <c r="J4895" s="2" t="s">
        <v>14</v>
      </c>
      <c r="K4895" t="s">
        <v>579</v>
      </c>
      <c r="L4895" t="s">
        <v>144</v>
      </c>
      <c r="M4895" t="s">
        <v>12</v>
      </c>
      <c r="N4895" t="s">
        <v>85</v>
      </c>
      <c r="O4895" s="6" t="s">
        <v>12</v>
      </c>
      <c r="P4895" t="s">
        <v>70</v>
      </c>
      <c r="Q4895">
        <v>21</v>
      </c>
      <c r="R4895" t="s">
        <v>213</v>
      </c>
      <c r="S4895" s="2" t="s">
        <v>9</v>
      </c>
      <c r="T4895">
        <v>1</v>
      </c>
      <c r="U4895" t="s">
        <v>28</v>
      </c>
      <c r="V4895" t="s">
        <v>28</v>
      </c>
      <c r="W4895">
        <v>14.4</v>
      </c>
      <c r="X4895">
        <v>100</v>
      </c>
      <c r="Y4895" t="s">
        <v>28</v>
      </c>
      <c r="Z4895" t="s">
        <v>28</v>
      </c>
      <c r="AA4895" t="s">
        <v>28</v>
      </c>
      <c r="AB4895" t="s">
        <v>28</v>
      </c>
    </row>
    <row r="4896" spans="1:28" x14ac:dyDescent="0.2">
      <c r="A4896" t="s">
        <v>575</v>
      </c>
      <c r="B4896">
        <v>2015</v>
      </c>
      <c r="C4896" t="s">
        <v>826</v>
      </c>
      <c r="D4896" t="s">
        <v>824</v>
      </c>
      <c r="E4896" t="s">
        <v>48</v>
      </c>
      <c r="F4896" t="s">
        <v>576</v>
      </c>
      <c r="G4896">
        <v>44.477347000000002</v>
      </c>
      <c r="H4896">
        <v>-63.546725000000002</v>
      </c>
      <c r="I4896" t="s">
        <v>771</v>
      </c>
      <c r="J4896" s="2" t="s">
        <v>14</v>
      </c>
      <c r="K4896" t="s">
        <v>579</v>
      </c>
      <c r="L4896" t="s">
        <v>144</v>
      </c>
      <c r="M4896" t="s">
        <v>12</v>
      </c>
      <c r="N4896" t="s">
        <v>85</v>
      </c>
      <c r="O4896" s="6" t="s">
        <v>12</v>
      </c>
      <c r="P4896" t="s">
        <v>70</v>
      </c>
      <c r="Q4896">
        <v>7</v>
      </c>
      <c r="R4896" t="s">
        <v>214</v>
      </c>
      <c r="S4896" s="2" t="s">
        <v>27</v>
      </c>
      <c r="T4896">
        <v>1</v>
      </c>
      <c r="U4896" t="s">
        <v>28</v>
      </c>
      <c r="V4896" t="s">
        <v>28</v>
      </c>
      <c r="W4896">
        <v>18.2</v>
      </c>
      <c r="X4896">
        <v>100</v>
      </c>
      <c r="Y4896" t="s">
        <v>28</v>
      </c>
      <c r="Z4896" t="s">
        <v>28</v>
      </c>
      <c r="AA4896" t="s">
        <v>28</v>
      </c>
      <c r="AB4896" t="s">
        <v>28</v>
      </c>
    </row>
    <row r="4897" spans="1:28" x14ac:dyDescent="0.2">
      <c r="A4897" t="s">
        <v>575</v>
      </c>
      <c r="B4897">
        <v>2015</v>
      </c>
      <c r="C4897" t="s">
        <v>826</v>
      </c>
      <c r="D4897" t="s">
        <v>824</v>
      </c>
      <c r="E4897" t="s">
        <v>48</v>
      </c>
      <c r="F4897" t="s">
        <v>576</v>
      </c>
      <c r="G4897">
        <v>44.477347000000002</v>
      </c>
      <c r="H4897">
        <v>-63.546725000000002</v>
      </c>
      <c r="I4897" t="s">
        <v>771</v>
      </c>
      <c r="J4897" s="2" t="s">
        <v>14</v>
      </c>
      <c r="K4897" t="s">
        <v>579</v>
      </c>
      <c r="L4897" t="s">
        <v>144</v>
      </c>
      <c r="M4897" t="s">
        <v>12</v>
      </c>
      <c r="N4897" t="s">
        <v>85</v>
      </c>
      <c r="O4897" s="6" t="s">
        <v>12</v>
      </c>
      <c r="P4897" t="s">
        <v>70</v>
      </c>
      <c r="Q4897">
        <v>14</v>
      </c>
      <c r="R4897" t="s">
        <v>214</v>
      </c>
      <c r="S4897" s="2" t="s">
        <v>27</v>
      </c>
      <c r="T4897">
        <v>1</v>
      </c>
      <c r="U4897" t="s">
        <v>28</v>
      </c>
      <c r="V4897" t="s">
        <v>28</v>
      </c>
      <c r="W4897">
        <v>18.2</v>
      </c>
      <c r="X4897">
        <v>66</v>
      </c>
      <c r="Y4897" t="s">
        <v>28</v>
      </c>
      <c r="Z4897" t="s">
        <v>28</v>
      </c>
      <c r="AA4897" t="s">
        <v>28</v>
      </c>
      <c r="AB4897" t="s">
        <v>28</v>
      </c>
    </row>
    <row r="4898" spans="1:28" x14ac:dyDescent="0.2">
      <c r="A4898" t="s">
        <v>575</v>
      </c>
      <c r="B4898">
        <v>2015</v>
      </c>
      <c r="C4898" t="s">
        <v>826</v>
      </c>
      <c r="D4898" t="s">
        <v>824</v>
      </c>
      <c r="E4898" t="s">
        <v>48</v>
      </c>
      <c r="F4898" t="s">
        <v>576</v>
      </c>
      <c r="G4898">
        <v>44.477347000000002</v>
      </c>
      <c r="H4898">
        <v>-63.546725000000002</v>
      </c>
      <c r="I4898" t="s">
        <v>771</v>
      </c>
      <c r="J4898" s="2" t="s">
        <v>14</v>
      </c>
      <c r="K4898" t="s">
        <v>579</v>
      </c>
      <c r="L4898" t="s">
        <v>144</v>
      </c>
      <c r="M4898" t="s">
        <v>12</v>
      </c>
      <c r="N4898" t="s">
        <v>85</v>
      </c>
      <c r="O4898" s="6" t="s">
        <v>12</v>
      </c>
      <c r="P4898" t="s">
        <v>70</v>
      </c>
      <c r="Q4898">
        <v>21</v>
      </c>
      <c r="R4898" t="s">
        <v>213</v>
      </c>
      <c r="S4898" s="2" t="s">
        <v>27</v>
      </c>
      <c r="T4898">
        <v>1</v>
      </c>
      <c r="U4898" t="s">
        <v>28</v>
      </c>
      <c r="V4898" t="s">
        <v>28</v>
      </c>
      <c r="W4898">
        <v>18.2</v>
      </c>
      <c r="X4898">
        <v>33</v>
      </c>
      <c r="Y4898" t="s">
        <v>28</v>
      </c>
      <c r="Z4898" t="s">
        <v>28</v>
      </c>
      <c r="AA4898" t="s">
        <v>28</v>
      </c>
      <c r="AB4898" t="s">
        <v>28</v>
      </c>
    </row>
    <row r="4899" spans="1:28" x14ac:dyDescent="0.2">
      <c r="A4899" t="s">
        <v>575</v>
      </c>
      <c r="B4899">
        <v>2015</v>
      </c>
      <c r="C4899" t="s">
        <v>826</v>
      </c>
      <c r="D4899" t="s">
        <v>824</v>
      </c>
      <c r="E4899" t="s">
        <v>48</v>
      </c>
      <c r="F4899" t="s">
        <v>576</v>
      </c>
      <c r="G4899">
        <v>44.477347000000002</v>
      </c>
      <c r="H4899">
        <v>-63.546725000000002</v>
      </c>
      <c r="I4899" t="s">
        <v>771</v>
      </c>
      <c r="J4899" s="2" t="s">
        <v>14</v>
      </c>
      <c r="K4899" t="s">
        <v>579</v>
      </c>
      <c r="L4899" t="s">
        <v>144</v>
      </c>
      <c r="M4899" t="s">
        <v>12</v>
      </c>
      <c r="N4899" t="s">
        <v>85</v>
      </c>
      <c r="O4899" s="6" t="s">
        <v>12</v>
      </c>
      <c r="P4899" t="s">
        <v>70</v>
      </c>
      <c r="Q4899">
        <v>7</v>
      </c>
      <c r="R4899" t="s">
        <v>214</v>
      </c>
      <c r="S4899" s="2" t="s">
        <v>13</v>
      </c>
      <c r="T4899">
        <v>1</v>
      </c>
      <c r="U4899" t="s">
        <v>28</v>
      </c>
      <c r="V4899" t="s">
        <v>28</v>
      </c>
      <c r="W4899">
        <v>20.8</v>
      </c>
      <c r="X4899">
        <v>100</v>
      </c>
      <c r="Y4899" t="s">
        <v>28</v>
      </c>
      <c r="Z4899" t="s">
        <v>28</v>
      </c>
      <c r="AA4899" t="s">
        <v>28</v>
      </c>
      <c r="AB4899" t="s">
        <v>28</v>
      </c>
    </row>
    <row r="4900" spans="1:28" x14ac:dyDescent="0.2">
      <c r="A4900" t="s">
        <v>575</v>
      </c>
      <c r="B4900">
        <v>2015</v>
      </c>
      <c r="C4900" t="s">
        <v>826</v>
      </c>
      <c r="D4900" t="s">
        <v>824</v>
      </c>
      <c r="E4900" t="s">
        <v>48</v>
      </c>
      <c r="F4900" t="s">
        <v>576</v>
      </c>
      <c r="G4900">
        <v>44.477347000000002</v>
      </c>
      <c r="H4900">
        <v>-63.546725000000002</v>
      </c>
      <c r="I4900" t="s">
        <v>771</v>
      </c>
      <c r="J4900" s="2" t="s">
        <v>14</v>
      </c>
      <c r="K4900" t="s">
        <v>579</v>
      </c>
      <c r="L4900" t="s">
        <v>144</v>
      </c>
      <c r="M4900" t="s">
        <v>12</v>
      </c>
      <c r="N4900" t="s">
        <v>85</v>
      </c>
      <c r="O4900" s="6" t="s">
        <v>12</v>
      </c>
      <c r="P4900" t="s">
        <v>70</v>
      </c>
      <c r="Q4900">
        <v>14</v>
      </c>
      <c r="R4900" t="s">
        <v>214</v>
      </c>
      <c r="S4900" s="2" t="s">
        <v>13</v>
      </c>
      <c r="T4900">
        <v>1</v>
      </c>
      <c r="U4900" t="s">
        <v>28</v>
      </c>
      <c r="V4900" t="s">
        <v>28</v>
      </c>
      <c r="W4900">
        <v>20.8</v>
      </c>
      <c r="X4900">
        <v>0</v>
      </c>
      <c r="Y4900" t="s">
        <v>28</v>
      </c>
      <c r="Z4900" t="s">
        <v>28</v>
      </c>
      <c r="AA4900" t="s">
        <v>28</v>
      </c>
      <c r="AB4900" t="s">
        <v>28</v>
      </c>
    </row>
    <row r="4901" spans="1:28" x14ac:dyDescent="0.2">
      <c r="A4901" t="s">
        <v>575</v>
      </c>
      <c r="B4901">
        <v>2015</v>
      </c>
      <c r="C4901" t="s">
        <v>826</v>
      </c>
      <c r="D4901" t="s">
        <v>824</v>
      </c>
      <c r="E4901" t="s">
        <v>48</v>
      </c>
      <c r="F4901" t="s">
        <v>576</v>
      </c>
      <c r="G4901">
        <v>44.477347000000002</v>
      </c>
      <c r="H4901">
        <v>-63.546725000000002</v>
      </c>
      <c r="I4901" t="s">
        <v>771</v>
      </c>
      <c r="J4901" s="2" t="s">
        <v>14</v>
      </c>
      <c r="K4901" t="s">
        <v>579</v>
      </c>
      <c r="L4901" t="s">
        <v>144</v>
      </c>
      <c r="M4901" t="s">
        <v>12</v>
      </c>
      <c r="N4901" t="s">
        <v>85</v>
      </c>
      <c r="O4901" s="6" t="s">
        <v>12</v>
      </c>
      <c r="P4901" t="s">
        <v>70</v>
      </c>
      <c r="Q4901">
        <v>21</v>
      </c>
      <c r="R4901" t="s">
        <v>213</v>
      </c>
      <c r="S4901" s="2" t="s">
        <v>13</v>
      </c>
      <c r="T4901">
        <v>1</v>
      </c>
      <c r="U4901" t="s">
        <v>28</v>
      </c>
      <c r="V4901" t="s">
        <v>28</v>
      </c>
      <c r="W4901">
        <v>20.8</v>
      </c>
      <c r="X4901">
        <v>0</v>
      </c>
      <c r="Y4901" t="s">
        <v>28</v>
      </c>
      <c r="Z4901" t="s">
        <v>28</v>
      </c>
      <c r="AA4901" t="s">
        <v>28</v>
      </c>
      <c r="AB4901" t="s">
        <v>28</v>
      </c>
    </row>
    <row r="4902" spans="1:28" x14ac:dyDescent="0.2">
      <c r="A4902" t="s">
        <v>575</v>
      </c>
      <c r="B4902">
        <v>2015</v>
      </c>
      <c r="C4902" t="s">
        <v>805</v>
      </c>
      <c r="D4902" t="s">
        <v>806</v>
      </c>
      <c r="E4902" t="s">
        <v>577</v>
      </c>
      <c r="F4902" t="s">
        <v>576</v>
      </c>
      <c r="G4902">
        <v>44.477347000000002</v>
      </c>
      <c r="H4902">
        <v>-63.546725000000002</v>
      </c>
      <c r="I4902" t="s">
        <v>771</v>
      </c>
      <c r="J4902" s="2" t="s">
        <v>7</v>
      </c>
      <c r="K4902" t="s">
        <v>578</v>
      </c>
      <c r="L4902" t="s">
        <v>144</v>
      </c>
      <c r="M4902" t="s">
        <v>26</v>
      </c>
      <c r="N4902" t="s">
        <v>85</v>
      </c>
      <c r="O4902" s="6" t="s">
        <v>462</v>
      </c>
      <c r="P4902" t="s">
        <v>491</v>
      </c>
      <c r="Q4902">
        <v>7</v>
      </c>
      <c r="R4902" t="s">
        <v>213</v>
      </c>
      <c r="S4902" s="2" t="s">
        <v>7</v>
      </c>
      <c r="T4902">
        <v>3</v>
      </c>
      <c r="U4902" t="s">
        <v>28</v>
      </c>
      <c r="V4902" t="s">
        <v>28</v>
      </c>
      <c r="W4902">
        <v>11.6</v>
      </c>
      <c r="X4902">
        <v>2.86E-2</v>
      </c>
      <c r="Y4902" s="6">
        <f t="shared" ref="Y4902:Y4933" si="86">Z4902*SQRT(T4902)</f>
        <v>1.6073431494239173E-2</v>
      </c>
      <c r="Z4902">
        <f>0.03788-X4902</f>
        <v>9.2799999999999966E-3</v>
      </c>
      <c r="AA4902" s="6"/>
      <c r="AB4902" s="6"/>
    </row>
    <row r="4903" spans="1:28" x14ac:dyDescent="0.2">
      <c r="A4903" t="s">
        <v>575</v>
      </c>
      <c r="B4903">
        <v>2015</v>
      </c>
      <c r="C4903" t="s">
        <v>805</v>
      </c>
      <c r="D4903" t="s">
        <v>806</v>
      </c>
      <c r="E4903" t="s">
        <v>577</v>
      </c>
      <c r="F4903" t="s">
        <v>576</v>
      </c>
      <c r="G4903">
        <v>44.477347000000002</v>
      </c>
      <c r="H4903">
        <v>-63.546725000000002</v>
      </c>
      <c r="I4903" t="s">
        <v>771</v>
      </c>
      <c r="J4903" s="2" t="s">
        <v>14</v>
      </c>
      <c r="K4903" t="s">
        <v>578</v>
      </c>
      <c r="L4903" t="s">
        <v>144</v>
      </c>
      <c r="M4903" t="s">
        <v>26</v>
      </c>
      <c r="N4903" t="s">
        <v>85</v>
      </c>
      <c r="O4903" s="6" t="s">
        <v>462</v>
      </c>
      <c r="P4903" t="s">
        <v>491</v>
      </c>
      <c r="Q4903">
        <v>7</v>
      </c>
      <c r="R4903" t="s">
        <v>214</v>
      </c>
      <c r="S4903" s="2" t="s">
        <v>9</v>
      </c>
      <c r="T4903">
        <v>3</v>
      </c>
      <c r="U4903" t="s">
        <v>28</v>
      </c>
      <c r="V4903" t="s">
        <v>28</v>
      </c>
      <c r="W4903">
        <v>14.4</v>
      </c>
      <c r="X4903">
        <v>7.9500000000000005E-3</v>
      </c>
      <c r="Y4903" s="6">
        <f t="shared" si="86"/>
        <v>7.2572928837135939E-3</v>
      </c>
      <c r="Z4903">
        <f>0.01214-X4903</f>
        <v>4.1899999999999993E-3</v>
      </c>
      <c r="AA4903" s="6"/>
      <c r="AB4903" s="6"/>
    </row>
    <row r="4904" spans="1:28" x14ac:dyDescent="0.2">
      <c r="A4904" t="s">
        <v>575</v>
      </c>
      <c r="B4904">
        <v>2015</v>
      </c>
      <c r="C4904" t="s">
        <v>805</v>
      </c>
      <c r="D4904" t="s">
        <v>806</v>
      </c>
      <c r="E4904" t="s">
        <v>577</v>
      </c>
      <c r="F4904" t="s">
        <v>576</v>
      </c>
      <c r="G4904">
        <v>44.477347000000002</v>
      </c>
      <c r="H4904">
        <v>-63.546725000000002</v>
      </c>
      <c r="I4904" t="s">
        <v>771</v>
      </c>
      <c r="J4904" s="2" t="s">
        <v>14</v>
      </c>
      <c r="K4904" t="s">
        <v>578</v>
      </c>
      <c r="L4904" t="s">
        <v>144</v>
      </c>
      <c r="M4904" t="s">
        <v>26</v>
      </c>
      <c r="N4904" t="s">
        <v>85</v>
      </c>
      <c r="O4904" s="6" t="s">
        <v>462</v>
      </c>
      <c r="P4904" t="s">
        <v>491</v>
      </c>
      <c r="Q4904">
        <v>7</v>
      </c>
      <c r="R4904" t="s">
        <v>214</v>
      </c>
      <c r="S4904" s="2" t="s">
        <v>27</v>
      </c>
      <c r="T4904">
        <v>3</v>
      </c>
      <c r="U4904" t="s">
        <v>28</v>
      </c>
      <c r="V4904" t="s">
        <v>28</v>
      </c>
      <c r="W4904">
        <v>18.2</v>
      </c>
      <c r="X4904">
        <v>3.14E-3</v>
      </c>
      <c r="Y4904" s="6">
        <f t="shared" si="86"/>
        <v>5.5598830922960951E-3</v>
      </c>
      <c r="Z4904">
        <f>0.00635-X4904</f>
        <v>3.2099999999999997E-3</v>
      </c>
      <c r="AA4904" s="6"/>
      <c r="AB4904" s="6"/>
    </row>
    <row r="4905" spans="1:28" x14ac:dyDescent="0.2">
      <c r="A4905" t="s">
        <v>575</v>
      </c>
      <c r="B4905">
        <v>2015</v>
      </c>
      <c r="C4905" t="s">
        <v>805</v>
      </c>
      <c r="D4905" t="s">
        <v>806</v>
      </c>
      <c r="E4905" t="s">
        <v>577</v>
      </c>
      <c r="F4905" t="s">
        <v>576</v>
      </c>
      <c r="G4905">
        <v>44.477347000000002</v>
      </c>
      <c r="H4905">
        <v>-63.546725000000002</v>
      </c>
      <c r="I4905" t="s">
        <v>771</v>
      </c>
      <c r="J4905" s="2" t="s">
        <v>14</v>
      </c>
      <c r="K4905" t="s">
        <v>578</v>
      </c>
      <c r="L4905" t="s">
        <v>144</v>
      </c>
      <c r="M4905" t="s">
        <v>26</v>
      </c>
      <c r="N4905" t="s">
        <v>85</v>
      </c>
      <c r="O4905" s="6" t="s">
        <v>462</v>
      </c>
      <c r="P4905" t="s">
        <v>491</v>
      </c>
      <c r="Q4905">
        <v>7</v>
      </c>
      <c r="R4905" t="s">
        <v>213</v>
      </c>
      <c r="S4905" s="2" t="s">
        <v>13</v>
      </c>
      <c r="T4905">
        <v>3</v>
      </c>
      <c r="U4905" t="s">
        <v>28</v>
      </c>
      <c r="V4905" t="s">
        <v>28</v>
      </c>
      <c r="W4905">
        <v>20.8</v>
      </c>
      <c r="X4905">
        <v>1.074E-2</v>
      </c>
      <c r="Y4905" s="6">
        <f t="shared" si="86"/>
        <v>1.1604740410711479E-2</v>
      </c>
      <c r="Z4905">
        <f>0.01744-X4905</f>
        <v>6.7000000000000011E-3</v>
      </c>
      <c r="AA4905" s="6"/>
      <c r="AB4905" s="6"/>
    </row>
    <row r="4906" spans="1:28" x14ac:dyDescent="0.2">
      <c r="A4906" t="s">
        <v>575</v>
      </c>
      <c r="B4906">
        <v>2015</v>
      </c>
      <c r="C4906" t="s">
        <v>805</v>
      </c>
      <c r="D4906" t="s">
        <v>806</v>
      </c>
      <c r="E4906" t="s">
        <v>577</v>
      </c>
      <c r="F4906" t="s">
        <v>576</v>
      </c>
      <c r="G4906">
        <v>44.477347000000002</v>
      </c>
      <c r="H4906">
        <v>-63.546725000000002</v>
      </c>
      <c r="I4906" t="s">
        <v>771</v>
      </c>
      <c r="J4906" s="2" t="s">
        <v>7</v>
      </c>
      <c r="K4906" t="s">
        <v>578</v>
      </c>
      <c r="L4906" t="s">
        <v>144</v>
      </c>
      <c r="M4906" t="s">
        <v>26</v>
      </c>
      <c r="N4906" t="s">
        <v>85</v>
      </c>
      <c r="O4906" s="6" t="s">
        <v>462</v>
      </c>
      <c r="P4906" t="s">
        <v>491</v>
      </c>
      <c r="Q4906">
        <v>14</v>
      </c>
      <c r="R4906" t="s">
        <v>214</v>
      </c>
      <c r="S4906" s="2" t="s">
        <v>7</v>
      </c>
      <c r="T4906">
        <v>3</v>
      </c>
      <c r="U4906" t="s">
        <v>28</v>
      </c>
      <c r="V4906" t="s">
        <v>28</v>
      </c>
      <c r="W4906">
        <v>11.6</v>
      </c>
      <c r="X4906">
        <v>1.277E-2</v>
      </c>
      <c r="Y4906" s="6">
        <f t="shared" si="86"/>
        <v>7.8461901582870131E-3</v>
      </c>
      <c r="Z4906">
        <f>0.0173-X4906</f>
        <v>4.5299999999999993E-3</v>
      </c>
      <c r="AA4906" s="6"/>
      <c r="AB4906" s="6"/>
    </row>
    <row r="4907" spans="1:28" x14ac:dyDescent="0.2">
      <c r="A4907" t="s">
        <v>575</v>
      </c>
      <c r="B4907">
        <v>2015</v>
      </c>
      <c r="C4907" t="s">
        <v>805</v>
      </c>
      <c r="D4907" t="s">
        <v>806</v>
      </c>
      <c r="E4907" t="s">
        <v>577</v>
      </c>
      <c r="F4907" t="s">
        <v>576</v>
      </c>
      <c r="G4907">
        <v>44.477347000000002</v>
      </c>
      <c r="H4907">
        <v>-63.546725000000002</v>
      </c>
      <c r="I4907" t="s">
        <v>771</v>
      </c>
      <c r="J4907" s="2" t="s">
        <v>14</v>
      </c>
      <c r="K4907" t="s">
        <v>578</v>
      </c>
      <c r="L4907" t="s">
        <v>144</v>
      </c>
      <c r="M4907" t="s">
        <v>26</v>
      </c>
      <c r="N4907" t="s">
        <v>85</v>
      </c>
      <c r="O4907" s="6" t="s">
        <v>462</v>
      </c>
      <c r="P4907" t="s">
        <v>491</v>
      </c>
      <c r="Q4907">
        <v>14</v>
      </c>
      <c r="R4907" t="s">
        <v>214</v>
      </c>
      <c r="S4907" s="2" t="s">
        <v>9</v>
      </c>
      <c r="T4907">
        <v>3</v>
      </c>
      <c r="U4907" t="s">
        <v>28</v>
      </c>
      <c r="V4907" t="s">
        <v>28</v>
      </c>
      <c r="W4907">
        <v>14.4</v>
      </c>
      <c r="X4907">
        <v>3.14E-3</v>
      </c>
      <c r="Y4907" s="6">
        <f t="shared" si="86"/>
        <v>5.5598830922960951E-3</v>
      </c>
      <c r="Z4907">
        <f>0.00635-X4907</f>
        <v>3.2099999999999997E-3</v>
      </c>
      <c r="AA4907" s="6"/>
      <c r="AB4907" s="6"/>
    </row>
    <row r="4908" spans="1:28" x14ac:dyDescent="0.2">
      <c r="A4908" t="s">
        <v>575</v>
      </c>
      <c r="B4908">
        <v>2015</v>
      </c>
      <c r="C4908" t="s">
        <v>805</v>
      </c>
      <c r="D4908" t="s">
        <v>806</v>
      </c>
      <c r="E4908" t="s">
        <v>577</v>
      </c>
      <c r="F4908" t="s">
        <v>576</v>
      </c>
      <c r="G4908">
        <v>44.477347000000002</v>
      </c>
      <c r="H4908">
        <v>-63.546725000000002</v>
      </c>
      <c r="I4908" t="s">
        <v>771</v>
      </c>
      <c r="J4908" s="2" t="s">
        <v>14</v>
      </c>
      <c r="K4908" t="s">
        <v>578</v>
      </c>
      <c r="L4908" t="s">
        <v>144</v>
      </c>
      <c r="M4908" t="s">
        <v>26</v>
      </c>
      <c r="N4908" t="s">
        <v>85</v>
      </c>
      <c r="O4908" s="6" t="s">
        <v>462</v>
      </c>
      <c r="P4908" t="s">
        <v>491</v>
      </c>
      <c r="Q4908">
        <v>14</v>
      </c>
      <c r="R4908" t="s">
        <v>214</v>
      </c>
      <c r="S4908" s="2" t="s">
        <v>27</v>
      </c>
      <c r="T4908">
        <v>3</v>
      </c>
      <c r="U4908" t="s">
        <v>28</v>
      </c>
      <c r="V4908" t="s">
        <v>28</v>
      </c>
      <c r="W4908">
        <v>18.2</v>
      </c>
      <c r="X4908">
        <v>6.5599999999999999E-3</v>
      </c>
      <c r="Y4908" s="6">
        <f t="shared" si="86"/>
        <v>4.7111781965873461E-3</v>
      </c>
      <c r="Z4908">
        <f>0.00928-X4908</f>
        <v>2.7200000000000002E-3</v>
      </c>
      <c r="AA4908" s="6"/>
      <c r="AB4908" s="6"/>
    </row>
    <row r="4909" spans="1:28" x14ac:dyDescent="0.2">
      <c r="A4909" t="s">
        <v>575</v>
      </c>
      <c r="B4909">
        <v>2015</v>
      </c>
      <c r="C4909" t="s">
        <v>805</v>
      </c>
      <c r="D4909" t="s">
        <v>806</v>
      </c>
      <c r="E4909" t="s">
        <v>577</v>
      </c>
      <c r="F4909" t="s">
        <v>576</v>
      </c>
      <c r="G4909">
        <v>44.477347000000002</v>
      </c>
      <c r="H4909">
        <v>-63.546725000000002</v>
      </c>
      <c r="I4909" t="s">
        <v>771</v>
      </c>
      <c r="J4909" s="2" t="s">
        <v>7</v>
      </c>
      <c r="K4909" t="s">
        <v>578</v>
      </c>
      <c r="L4909" t="s">
        <v>144</v>
      </c>
      <c r="M4909" t="s">
        <v>26</v>
      </c>
      <c r="N4909" t="s">
        <v>85</v>
      </c>
      <c r="O4909" s="6" t="s">
        <v>462</v>
      </c>
      <c r="P4909" t="s">
        <v>491</v>
      </c>
      <c r="Q4909">
        <v>21</v>
      </c>
      <c r="R4909" t="s">
        <v>213</v>
      </c>
      <c r="S4909" s="2" t="s">
        <v>7</v>
      </c>
      <c r="T4909">
        <v>3</v>
      </c>
      <c r="U4909" t="s">
        <v>28</v>
      </c>
      <c r="V4909" t="s">
        <v>28</v>
      </c>
      <c r="W4909">
        <v>11.6</v>
      </c>
      <c r="X4909">
        <v>1.221E-2</v>
      </c>
      <c r="Y4909" s="6">
        <f t="shared" si="86"/>
        <v>8.9373821670554049E-3</v>
      </c>
      <c r="Z4909">
        <f>0.01737-X4909</f>
        <v>5.1599999999999997E-3</v>
      </c>
      <c r="AA4909" s="6"/>
      <c r="AB4909" s="6"/>
    </row>
    <row r="4910" spans="1:28" x14ac:dyDescent="0.2">
      <c r="A4910" t="s">
        <v>575</v>
      </c>
      <c r="B4910">
        <v>2015</v>
      </c>
      <c r="C4910" t="s">
        <v>805</v>
      </c>
      <c r="D4910" t="s">
        <v>806</v>
      </c>
      <c r="E4910" t="s">
        <v>577</v>
      </c>
      <c r="F4910" t="s">
        <v>576</v>
      </c>
      <c r="G4910">
        <v>44.477347000000002</v>
      </c>
      <c r="H4910">
        <v>-63.546725000000002</v>
      </c>
      <c r="I4910" t="s">
        <v>771</v>
      </c>
      <c r="J4910" s="2" t="s">
        <v>14</v>
      </c>
      <c r="K4910" t="s">
        <v>578</v>
      </c>
      <c r="L4910" t="s">
        <v>144</v>
      </c>
      <c r="M4910" t="s">
        <v>26</v>
      </c>
      <c r="N4910" t="s">
        <v>85</v>
      </c>
      <c r="O4910" s="6" t="s">
        <v>462</v>
      </c>
      <c r="P4910" t="s">
        <v>491</v>
      </c>
      <c r="Q4910">
        <v>21</v>
      </c>
      <c r="R4910" t="s">
        <v>213</v>
      </c>
      <c r="S4910" s="2" t="s">
        <v>9</v>
      </c>
      <c r="T4910">
        <v>3</v>
      </c>
      <c r="U4910" t="s">
        <v>28</v>
      </c>
      <c r="V4910" t="s">
        <v>28</v>
      </c>
      <c r="W4910">
        <v>14.4</v>
      </c>
      <c r="X4910">
        <v>9.5600000000000008E-3</v>
      </c>
      <c r="Y4910" s="6">
        <f t="shared" si="86"/>
        <v>6.6510751010644877E-3</v>
      </c>
      <c r="Z4910">
        <f>0.0134-X4910</f>
        <v>3.8399999999999997E-3</v>
      </c>
      <c r="AA4910" s="6"/>
      <c r="AB4910" s="6"/>
    </row>
    <row r="4911" spans="1:28" x14ac:dyDescent="0.2">
      <c r="A4911" t="s">
        <v>575</v>
      </c>
      <c r="B4911">
        <v>2015</v>
      </c>
      <c r="C4911" t="s">
        <v>805</v>
      </c>
      <c r="D4911" t="s">
        <v>806</v>
      </c>
      <c r="E4911" t="s">
        <v>577</v>
      </c>
      <c r="F4911" t="s">
        <v>576</v>
      </c>
      <c r="G4911">
        <v>44.477347000000002</v>
      </c>
      <c r="H4911">
        <v>-63.546725000000002</v>
      </c>
      <c r="I4911" t="s">
        <v>771</v>
      </c>
      <c r="J4911" s="2" t="s">
        <v>14</v>
      </c>
      <c r="K4911" t="s">
        <v>578</v>
      </c>
      <c r="L4911" t="s">
        <v>144</v>
      </c>
      <c r="M4911" t="s">
        <v>26</v>
      </c>
      <c r="N4911" t="s">
        <v>85</v>
      </c>
      <c r="O4911" s="6" t="s">
        <v>462</v>
      </c>
      <c r="P4911" t="s">
        <v>491</v>
      </c>
      <c r="Q4911">
        <v>21</v>
      </c>
      <c r="R4911" t="s">
        <v>213</v>
      </c>
      <c r="S4911" s="2" t="s">
        <v>27</v>
      </c>
      <c r="T4911">
        <v>3</v>
      </c>
      <c r="U4911" t="s">
        <v>28</v>
      </c>
      <c r="V4911" t="s">
        <v>28</v>
      </c>
      <c r="W4911">
        <v>18.2</v>
      </c>
      <c r="X4911">
        <v>0</v>
      </c>
      <c r="Y4911" s="6">
        <f t="shared" si="86"/>
        <v>0</v>
      </c>
      <c r="Z4911">
        <v>0</v>
      </c>
      <c r="AA4911" s="6"/>
      <c r="AB4911" s="6"/>
    </row>
    <row r="4912" spans="1:28" x14ac:dyDescent="0.2">
      <c r="A4912" t="s">
        <v>575</v>
      </c>
      <c r="B4912">
        <v>2015</v>
      </c>
      <c r="C4912" t="s">
        <v>816</v>
      </c>
      <c r="D4912" t="s">
        <v>817</v>
      </c>
      <c r="E4912" t="s">
        <v>31</v>
      </c>
      <c r="F4912" t="s">
        <v>576</v>
      </c>
      <c r="G4912">
        <v>44.477347000000002</v>
      </c>
      <c r="H4912">
        <v>-63.546725000000002</v>
      </c>
      <c r="I4912" t="s">
        <v>771</v>
      </c>
      <c r="J4912" s="2" t="s">
        <v>7</v>
      </c>
      <c r="K4912" t="s">
        <v>578</v>
      </c>
      <c r="L4912" t="s">
        <v>144</v>
      </c>
      <c r="M4912" t="s">
        <v>26</v>
      </c>
      <c r="N4912" t="s">
        <v>85</v>
      </c>
      <c r="O4912" s="6" t="s">
        <v>462</v>
      </c>
      <c r="P4912" t="s">
        <v>491</v>
      </c>
      <c r="Q4912">
        <v>7</v>
      </c>
      <c r="R4912" t="s">
        <v>213</v>
      </c>
      <c r="S4912" s="2" t="s">
        <v>7</v>
      </c>
      <c r="T4912">
        <v>3</v>
      </c>
      <c r="U4912" t="s">
        <v>28</v>
      </c>
      <c r="V4912" t="s">
        <v>28</v>
      </c>
      <c r="W4912">
        <v>11.6</v>
      </c>
      <c r="X4912">
        <v>6.0269999999999997E-2</v>
      </c>
      <c r="Y4912" s="6">
        <f t="shared" si="86"/>
        <v>2.1893122207670618E-2</v>
      </c>
      <c r="Z4912">
        <f>0.07291-X4912</f>
        <v>1.2640000000000005E-2</v>
      </c>
      <c r="AA4912" s="6"/>
      <c r="AB4912" s="6"/>
    </row>
    <row r="4913" spans="1:28" x14ac:dyDescent="0.2">
      <c r="A4913" t="s">
        <v>575</v>
      </c>
      <c r="B4913">
        <v>2015</v>
      </c>
      <c r="C4913" t="s">
        <v>816</v>
      </c>
      <c r="D4913" t="s">
        <v>817</v>
      </c>
      <c r="E4913" t="s">
        <v>31</v>
      </c>
      <c r="F4913" t="s">
        <v>576</v>
      </c>
      <c r="G4913">
        <v>44.477347000000002</v>
      </c>
      <c r="H4913">
        <v>-63.546725000000002</v>
      </c>
      <c r="I4913" t="s">
        <v>771</v>
      </c>
      <c r="J4913" s="2" t="s">
        <v>14</v>
      </c>
      <c r="K4913" t="s">
        <v>578</v>
      </c>
      <c r="L4913" t="s">
        <v>144</v>
      </c>
      <c r="M4913" t="s">
        <v>26</v>
      </c>
      <c r="N4913" t="s">
        <v>85</v>
      </c>
      <c r="O4913" s="6" t="s">
        <v>462</v>
      </c>
      <c r="P4913" t="s">
        <v>491</v>
      </c>
      <c r="Q4913">
        <v>7</v>
      </c>
      <c r="R4913" t="s">
        <v>214</v>
      </c>
      <c r="S4913" s="2" t="s">
        <v>9</v>
      </c>
      <c r="T4913">
        <v>3</v>
      </c>
      <c r="U4913" t="s">
        <v>28</v>
      </c>
      <c r="V4913" t="s">
        <v>28</v>
      </c>
      <c r="W4913">
        <v>14.4</v>
      </c>
      <c r="X4913">
        <v>4.614E-2</v>
      </c>
      <c r="Y4913" s="6">
        <f t="shared" si="86"/>
        <v>1.9814661238587952E-2</v>
      </c>
      <c r="Z4913">
        <f>0.05758-X4913</f>
        <v>1.1439999999999999E-2</v>
      </c>
      <c r="AA4913" s="6"/>
      <c r="AB4913" s="6"/>
    </row>
    <row r="4914" spans="1:28" x14ac:dyDescent="0.2">
      <c r="A4914" t="s">
        <v>575</v>
      </c>
      <c r="B4914">
        <v>2015</v>
      </c>
      <c r="C4914" t="s">
        <v>816</v>
      </c>
      <c r="D4914" t="s">
        <v>817</v>
      </c>
      <c r="E4914" t="s">
        <v>31</v>
      </c>
      <c r="F4914" t="s">
        <v>576</v>
      </c>
      <c r="G4914">
        <v>44.477347000000002</v>
      </c>
      <c r="H4914">
        <v>-63.546725000000002</v>
      </c>
      <c r="I4914" t="s">
        <v>771</v>
      </c>
      <c r="J4914" s="2" t="s">
        <v>14</v>
      </c>
      <c r="K4914" t="s">
        <v>578</v>
      </c>
      <c r="L4914" t="s">
        <v>144</v>
      </c>
      <c r="M4914" t="s">
        <v>26</v>
      </c>
      <c r="N4914" t="s">
        <v>85</v>
      </c>
      <c r="O4914" s="6" t="s">
        <v>462</v>
      </c>
      <c r="P4914" t="s">
        <v>491</v>
      </c>
      <c r="Q4914">
        <v>7</v>
      </c>
      <c r="R4914" t="s">
        <v>214</v>
      </c>
      <c r="S4914" s="2" t="s">
        <v>27</v>
      </c>
      <c r="T4914">
        <v>3</v>
      </c>
      <c r="U4914" t="s">
        <v>28</v>
      </c>
      <c r="V4914" t="s">
        <v>28</v>
      </c>
      <c r="W4914">
        <v>18.2</v>
      </c>
      <c r="X4914">
        <v>1.426E-2</v>
      </c>
      <c r="Y4914" s="6">
        <f t="shared" si="86"/>
        <v>1.4445303735124433E-2</v>
      </c>
      <c r="Z4914">
        <f>0.0226-X4914</f>
        <v>8.3399999999999985E-3</v>
      </c>
      <c r="AA4914" s="6"/>
      <c r="AB4914" s="6"/>
    </row>
    <row r="4915" spans="1:28" x14ac:dyDescent="0.2">
      <c r="A4915" t="s">
        <v>575</v>
      </c>
      <c r="B4915">
        <v>2015</v>
      </c>
      <c r="C4915" t="s">
        <v>816</v>
      </c>
      <c r="D4915" t="s">
        <v>817</v>
      </c>
      <c r="E4915" t="s">
        <v>31</v>
      </c>
      <c r="F4915" t="s">
        <v>576</v>
      </c>
      <c r="G4915">
        <v>44.477347000000002</v>
      </c>
      <c r="H4915">
        <v>-63.546725000000002</v>
      </c>
      <c r="I4915" t="s">
        <v>771</v>
      </c>
      <c r="J4915" s="2" t="s">
        <v>14</v>
      </c>
      <c r="K4915" t="s">
        <v>578</v>
      </c>
      <c r="L4915" t="s">
        <v>144</v>
      </c>
      <c r="M4915" t="s">
        <v>26</v>
      </c>
      <c r="N4915" t="s">
        <v>85</v>
      </c>
      <c r="O4915" s="6" t="s">
        <v>462</v>
      </c>
      <c r="P4915" t="s">
        <v>491</v>
      </c>
      <c r="Q4915">
        <v>7</v>
      </c>
      <c r="R4915" t="s">
        <v>213</v>
      </c>
      <c r="S4915" s="2" t="s">
        <v>13</v>
      </c>
      <c r="T4915">
        <v>3</v>
      </c>
      <c r="U4915" t="s">
        <v>28</v>
      </c>
      <c r="V4915" t="s">
        <v>28</v>
      </c>
      <c r="W4915">
        <v>20.8</v>
      </c>
      <c r="X4915">
        <v>3.4439999999999998E-2</v>
      </c>
      <c r="Y4915" s="6">
        <f t="shared" si="86"/>
        <v>3.2389350101538004E-2</v>
      </c>
      <c r="Z4915">
        <f>0.05314-X4915</f>
        <v>1.8700000000000001E-2</v>
      </c>
      <c r="AA4915" s="6"/>
      <c r="AB4915" s="6"/>
    </row>
    <row r="4916" spans="1:28" x14ac:dyDescent="0.2">
      <c r="A4916" t="s">
        <v>575</v>
      </c>
      <c r="B4916">
        <v>2015</v>
      </c>
      <c r="C4916" t="s">
        <v>816</v>
      </c>
      <c r="D4916" t="s">
        <v>817</v>
      </c>
      <c r="E4916" t="s">
        <v>31</v>
      </c>
      <c r="F4916" t="s">
        <v>576</v>
      </c>
      <c r="G4916">
        <v>44.477347000000002</v>
      </c>
      <c r="H4916">
        <v>-63.546725000000002</v>
      </c>
      <c r="I4916" t="s">
        <v>771</v>
      </c>
      <c r="J4916" s="2" t="s">
        <v>7</v>
      </c>
      <c r="K4916" t="s">
        <v>578</v>
      </c>
      <c r="L4916" t="s">
        <v>144</v>
      </c>
      <c r="M4916" t="s">
        <v>26</v>
      </c>
      <c r="N4916" t="s">
        <v>85</v>
      </c>
      <c r="O4916" s="6" t="s">
        <v>462</v>
      </c>
      <c r="P4916" t="s">
        <v>491</v>
      </c>
      <c r="Q4916">
        <v>14</v>
      </c>
      <c r="R4916" t="s">
        <v>214</v>
      </c>
      <c r="S4916" s="2" t="s">
        <v>7</v>
      </c>
      <c r="T4916">
        <v>3</v>
      </c>
      <c r="U4916" t="s">
        <v>28</v>
      </c>
      <c r="V4916" t="s">
        <v>28</v>
      </c>
      <c r="W4916">
        <v>11.6</v>
      </c>
      <c r="X4916">
        <v>4.0489999999999998E-2</v>
      </c>
      <c r="Y4916" s="6">
        <f t="shared" si="86"/>
        <v>1.9347007520544357E-2</v>
      </c>
      <c r="Z4916">
        <f>0.05166-X4916</f>
        <v>1.1169999999999999E-2</v>
      </c>
      <c r="AA4916" s="6"/>
      <c r="AB4916" s="6"/>
    </row>
    <row r="4917" spans="1:28" x14ac:dyDescent="0.2">
      <c r="A4917" t="s">
        <v>575</v>
      </c>
      <c r="B4917">
        <v>2015</v>
      </c>
      <c r="C4917" t="s">
        <v>816</v>
      </c>
      <c r="D4917" t="s">
        <v>817</v>
      </c>
      <c r="E4917" t="s">
        <v>31</v>
      </c>
      <c r="F4917" t="s">
        <v>576</v>
      </c>
      <c r="G4917">
        <v>44.477347000000002</v>
      </c>
      <c r="H4917">
        <v>-63.546725000000002</v>
      </c>
      <c r="I4917" t="s">
        <v>771</v>
      </c>
      <c r="J4917" s="2" t="s">
        <v>14</v>
      </c>
      <c r="K4917" t="s">
        <v>578</v>
      </c>
      <c r="L4917" t="s">
        <v>144</v>
      </c>
      <c r="M4917" t="s">
        <v>26</v>
      </c>
      <c r="N4917" t="s">
        <v>85</v>
      </c>
      <c r="O4917" s="6" t="s">
        <v>462</v>
      </c>
      <c r="P4917" t="s">
        <v>491</v>
      </c>
      <c r="Q4917">
        <v>14</v>
      </c>
      <c r="R4917" t="s">
        <v>214</v>
      </c>
      <c r="S4917" s="2" t="s">
        <v>9</v>
      </c>
      <c r="T4917">
        <v>3</v>
      </c>
      <c r="U4917" t="s">
        <v>28</v>
      </c>
      <c r="V4917" t="s">
        <v>28</v>
      </c>
      <c r="W4917">
        <v>14.4</v>
      </c>
      <c r="X4917">
        <v>3.175E-2</v>
      </c>
      <c r="Y4917" s="6">
        <f t="shared" si="86"/>
        <v>1.4670470340108387E-2</v>
      </c>
      <c r="Z4917">
        <f>0.04022-X4917</f>
        <v>8.4699999999999984E-3</v>
      </c>
      <c r="AA4917" s="6"/>
      <c r="AB4917" s="6"/>
    </row>
    <row r="4918" spans="1:28" x14ac:dyDescent="0.2">
      <c r="A4918" t="s">
        <v>575</v>
      </c>
      <c r="B4918">
        <v>2015</v>
      </c>
      <c r="C4918" t="s">
        <v>816</v>
      </c>
      <c r="D4918" t="s">
        <v>817</v>
      </c>
      <c r="E4918" t="s">
        <v>31</v>
      </c>
      <c r="F4918" t="s">
        <v>576</v>
      </c>
      <c r="G4918">
        <v>44.477347000000002</v>
      </c>
      <c r="H4918">
        <v>-63.546725000000002</v>
      </c>
      <c r="I4918" t="s">
        <v>771</v>
      </c>
      <c r="J4918" s="2" t="s">
        <v>14</v>
      </c>
      <c r="K4918" t="s">
        <v>578</v>
      </c>
      <c r="L4918" t="s">
        <v>144</v>
      </c>
      <c r="M4918" t="s">
        <v>26</v>
      </c>
      <c r="N4918" t="s">
        <v>85</v>
      </c>
      <c r="O4918" s="6" t="s">
        <v>462</v>
      </c>
      <c r="P4918" t="s">
        <v>491</v>
      </c>
      <c r="Q4918">
        <v>14</v>
      </c>
      <c r="R4918" t="s">
        <v>214</v>
      </c>
      <c r="S4918" s="2" t="s">
        <v>27</v>
      </c>
      <c r="T4918">
        <v>3</v>
      </c>
      <c r="U4918" t="s">
        <v>28</v>
      </c>
      <c r="V4918" t="s">
        <v>28</v>
      </c>
      <c r="W4918">
        <v>18.2</v>
      </c>
      <c r="X4918">
        <v>2.691E-2</v>
      </c>
      <c r="Y4918" s="6">
        <f t="shared" si="86"/>
        <v>2.7712812921102031E-2</v>
      </c>
      <c r="Z4918">
        <f>0.04291-X4918</f>
        <v>1.5999999999999997E-2</v>
      </c>
      <c r="AA4918" s="6"/>
      <c r="AB4918" s="6"/>
    </row>
    <row r="4919" spans="1:28" x14ac:dyDescent="0.2">
      <c r="A4919" t="s">
        <v>575</v>
      </c>
      <c r="B4919">
        <v>2015</v>
      </c>
      <c r="C4919" t="s">
        <v>816</v>
      </c>
      <c r="D4919" t="s">
        <v>817</v>
      </c>
      <c r="E4919" t="s">
        <v>31</v>
      </c>
      <c r="F4919" t="s">
        <v>576</v>
      </c>
      <c r="G4919">
        <v>44.477347000000002</v>
      </c>
      <c r="H4919">
        <v>-63.546725000000002</v>
      </c>
      <c r="I4919" t="s">
        <v>771</v>
      </c>
      <c r="J4919" s="2" t="s">
        <v>7</v>
      </c>
      <c r="K4919" t="s">
        <v>578</v>
      </c>
      <c r="L4919" t="s">
        <v>144</v>
      </c>
      <c r="M4919" t="s">
        <v>26</v>
      </c>
      <c r="N4919" t="s">
        <v>85</v>
      </c>
      <c r="O4919" s="6" t="s">
        <v>462</v>
      </c>
      <c r="P4919" t="s">
        <v>491</v>
      </c>
      <c r="Q4919">
        <v>21</v>
      </c>
      <c r="R4919" t="s">
        <v>213</v>
      </c>
      <c r="S4919" s="2" t="s">
        <v>7</v>
      </c>
      <c r="T4919">
        <v>3</v>
      </c>
      <c r="U4919" t="s">
        <v>28</v>
      </c>
      <c r="V4919" t="s">
        <v>28</v>
      </c>
      <c r="W4919">
        <v>11.6</v>
      </c>
      <c r="X4919">
        <v>5.287E-2</v>
      </c>
      <c r="Y4919" s="6">
        <f t="shared" si="86"/>
        <v>2.4924211120916143E-2</v>
      </c>
      <c r="Z4919">
        <f>0.06726-X4919</f>
        <v>1.439E-2</v>
      </c>
      <c r="AA4919" s="6"/>
      <c r="AB4919" s="6"/>
    </row>
    <row r="4920" spans="1:28" x14ac:dyDescent="0.2">
      <c r="A4920" t="s">
        <v>575</v>
      </c>
      <c r="B4920">
        <v>2015</v>
      </c>
      <c r="C4920" t="s">
        <v>816</v>
      </c>
      <c r="D4920" t="s">
        <v>817</v>
      </c>
      <c r="E4920" t="s">
        <v>31</v>
      </c>
      <c r="F4920" t="s">
        <v>576</v>
      </c>
      <c r="G4920">
        <v>44.477347000000002</v>
      </c>
      <c r="H4920">
        <v>-63.546725000000002</v>
      </c>
      <c r="I4920" t="s">
        <v>771</v>
      </c>
      <c r="J4920" s="2" t="s">
        <v>14</v>
      </c>
      <c r="K4920" t="s">
        <v>578</v>
      </c>
      <c r="L4920" t="s">
        <v>144</v>
      </c>
      <c r="M4920" t="s">
        <v>26</v>
      </c>
      <c r="N4920" t="s">
        <v>85</v>
      </c>
      <c r="O4920" s="6" t="s">
        <v>462</v>
      </c>
      <c r="P4920" t="s">
        <v>491</v>
      </c>
      <c r="Q4920">
        <v>21</v>
      </c>
      <c r="R4920" t="s">
        <v>213</v>
      </c>
      <c r="S4920" s="2" t="s">
        <v>9</v>
      </c>
      <c r="T4920">
        <v>3</v>
      </c>
      <c r="U4920" t="s">
        <v>28</v>
      </c>
      <c r="V4920" t="s">
        <v>28</v>
      </c>
      <c r="W4920">
        <v>14.4</v>
      </c>
      <c r="X4920">
        <v>3.0269999999999998E-2</v>
      </c>
      <c r="Y4920" s="6">
        <f t="shared" si="86"/>
        <v>1.5138124058151995E-2</v>
      </c>
      <c r="Z4920">
        <f>0.03901-X4920</f>
        <v>8.7400000000000047E-3</v>
      </c>
      <c r="AA4920" s="6"/>
      <c r="AB4920" s="6"/>
    </row>
    <row r="4921" spans="1:28" x14ac:dyDescent="0.2">
      <c r="A4921" t="s">
        <v>575</v>
      </c>
      <c r="B4921">
        <v>2015</v>
      </c>
      <c r="C4921" t="s">
        <v>816</v>
      </c>
      <c r="D4921" t="s">
        <v>817</v>
      </c>
      <c r="E4921" t="s">
        <v>31</v>
      </c>
      <c r="F4921" t="s">
        <v>576</v>
      </c>
      <c r="G4921">
        <v>44.477347000000002</v>
      </c>
      <c r="H4921">
        <v>-63.546725000000002</v>
      </c>
      <c r="I4921" t="s">
        <v>771</v>
      </c>
      <c r="J4921" s="2" t="s">
        <v>14</v>
      </c>
      <c r="K4921" t="s">
        <v>578</v>
      </c>
      <c r="L4921" t="s">
        <v>144</v>
      </c>
      <c r="M4921" t="s">
        <v>26</v>
      </c>
      <c r="N4921" t="s">
        <v>85</v>
      </c>
      <c r="O4921" s="6" t="s">
        <v>462</v>
      </c>
      <c r="P4921" t="s">
        <v>491</v>
      </c>
      <c r="Q4921">
        <v>21</v>
      </c>
      <c r="R4921" t="s">
        <v>213</v>
      </c>
      <c r="S4921" s="2" t="s">
        <v>27</v>
      </c>
      <c r="T4921">
        <v>3</v>
      </c>
      <c r="U4921" t="s">
        <v>28</v>
      </c>
      <c r="V4921" t="s">
        <v>28</v>
      </c>
      <c r="W4921">
        <v>18.2</v>
      </c>
      <c r="X4921">
        <v>5.2330000000000002E-2</v>
      </c>
      <c r="Y4921" s="6">
        <f t="shared" si="86"/>
        <v>2.4941531628991823E-2</v>
      </c>
      <c r="Z4921">
        <f>0.06673-X4921</f>
        <v>1.4399999999999996E-2</v>
      </c>
      <c r="AA4921" s="6"/>
      <c r="AB4921" s="6"/>
    </row>
    <row r="4922" spans="1:28" x14ac:dyDescent="0.2">
      <c r="A4922" t="s">
        <v>575</v>
      </c>
      <c r="B4922">
        <v>2015</v>
      </c>
      <c r="C4922" t="s">
        <v>826</v>
      </c>
      <c r="D4922" t="s">
        <v>824</v>
      </c>
      <c r="E4922" t="s">
        <v>48</v>
      </c>
      <c r="F4922" t="s">
        <v>576</v>
      </c>
      <c r="G4922">
        <v>44.477347000000002</v>
      </c>
      <c r="H4922">
        <v>-63.546725000000002</v>
      </c>
      <c r="I4922" t="s">
        <v>771</v>
      </c>
      <c r="J4922" s="2" t="s">
        <v>7</v>
      </c>
      <c r="K4922" t="s">
        <v>579</v>
      </c>
      <c r="L4922" t="s">
        <v>144</v>
      </c>
      <c r="M4922" t="s">
        <v>26</v>
      </c>
      <c r="N4922" t="s">
        <v>85</v>
      </c>
      <c r="O4922" s="6" t="s">
        <v>462</v>
      </c>
      <c r="P4922" t="s">
        <v>491</v>
      </c>
      <c r="Q4922">
        <v>7</v>
      </c>
      <c r="R4922" t="s">
        <v>213</v>
      </c>
      <c r="S4922" s="2" t="s">
        <v>7</v>
      </c>
      <c r="T4922">
        <v>3</v>
      </c>
      <c r="U4922" t="s">
        <v>28</v>
      </c>
      <c r="V4922" t="s">
        <v>28</v>
      </c>
      <c r="W4922">
        <v>11.6</v>
      </c>
      <c r="X4922">
        <v>1.286</v>
      </c>
      <c r="Y4922" s="6">
        <f t="shared" si="86"/>
        <v>0.69108827221998204</v>
      </c>
      <c r="Z4922">
        <f>1.685-X4922</f>
        <v>0.39900000000000002</v>
      </c>
      <c r="AA4922" s="6"/>
      <c r="AB4922" s="6"/>
    </row>
    <row r="4923" spans="1:28" x14ac:dyDescent="0.2">
      <c r="A4923" t="s">
        <v>575</v>
      </c>
      <c r="B4923">
        <v>2015</v>
      </c>
      <c r="C4923" t="s">
        <v>826</v>
      </c>
      <c r="D4923" t="s">
        <v>824</v>
      </c>
      <c r="E4923" t="s">
        <v>48</v>
      </c>
      <c r="F4923" t="s">
        <v>576</v>
      </c>
      <c r="G4923">
        <v>44.477347000000002</v>
      </c>
      <c r="H4923">
        <v>-63.546725000000002</v>
      </c>
      <c r="I4923" t="s">
        <v>771</v>
      </c>
      <c r="J4923" s="2" t="s">
        <v>14</v>
      </c>
      <c r="K4923" t="s">
        <v>579</v>
      </c>
      <c r="L4923" t="s">
        <v>144</v>
      </c>
      <c r="M4923" t="s">
        <v>26</v>
      </c>
      <c r="N4923" t="s">
        <v>85</v>
      </c>
      <c r="O4923" s="6" t="s">
        <v>462</v>
      </c>
      <c r="P4923" t="s">
        <v>491</v>
      </c>
      <c r="Q4923">
        <v>7</v>
      </c>
      <c r="R4923" t="s">
        <v>214</v>
      </c>
      <c r="S4923" s="2" t="s">
        <v>9</v>
      </c>
      <c r="T4923">
        <v>3</v>
      </c>
      <c r="U4923" t="s">
        <v>28</v>
      </c>
      <c r="V4923" t="s">
        <v>28</v>
      </c>
      <c r="W4923">
        <v>14.4</v>
      </c>
      <c r="X4923">
        <v>1</v>
      </c>
      <c r="Y4923" s="6">
        <f t="shared" si="86"/>
        <v>0.73438954240920384</v>
      </c>
      <c r="Z4923">
        <f>1.424-X4923</f>
        <v>0.42399999999999993</v>
      </c>
      <c r="AA4923" s="6"/>
      <c r="AB4923" s="6"/>
    </row>
    <row r="4924" spans="1:28" x14ac:dyDescent="0.2">
      <c r="A4924" t="s">
        <v>575</v>
      </c>
      <c r="B4924">
        <v>2015</v>
      </c>
      <c r="C4924" t="s">
        <v>826</v>
      </c>
      <c r="D4924" t="s">
        <v>824</v>
      </c>
      <c r="E4924" t="s">
        <v>48</v>
      </c>
      <c r="F4924" t="s">
        <v>576</v>
      </c>
      <c r="G4924">
        <v>44.477347000000002</v>
      </c>
      <c r="H4924">
        <v>-63.546725000000002</v>
      </c>
      <c r="I4924" t="s">
        <v>771</v>
      </c>
      <c r="J4924" s="2" t="s">
        <v>14</v>
      </c>
      <c r="K4924" t="s">
        <v>579</v>
      </c>
      <c r="L4924" t="s">
        <v>144</v>
      </c>
      <c r="M4924" t="s">
        <v>26</v>
      </c>
      <c r="N4924" t="s">
        <v>85</v>
      </c>
      <c r="O4924" s="6" t="s">
        <v>462</v>
      </c>
      <c r="P4924" t="s">
        <v>491</v>
      </c>
      <c r="Q4924">
        <v>7</v>
      </c>
      <c r="R4924" t="s">
        <v>214</v>
      </c>
      <c r="S4924" s="2" t="s">
        <v>27</v>
      </c>
      <c r="T4924">
        <v>3</v>
      </c>
      <c r="U4924" t="s">
        <v>28</v>
      </c>
      <c r="V4924" t="s">
        <v>28</v>
      </c>
      <c r="W4924">
        <v>18.2</v>
      </c>
      <c r="X4924">
        <v>0.85699999999999998</v>
      </c>
      <c r="Y4924" s="6">
        <f t="shared" si="86"/>
        <v>0.58196907134314291</v>
      </c>
      <c r="Z4924">
        <f>1.193-X4924</f>
        <v>0.33600000000000008</v>
      </c>
      <c r="AA4924" s="6"/>
      <c r="AB4924" s="6"/>
    </row>
    <row r="4925" spans="1:28" x14ac:dyDescent="0.2">
      <c r="A4925" t="s">
        <v>575</v>
      </c>
      <c r="B4925">
        <v>2015</v>
      </c>
      <c r="C4925" t="s">
        <v>826</v>
      </c>
      <c r="D4925" t="s">
        <v>824</v>
      </c>
      <c r="E4925" t="s">
        <v>48</v>
      </c>
      <c r="F4925" t="s">
        <v>576</v>
      </c>
      <c r="G4925">
        <v>44.477347000000002</v>
      </c>
      <c r="H4925">
        <v>-63.546725000000002</v>
      </c>
      <c r="I4925" t="s">
        <v>771</v>
      </c>
      <c r="J4925" s="2" t="s">
        <v>14</v>
      </c>
      <c r="K4925" t="s">
        <v>579</v>
      </c>
      <c r="L4925" t="s">
        <v>144</v>
      </c>
      <c r="M4925" t="s">
        <v>26</v>
      </c>
      <c r="N4925" t="s">
        <v>85</v>
      </c>
      <c r="O4925" s="6" t="s">
        <v>462</v>
      </c>
      <c r="P4925" t="s">
        <v>491</v>
      </c>
      <c r="Q4925">
        <v>7</v>
      </c>
      <c r="R4925" t="s">
        <v>213</v>
      </c>
      <c r="S4925" s="2" t="s">
        <v>13</v>
      </c>
      <c r="T4925">
        <v>3</v>
      </c>
      <c r="U4925" t="s">
        <v>28</v>
      </c>
      <c r="V4925" t="s">
        <v>28</v>
      </c>
      <c r="W4925">
        <v>20.8</v>
      </c>
      <c r="X4925">
        <v>0.28599999999999998</v>
      </c>
      <c r="Y4925" s="6">
        <f t="shared" si="86"/>
        <v>0.13856406460551021</v>
      </c>
      <c r="Z4925">
        <f>0.366-X4925</f>
        <v>8.0000000000000016E-2</v>
      </c>
      <c r="AA4925" s="6"/>
      <c r="AB4925" s="6"/>
    </row>
    <row r="4926" spans="1:28" x14ac:dyDescent="0.2">
      <c r="A4926" t="s">
        <v>575</v>
      </c>
      <c r="B4926">
        <v>2015</v>
      </c>
      <c r="C4926" t="s">
        <v>826</v>
      </c>
      <c r="D4926" t="s">
        <v>824</v>
      </c>
      <c r="E4926" t="s">
        <v>48</v>
      </c>
      <c r="F4926" t="s">
        <v>576</v>
      </c>
      <c r="G4926">
        <v>44.477347000000002</v>
      </c>
      <c r="H4926">
        <v>-63.546725000000002</v>
      </c>
      <c r="I4926" t="s">
        <v>771</v>
      </c>
      <c r="J4926" s="2" t="s">
        <v>7</v>
      </c>
      <c r="K4926" t="s">
        <v>579</v>
      </c>
      <c r="L4926" t="s">
        <v>144</v>
      </c>
      <c r="M4926" t="s">
        <v>26</v>
      </c>
      <c r="N4926" t="s">
        <v>85</v>
      </c>
      <c r="O4926" s="6" t="s">
        <v>462</v>
      </c>
      <c r="P4926" t="s">
        <v>491</v>
      </c>
      <c r="Q4926">
        <v>14</v>
      </c>
      <c r="R4926" t="s">
        <v>214</v>
      </c>
      <c r="S4926" s="2" t="s">
        <v>7</v>
      </c>
      <c r="T4926">
        <v>3</v>
      </c>
      <c r="U4926" t="s">
        <v>28</v>
      </c>
      <c r="V4926" t="s">
        <v>28</v>
      </c>
      <c r="W4926">
        <v>11.6</v>
      </c>
      <c r="X4926">
        <v>1.458</v>
      </c>
      <c r="Y4926" s="6">
        <f t="shared" si="86"/>
        <v>1.061747145039722</v>
      </c>
      <c r="Z4926">
        <f>2.071-X4926</f>
        <v>0.61300000000000021</v>
      </c>
      <c r="AA4926" s="6"/>
      <c r="AB4926" s="6"/>
    </row>
    <row r="4927" spans="1:28" x14ac:dyDescent="0.2">
      <c r="A4927" t="s">
        <v>575</v>
      </c>
      <c r="B4927">
        <v>2015</v>
      </c>
      <c r="C4927" t="s">
        <v>826</v>
      </c>
      <c r="D4927" t="s">
        <v>824</v>
      </c>
      <c r="E4927" t="s">
        <v>48</v>
      </c>
      <c r="F4927" t="s">
        <v>576</v>
      </c>
      <c r="G4927">
        <v>44.477347000000002</v>
      </c>
      <c r="H4927">
        <v>-63.546725000000002</v>
      </c>
      <c r="I4927" t="s">
        <v>771</v>
      </c>
      <c r="J4927" s="2" t="s">
        <v>14</v>
      </c>
      <c r="K4927" t="s">
        <v>579</v>
      </c>
      <c r="L4927" t="s">
        <v>144</v>
      </c>
      <c r="M4927" t="s">
        <v>26</v>
      </c>
      <c r="N4927" t="s">
        <v>85</v>
      </c>
      <c r="O4927" s="6" t="s">
        <v>462</v>
      </c>
      <c r="P4927" t="s">
        <v>491</v>
      </c>
      <c r="Q4927">
        <v>14</v>
      </c>
      <c r="R4927" t="s">
        <v>214</v>
      </c>
      <c r="S4927" s="2" t="s">
        <v>9</v>
      </c>
      <c r="T4927">
        <v>3</v>
      </c>
      <c r="U4927" t="s">
        <v>28</v>
      </c>
      <c r="V4927" t="s">
        <v>28</v>
      </c>
      <c r="W4927">
        <v>14.4</v>
      </c>
      <c r="X4927">
        <v>1</v>
      </c>
      <c r="Y4927" s="6">
        <f t="shared" si="86"/>
        <v>0.51615114065552548</v>
      </c>
      <c r="Z4927">
        <f>1.298-X4927</f>
        <v>0.29800000000000004</v>
      </c>
      <c r="AA4927" s="6"/>
      <c r="AB4927" s="6"/>
    </row>
    <row r="4928" spans="1:28" x14ac:dyDescent="0.2">
      <c r="A4928" t="s">
        <v>575</v>
      </c>
      <c r="B4928">
        <v>2015</v>
      </c>
      <c r="C4928" t="s">
        <v>826</v>
      </c>
      <c r="D4928" t="s">
        <v>824</v>
      </c>
      <c r="E4928" t="s">
        <v>48</v>
      </c>
      <c r="F4928" t="s">
        <v>576</v>
      </c>
      <c r="G4928">
        <v>44.477347000000002</v>
      </c>
      <c r="H4928">
        <v>-63.546725000000002</v>
      </c>
      <c r="I4928" t="s">
        <v>771</v>
      </c>
      <c r="J4928" s="2" t="s">
        <v>14</v>
      </c>
      <c r="K4928" t="s">
        <v>579</v>
      </c>
      <c r="L4928" t="s">
        <v>144</v>
      </c>
      <c r="M4928" t="s">
        <v>26</v>
      </c>
      <c r="N4928" t="s">
        <v>85</v>
      </c>
      <c r="O4928" s="6" t="s">
        <v>462</v>
      </c>
      <c r="P4928" t="s">
        <v>491</v>
      </c>
      <c r="Q4928">
        <v>14</v>
      </c>
      <c r="R4928" t="s">
        <v>214</v>
      </c>
      <c r="S4928" s="2" t="s">
        <v>27</v>
      </c>
      <c r="T4928">
        <v>3</v>
      </c>
      <c r="U4928" t="s">
        <v>28</v>
      </c>
      <c r="V4928" t="s">
        <v>28</v>
      </c>
      <c r="W4928">
        <v>18.2</v>
      </c>
      <c r="X4928">
        <v>0.57599999999999996</v>
      </c>
      <c r="Y4928" s="6">
        <f t="shared" si="86"/>
        <v>0.18879353802500778</v>
      </c>
      <c r="Z4928">
        <f>0.685-X4928</f>
        <v>0.1090000000000001</v>
      </c>
      <c r="AA4928" s="6"/>
      <c r="AB4928" s="6"/>
    </row>
    <row r="4929" spans="1:28" x14ac:dyDescent="0.2">
      <c r="A4929" t="s">
        <v>575</v>
      </c>
      <c r="B4929">
        <v>2015</v>
      </c>
      <c r="C4929" t="s">
        <v>826</v>
      </c>
      <c r="D4929" t="s">
        <v>824</v>
      </c>
      <c r="E4929" t="s">
        <v>48</v>
      </c>
      <c r="F4929" t="s">
        <v>576</v>
      </c>
      <c r="G4929">
        <v>44.477347000000002</v>
      </c>
      <c r="H4929">
        <v>-63.546725000000002</v>
      </c>
      <c r="I4929" t="s">
        <v>771</v>
      </c>
      <c r="J4929" s="2" t="s">
        <v>7</v>
      </c>
      <c r="K4929" t="s">
        <v>579</v>
      </c>
      <c r="L4929" t="s">
        <v>144</v>
      </c>
      <c r="M4929" t="s">
        <v>26</v>
      </c>
      <c r="N4929" t="s">
        <v>85</v>
      </c>
      <c r="O4929" s="6" t="s">
        <v>462</v>
      </c>
      <c r="P4929" t="s">
        <v>491</v>
      </c>
      <c r="Q4929">
        <v>21</v>
      </c>
      <c r="R4929" t="s">
        <v>213</v>
      </c>
      <c r="S4929" s="2" t="s">
        <v>7</v>
      </c>
      <c r="T4929">
        <v>3</v>
      </c>
      <c r="U4929" t="s">
        <v>28</v>
      </c>
      <c r="V4929" t="s">
        <v>28</v>
      </c>
      <c r="W4929">
        <v>11.6</v>
      </c>
      <c r="X4929">
        <v>1.744</v>
      </c>
      <c r="Y4929" s="6">
        <f t="shared" si="86"/>
        <v>0.91625487720393628</v>
      </c>
      <c r="Z4929">
        <f>2.273-X4929</f>
        <v>0.52900000000000014</v>
      </c>
      <c r="AA4929" s="6"/>
      <c r="AB4929" s="6"/>
    </row>
    <row r="4930" spans="1:28" x14ac:dyDescent="0.2">
      <c r="A4930" t="s">
        <v>575</v>
      </c>
      <c r="B4930">
        <v>2015</v>
      </c>
      <c r="C4930" t="s">
        <v>826</v>
      </c>
      <c r="D4930" t="s">
        <v>824</v>
      </c>
      <c r="E4930" t="s">
        <v>48</v>
      </c>
      <c r="F4930" t="s">
        <v>576</v>
      </c>
      <c r="G4930">
        <v>44.477347000000002</v>
      </c>
      <c r="H4930">
        <v>-63.546725000000002</v>
      </c>
      <c r="I4930" t="s">
        <v>771</v>
      </c>
      <c r="J4930" s="2" t="s">
        <v>14</v>
      </c>
      <c r="K4930" t="s">
        <v>579</v>
      </c>
      <c r="L4930" t="s">
        <v>144</v>
      </c>
      <c r="M4930" t="s">
        <v>26</v>
      </c>
      <c r="N4930" t="s">
        <v>85</v>
      </c>
      <c r="O4930" s="6" t="s">
        <v>462</v>
      </c>
      <c r="P4930" t="s">
        <v>491</v>
      </c>
      <c r="Q4930">
        <v>21</v>
      </c>
      <c r="R4930" t="s">
        <v>213</v>
      </c>
      <c r="S4930" s="2" t="s">
        <v>9</v>
      </c>
      <c r="T4930">
        <v>3</v>
      </c>
      <c r="U4930" t="s">
        <v>28</v>
      </c>
      <c r="V4930" t="s">
        <v>28</v>
      </c>
      <c r="W4930">
        <v>14.4</v>
      </c>
      <c r="X4930">
        <v>0.92900000000000005</v>
      </c>
      <c r="Y4930" s="6">
        <f t="shared" si="86"/>
        <v>0.60275368103396898</v>
      </c>
      <c r="Z4930">
        <f>1.277-X4930</f>
        <v>0.34799999999999986</v>
      </c>
      <c r="AA4930" s="6"/>
      <c r="AB4930" s="6"/>
    </row>
    <row r="4931" spans="1:28" x14ac:dyDescent="0.2">
      <c r="A4931" t="s">
        <v>575</v>
      </c>
      <c r="B4931">
        <v>2015</v>
      </c>
      <c r="C4931" t="s">
        <v>826</v>
      </c>
      <c r="D4931" t="s">
        <v>824</v>
      </c>
      <c r="E4931" t="s">
        <v>48</v>
      </c>
      <c r="F4931" t="s">
        <v>576</v>
      </c>
      <c r="G4931">
        <v>44.477347000000002</v>
      </c>
      <c r="H4931">
        <v>-63.546725000000002</v>
      </c>
      <c r="I4931" t="s">
        <v>771</v>
      </c>
      <c r="J4931" s="2" t="s">
        <v>14</v>
      </c>
      <c r="K4931" t="s">
        <v>579</v>
      </c>
      <c r="L4931" t="s">
        <v>144</v>
      </c>
      <c r="M4931" t="s">
        <v>26</v>
      </c>
      <c r="N4931" t="s">
        <v>85</v>
      </c>
      <c r="O4931" s="6" t="s">
        <v>462</v>
      </c>
      <c r="P4931" t="s">
        <v>491</v>
      </c>
      <c r="Q4931">
        <v>21</v>
      </c>
      <c r="R4931" t="s">
        <v>213</v>
      </c>
      <c r="S4931" s="2" t="s">
        <v>27</v>
      </c>
      <c r="T4931">
        <v>3</v>
      </c>
      <c r="U4931" t="s">
        <v>28</v>
      </c>
      <c r="V4931" t="s">
        <v>28</v>
      </c>
      <c r="W4931">
        <v>18.2</v>
      </c>
      <c r="X4931">
        <v>0.83199999999999996</v>
      </c>
      <c r="Y4931" s="6">
        <f t="shared" si="86"/>
        <v>0.77942286340599487</v>
      </c>
      <c r="Z4931">
        <f>1.282-X4931</f>
        <v>0.45000000000000007</v>
      </c>
      <c r="AA4931" s="6"/>
      <c r="AB4931" s="6"/>
    </row>
    <row r="4932" spans="1:28" x14ac:dyDescent="0.2">
      <c r="A4932" t="s">
        <v>575</v>
      </c>
      <c r="B4932">
        <v>2015</v>
      </c>
      <c r="C4932" t="s">
        <v>805</v>
      </c>
      <c r="D4932" t="s">
        <v>806</v>
      </c>
      <c r="E4932" t="s">
        <v>577</v>
      </c>
      <c r="F4932" t="s">
        <v>576</v>
      </c>
      <c r="G4932">
        <v>44.477347000000002</v>
      </c>
      <c r="H4932">
        <v>-63.546725000000002</v>
      </c>
      <c r="I4932" t="s">
        <v>771</v>
      </c>
      <c r="J4932" s="2" t="s">
        <v>7</v>
      </c>
      <c r="K4932" t="s">
        <v>578</v>
      </c>
      <c r="L4932" t="s">
        <v>144</v>
      </c>
      <c r="M4932" s="6" t="s">
        <v>663</v>
      </c>
      <c r="N4932" t="s">
        <v>86</v>
      </c>
      <c r="O4932" s="6" t="s">
        <v>580</v>
      </c>
      <c r="P4932" t="s">
        <v>77</v>
      </c>
      <c r="Q4932">
        <v>7</v>
      </c>
      <c r="R4932" t="s">
        <v>213</v>
      </c>
      <c r="S4932" s="2" t="s">
        <v>7</v>
      </c>
      <c r="T4932">
        <v>3</v>
      </c>
      <c r="U4932" t="s">
        <v>28</v>
      </c>
      <c r="V4932" t="s">
        <v>28</v>
      </c>
      <c r="W4932">
        <v>11.6</v>
      </c>
      <c r="X4932">
        <v>0.42</v>
      </c>
      <c r="Y4932" s="6">
        <f t="shared" si="86"/>
        <v>0.72746133917892841</v>
      </c>
      <c r="Z4932">
        <f>0.84-X4932</f>
        <v>0.42</v>
      </c>
      <c r="AA4932" s="6"/>
      <c r="AB4932" s="6"/>
    </row>
    <row r="4933" spans="1:28" x14ac:dyDescent="0.2">
      <c r="A4933" t="s">
        <v>575</v>
      </c>
      <c r="B4933">
        <v>2015</v>
      </c>
      <c r="C4933" t="s">
        <v>805</v>
      </c>
      <c r="D4933" t="s">
        <v>806</v>
      </c>
      <c r="E4933" t="s">
        <v>577</v>
      </c>
      <c r="F4933" t="s">
        <v>576</v>
      </c>
      <c r="G4933">
        <v>44.477347000000002</v>
      </c>
      <c r="H4933">
        <v>-63.546725000000002</v>
      </c>
      <c r="I4933" t="s">
        <v>771</v>
      </c>
      <c r="J4933" s="2" t="s">
        <v>14</v>
      </c>
      <c r="K4933" t="s">
        <v>578</v>
      </c>
      <c r="L4933" t="s">
        <v>144</v>
      </c>
      <c r="M4933" s="6" t="s">
        <v>663</v>
      </c>
      <c r="N4933" t="s">
        <v>86</v>
      </c>
      <c r="O4933" s="6" t="s">
        <v>580</v>
      </c>
      <c r="P4933" t="s">
        <v>77</v>
      </c>
      <c r="Q4933">
        <v>7</v>
      </c>
      <c r="R4933" t="s">
        <v>214</v>
      </c>
      <c r="S4933" s="2" t="s">
        <v>9</v>
      </c>
      <c r="T4933">
        <v>3</v>
      </c>
      <c r="U4933" t="s">
        <v>28</v>
      </c>
      <c r="V4933" t="s">
        <v>28</v>
      </c>
      <c r="W4933">
        <v>14.4</v>
      </c>
      <c r="X4933">
        <v>2.67</v>
      </c>
      <c r="Y4933" s="6">
        <f t="shared" si="86"/>
        <v>2.6846787517317594</v>
      </c>
      <c r="Z4933">
        <f>4.22-X4933</f>
        <v>1.5499999999999998</v>
      </c>
      <c r="AA4933" s="6"/>
      <c r="AB4933" s="6"/>
    </row>
    <row r="4934" spans="1:28" x14ac:dyDescent="0.2">
      <c r="A4934" t="s">
        <v>575</v>
      </c>
      <c r="B4934">
        <v>2015</v>
      </c>
      <c r="C4934" t="s">
        <v>805</v>
      </c>
      <c r="D4934" t="s">
        <v>806</v>
      </c>
      <c r="E4934" t="s">
        <v>577</v>
      </c>
      <c r="F4934" t="s">
        <v>576</v>
      </c>
      <c r="G4934">
        <v>44.477347000000002</v>
      </c>
      <c r="H4934">
        <v>-63.546725000000002</v>
      </c>
      <c r="I4934" t="s">
        <v>771</v>
      </c>
      <c r="J4934" s="2" t="s">
        <v>14</v>
      </c>
      <c r="K4934" t="s">
        <v>578</v>
      </c>
      <c r="L4934" t="s">
        <v>144</v>
      </c>
      <c r="M4934" s="6" t="s">
        <v>663</v>
      </c>
      <c r="N4934" t="s">
        <v>86</v>
      </c>
      <c r="O4934" s="6" t="s">
        <v>580</v>
      </c>
      <c r="P4934" t="s">
        <v>77</v>
      </c>
      <c r="Q4934">
        <v>7</v>
      </c>
      <c r="R4934" t="s">
        <v>214</v>
      </c>
      <c r="S4934" s="2" t="s">
        <v>27</v>
      </c>
      <c r="T4934">
        <v>3</v>
      </c>
      <c r="U4934" t="s">
        <v>28</v>
      </c>
      <c r="V4934" t="s">
        <v>28</v>
      </c>
      <c r="W4934">
        <v>18.2</v>
      </c>
      <c r="X4934">
        <v>3.37</v>
      </c>
      <c r="Y4934" s="6">
        <f t="shared" ref="Y4934:Y4965" si="87">Z4934*SQRT(T4934)</f>
        <v>2.6846787517317594</v>
      </c>
      <c r="Z4934">
        <f>4.92-X4934</f>
        <v>1.5499999999999998</v>
      </c>
      <c r="AA4934" s="6"/>
      <c r="AB4934" s="6"/>
    </row>
    <row r="4935" spans="1:28" x14ac:dyDescent="0.2">
      <c r="A4935" t="s">
        <v>575</v>
      </c>
      <c r="B4935">
        <v>2015</v>
      </c>
      <c r="C4935" t="s">
        <v>805</v>
      </c>
      <c r="D4935" t="s">
        <v>806</v>
      </c>
      <c r="E4935" t="s">
        <v>577</v>
      </c>
      <c r="F4935" t="s">
        <v>576</v>
      </c>
      <c r="G4935">
        <v>44.477347000000002</v>
      </c>
      <c r="H4935">
        <v>-63.546725000000002</v>
      </c>
      <c r="I4935" t="s">
        <v>771</v>
      </c>
      <c r="J4935" s="2" t="s">
        <v>14</v>
      </c>
      <c r="K4935" t="s">
        <v>578</v>
      </c>
      <c r="L4935" t="s">
        <v>144</v>
      </c>
      <c r="M4935" s="6" t="s">
        <v>663</v>
      </c>
      <c r="N4935" t="s">
        <v>86</v>
      </c>
      <c r="O4935" s="6" t="s">
        <v>580</v>
      </c>
      <c r="P4935" t="s">
        <v>77</v>
      </c>
      <c r="Q4935">
        <v>7</v>
      </c>
      <c r="R4935" t="s">
        <v>213</v>
      </c>
      <c r="S4935" s="2" t="s">
        <v>13</v>
      </c>
      <c r="T4935">
        <v>3</v>
      </c>
      <c r="U4935" t="s">
        <v>28</v>
      </c>
      <c r="V4935" t="s">
        <v>28</v>
      </c>
      <c r="W4935">
        <v>20.8</v>
      </c>
      <c r="X4935">
        <v>9.98</v>
      </c>
      <c r="Y4935" s="6">
        <f t="shared" si="87"/>
        <v>6.8069596737456868</v>
      </c>
      <c r="Z4935">
        <f>13.91-X4935</f>
        <v>3.9299999999999997</v>
      </c>
      <c r="AA4935" s="6"/>
      <c r="AB4935" s="6"/>
    </row>
    <row r="4936" spans="1:28" x14ac:dyDescent="0.2">
      <c r="A4936" t="s">
        <v>575</v>
      </c>
      <c r="B4936">
        <v>2015</v>
      </c>
      <c r="C4936" t="s">
        <v>805</v>
      </c>
      <c r="D4936" t="s">
        <v>806</v>
      </c>
      <c r="E4936" t="s">
        <v>577</v>
      </c>
      <c r="F4936" t="s">
        <v>576</v>
      </c>
      <c r="G4936">
        <v>44.477347000000002</v>
      </c>
      <c r="H4936">
        <v>-63.546725000000002</v>
      </c>
      <c r="I4936" t="s">
        <v>771</v>
      </c>
      <c r="J4936" s="2" t="s">
        <v>7</v>
      </c>
      <c r="K4936" t="s">
        <v>578</v>
      </c>
      <c r="L4936" t="s">
        <v>144</v>
      </c>
      <c r="M4936" s="6" t="s">
        <v>663</v>
      </c>
      <c r="N4936" t="s">
        <v>86</v>
      </c>
      <c r="O4936" s="6" t="s">
        <v>580</v>
      </c>
      <c r="P4936" t="s">
        <v>77</v>
      </c>
      <c r="Q4936">
        <v>14</v>
      </c>
      <c r="R4936" t="s">
        <v>214</v>
      </c>
      <c r="S4936" s="2" t="s">
        <v>7</v>
      </c>
      <c r="T4936">
        <v>3</v>
      </c>
      <c r="U4936" t="s">
        <v>28</v>
      </c>
      <c r="V4936" t="s">
        <v>28</v>
      </c>
      <c r="W4936">
        <v>11.6</v>
      </c>
      <c r="X4936">
        <v>4.5</v>
      </c>
      <c r="Y4936" s="6">
        <f t="shared" si="87"/>
        <v>6.5644725606860428</v>
      </c>
      <c r="Z4936">
        <f>8.29-X4936</f>
        <v>3.7899999999999991</v>
      </c>
      <c r="AA4936" s="6"/>
      <c r="AB4936" s="6"/>
    </row>
    <row r="4937" spans="1:28" x14ac:dyDescent="0.2">
      <c r="A4937" t="s">
        <v>575</v>
      </c>
      <c r="B4937">
        <v>2015</v>
      </c>
      <c r="C4937" t="s">
        <v>805</v>
      </c>
      <c r="D4937" t="s">
        <v>806</v>
      </c>
      <c r="E4937" t="s">
        <v>577</v>
      </c>
      <c r="F4937" t="s">
        <v>576</v>
      </c>
      <c r="G4937">
        <v>44.477347000000002</v>
      </c>
      <c r="H4937">
        <v>-63.546725000000002</v>
      </c>
      <c r="I4937" t="s">
        <v>771</v>
      </c>
      <c r="J4937" s="2" t="s">
        <v>14</v>
      </c>
      <c r="K4937" t="s">
        <v>578</v>
      </c>
      <c r="L4937" t="s">
        <v>144</v>
      </c>
      <c r="M4937" s="6" t="s">
        <v>663</v>
      </c>
      <c r="N4937" t="s">
        <v>86</v>
      </c>
      <c r="O4937" s="6" t="s">
        <v>580</v>
      </c>
      <c r="P4937" t="s">
        <v>77</v>
      </c>
      <c r="Q4937">
        <v>14</v>
      </c>
      <c r="R4937" t="s">
        <v>214</v>
      </c>
      <c r="S4937" s="2" t="s">
        <v>9</v>
      </c>
      <c r="T4937">
        <v>3</v>
      </c>
      <c r="U4937" t="s">
        <v>28</v>
      </c>
      <c r="V4937" t="s">
        <v>28</v>
      </c>
      <c r="W4937">
        <v>14.4</v>
      </c>
      <c r="X4937">
        <v>3.65</v>
      </c>
      <c r="Y4937" s="6">
        <f t="shared" si="87"/>
        <v>3.169652977851046</v>
      </c>
      <c r="Z4937">
        <f>5.48-X4937</f>
        <v>1.8300000000000005</v>
      </c>
      <c r="AA4937" s="6"/>
      <c r="AB4937" s="6"/>
    </row>
    <row r="4938" spans="1:28" x14ac:dyDescent="0.2">
      <c r="A4938" t="s">
        <v>575</v>
      </c>
      <c r="B4938">
        <v>2015</v>
      </c>
      <c r="C4938" t="s">
        <v>805</v>
      </c>
      <c r="D4938" t="s">
        <v>806</v>
      </c>
      <c r="E4938" t="s">
        <v>577</v>
      </c>
      <c r="F4938" t="s">
        <v>576</v>
      </c>
      <c r="G4938">
        <v>44.477347000000002</v>
      </c>
      <c r="H4938">
        <v>-63.546725000000002</v>
      </c>
      <c r="I4938" t="s">
        <v>771</v>
      </c>
      <c r="J4938" s="2" t="s">
        <v>14</v>
      </c>
      <c r="K4938" t="s">
        <v>578</v>
      </c>
      <c r="L4938" t="s">
        <v>144</v>
      </c>
      <c r="M4938" s="6" t="s">
        <v>663</v>
      </c>
      <c r="N4938" t="s">
        <v>86</v>
      </c>
      <c r="O4938" s="6" t="s">
        <v>580</v>
      </c>
      <c r="P4938" t="s">
        <v>77</v>
      </c>
      <c r="Q4938">
        <v>14</v>
      </c>
      <c r="R4938" t="s">
        <v>214</v>
      </c>
      <c r="S4938" s="2" t="s">
        <v>27</v>
      </c>
      <c r="T4938">
        <v>3</v>
      </c>
      <c r="U4938" t="s">
        <v>28</v>
      </c>
      <c r="V4938" t="s">
        <v>28</v>
      </c>
      <c r="W4938">
        <v>18.2</v>
      </c>
      <c r="X4938">
        <v>18.829999999999998</v>
      </c>
      <c r="Y4938" s="6">
        <f t="shared" si="87"/>
        <v>12.90377851638814</v>
      </c>
      <c r="Z4938">
        <f>26.28-X4938</f>
        <v>7.4500000000000028</v>
      </c>
      <c r="AA4938" s="6"/>
      <c r="AB4938" s="6"/>
    </row>
    <row r="4939" spans="1:28" x14ac:dyDescent="0.2">
      <c r="A4939" t="s">
        <v>575</v>
      </c>
      <c r="B4939">
        <v>2015</v>
      </c>
      <c r="C4939" t="s">
        <v>805</v>
      </c>
      <c r="D4939" t="s">
        <v>806</v>
      </c>
      <c r="E4939" t="s">
        <v>577</v>
      </c>
      <c r="F4939" t="s">
        <v>576</v>
      </c>
      <c r="G4939">
        <v>44.477347000000002</v>
      </c>
      <c r="H4939">
        <v>-63.546725000000002</v>
      </c>
      <c r="I4939" t="s">
        <v>771</v>
      </c>
      <c r="J4939" s="2" t="s">
        <v>7</v>
      </c>
      <c r="K4939" t="s">
        <v>578</v>
      </c>
      <c r="L4939" t="s">
        <v>144</v>
      </c>
      <c r="M4939" s="6" t="s">
        <v>663</v>
      </c>
      <c r="N4939" t="s">
        <v>86</v>
      </c>
      <c r="O4939" s="6" t="s">
        <v>580</v>
      </c>
      <c r="P4939" t="s">
        <v>77</v>
      </c>
      <c r="Q4939">
        <v>21</v>
      </c>
      <c r="R4939" t="s">
        <v>213</v>
      </c>
      <c r="S4939" s="2" t="s">
        <v>7</v>
      </c>
      <c r="T4939">
        <v>3</v>
      </c>
      <c r="U4939" t="s">
        <v>28</v>
      </c>
      <c r="V4939" t="s">
        <v>28</v>
      </c>
      <c r="W4939">
        <v>11.6</v>
      </c>
      <c r="X4939">
        <v>13.21</v>
      </c>
      <c r="Y4939" s="6">
        <f t="shared" si="87"/>
        <v>7.5344210129246125</v>
      </c>
      <c r="Z4939">
        <f>17.56-X4939</f>
        <v>4.3499999999999979</v>
      </c>
      <c r="AA4939" s="6"/>
      <c r="AB4939" s="6"/>
    </row>
    <row r="4940" spans="1:28" x14ac:dyDescent="0.2">
      <c r="A4940" t="s">
        <v>575</v>
      </c>
      <c r="B4940">
        <v>2015</v>
      </c>
      <c r="C4940" t="s">
        <v>805</v>
      </c>
      <c r="D4940" t="s">
        <v>806</v>
      </c>
      <c r="E4940" t="s">
        <v>577</v>
      </c>
      <c r="F4940" t="s">
        <v>576</v>
      </c>
      <c r="G4940">
        <v>44.477347000000002</v>
      </c>
      <c r="H4940">
        <v>-63.546725000000002</v>
      </c>
      <c r="I4940" t="s">
        <v>771</v>
      </c>
      <c r="J4940" s="2" t="s">
        <v>14</v>
      </c>
      <c r="K4940" t="s">
        <v>578</v>
      </c>
      <c r="L4940" t="s">
        <v>144</v>
      </c>
      <c r="M4940" s="6" t="s">
        <v>663</v>
      </c>
      <c r="N4940" t="s">
        <v>86</v>
      </c>
      <c r="O4940" s="6" t="s">
        <v>580</v>
      </c>
      <c r="P4940" t="s">
        <v>77</v>
      </c>
      <c r="Q4940">
        <v>21</v>
      </c>
      <c r="R4940" t="s">
        <v>213</v>
      </c>
      <c r="S4940" s="2" t="s">
        <v>9</v>
      </c>
      <c r="T4940">
        <v>3</v>
      </c>
      <c r="U4940" t="s">
        <v>28</v>
      </c>
      <c r="V4940" t="s">
        <v>28</v>
      </c>
      <c r="W4940">
        <v>14.4</v>
      </c>
      <c r="X4940">
        <v>18.27</v>
      </c>
      <c r="Y4940" s="6">
        <f t="shared" si="87"/>
        <v>9.976612651596735</v>
      </c>
      <c r="Z4940">
        <f>24.03-X4940</f>
        <v>5.7600000000000016</v>
      </c>
      <c r="AA4940" s="6"/>
      <c r="AB4940" s="6"/>
    </row>
    <row r="4941" spans="1:28" x14ac:dyDescent="0.2">
      <c r="A4941" t="s">
        <v>575</v>
      </c>
      <c r="B4941">
        <v>2015</v>
      </c>
      <c r="C4941" t="s">
        <v>805</v>
      </c>
      <c r="D4941" t="s">
        <v>806</v>
      </c>
      <c r="E4941" t="s">
        <v>577</v>
      </c>
      <c r="F4941" t="s">
        <v>576</v>
      </c>
      <c r="G4941">
        <v>44.477347000000002</v>
      </c>
      <c r="H4941">
        <v>-63.546725000000002</v>
      </c>
      <c r="I4941" t="s">
        <v>771</v>
      </c>
      <c r="J4941" s="2" t="s">
        <v>14</v>
      </c>
      <c r="K4941" t="s">
        <v>578</v>
      </c>
      <c r="L4941" t="s">
        <v>144</v>
      </c>
      <c r="M4941" s="6" t="s">
        <v>663</v>
      </c>
      <c r="N4941" t="s">
        <v>86</v>
      </c>
      <c r="O4941" s="6" t="s">
        <v>580</v>
      </c>
      <c r="P4941" t="s">
        <v>77</v>
      </c>
      <c r="Q4941">
        <v>21</v>
      </c>
      <c r="R4941" t="s">
        <v>213</v>
      </c>
      <c r="S4941" s="2" t="s">
        <v>27</v>
      </c>
      <c r="T4941">
        <v>3</v>
      </c>
      <c r="U4941" t="s">
        <v>28</v>
      </c>
      <c r="V4941" t="s">
        <v>28</v>
      </c>
      <c r="W4941">
        <v>18.2</v>
      </c>
      <c r="X4941">
        <v>28.1</v>
      </c>
      <c r="Y4941" s="6">
        <f t="shared" si="87"/>
        <v>14.35870119474599</v>
      </c>
      <c r="Z4941">
        <f>36.39-X4941</f>
        <v>8.2899999999999991</v>
      </c>
      <c r="AA4941" s="6"/>
      <c r="AB4941" s="6"/>
    </row>
    <row r="4942" spans="1:28" x14ac:dyDescent="0.2">
      <c r="A4942" t="s">
        <v>575</v>
      </c>
      <c r="B4942">
        <v>2015</v>
      </c>
      <c r="C4942" t="s">
        <v>816</v>
      </c>
      <c r="D4942" t="s">
        <v>817</v>
      </c>
      <c r="E4942" t="s">
        <v>31</v>
      </c>
      <c r="F4942" t="s">
        <v>576</v>
      </c>
      <c r="G4942">
        <v>44.477347000000002</v>
      </c>
      <c r="H4942">
        <v>-63.546725000000002</v>
      </c>
      <c r="I4942" t="s">
        <v>771</v>
      </c>
      <c r="J4942" s="2" t="s">
        <v>7</v>
      </c>
      <c r="K4942" t="s">
        <v>578</v>
      </c>
      <c r="L4942" t="s">
        <v>144</v>
      </c>
      <c r="M4942" s="6" t="s">
        <v>663</v>
      </c>
      <c r="N4942" t="s">
        <v>86</v>
      </c>
      <c r="O4942" s="6" t="s">
        <v>580</v>
      </c>
      <c r="P4942" t="s">
        <v>77</v>
      </c>
      <c r="Q4942">
        <v>7</v>
      </c>
      <c r="R4942" t="s">
        <v>213</v>
      </c>
      <c r="S4942" s="2" t="s">
        <v>7</v>
      </c>
      <c r="T4942">
        <v>3</v>
      </c>
      <c r="U4942" t="s">
        <v>28</v>
      </c>
      <c r="V4942" t="s">
        <v>28</v>
      </c>
      <c r="W4942">
        <v>11.6</v>
      </c>
      <c r="X4942">
        <v>16.12</v>
      </c>
      <c r="Y4942" s="6">
        <f t="shared" si="87"/>
        <v>18.46366160868423</v>
      </c>
      <c r="Z4942">
        <f>26.78-X4942</f>
        <v>10.66</v>
      </c>
      <c r="AA4942" s="6"/>
      <c r="AB4942" s="6"/>
    </row>
    <row r="4943" spans="1:28" x14ac:dyDescent="0.2">
      <c r="A4943" t="s">
        <v>575</v>
      </c>
      <c r="B4943">
        <v>2015</v>
      </c>
      <c r="C4943" t="s">
        <v>816</v>
      </c>
      <c r="D4943" t="s">
        <v>817</v>
      </c>
      <c r="E4943" t="s">
        <v>31</v>
      </c>
      <c r="F4943" t="s">
        <v>576</v>
      </c>
      <c r="G4943">
        <v>44.477347000000002</v>
      </c>
      <c r="H4943">
        <v>-63.546725000000002</v>
      </c>
      <c r="I4943" t="s">
        <v>771</v>
      </c>
      <c r="J4943" s="2" t="s">
        <v>14</v>
      </c>
      <c r="K4943" t="s">
        <v>578</v>
      </c>
      <c r="L4943" t="s">
        <v>144</v>
      </c>
      <c r="M4943" s="6" t="s">
        <v>663</v>
      </c>
      <c r="N4943" t="s">
        <v>86</v>
      </c>
      <c r="O4943" s="6" t="s">
        <v>580</v>
      </c>
      <c r="P4943" t="s">
        <v>77</v>
      </c>
      <c r="Q4943">
        <v>7</v>
      </c>
      <c r="R4943" t="s">
        <v>214</v>
      </c>
      <c r="S4943" s="2" t="s">
        <v>9</v>
      </c>
      <c r="T4943">
        <v>3</v>
      </c>
      <c r="U4943" t="s">
        <v>28</v>
      </c>
      <c r="V4943" t="s">
        <v>28</v>
      </c>
      <c r="W4943">
        <v>14.4</v>
      </c>
      <c r="X4943">
        <v>7.57</v>
      </c>
      <c r="Y4943" s="6">
        <f t="shared" si="87"/>
        <v>5.334716487312142</v>
      </c>
      <c r="Z4943">
        <f>10.65-X4943</f>
        <v>3.08</v>
      </c>
      <c r="AA4943" s="6"/>
      <c r="AB4943" s="6"/>
    </row>
    <row r="4944" spans="1:28" x14ac:dyDescent="0.2">
      <c r="A4944" t="s">
        <v>575</v>
      </c>
      <c r="B4944">
        <v>2015</v>
      </c>
      <c r="C4944" t="s">
        <v>816</v>
      </c>
      <c r="D4944" t="s">
        <v>817</v>
      </c>
      <c r="E4944" t="s">
        <v>31</v>
      </c>
      <c r="F4944" t="s">
        <v>576</v>
      </c>
      <c r="G4944">
        <v>44.477347000000002</v>
      </c>
      <c r="H4944">
        <v>-63.546725000000002</v>
      </c>
      <c r="I4944" t="s">
        <v>771</v>
      </c>
      <c r="J4944" s="2" t="s">
        <v>14</v>
      </c>
      <c r="K4944" t="s">
        <v>578</v>
      </c>
      <c r="L4944" t="s">
        <v>144</v>
      </c>
      <c r="M4944" s="6" t="s">
        <v>663</v>
      </c>
      <c r="N4944" t="s">
        <v>86</v>
      </c>
      <c r="O4944" s="6" t="s">
        <v>580</v>
      </c>
      <c r="P4944" t="s">
        <v>77</v>
      </c>
      <c r="Q4944">
        <v>7</v>
      </c>
      <c r="R4944" t="s">
        <v>214</v>
      </c>
      <c r="S4944" s="2" t="s">
        <v>27</v>
      </c>
      <c r="T4944">
        <v>3</v>
      </c>
      <c r="U4944" t="s">
        <v>28</v>
      </c>
      <c r="V4944" t="s">
        <v>28</v>
      </c>
      <c r="W4944">
        <v>18.2</v>
      </c>
      <c r="X4944">
        <v>22.99</v>
      </c>
      <c r="Y4944" s="6">
        <f t="shared" si="87"/>
        <v>8.9893436912824747</v>
      </c>
      <c r="Z4944">
        <f>28.18-X4944</f>
        <v>5.1900000000000013</v>
      </c>
      <c r="AA4944" s="6"/>
      <c r="AB4944" s="6"/>
    </row>
    <row r="4945" spans="1:28" x14ac:dyDescent="0.2">
      <c r="A4945" t="s">
        <v>575</v>
      </c>
      <c r="B4945">
        <v>2015</v>
      </c>
      <c r="C4945" t="s">
        <v>816</v>
      </c>
      <c r="D4945" t="s">
        <v>817</v>
      </c>
      <c r="E4945" t="s">
        <v>31</v>
      </c>
      <c r="F4945" t="s">
        <v>576</v>
      </c>
      <c r="G4945">
        <v>44.477347000000002</v>
      </c>
      <c r="H4945">
        <v>-63.546725000000002</v>
      </c>
      <c r="I4945" t="s">
        <v>771</v>
      </c>
      <c r="J4945" s="2" t="s">
        <v>14</v>
      </c>
      <c r="K4945" t="s">
        <v>578</v>
      </c>
      <c r="L4945" t="s">
        <v>144</v>
      </c>
      <c r="M4945" s="6" t="s">
        <v>663</v>
      </c>
      <c r="N4945" t="s">
        <v>86</v>
      </c>
      <c r="O4945" s="6" t="s">
        <v>580</v>
      </c>
      <c r="P4945" t="s">
        <v>77</v>
      </c>
      <c r="Q4945">
        <v>7</v>
      </c>
      <c r="R4945" t="s">
        <v>213</v>
      </c>
      <c r="S4945" s="2" t="s">
        <v>13</v>
      </c>
      <c r="T4945">
        <v>3</v>
      </c>
      <c r="U4945" t="s">
        <v>28</v>
      </c>
      <c r="V4945" t="s">
        <v>28</v>
      </c>
      <c r="W4945">
        <v>20.8</v>
      </c>
      <c r="X4945">
        <v>57.76</v>
      </c>
      <c r="Y4945" s="6">
        <f t="shared" si="87"/>
        <v>9.4569974093260711</v>
      </c>
      <c r="Z4945">
        <f>63.22-X4945</f>
        <v>5.4600000000000009</v>
      </c>
      <c r="AA4945" s="6"/>
      <c r="AB4945" s="6"/>
    </row>
    <row r="4946" spans="1:28" x14ac:dyDescent="0.2">
      <c r="A4946" t="s">
        <v>575</v>
      </c>
      <c r="B4946">
        <v>2015</v>
      </c>
      <c r="C4946" t="s">
        <v>816</v>
      </c>
      <c r="D4946" t="s">
        <v>817</v>
      </c>
      <c r="E4946" t="s">
        <v>31</v>
      </c>
      <c r="F4946" t="s">
        <v>576</v>
      </c>
      <c r="G4946">
        <v>44.477347000000002</v>
      </c>
      <c r="H4946">
        <v>-63.546725000000002</v>
      </c>
      <c r="I4946" t="s">
        <v>771</v>
      </c>
      <c r="J4946" s="2" t="s">
        <v>7</v>
      </c>
      <c r="K4946" t="s">
        <v>578</v>
      </c>
      <c r="L4946" t="s">
        <v>144</v>
      </c>
      <c r="M4946" s="6" t="s">
        <v>663</v>
      </c>
      <c r="N4946" t="s">
        <v>86</v>
      </c>
      <c r="O4946" s="6" t="s">
        <v>580</v>
      </c>
      <c r="P4946" t="s">
        <v>77</v>
      </c>
      <c r="Q4946">
        <v>14</v>
      </c>
      <c r="R4946" t="s">
        <v>214</v>
      </c>
      <c r="S4946" s="2" t="s">
        <v>7</v>
      </c>
      <c r="T4946">
        <v>3</v>
      </c>
      <c r="U4946" t="s">
        <v>28</v>
      </c>
      <c r="V4946" t="s">
        <v>28</v>
      </c>
      <c r="W4946">
        <v>11.6</v>
      </c>
      <c r="X4946">
        <v>12.06</v>
      </c>
      <c r="Y4946" s="6">
        <f t="shared" si="87"/>
        <v>4.849742261192854</v>
      </c>
      <c r="Z4946">
        <f>14.86-X4946</f>
        <v>2.7999999999999989</v>
      </c>
      <c r="AA4946" s="6"/>
      <c r="AB4946" s="6"/>
    </row>
    <row r="4947" spans="1:28" x14ac:dyDescent="0.2">
      <c r="A4947" t="s">
        <v>575</v>
      </c>
      <c r="B4947">
        <v>2015</v>
      </c>
      <c r="C4947" t="s">
        <v>816</v>
      </c>
      <c r="D4947" t="s">
        <v>817</v>
      </c>
      <c r="E4947" t="s">
        <v>31</v>
      </c>
      <c r="F4947" t="s">
        <v>576</v>
      </c>
      <c r="G4947">
        <v>44.477347000000002</v>
      </c>
      <c r="H4947">
        <v>-63.546725000000002</v>
      </c>
      <c r="I4947" t="s">
        <v>771</v>
      </c>
      <c r="J4947" s="2" t="s">
        <v>14</v>
      </c>
      <c r="K4947" t="s">
        <v>578</v>
      </c>
      <c r="L4947" t="s">
        <v>144</v>
      </c>
      <c r="M4947" s="6" t="s">
        <v>663</v>
      </c>
      <c r="N4947" t="s">
        <v>86</v>
      </c>
      <c r="O4947" s="6" t="s">
        <v>580</v>
      </c>
      <c r="P4947" t="s">
        <v>77</v>
      </c>
      <c r="Q4947">
        <v>14</v>
      </c>
      <c r="R4947" t="s">
        <v>214</v>
      </c>
      <c r="S4947" s="2" t="s">
        <v>9</v>
      </c>
      <c r="T4947">
        <v>3</v>
      </c>
      <c r="U4947" t="s">
        <v>28</v>
      </c>
      <c r="V4947" t="s">
        <v>28</v>
      </c>
      <c r="W4947">
        <v>14.4</v>
      </c>
      <c r="X4947">
        <v>22.85</v>
      </c>
      <c r="Y4947" s="6">
        <f t="shared" si="87"/>
        <v>9.4743179174017556</v>
      </c>
      <c r="Z4947">
        <f>28.32-X4947</f>
        <v>5.4699999999999989</v>
      </c>
      <c r="AA4947" s="6"/>
      <c r="AB4947" s="6"/>
    </row>
    <row r="4948" spans="1:28" x14ac:dyDescent="0.2">
      <c r="A4948" t="s">
        <v>575</v>
      </c>
      <c r="B4948">
        <v>2015</v>
      </c>
      <c r="C4948" t="s">
        <v>816</v>
      </c>
      <c r="D4948" t="s">
        <v>817</v>
      </c>
      <c r="E4948" t="s">
        <v>31</v>
      </c>
      <c r="F4948" t="s">
        <v>576</v>
      </c>
      <c r="G4948">
        <v>44.477347000000002</v>
      </c>
      <c r="H4948">
        <v>-63.546725000000002</v>
      </c>
      <c r="I4948" t="s">
        <v>771</v>
      </c>
      <c r="J4948" s="2" t="s">
        <v>14</v>
      </c>
      <c r="K4948" t="s">
        <v>578</v>
      </c>
      <c r="L4948" t="s">
        <v>144</v>
      </c>
      <c r="M4948" s="6" t="s">
        <v>663</v>
      </c>
      <c r="N4948" t="s">
        <v>86</v>
      </c>
      <c r="O4948" s="6" t="s">
        <v>580</v>
      </c>
      <c r="P4948" t="s">
        <v>77</v>
      </c>
      <c r="Q4948">
        <v>14</v>
      </c>
      <c r="R4948" t="s">
        <v>214</v>
      </c>
      <c r="S4948" s="2" t="s">
        <v>27</v>
      </c>
      <c r="T4948">
        <v>3</v>
      </c>
      <c r="U4948" t="s">
        <v>28</v>
      </c>
      <c r="V4948" t="s">
        <v>28</v>
      </c>
      <c r="W4948">
        <v>18.2</v>
      </c>
      <c r="X4948">
        <v>65.47</v>
      </c>
      <c r="Y4948" s="6">
        <f t="shared" si="87"/>
        <v>12.626650387177126</v>
      </c>
      <c r="Z4948">
        <f>72.76-X4948</f>
        <v>7.2900000000000063</v>
      </c>
      <c r="AA4948" s="6"/>
      <c r="AB4948" s="6"/>
    </row>
    <row r="4949" spans="1:28" x14ac:dyDescent="0.2">
      <c r="A4949" t="s">
        <v>575</v>
      </c>
      <c r="B4949">
        <v>2015</v>
      </c>
      <c r="C4949" t="s">
        <v>816</v>
      </c>
      <c r="D4949" t="s">
        <v>817</v>
      </c>
      <c r="E4949" t="s">
        <v>31</v>
      </c>
      <c r="F4949" t="s">
        <v>576</v>
      </c>
      <c r="G4949">
        <v>44.477347000000002</v>
      </c>
      <c r="H4949">
        <v>-63.546725000000002</v>
      </c>
      <c r="I4949" t="s">
        <v>771</v>
      </c>
      <c r="J4949" s="2" t="s">
        <v>7</v>
      </c>
      <c r="K4949" t="s">
        <v>578</v>
      </c>
      <c r="L4949" t="s">
        <v>144</v>
      </c>
      <c r="M4949" s="6" t="s">
        <v>663</v>
      </c>
      <c r="N4949" t="s">
        <v>86</v>
      </c>
      <c r="O4949" s="6" t="s">
        <v>580</v>
      </c>
      <c r="P4949" t="s">
        <v>77</v>
      </c>
      <c r="Q4949">
        <v>21</v>
      </c>
      <c r="R4949" t="s">
        <v>213</v>
      </c>
      <c r="S4949" s="2" t="s">
        <v>7</v>
      </c>
      <c r="T4949">
        <v>3</v>
      </c>
      <c r="U4949" t="s">
        <v>28</v>
      </c>
      <c r="V4949" t="s">
        <v>28</v>
      </c>
      <c r="W4949">
        <v>11.6</v>
      </c>
      <c r="X4949">
        <v>20.89</v>
      </c>
      <c r="Y4949" s="6">
        <f t="shared" si="87"/>
        <v>5.5772036003717824</v>
      </c>
      <c r="Z4949">
        <f>24.11-X4949</f>
        <v>3.2199999999999989</v>
      </c>
      <c r="AA4949" s="6"/>
      <c r="AB4949" s="6"/>
    </row>
    <row r="4950" spans="1:28" x14ac:dyDescent="0.2">
      <c r="A4950" t="s">
        <v>575</v>
      </c>
      <c r="B4950">
        <v>2015</v>
      </c>
      <c r="C4950" t="s">
        <v>816</v>
      </c>
      <c r="D4950" t="s">
        <v>817</v>
      </c>
      <c r="E4950" t="s">
        <v>31</v>
      </c>
      <c r="F4950" t="s">
        <v>576</v>
      </c>
      <c r="G4950">
        <v>44.477347000000002</v>
      </c>
      <c r="H4950">
        <v>-63.546725000000002</v>
      </c>
      <c r="I4950" t="s">
        <v>771</v>
      </c>
      <c r="J4950" s="2" t="s">
        <v>14</v>
      </c>
      <c r="K4950" t="s">
        <v>578</v>
      </c>
      <c r="L4950" t="s">
        <v>144</v>
      </c>
      <c r="M4950" s="6" t="s">
        <v>663</v>
      </c>
      <c r="N4950" t="s">
        <v>86</v>
      </c>
      <c r="O4950" s="6" t="s">
        <v>580</v>
      </c>
      <c r="P4950" t="s">
        <v>77</v>
      </c>
      <c r="Q4950">
        <v>21</v>
      </c>
      <c r="R4950" t="s">
        <v>213</v>
      </c>
      <c r="S4950" s="2" t="s">
        <v>9</v>
      </c>
      <c r="T4950">
        <v>3</v>
      </c>
      <c r="U4950" t="s">
        <v>28</v>
      </c>
      <c r="V4950" t="s">
        <v>28</v>
      </c>
      <c r="W4950">
        <v>14.4</v>
      </c>
      <c r="X4950">
        <v>30.28</v>
      </c>
      <c r="Y4950" s="6">
        <f t="shared" si="87"/>
        <v>15.778982856952471</v>
      </c>
      <c r="Z4950">
        <f>39.39-X4950</f>
        <v>9.11</v>
      </c>
      <c r="AA4950" s="6"/>
      <c r="AB4950" s="6"/>
    </row>
    <row r="4951" spans="1:28" x14ac:dyDescent="0.2">
      <c r="A4951" t="s">
        <v>575</v>
      </c>
      <c r="B4951">
        <v>2015</v>
      </c>
      <c r="C4951" t="s">
        <v>816</v>
      </c>
      <c r="D4951" t="s">
        <v>817</v>
      </c>
      <c r="E4951" t="s">
        <v>31</v>
      </c>
      <c r="F4951" t="s">
        <v>576</v>
      </c>
      <c r="G4951">
        <v>44.477347000000002</v>
      </c>
      <c r="H4951">
        <v>-63.546725000000002</v>
      </c>
      <c r="I4951" t="s">
        <v>771</v>
      </c>
      <c r="J4951" s="2" t="s">
        <v>14</v>
      </c>
      <c r="K4951" t="s">
        <v>578</v>
      </c>
      <c r="L4951" t="s">
        <v>144</v>
      </c>
      <c r="M4951" s="6" t="s">
        <v>663</v>
      </c>
      <c r="N4951" t="s">
        <v>86</v>
      </c>
      <c r="O4951" s="6" t="s">
        <v>580</v>
      </c>
      <c r="P4951" t="s">
        <v>77</v>
      </c>
      <c r="Q4951">
        <v>21</v>
      </c>
      <c r="R4951" t="s">
        <v>213</v>
      </c>
      <c r="S4951" s="2" t="s">
        <v>27</v>
      </c>
      <c r="T4951">
        <v>3</v>
      </c>
      <c r="U4951" t="s">
        <v>28</v>
      </c>
      <c r="V4951" t="s">
        <v>28</v>
      </c>
      <c r="W4951">
        <v>18.2</v>
      </c>
      <c r="X4951">
        <v>43.04</v>
      </c>
      <c r="Y4951" s="6">
        <f t="shared" si="87"/>
        <v>6.3046649395507144</v>
      </c>
      <c r="Z4951">
        <f>46.68-X4951</f>
        <v>3.6400000000000006</v>
      </c>
      <c r="AA4951" s="6"/>
      <c r="AB4951" s="6"/>
    </row>
    <row r="4952" spans="1:28" x14ac:dyDescent="0.2">
      <c r="A4952" t="s">
        <v>575</v>
      </c>
      <c r="B4952">
        <v>2015</v>
      </c>
      <c r="C4952" t="s">
        <v>826</v>
      </c>
      <c r="D4952" t="s">
        <v>824</v>
      </c>
      <c r="E4952" t="s">
        <v>48</v>
      </c>
      <c r="F4952" t="s">
        <v>576</v>
      </c>
      <c r="G4952">
        <v>44.477347000000002</v>
      </c>
      <c r="H4952">
        <v>-63.546725000000002</v>
      </c>
      <c r="I4952" t="s">
        <v>771</v>
      </c>
      <c r="J4952" s="2" t="s">
        <v>7</v>
      </c>
      <c r="K4952" t="s">
        <v>579</v>
      </c>
      <c r="L4952" t="s">
        <v>144</v>
      </c>
      <c r="M4952" s="6" t="s">
        <v>663</v>
      </c>
      <c r="N4952" t="s">
        <v>86</v>
      </c>
      <c r="O4952" s="6" t="s">
        <v>580</v>
      </c>
      <c r="P4952" t="s">
        <v>77</v>
      </c>
      <c r="Q4952">
        <v>7</v>
      </c>
      <c r="R4952" t="s">
        <v>213</v>
      </c>
      <c r="S4952" s="2" t="s">
        <v>7</v>
      </c>
      <c r="T4952">
        <v>3</v>
      </c>
      <c r="U4952" t="s">
        <v>28</v>
      </c>
      <c r="V4952" t="s">
        <v>28</v>
      </c>
      <c r="W4952">
        <v>11.6</v>
      </c>
      <c r="X4952">
        <v>1.82</v>
      </c>
      <c r="Y4952" s="6">
        <f t="shared" si="87"/>
        <v>1.6974097914174993</v>
      </c>
      <c r="Z4952">
        <f>2.8-X4952</f>
        <v>0.97999999999999976</v>
      </c>
      <c r="AA4952" s="6"/>
      <c r="AB4952" s="6"/>
    </row>
    <row r="4953" spans="1:28" x14ac:dyDescent="0.2">
      <c r="A4953" t="s">
        <v>575</v>
      </c>
      <c r="B4953">
        <v>2015</v>
      </c>
      <c r="C4953" t="s">
        <v>826</v>
      </c>
      <c r="D4953" t="s">
        <v>824</v>
      </c>
      <c r="E4953" t="s">
        <v>48</v>
      </c>
      <c r="F4953" t="s">
        <v>576</v>
      </c>
      <c r="G4953">
        <v>44.477347000000002</v>
      </c>
      <c r="H4953">
        <v>-63.546725000000002</v>
      </c>
      <c r="I4953" t="s">
        <v>771</v>
      </c>
      <c r="J4953" s="2" t="s">
        <v>14</v>
      </c>
      <c r="K4953" t="s">
        <v>579</v>
      </c>
      <c r="L4953" t="s">
        <v>144</v>
      </c>
      <c r="M4953" s="6" t="s">
        <v>663</v>
      </c>
      <c r="N4953" t="s">
        <v>86</v>
      </c>
      <c r="O4953" s="6" t="s">
        <v>580</v>
      </c>
      <c r="P4953" t="s">
        <v>77</v>
      </c>
      <c r="Q4953">
        <v>7</v>
      </c>
      <c r="R4953" t="s">
        <v>214</v>
      </c>
      <c r="S4953" s="2" t="s">
        <v>9</v>
      </c>
      <c r="T4953">
        <v>3</v>
      </c>
      <c r="U4953" t="s">
        <v>28</v>
      </c>
      <c r="V4953" t="s">
        <v>28</v>
      </c>
      <c r="W4953">
        <v>14.4</v>
      </c>
      <c r="X4953">
        <v>2.94</v>
      </c>
      <c r="Y4953" s="6">
        <f t="shared" si="87"/>
        <v>2.1997045256124741</v>
      </c>
      <c r="Z4953">
        <f>4.21-X4953</f>
        <v>1.27</v>
      </c>
      <c r="AA4953" s="6"/>
      <c r="AB4953" s="6"/>
    </row>
    <row r="4954" spans="1:28" x14ac:dyDescent="0.2">
      <c r="A4954" t="s">
        <v>575</v>
      </c>
      <c r="B4954">
        <v>2015</v>
      </c>
      <c r="C4954" t="s">
        <v>826</v>
      </c>
      <c r="D4954" t="s">
        <v>824</v>
      </c>
      <c r="E4954" t="s">
        <v>48</v>
      </c>
      <c r="F4954" t="s">
        <v>576</v>
      </c>
      <c r="G4954">
        <v>44.477347000000002</v>
      </c>
      <c r="H4954">
        <v>-63.546725000000002</v>
      </c>
      <c r="I4954" t="s">
        <v>771</v>
      </c>
      <c r="J4954" s="2" t="s">
        <v>14</v>
      </c>
      <c r="K4954" t="s">
        <v>579</v>
      </c>
      <c r="L4954" t="s">
        <v>144</v>
      </c>
      <c r="M4954" s="6" t="s">
        <v>663</v>
      </c>
      <c r="N4954" t="s">
        <v>86</v>
      </c>
      <c r="O4954" s="6" t="s">
        <v>580</v>
      </c>
      <c r="P4954" t="s">
        <v>77</v>
      </c>
      <c r="Q4954">
        <v>7</v>
      </c>
      <c r="R4954" t="s">
        <v>214</v>
      </c>
      <c r="S4954" s="2" t="s">
        <v>27</v>
      </c>
      <c r="T4954">
        <v>3</v>
      </c>
      <c r="U4954" t="s">
        <v>28</v>
      </c>
      <c r="V4954" t="s">
        <v>28</v>
      </c>
      <c r="W4954">
        <v>18.2</v>
      </c>
      <c r="X4954">
        <v>9.11</v>
      </c>
      <c r="Y4954" s="6">
        <f t="shared" si="87"/>
        <v>6.0794983345667584</v>
      </c>
      <c r="Z4954">
        <f>12.62-X4954</f>
        <v>3.51</v>
      </c>
      <c r="AA4954" s="6"/>
      <c r="AB4954" s="6"/>
    </row>
    <row r="4955" spans="1:28" x14ac:dyDescent="0.2">
      <c r="A4955" t="s">
        <v>575</v>
      </c>
      <c r="B4955">
        <v>2015</v>
      </c>
      <c r="C4955" t="s">
        <v>826</v>
      </c>
      <c r="D4955" t="s">
        <v>824</v>
      </c>
      <c r="E4955" t="s">
        <v>48</v>
      </c>
      <c r="F4955" t="s">
        <v>576</v>
      </c>
      <c r="G4955">
        <v>44.477347000000002</v>
      </c>
      <c r="H4955">
        <v>-63.546725000000002</v>
      </c>
      <c r="I4955" t="s">
        <v>771</v>
      </c>
      <c r="J4955" s="2" t="s">
        <v>14</v>
      </c>
      <c r="K4955" t="s">
        <v>579</v>
      </c>
      <c r="L4955" t="s">
        <v>144</v>
      </c>
      <c r="M4955" s="6" t="s">
        <v>663</v>
      </c>
      <c r="N4955" t="s">
        <v>86</v>
      </c>
      <c r="O4955" s="6" t="s">
        <v>580</v>
      </c>
      <c r="P4955" t="s">
        <v>77</v>
      </c>
      <c r="Q4955">
        <v>7</v>
      </c>
      <c r="R4955" t="s">
        <v>213</v>
      </c>
      <c r="S4955" s="2" t="s">
        <v>13</v>
      </c>
      <c r="T4955">
        <v>3</v>
      </c>
      <c r="U4955" t="s">
        <v>28</v>
      </c>
      <c r="V4955" t="s">
        <v>28</v>
      </c>
      <c r="W4955">
        <v>20.8</v>
      </c>
      <c r="X4955">
        <v>64.349999999999994</v>
      </c>
      <c r="Y4955" s="6">
        <f t="shared" si="87"/>
        <v>19.901263778966413</v>
      </c>
      <c r="Z4955">
        <f>75.84-X4955</f>
        <v>11.490000000000009</v>
      </c>
      <c r="AA4955" s="6"/>
      <c r="AB4955" s="6"/>
    </row>
    <row r="4956" spans="1:28" x14ac:dyDescent="0.2">
      <c r="A4956" t="s">
        <v>575</v>
      </c>
      <c r="B4956">
        <v>2015</v>
      </c>
      <c r="C4956" t="s">
        <v>826</v>
      </c>
      <c r="D4956" t="s">
        <v>824</v>
      </c>
      <c r="E4956" t="s">
        <v>48</v>
      </c>
      <c r="F4956" t="s">
        <v>576</v>
      </c>
      <c r="G4956">
        <v>44.477347000000002</v>
      </c>
      <c r="H4956">
        <v>-63.546725000000002</v>
      </c>
      <c r="I4956" t="s">
        <v>771</v>
      </c>
      <c r="J4956" s="2" t="s">
        <v>7</v>
      </c>
      <c r="K4956" t="s">
        <v>579</v>
      </c>
      <c r="L4956" t="s">
        <v>144</v>
      </c>
      <c r="M4956" s="6" t="s">
        <v>663</v>
      </c>
      <c r="N4956" t="s">
        <v>86</v>
      </c>
      <c r="O4956" s="6" t="s">
        <v>580</v>
      </c>
      <c r="P4956" t="s">
        <v>77</v>
      </c>
      <c r="Q4956">
        <v>14</v>
      </c>
      <c r="R4956" t="s">
        <v>214</v>
      </c>
      <c r="S4956" s="2" t="s">
        <v>7</v>
      </c>
      <c r="T4956">
        <v>3</v>
      </c>
      <c r="U4956" t="s">
        <v>28</v>
      </c>
      <c r="V4956" t="s">
        <v>28</v>
      </c>
      <c r="W4956">
        <v>11.6</v>
      </c>
      <c r="X4956">
        <v>12.34</v>
      </c>
      <c r="Y4956" s="6">
        <f t="shared" si="87"/>
        <v>10.669432974624284</v>
      </c>
      <c r="Z4956">
        <f>18.5-X4956</f>
        <v>6.16</v>
      </c>
      <c r="AA4956" s="6"/>
      <c r="AB4956" s="6"/>
    </row>
    <row r="4957" spans="1:28" x14ac:dyDescent="0.2">
      <c r="A4957" t="s">
        <v>575</v>
      </c>
      <c r="B4957">
        <v>2015</v>
      </c>
      <c r="C4957" t="s">
        <v>826</v>
      </c>
      <c r="D4957" t="s">
        <v>824</v>
      </c>
      <c r="E4957" t="s">
        <v>48</v>
      </c>
      <c r="F4957" t="s">
        <v>576</v>
      </c>
      <c r="G4957">
        <v>44.477347000000002</v>
      </c>
      <c r="H4957">
        <v>-63.546725000000002</v>
      </c>
      <c r="I4957" t="s">
        <v>771</v>
      </c>
      <c r="J4957" s="2" t="s">
        <v>14</v>
      </c>
      <c r="K4957" t="s">
        <v>579</v>
      </c>
      <c r="L4957" t="s">
        <v>144</v>
      </c>
      <c r="M4957" s="6" t="s">
        <v>663</v>
      </c>
      <c r="N4957" t="s">
        <v>86</v>
      </c>
      <c r="O4957" s="6" t="s">
        <v>580</v>
      </c>
      <c r="P4957" t="s">
        <v>77</v>
      </c>
      <c r="Q4957">
        <v>14</v>
      </c>
      <c r="R4957" t="s">
        <v>214</v>
      </c>
      <c r="S4957" s="2" t="s">
        <v>9</v>
      </c>
      <c r="T4957">
        <v>3</v>
      </c>
      <c r="U4957" t="s">
        <v>28</v>
      </c>
      <c r="V4957" t="s">
        <v>28</v>
      </c>
      <c r="W4957">
        <v>14.4</v>
      </c>
      <c r="X4957">
        <v>14.02</v>
      </c>
      <c r="Y4957" s="6">
        <f t="shared" si="87"/>
        <v>8.0020747309682143</v>
      </c>
      <c r="Z4957">
        <f>18.64-X4957</f>
        <v>4.620000000000001</v>
      </c>
      <c r="AA4957" s="6"/>
      <c r="AB4957" s="6"/>
    </row>
    <row r="4958" spans="1:28" x14ac:dyDescent="0.2">
      <c r="A4958" t="s">
        <v>575</v>
      </c>
      <c r="B4958">
        <v>2015</v>
      </c>
      <c r="C4958" t="s">
        <v>826</v>
      </c>
      <c r="D4958" t="s">
        <v>824</v>
      </c>
      <c r="E4958" t="s">
        <v>48</v>
      </c>
      <c r="F4958" t="s">
        <v>576</v>
      </c>
      <c r="G4958">
        <v>44.477347000000002</v>
      </c>
      <c r="H4958">
        <v>-63.546725000000002</v>
      </c>
      <c r="I4958" t="s">
        <v>771</v>
      </c>
      <c r="J4958" s="2" t="s">
        <v>14</v>
      </c>
      <c r="K4958" t="s">
        <v>579</v>
      </c>
      <c r="L4958" t="s">
        <v>144</v>
      </c>
      <c r="M4958" s="6" t="s">
        <v>663</v>
      </c>
      <c r="N4958" t="s">
        <v>86</v>
      </c>
      <c r="O4958" s="6" t="s">
        <v>580</v>
      </c>
      <c r="P4958" t="s">
        <v>77</v>
      </c>
      <c r="Q4958">
        <v>14</v>
      </c>
      <c r="R4958" t="s">
        <v>214</v>
      </c>
      <c r="S4958" s="2" t="s">
        <v>27</v>
      </c>
      <c r="T4958">
        <v>3</v>
      </c>
      <c r="U4958" t="s">
        <v>28</v>
      </c>
      <c r="V4958" t="s">
        <v>28</v>
      </c>
      <c r="W4958">
        <v>18.2</v>
      </c>
      <c r="X4958">
        <v>47.94</v>
      </c>
      <c r="Y4958" s="6">
        <f t="shared" si="87"/>
        <v>18.70614872174388</v>
      </c>
      <c r="Z4958">
        <f>58.74-X4958</f>
        <v>10.800000000000004</v>
      </c>
      <c r="AA4958" s="6"/>
      <c r="AB4958" s="6"/>
    </row>
    <row r="4959" spans="1:28" x14ac:dyDescent="0.2">
      <c r="A4959" t="s">
        <v>575</v>
      </c>
      <c r="B4959">
        <v>2015</v>
      </c>
      <c r="C4959" t="s">
        <v>826</v>
      </c>
      <c r="D4959" t="s">
        <v>824</v>
      </c>
      <c r="E4959" t="s">
        <v>48</v>
      </c>
      <c r="F4959" t="s">
        <v>576</v>
      </c>
      <c r="G4959">
        <v>44.477347000000002</v>
      </c>
      <c r="H4959">
        <v>-63.546725000000002</v>
      </c>
      <c r="I4959" t="s">
        <v>771</v>
      </c>
      <c r="J4959" s="2" t="s">
        <v>7</v>
      </c>
      <c r="K4959" t="s">
        <v>579</v>
      </c>
      <c r="L4959" t="s">
        <v>144</v>
      </c>
      <c r="M4959" s="6" t="s">
        <v>663</v>
      </c>
      <c r="N4959" t="s">
        <v>86</v>
      </c>
      <c r="O4959" s="6" t="s">
        <v>580</v>
      </c>
      <c r="P4959" t="s">
        <v>77</v>
      </c>
      <c r="Q4959">
        <v>21</v>
      </c>
      <c r="R4959" t="s">
        <v>213</v>
      </c>
      <c r="S4959" s="2" t="s">
        <v>7</v>
      </c>
      <c r="T4959">
        <v>3</v>
      </c>
      <c r="U4959" t="s">
        <v>28</v>
      </c>
      <c r="V4959" t="s">
        <v>28</v>
      </c>
      <c r="W4959">
        <v>11.6</v>
      </c>
      <c r="X4959">
        <v>23.13</v>
      </c>
      <c r="Y4959" s="6">
        <f t="shared" si="87"/>
        <v>20.646045626221014</v>
      </c>
      <c r="Z4959">
        <f>35.05-X4959</f>
        <v>11.919999999999998</v>
      </c>
      <c r="AA4959" s="6"/>
      <c r="AB4959" s="6"/>
    </row>
    <row r="4960" spans="1:28" x14ac:dyDescent="0.2">
      <c r="A4960" t="s">
        <v>575</v>
      </c>
      <c r="B4960">
        <v>2015</v>
      </c>
      <c r="C4960" t="s">
        <v>826</v>
      </c>
      <c r="D4960" t="s">
        <v>824</v>
      </c>
      <c r="E4960" t="s">
        <v>48</v>
      </c>
      <c r="F4960" t="s">
        <v>576</v>
      </c>
      <c r="G4960">
        <v>44.477347000000002</v>
      </c>
      <c r="H4960">
        <v>-63.546725000000002</v>
      </c>
      <c r="I4960" t="s">
        <v>771</v>
      </c>
      <c r="J4960" s="2" t="s">
        <v>14</v>
      </c>
      <c r="K4960" t="s">
        <v>579</v>
      </c>
      <c r="L4960" t="s">
        <v>144</v>
      </c>
      <c r="M4960" s="6" t="s">
        <v>663</v>
      </c>
      <c r="N4960" t="s">
        <v>86</v>
      </c>
      <c r="O4960" s="6" t="s">
        <v>580</v>
      </c>
      <c r="P4960" t="s">
        <v>77</v>
      </c>
      <c r="Q4960">
        <v>21</v>
      </c>
      <c r="R4960" t="s">
        <v>213</v>
      </c>
      <c r="S4960" s="2" t="s">
        <v>9</v>
      </c>
      <c r="T4960">
        <v>3</v>
      </c>
      <c r="U4960" t="s">
        <v>28</v>
      </c>
      <c r="V4960" t="s">
        <v>28</v>
      </c>
      <c r="W4960">
        <v>14.4</v>
      </c>
      <c r="X4960">
        <v>40.79</v>
      </c>
      <c r="Y4960" s="6">
        <f t="shared" si="87"/>
        <v>30.120363543622776</v>
      </c>
      <c r="Z4960">
        <f>58.18-X4960</f>
        <v>17.39</v>
      </c>
      <c r="AA4960" s="6"/>
      <c r="AB4960" s="6"/>
    </row>
    <row r="4961" spans="1:28" x14ac:dyDescent="0.2">
      <c r="A4961" t="s">
        <v>575</v>
      </c>
      <c r="B4961">
        <v>2015</v>
      </c>
      <c r="C4961" t="s">
        <v>826</v>
      </c>
      <c r="D4961" t="s">
        <v>824</v>
      </c>
      <c r="E4961" t="s">
        <v>48</v>
      </c>
      <c r="F4961" t="s">
        <v>576</v>
      </c>
      <c r="G4961">
        <v>44.477347000000002</v>
      </c>
      <c r="H4961">
        <v>-63.546725000000002</v>
      </c>
      <c r="I4961" t="s">
        <v>771</v>
      </c>
      <c r="J4961" s="2" t="s">
        <v>14</v>
      </c>
      <c r="K4961" t="s">
        <v>579</v>
      </c>
      <c r="L4961" t="s">
        <v>144</v>
      </c>
      <c r="M4961" s="6" t="s">
        <v>663</v>
      </c>
      <c r="N4961" t="s">
        <v>86</v>
      </c>
      <c r="O4961" s="6" t="s">
        <v>580</v>
      </c>
      <c r="P4961" t="s">
        <v>77</v>
      </c>
      <c r="Q4961">
        <v>21</v>
      </c>
      <c r="R4961" t="s">
        <v>213</v>
      </c>
      <c r="S4961" s="2" t="s">
        <v>27</v>
      </c>
      <c r="T4961">
        <v>3</v>
      </c>
      <c r="U4961" t="s">
        <v>28</v>
      </c>
      <c r="V4961" t="s">
        <v>28</v>
      </c>
      <c r="W4961">
        <v>18.2</v>
      </c>
      <c r="X4961">
        <v>46.68</v>
      </c>
      <c r="Y4961" s="6">
        <f t="shared" si="87"/>
        <v>23.798378095996377</v>
      </c>
      <c r="Z4961">
        <f>60.42-X4961</f>
        <v>13.740000000000002</v>
      </c>
      <c r="AA4961" s="6"/>
      <c r="AB4961" s="6"/>
    </row>
    <row r="4962" spans="1:28" x14ac:dyDescent="0.2">
      <c r="A4962" t="s">
        <v>575</v>
      </c>
      <c r="B4962">
        <v>2015</v>
      </c>
      <c r="C4962" t="s">
        <v>805</v>
      </c>
      <c r="D4962" t="s">
        <v>806</v>
      </c>
      <c r="E4962" t="s">
        <v>577</v>
      </c>
      <c r="F4962" t="s">
        <v>576</v>
      </c>
      <c r="G4962">
        <v>44.477347000000002</v>
      </c>
      <c r="H4962">
        <v>-63.546725000000002</v>
      </c>
      <c r="I4962" t="s">
        <v>771</v>
      </c>
      <c r="J4962" s="2" t="s">
        <v>7</v>
      </c>
      <c r="K4962" t="s">
        <v>578</v>
      </c>
      <c r="L4962" t="s">
        <v>144</v>
      </c>
      <c r="M4962" s="6" t="s">
        <v>663</v>
      </c>
      <c r="N4962" t="s">
        <v>85</v>
      </c>
      <c r="O4962" s="6" t="s">
        <v>582</v>
      </c>
      <c r="P4962" t="s">
        <v>581</v>
      </c>
      <c r="Q4962">
        <v>7</v>
      </c>
      <c r="R4962" t="s">
        <v>213</v>
      </c>
      <c r="S4962" s="2" t="s">
        <v>7</v>
      </c>
      <c r="T4962">
        <v>3</v>
      </c>
      <c r="U4962" t="s">
        <v>28</v>
      </c>
      <c r="V4962" t="s">
        <v>28</v>
      </c>
      <c r="W4962">
        <v>11.6</v>
      </c>
      <c r="X4962">
        <v>2.1219999999999999</v>
      </c>
      <c r="Y4962" s="6">
        <f t="shared" si="87"/>
        <v>0.27712812921102059</v>
      </c>
      <c r="Z4962">
        <f>2.282-X4962</f>
        <v>0.16000000000000014</v>
      </c>
      <c r="AA4962" s="6"/>
      <c r="AB4962" s="6"/>
    </row>
    <row r="4963" spans="1:28" x14ac:dyDescent="0.2">
      <c r="A4963" t="s">
        <v>575</v>
      </c>
      <c r="B4963">
        <v>2015</v>
      </c>
      <c r="C4963" t="s">
        <v>805</v>
      </c>
      <c r="D4963" t="s">
        <v>806</v>
      </c>
      <c r="E4963" t="s">
        <v>577</v>
      </c>
      <c r="F4963" t="s">
        <v>576</v>
      </c>
      <c r="G4963">
        <v>44.477347000000002</v>
      </c>
      <c r="H4963">
        <v>-63.546725000000002</v>
      </c>
      <c r="I4963" t="s">
        <v>771</v>
      </c>
      <c r="J4963" s="2" t="s">
        <v>14</v>
      </c>
      <c r="K4963" t="s">
        <v>578</v>
      </c>
      <c r="L4963" t="s">
        <v>144</v>
      </c>
      <c r="M4963" s="6" t="s">
        <v>663</v>
      </c>
      <c r="N4963" t="s">
        <v>85</v>
      </c>
      <c r="O4963" s="6" t="s">
        <v>582</v>
      </c>
      <c r="P4963" t="s">
        <v>581</v>
      </c>
      <c r="Q4963">
        <v>7</v>
      </c>
      <c r="R4963" t="s">
        <v>214</v>
      </c>
      <c r="S4963" s="2" t="s">
        <v>9</v>
      </c>
      <c r="T4963">
        <v>3</v>
      </c>
      <c r="U4963" t="s">
        <v>28</v>
      </c>
      <c r="V4963" t="s">
        <v>28</v>
      </c>
      <c r="W4963">
        <v>14.4</v>
      </c>
      <c r="X4963">
        <v>1.8740000000000001</v>
      </c>
      <c r="Y4963" s="6">
        <f t="shared" si="87"/>
        <v>0.20438199529312731</v>
      </c>
      <c r="Z4963">
        <f>1.992-X4963</f>
        <v>0.11799999999999988</v>
      </c>
      <c r="AA4963" s="6"/>
      <c r="AB4963" s="6"/>
    </row>
    <row r="4964" spans="1:28" x14ac:dyDescent="0.2">
      <c r="A4964" t="s">
        <v>575</v>
      </c>
      <c r="B4964">
        <v>2015</v>
      </c>
      <c r="C4964" t="s">
        <v>805</v>
      </c>
      <c r="D4964" t="s">
        <v>806</v>
      </c>
      <c r="E4964" t="s">
        <v>577</v>
      </c>
      <c r="F4964" t="s">
        <v>576</v>
      </c>
      <c r="G4964">
        <v>44.477347000000002</v>
      </c>
      <c r="H4964">
        <v>-63.546725000000002</v>
      </c>
      <c r="I4964" t="s">
        <v>771</v>
      </c>
      <c r="J4964" s="2" t="s">
        <v>14</v>
      </c>
      <c r="K4964" t="s">
        <v>578</v>
      </c>
      <c r="L4964" t="s">
        <v>144</v>
      </c>
      <c r="M4964" s="6" t="s">
        <v>663</v>
      </c>
      <c r="N4964" t="s">
        <v>85</v>
      </c>
      <c r="O4964" s="6" t="s">
        <v>582</v>
      </c>
      <c r="P4964" t="s">
        <v>581</v>
      </c>
      <c r="Q4964">
        <v>7</v>
      </c>
      <c r="R4964" t="s">
        <v>214</v>
      </c>
      <c r="S4964" s="2" t="s">
        <v>27</v>
      </c>
      <c r="T4964">
        <v>3</v>
      </c>
      <c r="U4964" t="s">
        <v>28</v>
      </c>
      <c r="V4964" t="s">
        <v>28</v>
      </c>
      <c r="W4964">
        <v>18.2</v>
      </c>
      <c r="X4964">
        <v>1.6890000000000001</v>
      </c>
      <c r="Y4964" s="6">
        <f t="shared" si="87"/>
        <v>0.39663963493327264</v>
      </c>
      <c r="Z4964">
        <f>1.918-X4964</f>
        <v>0.22899999999999987</v>
      </c>
      <c r="AA4964" s="6"/>
      <c r="AB4964" s="6"/>
    </row>
    <row r="4965" spans="1:28" x14ac:dyDescent="0.2">
      <c r="A4965" t="s">
        <v>575</v>
      </c>
      <c r="B4965">
        <v>2015</v>
      </c>
      <c r="C4965" t="s">
        <v>805</v>
      </c>
      <c r="D4965" t="s">
        <v>806</v>
      </c>
      <c r="E4965" t="s">
        <v>577</v>
      </c>
      <c r="F4965" t="s">
        <v>576</v>
      </c>
      <c r="G4965">
        <v>44.477347000000002</v>
      </c>
      <c r="H4965">
        <v>-63.546725000000002</v>
      </c>
      <c r="I4965" t="s">
        <v>771</v>
      </c>
      <c r="J4965" s="2" t="s">
        <v>14</v>
      </c>
      <c r="K4965" t="s">
        <v>578</v>
      </c>
      <c r="L4965" t="s">
        <v>144</v>
      </c>
      <c r="M4965" s="6" t="s">
        <v>663</v>
      </c>
      <c r="N4965" t="s">
        <v>85</v>
      </c>
      <c r="O4965" s="6" t="s">
        <v>582</v>
      </c>
      <c r="P4965" t="s">
        <v>581</v>
      </c>
      <c r="Q4965">
        <v>7</v>
      </c>
      <c r="R4965" t="s">
        <v>213</v>
      </c>
      <c r="S4965" s="2" t="s">
        <v>13</v>
      </c>
      <c r="T4965">
        <v>3</v>
      </c>
      <c r="U4965" t="s">
        <v>28</v>
      </c>
      <c r="V4965" t="s">
        <v>28</v>
      </c>
      <c r="W4965">
        <v>20.8</v>
      </c>
      <c r="X4965">
        <v>1.6950000000000001</v>
      </c>
      <c r="Y4965" s="6">
        <f t="shared" si="87"/>
        <v>0.31003709455482908</v>
      </c>
      <c r="Z4965">
        <f>1.874-X4965</f>
        <v>0.17900000000000005</v>
      </c>
      <c r="AA4965" s="6"/>
      <c r="AB4965" s="6"/>
    </row>
    <row r="4966" spans="1:28" x14ac:dyDescent="0.2">
      <c r="A4966" t="s">
        <v>575</v>
      </c>
      <c r="B4966">
        <v>2015</v>
      </c>
      <c r="C4966" t="s">
        <v>805</v>
      </c>
      <c r="D4966" t="s">
        <v>806</v>
      </c>
      <c r="E4966" t="s">
        <v>577</v>
      </c>
      <c r="F4966" t="s">
        <v>576</v>
      </c>
      <c r="G4966">
        <v>44.477347000000002</v>
      </c>
      <c r="H4966">
        <v>-63.546725000000002</v>
      </c>
      <c r="I4966" t="s">
        <v>771</v>
      </c>
      <c r="J4966" s="2" t="s">
        <v>7</v>
      </c>
      <c r="K4966" t="s">
        <v>578</v>
      </c>
      <c r="L4966" t="s">
        <v>144</v>
      </c>
      <c r="M4966" s="6" t="s">
        <v>663</v>
      </c>
      <c r="N4966" t="s">
        <v>85</v>
      </c>
      <c r="O4966" s="6" t="s">
        <v>582</v>
      </c>
      <c r="P4966" t="s">
        <v>581</v>
      </c>
      <c r="Q4966">
        <v>14</v>
      </c>
      <c r="R4966" t="s">
        <v>214</v>
      </c>
      <c r="S4966" s="2" t="s">
        <v>7</v>
      </c>
      <c r="T4966">
        <v>3</v>
      </c>
      <c r="U4966" t="s">
        <v>28</v>
      </c>
      <c r="V4966" t="s">
        <v>28</v>
      </c>
      <c r="W4966">
        <v>11.6</v>
      </c>
      <c r="X4966">
        <v>1.6639999999999999</v>
      </c>
      <c r="Y4966" s="6">
        <f t="shared" ref="Y4966:Y4997" si="88">Z4966*SQRT(T4966)</f>
        <v>0.5040267850025435</v>
      </c>
      <c r="Z4966">
        <f>1.955-X4966</f>
        <v>0.29100000000000015</v>
      </c>
      <c r="AA4966" s="6"/>
      <c r="AB4966" s="6"/>
    </row>
    <row r="4967" spans="1:28" x14ac:dyDescent="0.2">
      <c r="A4967" t="s">
        <v>575</v>
      </c>
      <c r="B4967">
        <v>2015</v>
      </c>
      <c r="C4967" t="s">
        <v>805</v>
      </c>
      <c r="D4967" t="s">
        <v>806</v>
      </c>
      <c r="E4967" t="s">
        <v>577</v>
      </c>
      <c r="F4967" t="s">
        <v>576</v>
      </c>
      <c r="G4967">
        <v>44.477347000000002</v>
      </c>
      <c r="H4967">
        <v>-63.546725000000002</v>
      </c>
      <c r="I4967" t="s">
        <v>771</v>
      </c>
      <c r="J4967" s="2" t="s">
        <v>14</v>
      </c>
      <c r="K4967" t="s">
        <v>578</v>
      </c>
      <c r="L4967" t="s">
        <v>144</v>
      </c>
      <c r="M4967" s="6" t="s">
        <v>663</v>
      </c>
      <c r="N4967" t="s">
        <v>85</v>
      </c>
      <c r="O4967" s="6" t="s">
        <v>582</v>
      </c>
      <c r="P4967" t="s">
        <v>581</v>
      </c>
      <c r="Q4967">
        <v>14</v>
      </c>
      <c r="R4967" t="s">
        <v>214</v>
      </c>
      <c r="S4967" s="2" t="s">
        <v>9</v>
      </c>
      <c r="T4967">
        <v>3</v>
      </c>
      <c r="U4967" t="s">
        <v>28</v>
      </c>
      <c r="V4967" t="s">
        <v>28</v>
      </c>
      <c r="W4967">
        <v>14.4</v>
      </c>
      <c r="X4967">
        <v>1.2490000000000001</v>
      </c>
      <c r="Y4967" s="6">
        <f t="shared" si="88"/>
        <v>0.43994090512249445</v>
      </c>
      <c r="Z4967">
        <f>1.503-X4967</f>
        <v>0.25399999999999978</v>
      </c>
      <c r="AA4967" s="6"/>
      <c r="AB4967" s="6"/>
    </row>
    <row r="4968" spans="1:28" x14ac:dyDescent="0.2">
      <c r="A4968" t="s">
        <v>575</v>
      </c>
      <c r="B4968">
        <v>2015</v>
      </c>
      <c r="C4968" t="s">
        <v>805</v>
      </c>
      <c r="D4968" t="s">
        <v>806</v>
      </c>
      <c r="E4968" t="s">
        <v>577</v>
      </c>
      <c r="F4968" t="s">
        <v>576</v>
      </c>
      <c r="G4968">
        <v>44.477347000000002</v>
      </c>
      <c r="H4968">
        <v>-63.546725000000002</v>
      </c>
      <c r="I4968" t="s">
        <v>771</v>
      </c>
      <c r="J4968" s="2" t="s">
        <v>14</v>
      </c>
      <c r="K4968" t="s">
        <v>578</v>
      </c>
      <c r="L4968" t="s">
        <v>144</v>
      </c>
      <c r="M4968" s="6" t="s">
        <v>663</v>
      </c>
      <c r="N4968" t="s">
        <v>85</v>
      </c>
      <c r="O4968" s="6" t="s">
        <v>582</v>
      </c>
      <c r="P4968" t="s">
        <v>581</v>
      </c>
      <c r="Q4968">
        <v>14</v>
      </c>
      <c r="R4968" t="s">
        <v>214</v>
      </c>
      <c r="S4968" s="2" t="s">
        <v>27</v>
      </c>
      <c r="T4968">
        <v>3</v>
      </c>
      <c r="U4968" t="s">
        <v>28</v>
      </c>
      <c r="V4968" t="s">
        <v>28</v>
      </c>
      <c r="W4968">
        <v>18.2</v>
      </c>
      <c r="X4968">
        <v>1.41</v>
      </c>
      <c r="Y4968" s="6">
        <f t="shared" si="88"/>
        <v>0.37585502524244652</v>
      </c>
      <c r="Z4968">
        <f>1.627-X4968</f>
        <v>0.21700000000000008</v>
      </c>
      <c r="AA4968" s="6"/>
      <c r="AB4968" s="6"/>
    </row>
    <row r="4969" spans="1:28" x14ac:dyDescent="0.2">
      <c r="A4969" t="s">
        <v>575</v>
      </c>
      <c r="B4969">
        <v>2015</v>
      </c>
      <c r="C4969" t="s">
        <v>805</v>
      </c>
      <c r="D4969" t="s">
        <v>806</v>
      </c>
      <c r="E4969" t="s">
        <v>577</v>
      </c>
      <c r="F4969" t="s">
        <v>576</v>
      </c>
      <c r="G4969">
        <v>44.477347000000002</v>
      </c>
      <c r="H4969">
        <v>-63.546725000000002</v>
      </c>
      <c r="I4969" t="s">
        <v>771</v>
      </c>
      <c r="J4969" s="2" t="s">
        <v>7</v>
      </c>
      <c r="K4969" t="s">
        <v>578</v>
      </c>
      <c r="L4969" t="s">
        <v>144</v>
      </c>
      <c r="M4969" s="6" t="s">
        <v>663</v>
      </c>
      <c r="N4969" t="s">
        <v>85</v>
      </c>
      <c r="O4969" s="6" t="s">
        <v>582</v>
      </c>
      <c r="P4969" t="s">
        <v>581</v>
      </c>
      <c r="Q4969">
        <v>21</v>
      </c>
      <c r="R4969" t="s">
        <v>213</v>
      </c>
      <c r="S4969" s="2" t="s">
        <v>7</v>
      </c>
      <c r="T4969">
        <v>3</v>
      </c>
      <c r="U4969" t="s">
        <v>28</v>
      </c>
      <c r="V4969" t="s">
        <v>28</v>
      </c>
      <c r="W4969">
        <v>11.6</v>
      </c>
      <c r="X4969">
        <v>2.19</v>
      </c>
      <c r="Y4969" s="6">
        <f t="shared" si="88"/>
        <v>0.39663963493327303</v>
      </c>
      <c r="Z4969">
        <f>2.419-X4969</f>
        <v>0.22900000000000009</v>
      </c>
      <c r="AA4969" s="6"/>
      <c r="AB4969" s="6"/>
    </row>
    <row r="4970" spans="1:28" x14ac:dyDescent="0.2">
      <c r="A4970" t="s">
        <v>575</v>
      </c>
      <c r="B4970">
        <v>2015</v>
      </c>
      <c r="C4970" t="s">
        <v>805</v>
      </c>
      <c r="D4970" t="s">
        <v>806</v>
      </c>
      <c r="E4970" t="s">
        <v>577</v>
      </c>
      <c r="F4970" t="s">
        <v>576</v>
      </c>
      <c r="G4970">
        <v>44.477347000000002</v>
      </c>
      <c r="H4970">
        <v>-63.546725000000002</v>
      </c>
      <c r="I4970" t="s">
        <v>771</v>
      </c>
      <c r="J4970" s="2" t="s">
        <v>14</v>
      </c>
      <c r="K4970" t="s">
        <v>578</v>
      </c>
      <c r="L4970" t="s">
        <v>144</v>
      </c>
      <c r="M4970" s="6" t="s">
        <v>663</v>
      </c>
      <c r="N4970" t="s">
        <v>85</v>
      </c>
      <c r="O4970" s="6" t="s">
        <v>582</v>
      </c>
      <c r="P4970" t="s">
        <v>581</v>
      </c>
      <c r="Q4970">
        <v>21</v>
      </c>
      <c r="R4970" t="s">
        <v>213</v>
      </c>
      <c r="S4970" s="2" t="s">
        <v>9</v>
      </c>
      <c r="T4970">
        <v>3</v>
      </c>
      <c r="U4970" t="s">
        <v>28</v>
      </c>
      <c r="V4970" t="s">
        <v>28</v>
      </c>
      <c r="W4970">
        <v>14.4</v>
      </c>
      <c r="X4970">
        <v>1.8</v>
      </c>
      <c r="Y4970" s="6">
        <f t="shared" si="88"/>
        <v>0.41742424462409922</v>
      </c>
      <c r="Z4970">
        <f>2.041-X4970</f>
        <v>0.24099999999999988</v>
      </c>
      <c r="AA4970" s="6"/>
      <c r="AB4970" s="6"/>
    </row>
    <row r="4971" spans="1:28" x14ac:dyDescent="0.2">
      <c r="A4971" t="s">
        <v>575</v>
      </c>
      <c r="B4971">
        <v>2015</v>
      </c>
      <c r="C4971" t="s">
        <v>805</v>
      </c>
      <c r="D4971" t="s">
        <v>806</v>
      </c>
      <c r="E4971" t="s">
        <v>577</v>
      </c>
      <c r="F4971" t="s">
        <v>576</v>
      </c>
      <c r="G4971">
        <v>44.477347000000002</v>
      </c>
      <c r="H4971">
        <v>-63.546725000000002</v>
      </c>
      <c r="I4971" t="s">
        <v>771</v>
      </c>
      <c r="J4971" s="2" t="s">
        <v>14</v>
      </c>
      <c r="K4971" t="s">
        <v>578</v>
      </c>
      <c r="L4971" t="s">
        <v>144</v>
      </c>
      <c r="M4971" s="6" t="s">
        <v>663</v>
      </c>
      <c r="N4971" t="s">
        <v>85</v>
      </c>
      <c r="O4971" s="6" t="s">
        <v>582</v>
      </c>
      <c r="P4971" t="s">
        <v>581</v>
      </c>
      <c r="Q4971">
        <v>21</v>
      </c>
      <c r="R4971" t="s">
        <v>213</v>
      </c>
      <c r="S4971" s="2" t="s">
        <v>27</v>
      </c>
      <c r="T4971">
        <v>3</v>
      </c>
      <c r="U4971" t="s">
        <v>28</v>
      </c>
      <c r="V4971" t="s">
        <v>28</v>
      </c>
      <c r="W4971">
        <v>18.2</v>
      </c>
      <c r="X4971">
        <v>0.45200000000000001</v>
      </c>
      <c r="Y4971" s="6">
        <f t="shared" si="88"/>
        <v>0.48151012450414782</v>
      </c>
      <c r="Z4971">
        <f>0.73-X4971</f>
        <v>0.27799999999999997</v>
      </c>
      <c r="AA4971" s="6"/>
      <c r="AB4971" s="6"/>
    </row>
    <row r="4972" spans="1:28" x14ac:dyDescent="0.2">
      <c r="A4972" t="s">
        <v>575</v>
      </c>
      <c r="B4972">
        <v>2015</v>
      </c>
      <c r="C4972" t="s">
        <v>816</v>
      </c>
      <c r="D4972" t="s">
        <v>817</v>
      </c>
      <c r="E4972" t="s">
        <v>31</v>
      </c>
      <c r="F4972" t="s">
        <v>576</v>
      </c>
      <c r="G4972">
        <v>44.477347000000002</v>
      </c>
      <c r="H4972">
        <v>-63.546725000000002</v>
      </c>
      <c r="I4972" t="s">
        <v>771</v>
      </c>
      <c r="J4972" s="2" t="s">
        <v>7</v>
      </c>
      <c r="K4972" t="s">
        <v>578</v>
      </c>
      <c r="L4972" t="s">
        <v>144</v>
      </c>
      <c r="M4972" s="6" t="s">
        <v>663</v>
      </c>
      <c r="N4972" t="s">
        <v>85</v>
      </c>
      <c r="O4972" s="6" t="s">
        <v>582</v>
      </c>
      <c r="P4972" t="s">
        <v>581</v>
      </c>
      <c r="Q4972">
        <v>7</v>
      </c>
      <c r="R4972" t="s">
        <v>213</v>
      </c>
      <c r="S4972" s="2" t="s">
        <v>7</v>
      </c>
      <c r="T4972">
        <v>3</v>
      </c>
      <c r="U4972" t="s">
        <v>28</v>
      </c>
      <c r="V4972" t="s">
        <v>28</v>
      </c>
      <c r="W4972">
        <v>11.6</v>
      </c>
      <c r="X4972">
        <v>2.2519999999999998</v>
      </c>
      <c r="Y4972" s="6">
        <f t="shared" si="88"/>
        <v>0.33082170424565605</v>
      </c>
      <c r="Z4972">
        <f>2.443-X4972</f>
        <v>0.19100000000000028</v>
      </c>
      <c r="AA4972" s="6"/>
      <c r="AB4972" s="6"/>
    </row>
    <row r="4973" spans="1:28" x14ac:dyDescent="0.2">
      <c r="A4973" t="s">
        <v>575</v>
      </c>
      <c r="B4973">
        <v>2015</v>
      </c>
      <c r="C4973" t="s">
        <v>816</v>
      </c>
      <c r="D4973" t="s">
        <v>817</v>
      </c>
      <c r="E4973" t="s">
        <v>31</v>
      </c>
      <c r="F4973" t="s">
        <v>576</v>
      </c>
      <c r="G4973">
        <v>44.477347000000002</v>
      </c>
      <c r="H4973">
        <v>-63.546725000000002</v>
      </c>
      <c r="I4973" t="s">
        <v>771</v>
      </c>
      <c r="J4973" s="2" t="s">
        <v>14</v>
      </c>
      <c r="K4973" t="s">
        <v>578</v>
      </c>
      <c r="L4973" t="s">
        <v>144</v>
      </c>
      <c r="M4973" s="6" t="s">
        <v>663</v>
      </c>
      <c r="N4973" t="s">
        <v>85</v>
      </c>
      <c r="O4973" s="6" t="s">
        <v>582</v>
      </c>
      <c r="P4973" t="s">
        <v>581</v>
      </c>
      <c r="Q4973">
        <v>7</v>
      </c>
      <c r="R4973" t="s">
        <v>214</v>
      </c>
      <c r="S4973" s="2" t="s">
        <v>9</v>
      </c>
      <c r="T4973">
        <v>3</v>
      </c>
      <c r="U4973" t="s">
        <v>28</v>
      </c>
      <c r="V4973" t="s">
        <v>28</v>
      </c>
      <c r="W4973">
        <v>14.4</v>
      </c>
      <c r="X4973">
        <v>2.3010000000000002</v>
      </c>
      <c r="Y4973" s="6">
        <f t="shared" si="88"/>
        <v>0.56811266488259149</v>
      </c>
      <c r="Z4973">
        <f>2.629-X4973</f>
        <v>0.32799999999999985</v>
      </c>
      <c r="AA4973" s="6"/>
      <c r="AB4973" s="6"/>
    </row>
    <row r="4974" spans="1:28" x14ac:dyDescent="0.2">
      <c r="A4974" t="s">
        <v>575</v>
      </c>
      <c r="B4974">
        <v>2015</v>
      </c>
      <c r="C4974" t="s">
        <v>816</v>
      </c>
      <c r="D4974" t="s">
        <v>817</v>
      </c>
      <c r="E4974" t="s">
        <v>31</v>
      </c>
      <c r="F4974" t="s">
        <v>576</v>
      </c>
      <c r="G4974">
        <v>44.477347000000002</v>
      </c>
      <c r="H4974">
        <v>-63.546725000000002</v>
      </c>
      <c r="I4974" t="s">
        <v>771</v>
      </c>
      <c r="J4974" s="2" t="s">
        <v>14</v>
      </c>
      <c r="K4974" t="s">
        <v>578</v>
      </c>
      <c r="L4974" t="s">
        <v>144</v>
      </c>
      <c r="M4974" s="6" t="s">
        <v>663</v>
      </c>
      <c r="N4974" t="s">
        <v>85</v>
      </c>
      <c r="O4974" s="6" t="s">
        <v>582</v>
      </c>
      <c r="P4974" t="s">
        <v>581</v>
      </c>
      <c r="Q4974">
        <v>7</v>
      </c>
      <c r="R4974" t="s">
        <v>214</v>
      </c>
      <c r="S4974" s="2" t="s">
        <v>27</v>
      </c>
      <c r="T4974">
        <v>3</v>
      </c>
      <c r="U4974" t="s">
        <v>28</v>
      </c>
      <c r="V4974" t="s">
        <v>28</v>
      </c>
      <c r="W4974">
        <v>18.2</v>
      </c>
      <c r="X4974">
        <v>1.429</v>
      </c>
      <c r="Y4974" s="6">
        <f t="shared" si="88"/>
        <v>0.52481139469336968</v>
      </c>
      <c r="Z4974">
        <f>1.732-X4974</f>
        <v>0.30299999999999994</v>
      </c>
      <c r="AA4974" s="6"/>
      <c r="AB4974" s="6"/>
    </row>
    <row r="4975" spans="1:28" x14ac:dyDescent="0.2">
      <c r="A4975" t="s">
        <v>575</v>
      </c>
      <c r="B4975">
        <v>2015</v>
      </c>
      <c r="C4975" t="s">
        <v>816</v>
      </c>
      <c r="D4975" t="s">
        <v>817</v>
      </c>
      <c r="E4975" t="s">
        <v>31</v>
      </c>
      <c r="F4975" t="s">
        <v>576</v>
      </c>
      <c r="G4975">
        <v>44.477347000000002</v>
      </c>
      <c r="H4975">
        <v>-63.546725000000002</v>
      </c>
      <c r="I4975" t="s">
        <v>771</v>
      </c>
      <c r="J4975" s="2" t="s">
        <v>14</v>
      </c>
      <c r="K4975" t="s">
        <v>578</v>
      </c>
      <c r="L4975" t="s">
        <v>144</v>
      </c>
      <c r="M4975" s="6" t="s">
        <v>663</v>
      </c>
      <c r="N4975" t="s">
        <v>85</v>
      </c>
      <c r="O4975" s="6" t="s">
        <v>582</v>
      </c>
      <c r="P4975" t="s">
        <v>581</v>
      </c>
      <c r="Q4975">
        <v>7</v>
      </c>
      <c r="R4975" t="s">
        <v>213</v>
      </c>
      <c r="S4975" s="2" t="s">
        <v>13</v>
      </c>
      <c r="T4975">
        <v>3</v>
      </c>
      <c r="U4975" t="s">
        <v>28</v>
      </c>
      <c r="V4975" t="s">
        <v>28</v>
      </c>
      <c r="W4975">
        <v>20.8</v>
      </c>
      <c r="X4975">
        <v>0.68700000000000006</v>
      </c>
      <c r="Y4975" s="6">
        <f t="shared" si="88"/>
        <v>0.20264994448555862</v>
      </c>
      <c r="Z4975">
        <f>0.804-X4975</f>
        <v>0.11699999999999999</v>
      </c>
      <c r="AA4975" s="6"/>
      <c r="AB4975" s="6"/>
    </row>
    <row r="4976" spans="1:28" x14ac:dyDescent="0.2">
      <c r="A4976" t="s">
        <v>575</v>
      </c>
      <c r="B4976">
        <v>2015</v>
      </c>
      <c r="C4976" t="s">
        <v>816</v>
      </c>
      <c r="D4976" t="s">
        <v>817</v>
      </c>
      <c r="E4976" t="s">
        <v>31</v>
      </c>
      <c r="F4976" t="s">
        <v>576</v>
      </c>
      <c r="G4976">
        <v>44.477347000000002</v>
      </c>
      <c r="H4976">
        <v>-63.546725000000002</v>
      </c>
      <c r="I4976" t="s">
        <v>771</v>
      </c>
      <c r="J4976" s="2" t="s">
        <v>7</v>
      </c>
      <c r="K4976" t="s">
        <v>578</v>
      </c>
      <c r="L4976" t="s">
        <v>144</v>
      </c>
      <c r="M4976" s="6" t="s">
        <v>663</v>
      </c>
      <c r="N4976" t="s">
        <v>85</v>
      </c>
      <c r="O4976" s="6" t="s">
        <v>582</v>
      </c>
      <c r="P4976" t="s">
        <v>581</v>
      </c>
      <c r="Q4976">
        <v>14</v>
      </c>
      <c r="R4976" t="s">
        <v>214</v>
      </c>
      <c r="S4976" s="2" t="s">
        <v>7</v>
      </c>
      <c r="T4976">
        <v>3</v>
      </c>
      <c r="U4976" t="s">
        <v>28</v>
      </c>
      <c r="V4976" t="s">
        <v>28</v>
      </c>
      <c r="W4976">
        <v>11.6</v>
      </c>
      <c r="X4976">
        <v>2.4119999999999999</v>
      </c>
      <c r="Y4976" s="6">
        <f t="shared" si="88"/>
        <v>0.27886018001858931</v>
      </c>
      <c r="Z4976">
        <f>2.573-X4976</f>
        <v>0.16100000000000003</v>
      </c>
      <c r="AA4976" s="6"/>
      <c r="AB4976" s="6"/>
    </row>
    <row r="4977" spans="1:28" x14ac:dyDescent="0.2">
      <c r="A4977" t="s">
        <v>575</v>
      </c>
      <c r="B4977">
        <v>2015</v>
      </c>
      <c r="C4977" t="s">
        <v>816</v>
      </c>
      <c r="D4977" t="s">
        <v>817</v>
      </c>
      <c r="E4977" t="s">
        <v>31</v>
      </c>
      <c r="F4977" t="s">
        <v>576</v>
      </c>
      <c r="G4977">
        <v>44.477347000000002</v>
      </c>
      <c r="H4977">
        <v>-63.546725000000002</v>
      </c>
      <c r="I4977" t="s">
        <v>771</v>
      </c>
      <c r="J4977" s="2" t="s">
        <v>14</v>
      </c>
      <c r="K4977" t="s">
        <v>578</v>
      </c>
      <c r="L4977" t="s">
        <v>144</v>
      </c>
      <c r="M4977" s="6" t="s">
        <v>663</v>
      </c>
      <c r="N4977" t="s">
        <v>85</v>
      </c>
      <c r="O4977" s="6" t="s">
        <v>582</v>
      </c>
      <c r="P4977" t="s">
        <v>581</v>
      </c>
      <c r="Q4977">
        <v>14</v>
      </c>
      <c r="R4977" t="s">
        <v>214</v>
      </c>
      <c r="S4977" s="2" t="s">
        <v>9</v>
      </c>
      <c r="T4977">
        <v>3</v>
      </c>
      <c r="U4977" t="s">
        <v>28</v>
      </c>
      <c r="V4977" t="s">
        <v>28</v>
      </c>
      <c r="W4977">
        <v>14.4</v>
      </c>
      <c r="X4977">
        <v>2.2269999999999999</v>
      </c>
      <c r="Y4977" s="6">
        <f t="shared" si="88"/>
        <v>0.46072551481332136</v>
      </c>
      <c r="Z4977">
        <f>2.493-X4977</f>
        <v>0.26600000000000001</v>
      </c>
      <c r="AA4977" s="6"/>
      <c r="AB4977" s="6"/>
    </row>
    <row r="4978" spans="1:28" x14ac:dyDescent="0.2">
      <c r="A4978" t="s">
        <v>575</v>
      </c>
      <c r="B4978">
        <v>2015</v>
      </c>
      <c r="C4978" t="s">
        <v>816</v>
      </c>
      <c r="D4978" t="s">
        <v>817</v>
      </c>
      <c r="E4978" t="s">
        <v>31</v>
      </c>
      <c r="F4978" t="s">
        <v>576</v>
      </c>
      <c r="G4978">
        <v>44.477347000000002</v>
      </c>
      <c r="H4978">
        <v>-63.546725000000002</v>
      </c>
      <c r="I4978" t="s">
        <v>771</v>
      </c>
      <c r="J4978" s="2" t="s">
        <v>14</v>
      </c>
      <c r="K4978" t="s">
        <v>578</v>
      </c>
      <c r="L4978" t="s">
        <v>144</v>
      </c>
      <c r="M4978" s="6" t="s">
        <v>663</v>
      </c>
      <c r="N4978" t="s">
        <v>85</v>
      </c>
      <c r="O4978" s="6" t="s">
        <v>582</v>
      </c>
      <c r="P4978" t="s">
        <v>581</v>
      </c>
      <c r="Q4978">
        <v>14</v>
      </c>
      <c r="R4978" t="s">
        <v>214</v>
      </c>
      <c r="S4978" s="2" t="s">
        <v>27</v>
      </c>
      <c r="T4978">
        <v>3</v>
      </c>
      <c r="U4978" t="s">
        <v>28</v>
      </c>
      <c r="V4978" t="s">
        <v>28</v>
      </c>
      <c r="W4978">
        <v>18.2</v>
      </c>
      <c r="X4978">
        <v>0.89700000000000002</v>
      </c>
      <c r="Y4978" s="6">
        <f t="shared" si="88"/>
        <v>0.70667672948810178</v>
      </c>
      <c r="Z4978">
        <f>1.305-X4978</f>
        <v>0.40799999999999992</v>
      </c>
      <c r="AA4978" s="6"/>
      <c r="AB4978" s="6"/>
    </row>
    <row r="4979" spans="1:28" x14ac:dyDescent="0.2">
      <c r="A4979" t="s">
        <v>575</v>
      </c>
      <c r="B4979">
        <v>2015</v>
      </c>
      <c r="C4979" t="s">
        <v>816</v>
      </c>
      <c r="D4979" t="s">
        <v>817</v>
      </c>
      <c r="E4979" t="s">
        <v>31</v>
      </c>
      <c r="F4979" t="s">
        <v>576</v>
      </c>
      <c r="G4979">
        <v>44.477347000000002</v>
      </c>
      <c r="H4979">
        <v>-63.546725000000002</v>
      </c>
      <c r="I4979" t="s">
        <v>771</v>
      </c>
      <c r="J4979" s="2" t="s">
        <v>7</v>
      </c>
      <c r="K4979" t="s">
        <v>578</v>
      </c>
      <c r="L4979" t="s">
        <v>144</v>
      </c>
      <c r="M4979" s="6" t="s">
        <v>663</v>
      </c>
      <c r="N4979" t="s">
        <v>85</v>
      </c>
      <c r="O4979" s="6" t="s">
        <v>582</v>
      </c>
      <c r="P4979" t="s">
        <v>581</v>
      </c>
      <c r="Q4979">
        <v>21</v>
      </c>
      <c r="R4979" t="s">
        <v>213</v>
      </c>
      <c r="S4979" s="2" t="s">
        <v>7</v>
      </c>
      <c r="T4979">
        <v>3</v>
      </c>
      <c r="U4979" t="s">
        <v>28</v>
      </c>
      <c r="V4979" t="s">
        <v>28</v>
      </c>
      <c r="W4979">
        <v>11.6</v>
      </c>
      <c r="X4979">
        <v>2.4060000000000001</v>
      </c>
      <c r="Y4979" s="6">
        <f t="shared" si="88"/>
        <v>0.52481139469336968</v>
      </c>
      <c r="Z4979">
        <f>2.709-X4979</f>
        <v>0.30299999999999994</v>
      </c>
      <c r="AA4979" s="6"/>
      <c r="AB4979" s="6"/>
    </row>
    <row r="4980" spans="1:28" x14ac:dyDescent="0.2">
      <c r="A4980" t="s">
        <v>575</v>
      </c>
      <c r="B4980">
        <v>2015</v>
      </c>
      <c r="C4980" t="s">
        <v>816</v>
      </c>
      <c r="D4980" t="s">
        <v>817</v>
      </c>
      <c r="E4980" t="s">
        <v>31</v>
      </c>
      <c r="F4980" t="s">
        <v>576</v>
      </c>
      <c r="G4980">
        <v>44.477347000000002</v>
      </c>
      <c r="H4980">
        <v>-63.546725000000002</v>
      </c>
      <c r="I4980" t="s">
        <v>771</v>
      </c>
      <c r="J4980" s="2" t="s">
        <v>14</v>
      </c>
      <c r="K4980" t="s">
        <v>578</v>
      </c>
      <c r="L4980" t="s">
        <v>144</v>
      </c>
      <c r="M4980" s="6" t="s">
        <v>663</v>
      </c>
      <c r="N4980" t="s">
        <v>85</v>
      </c>
      <c r="O4980" s="6" t="s">
        <v>582</v>
      </c>
      <c r="P4980" t="s">
        <v>581</v>
      </c>
      <c r="Q4980">
        <v>21</v>
      </c>
      <c r="R4980" t="s">
        <v>213</v>
      </c>
      <c r="S4980" s="2" t="s">
        <v>9</v>
      </c>
      <c r="T4980">
        <v>3</v>
      </c>
      <c r="U4980" t="s">
        <v>28</v>
      </c>
      <c r="V4980" t="s">
        <v>28</v>
      </c>
      <c r="W4980">
        <v>14.4</v>
      </c>
      <c r="X4980">
        <v>2.2269999999999999</v>
      </c>
      <c r="Y4980" s="6">
        <f t="shared" si="88"/>
        <v>0.6096818842642453</v>
      </c>
      <c r="Z4980">
        <f>2.579-X4980</f>
        <v>0.35200000000000031</v>
      </c>
      <c r="AA4980" s="6"/>
      <c r="AB4980" s="6"/>
    </row>
    <row r="4981" spans="1:28" x14ac:dyDescent="0.2">
      <c r="A4981" t="s">
        <v>575</v>
      </c>
      <c r="B4981">
        <v>2015</v>
      </c>
      <c r="C4981" t="s">
        <v>816</v>
      </c>
      <c r="D4981" t="s">
        <v>817</v>
      </c>
      <c r="E4981" t="s">
        <v>31</v>
      </c>
      <c r="F4981" t="s">
        <v>576</v>
      </c>
      <c r="G4981">
        <v>44.477347000000002</v>
      </c>
      <c r="H4981">
        <v>-63.546725000000002</v>
      </c>
      <c r="I4981" t="s">
        <v>771</v>
      </c>
      <c r="J4981" s="2" t="s">
        <v>14</v>
      </c>
      <c r="K4981" t="s">
        <v>578</v>
      </c>
      <c r="L4981" t="s">
        <v>144</v>
      </c>
      <c r="M4981" s="6" t="s">
        <v>663</v>
      </c>
      <c r="N4981" t="s">
        <v>85</v>
      </c>
      <c r="O4981" s="6" t="s">
        <v>582</v>
      </c>
      <c r="P4981" t="s">
        <v>581</v>
      </c>
      <c r="Q4981">
        <v>21</v>
      </c>
      <c r="R4981" t="s">
        <v>213</v>
      </c>
      <c r="S4981" s="2" t="s">
        <v>27</v>
      </c>
      <c r="T4981">
        <v>3</v>
      </c>
      <c r="U4981" t="s">
        <v>28</v>
      </c>
      <c r="V4981" t="s">
        <v>28</v>
      </c>
      <c r="W4981">
        <v>18.2</v>
      </c>
      <c r="X4981">
        <v>0.86</v>
      </c>
      <c r="Y4981" s="6">
        <f t="shared" si="88"/>
        <v>0.77076260936815022</v>
      </c>
      <c r="Z4981">
        <f>1.305-X4981</f>
        <v>0.44499999999999995</v>
      </c>
      <c r="AA4981" s="6"/>
      <c r="AB4981" s="6"/>
    </row>
    <row r="4982" spans="1:28" x14ac:dyDescent="0.2">
      <c r="A4982" t="s">
        <v>575</v>
      </c>
      <c r="B4982">
        <v>2015</v>
      </c>
      <c r="C4982" t="s">
        <v>826</v>
      </c>
      <c r="D4982" t="s">
        <v>824</v>
      </c>
      <c r="E4982" t="s">
        <v>48</v>
      </c>
      <c r="F4982" t="s">
        <v>576</v>
      </c>
      <c r="G4982">
        <v>44.477347000000002</v>
      </c>
      <c r="H4982">
        <v>-63.546725000000002</v>
      </c>
      <c r="I4982" t="s">
        <v>771</v>
      </c>
      <c r="J4982" s="2" t="s">
        <v>7</v>
      </c>
      <c r="K4982" t="s">
        <v>579</v>
      </c>
      <c r="L4982" t="s">
        <v>144</v>
      </c>
      <c r="M4982" s="6" t="s">
        <v>663</v>
      </c>
      <c r="N4982" t="s">
        <v>85</v>
      </c>
      <c r="O4982" s="6" t="s">
        <v>582</v>
      </c>
      <c r="P4982" t="s">
        <v>581</v>
      </c>
      <c r="Q4982">
        <v>7</v>
      </c>
      <c r="R4982" t="s">
        <v>213</v>
      </c>
      <c r="S4982" s="2" t="s">
        <v>7</v>
      </c>
      <c r="T4982">
        <v>3</v>
      </c>
      <c r="U4982" t="s">
        <v>28</v>
      </c>
      <c r="V4982" t="s">
        <v>28</v>
      </c>
      <c r="W4982">
        <v>11.6</v>
      </c>
      <c r="X4982">
        <v>1.8</v>
      </c>
      <c r="Y4982" s="6">
        <f t="shared" si="88"/>
        <v>0.21477430013854057</v>
      </c>
      <c r="Z4982">
        <f>1.924-X4982</f>
        <v>0.12399999999999989</v>
      </c>
      <c r="AA4982" s="6"/>
      <c r="AB4982" s="6"/>
    </row>
    <row r="4983" spans="1:28" x14ac:dyDescent="0.2">
      <c r="A4983" t="s">
        <v>575</v>
      </c>
      <c r="B4983">
        <v>2015</v>
      </c>
      <c r="C4983" t="s">
        <v>826</v>
      </c>
      <c r="D4983" t="s">
        <v>824</v>
      </c>
      <c r="E4983" t="s">
        <v>48</v>
      </c>
      <c r="F4983" t="s">
        <v>576</v>
      </c>
      <c r="G4983">
        <v>44.477347000000002</v>
      </c>
      <c r="H4983">
        <v>-63.546725000000002</v>
      </c>
      <c r="I4983" t="s">
        <v>771</v>
      </c>
      <c r="J4983" s="2" t="s">
        <v>14</v>
      </c>
      <c r="K4983" t="s">
        <v>579</v>
      </c>
      <c r="L4983" t="s">
        <v>144</v>
      </c>
      <c r="M4983" s="6" t="s">
        <v>663</v>
      </c>
      <c r="N4983" t="s">
        <v>85</v>
      </c>
      <c r="O4983" s="6" t="s">
        <v>582</v>
      </c>
      <c r="P4983" t="s">
        <v>581</v>
      </c>
      <c r="Q4983">
        <v>7</v>
      </c>
      <c r="R4983" t="s">
        <v>214</v>
      </c>
      <c r="S4983" s="2" t="s">
        <v>9</v>
      </c>
      <c r="T4983">
        <v>3</v>
      </c>
      <c r="U4983" t="s">
        <v>28</v>
      </c>
      <c r="V4983" t="s">
        <v>28</v>
      </c>
      <c r="W4983">
        <v>14.4</v>
      </c>
      <c r="X4983">
        <v>1.6080000000000001</v>
      </c>
      <c r="Y4983" s="6">
        <f t="shared" si="88"/>
        <v>0.4070319397786859</v>
      </c>
      <c r="Z4983">
        <f>1.843-X4983</f>
        <v>0.23499999999999988</v>
      </c>
      <c r="AA4983" s="6"/>
      <c r="AB4983" s="6"/>
    </row>
    <row r="4984" spans="1:28" x14ac:dyDescent="0.2">
      <c r="A4984" t="s">
        <v>575</v>
      </c>
      <c r="B4984">
        <v>2015</v>
      </c>
      <c r="C4984" t="s">
        <v>826</v>
      </c>
      <c r="D4984" t="s">
        <v>824</v>
      </c>
      <c r="E4984" t="s">
        <v>48</v>
      </c>
      <c r="F4984" t="s">
        <v>576</v>
      </c>
      <c r="G4984">
        <v>44.477347000000002</v>
      </c>
      <c r="H4984">
        <v>-63.546725000000002</v>
      </c>
      <c r="I4984" t="s">
        <v>771</v>
      </c>
      <c r="J4984" s="2" t="s">
        <v>14</v>
      </c>
      <c r="K4984" t="s">
        <v>579</v>
      </c>
      <c r="L4984" t="s">
        <v>144</v>
      </c>
      <c r="M4984" s="6" t="s">
        <v>663</v>
      </c>
      <c r="N4984" t="s">
        <v>85</v>
      </c>
      <c r="O4984" s="6" t="s">
        <v>582</v>
      </c>
      <c r="P4984" t="s">
        <v>581</v>
      </c>
      <c r="Q4984">
        <v>7</v>
      </c>
      <c r="R4984" t="s">
        <v>214</v>
      </c>
      <c r="S4984" s="2" t="s">
        <v>27</v>
      </c>
      <c r="T4984">
        <v>3</v>
      </c>
      <c r="U4984" t="s">
        <v>28</v>
      </c>
      <c r="V4984" t="s">
        <v>28</v>
      </c>
      <c r="W4984">
        <v>18.2</v>
      </c>
      <c r="X4984">
        <v>1.2310000000000001</v>
      </c>
      <c r="Y4984" s="6">
        <f t="shared" si="88"/>
        <v>0.38624733008785939</v>
      </c>
      <c r="Z4984">
        <f>1.454-X4984</f>
        <v>0.22299999999999986</v>
      </c>
      <c r="AA4984" s="6"/>
      <c r="AB4984" s="6"/>
    </row>
    <row r="4985" spans="1:28" x14ac:dyDescent="0.2">
      <c r="A4985" t="s">
        <v>575</v>
      </c>
      <c r="B4985">
        <v>2015</v>
      </c>
      <c r="C4985" t="s">
        <v>826</v>
      </c>
      <c r="D4985" t="s">
        <v>824</v>
      </c>
      <c r="E4985" t="s">
        <v>48</v>
      </c>
      <c r="F4985" t="s">
        <v>576</v>
      </c>
      <c r="G4985">
        <v>44.477347000000002</v>
      </c>
      <c r="H4985">
        <v>-63.546725000000002</v>
      </c>
      <c r="I4985" t="s">
        <v>771</v>
      </c>
      <c r="J4985" s="2" t="s">
        <v>14</v>
      </c>
      <c r="K4985" t="s">
        <v>579</v>
      </c>
      <c r="L4985" t="s">
        <v>144</v>
      </c>
      <c r="M4985" s="6" t="s">
        <v>663</v>
      </c>
      <c r="N4985" t="s">
        <v>85</v>
      </c>
      <c r="O4985" s="6" t="s">
        <v>582</v>
      </c>
      <c r="P4985" t="s">
        <v>581</v>
      </c>
      <c r="Q4985">
        <v>7</v>
      </c>
      <c r="R4985" t="s">
        <v>213</v>
      </c>
      <c r="S4985" s="2" t="s">
        <v>13</v>
      </c>
      <c r="T4985">
        <v>3</v>
      </c>
      <c r="U4985" t="s">
        <v>28</v>
      </c>
      <c r="V4985" t="s">
        <v>28</v>
      </c>
      <c r="W4985">
        <v>20.8</v>
      </c>
      <c r="X4985">
        <v>1.0580000000000001</v>
      </c>
      <c r="Y4985" s="6">
        <f t="shared" si="88"/>
        <v>0.28925248486400257</v>
      </c>
      <c r="Z4985">
        <f>1.225-X4985</f>
        <v>0.16700000000000004</v>
      </c>
      <c r="AA4985" s="6"/>
      <c r="AB4985" s="6"/>
    </row>
    <row r="4986" spans="1:28" x14ac:dyDescent="0.2">
      <c r="A4986" t="s">
        <v>575</v>
      </c>
      <c r="B4986">
        <v>2015</v>
      </c>
      <c r="C4986" t="s">
        <v>826</v>
      </c>
      <c r="D4986" t="s">
        <v>824</v>
      </c>
      <c r="E4986" t="s">
        <v>48</v>
      </c>
      <c r="F4986" t="s">
        <v>576</v>
      </c>
      <c r="G4986">
        <v>44.477347000000002</v>
      </c>
      <c r="H4986">
        <v>-63.546725000000002</v>
      </c>
      <c r="I4986" t="s">
        <v>771</v>
      </c>
      <c r="J4986" s="2" t="s">
        <v>7</v>
      </c>
      <c r="K4986" t="s">
        <v>579</v>
      </c>
      <c r="L4986" t="s">
        <v>144</v>
      </c>
      <c r="M4986" s="6" t="s">
        <v>663</v>
      </c>
      <c r="N4986" t="s">
        <v>85</v>
      </c>
      <c r="O4986" s="6" t="s">
        <v>582</v>
      </c>
      <c r="P4986" t="s">
        <v>581</v>
      </c>
      <c r="Q4986">
        <v>14</v>
      </c>
      <c r="R4986" t="s">
        <v>214</v>
      </c>
      <c r="S4986" s="2" t="s">
        <v>7</v>
      </c>
      <c r="T4986">
        <v>3</v>
      </c>
      <c r="U4986" t="s">
        <v>28</v>
      </c>
      <c r="V4986" t="s">
        <v>28</v>
      </c>
      <c r="W4986">
        <v>11.6</v>
      </c>
      <c r="X4986">
        <v>1.9550000000000001</v>
      </c>
      <c r="Y4986" s="6">
        <f t="shared" si="88"/>
        <v>0.53520369953878255</v>
      </c>
      <c r="Z4986">
        <f>2.264-X4986</f>
        <v>0.30899999999999972</v>
      </c>
      <c r="AA4986" s="6"/>
      <c r="AB4986" s="6"/>
    </row>
    <row r="4987" spans="1:28" x14ac:dyDescent="0.2">
      <c r="A4987" t="s">
        <v>575</v>
      </c>
      <c r="B4987">
        <v>2015</v>
      </c>
      <c r="C4987" t="s">
        <v>826</v>
      </c>
      <c r="D4987" t="s">
        <v>824</v>
      </c>
      <c r="E4987" t="s">
        <v>48</v>
      </c>
      <c r="F4987" t="s">
        <v>576</v>
      </c>
      <c r="G4987">
        <v>44.477347000000002</v>
      </c>
      <c r="H4987">
        <v>-63.546725000000002</v>
      </c>
      <c r="I4987" t="s">
        <v>771</v>
      </c>
      <c r="J4987" s="2" t="s">
        <v>14</v>
      </c>
      <c r="K4987" t="s">
        <v>579</v>
      </c>
      <c r="L4987" t="s">
        <v>144</v>
      </c>
      <c r="M4987" s="6" t="s">
        <v>663</v>
      </c>
      <c r="N4987" t="s">
        <v>85</v>
      </c>
      <c r="O4987" s="6" t="s">
        <v>582</v>
      </c>
      <c r="P4987" t="s">
        <v>581</v>
      </c>
      <c r="Q4987">
        <v>14</v>
      </c>
      <c r="R4987" t="s">
        <v>214</v>
      </c>
      <c r="S4987" s="2" t="s">
        <v>9</v>
      </c>
      <c r="T4987">
        <v>3</v>
      </c>
      <c r="U4987" t="s">
        <v>28</v>
      </c>
      <c r="V4987" t="s">
        <v>28</v>
      </c>
      <c r="W4987">
        <v>14.4</v>
      </c>
      <c r="X4987">
        <v>1.181</v>
      </c>
      <c r="Y4987" s="6">
        <f t="shared" si="88"/>
        <v>0.42954860027708153</v>
      </c>
      <c r="Z4987">
        <f>1.429-X4987</f>
        <v>0.248</v>
      </c>
      <c r="AA4987" s="6"/>
      <c r="AB4987" s="6"/>
    </row>
    <row r="4988" spans="1:28" x14ac:dyDescent="0.2">
      <c r="A4988" t="s">
        <v>575</v>
      </c>
      <c r="B4988">
        <v>2015</v>
      </c>
      <c r="C4988" t="s">
        <v>826</v>
      </c>
      <c r="D4988" t="s">
        <v>824</v>
      </c>
      <c r="E4988" t="s">
        <v>48</v>
      </c>
      <c r="F4988" t="s">
        <v>576</v>
      </c>
      <c r="G4988">
        <v>44.477347000000002</v>
      </c>
      <c r="H4988">
        <v>-63.546725000000002</v>
      </c>
      <c r="I4988" t="s">
        <v>771</v>
      </c>
      <c r="J4988" s="2" t="s">
        <v>14</v>
      </c>
      <c r="K4988" t="s">
        <v>579</v>
      </c>
      <c r="L4988" t="s">
        <v>144</v>
      </c>
      <c r="M4988" s="6" t="s">
        <v>663</v>
      </c>
      <c r="N4988" t="s">
        <v>85</v>
      </c>
      <c r="O4988" s="6" t="s">
        <v>582</v>
      </c>
      <c r="P4988" t="s">
        <v>581</v>
      </c>
      <c r="Q4988">
        <v>14</v>
      </c>
      <c r="R4988" t="s">
        <v>214</v>
      </c>
      <c r="S4988" s="2" t="s">
        <v>27</v>
      </c>
      <c r="T4988">
        <v>3</v>
      </c>
      <c r="U4988" t="s">
        <v>28</v>
      </c>
      <c r="V4988" t="s">
        <v>28</v>
      </c>
      <c r="W4988">
        <v>18.2</v>
      </c>
      <c r="X4988">
        <v>1.1319999999999999</v>
      </c>
      <c r="Y4988" s="6">
        <f t="shared" si="88"/>
        <v>0.33255375505322471</v>
      </c>
      <c r="Z4988">
        <f>1.324-X4988</f>
        <v>0.19200000000000017</v>
      </c>
      <c r="AA4988" s="6"/>
      <c r="AB4988" s="6"/>
    </row>
    <row r="4989" spans="1:28" x14ac:dyDescent="0.2">
      <c r="A4989" t="s">
        <v>575</v>
      </c>
      <c r="B4989">
        <v>2015</v>
      </c>
      <c r="C4989" t="s">
        <v>826</v>
      </c>
      <c r="D4989" t="s">
        <v>824</v>
      </c>
      <c r="E4989" t="s">
        <v>48</v>
      </c>
      <c r="F4989" t="s">
        <v>576</v>
      </c>
      <c r="G4989">
        <v>44.477347000000002</v>
      </c>
      <c r="H4989">
        <v>-63.546725000000002</v>
      </c>
      <c r="I4989" t="s">
        <v>771</v>
      </c>
      <c r="J4989" s="2" t="s">
        <v>7</v>
      </c>
      <c r="K4989" t="s">
        <v>579</v>
      </c>
      <c r="L4989" t="s">
        <v>144</v>
      </c>
      <c r="M4989" s="6" t="s">
        <v>663</v>
      </c>
      <c r="N4989" t="s">
        <v>85</v>
      </c>
      <c r="O4989" s="6" t="s">
        <v>582</v>
      </c>
      <c r="P4989" t="s">
        <v>581</v>
      </c>
      <c r="Q4989">
        <v>21</v>
      </c>
      <c r="R4989" t="s">
        <v>213</v>
      </c>
      <c r="S4989" s="2" t="s">
        <v>7</v>
      </c>
      <c r="T4989">
        <v>3</v>
      </c>
      <c r="U4989" t="s">
        <v>28</v>
      </c>
      <c r="V4989" t="s">
        <v>28</v>
      </c>
      <c r="W4989">
        <v>11.6</v>
      </c>
      <c r="X4989">
        <v>2.6349999999999998</v>
      </c>
      <c r="Y4989" s="6">
        <f t="shared" si="88"/>
        <v>1.3180906645599157</v>
      </c>
      <c r="Z4989">
        <f>3.396-X4989</f>
        <v>0.76100000000000012</v>
      </c>
      <c r="AA4989" s="6"/>
      <c r="AB4989" s="6"/>
    </row>
    <row r="4990" spans="1:28" x14ac:dyDescent="0.2">
      <c r="A4990" t="s">
        <v>575</v>
      </c>
      <c r="B4990">
        <v>2015</v>
      </c>
      <c r="C4990" t="s">
        <v>826</v>
      </c>
      <c r="D4990" t="s">
        <v>824</v>
      </c>
      <c r="E4990" t="s">
        <v>48</v>
      </c>
      <c r="F4990" t="s">
        <v>576</v>
      </c>
      <c r="G4990">
        <v>44.477347000000002</v>
      </c>
      <c r="H4990">
        <v>-63.546725000000002</v>
      </c>
      <c r="I4990" t="s">
        <v>771</v>
      </c>
      <c r="J4990" s="2" t="s">
        <v>14</v>
      </c>
      <c r="K4990" t="s">
        <v>579</v>
      </c>
      <c r="L4990" t="s">
        <v>144</v>
      </c>
      <c r="M4990" s="6" t="s">
        <v>663</v>
      </c>
      <c r="N4990" t="s">
        <v>85</v>
      </c>
      <c r="O4990" s="6" t="s">
        <v>582</v>
      </c>
      <c r="P4990" t="s">
        <v>581</v>
      </c>
      <c r="Q4990">
        <v>21</v>
      </c>
      <c r="R4990" t="s">
        <v>213</v>
      </c>
      <c r="S4990" s="2" t="s">
        <v>9</v>
      </c>
      <c r="T4990">
        <v>3</v>
      </c>
      <c r="U4990" t="s">
        <v>28</v>
      </c>
      <c r="V4990" t="s">
        <v>28</v>
      </c>
      <c r="W4990">
        <v>14.4</v>
      </c>
      <c r="X4990">
        <v>1.4350000000000001</v>
      </c>
      <c r="Y4990" s="6">
        <f t="shared" si="88"/>
        <v>0.51441908984795637</v>
      </c>
      <c r="Z4990">
        <f>1.732-X4990</f>
        <v>0.29699999999999993</v>
      </c>
      <c r="AA4990" s="6"/>
      <c r="AB4990" s="6"/>
    </row>
    <row r="4991" spans="1:28" x14ac:dyDescent="0.2">
      <c r="A4991" t="s">
        <v>575</v>
      </c>
      <c r="B4991">
        <v>2015</v>
      </c>
      <c r="C4991" t="s">
        <v>826</v>
      </c>
      <c r="D4991" t="s">
        <v>824</v>
      </c>
      <c r="E4991" t="s">
        <v>48</v>
      </c>
      <c r="F4991" t="s">
        <v>576</v>
      </c>
      <c r="G4991">
        <v>44.477347000000002</v>
      </c>
      <c r="H4991">
        <v>-63.546725000000002</v>
      </c>
      <c r="I4991" t="s">
        <v>771</v>
      </c>
      <c r="J4991" s="2" t="s">
        <v>14</v>
      </c>
      <c r="K4991" t="s">
        <v>579</v>
      </c>
      <c r="L4991" t="s">
        <v>144</v>
      </c>
      <c r="M4991" s="6" t="s">
        <v>663</v>
      </c>
      <c r="N4991" t="s">
        <v>85</v>
      </c>
      <c r="O4991" s="6" t="s">
        <v>582</v>
      </c>
      <c r="P4991" t="s">
        <v>581</v>
      </c>
      <c r="Q4991">
        <v>21</v>
      </c>
      <c r="R4991" t="s">
        <v>213</v>
      </c>
      <c r="S4991" s="2" t="s">
        <v>27</v>
      </c>
      <c r="T4991">
        <v>3</v>
      </c>
      <c r="U4991" t="s">
        <v>28</v>
      </c>
      <c r="V4991" t="s">
        <v>28</v>
      </c>
      <c r="W4991">
        <v>18.2</v>
      </c>
      <c r="X4991">
        <v>1.7070000000000001</v>
      </c>
      <c r="Y4991" s="6">
        <f t="shared" si="88"/>
        <v>2.2516660498395232E-2</v>
      </c>
      <c r="Z4991">
        <f>1.72-X4991</f>
        <v>1.2999999999999901E-2</v>
      </c>
      <c r="AA4991" s="6"/>
      <c r="AB4991" s="6"/>
    </row>
    <row r="4992" spans="1:28" x14ac:dyDescent="0.2">
      <c r="A4992" t="s">
        <v>575</v>
      </c>
      <c r="B4992">
        <v>2015</v>
      </c>
      <c r="C4992" t="s">
        <v>805</v>
      </c>
      <c r="D4992" t="s">
        <v>806</v>
      </c>
      <c r="E4992" t="s">
        <v>577</v>
      </c>
      <c r="F4992" t="s">
        <v>576</v>
      </c>
      <c r="G4992">
        <v>44.477347000000002</v>
      </c>
      <c r="H4992">
        <v>-63.546725000000002</v>
      </c>
      <c r="I4992" t="s">
        <v>771</v>
      </c>
      <c r="J4992" s="2" t="s">
        <v>7</v>
      </c>
      <c r="K4992" t="s">
        <v>578</v>
      </c>
      <c r="L4992" t="s">
        <v>144</v>
      </c>
      <c r="M4992" t="s">
        <v>663</v>
      </c>
      <c r="N4992" t="s">
        <v>85</v>
      </c>
      <c r="O4992" s="6" t="s">
        <v>583</v>
      </c>
      <c r="P4992" t="s">
        <v>584</v>
      </c>
      <c r="Q4992">
        <v>7</v>
      </c>
      <c r="R4992" t="s">
        <v>213</v>
      </c>
      <c r="S4992" s="2" t="s">
        <v>7</v>
      </c>
      <c r="T4992">
        <v>3</v>
      </c>
      <c r="U4992" t="s">
        <v>28</v>
      </c>
      <c r="V4992" t="s">
        <v>28</v>
      </c>
      <c r="W4992">
        <v>11.6</v>
      </c>
      <c r="X4992">
        <v>25.6</v>
      </c>
      <c r="Y4992" s="6">
        <f t="shared" si="88"/>
        <v>5.2827549630850701</v>
      </c>
      <c r="Z4992">
        <f>28.65-X4992</f>
        <v>3.0499999999999972</v>
      </c>
      <c r="AA4992" s="6"/>
      <c r="AB4992" s="6"/>
    </row>
    <row r="4993" spans="1:28" x14ac:dyDescent="0.2">
      <c r="A4993" t="s">
        <v>575</v>
      </c>
      <c r="B4993">
        <v>2015</v>
      </c>
      <c r="C4993" t="s">
        <v>805</v>
      </c>
      <c r="D4993" t="s">
        <v>806</v>
      </c>
      <c r="E4993" t="s">
        <v>577</v>
      </c>
      <c r="F4993" t="s">
        <v>576</v>
      </c>
      <c r="G4993">
        <v>44.477347000000002</v>
      </c>
      <c r="H4993">
        <v>-63.546725000000002</v>
      </c>
      <c r="I4993" t="s">
        <v>771</v>
      </c>
      <c r="J4993" s="2" t="s">
        <v>14</v>
      </c>
      <c r="K4993" t="s">
        <v>578</v>
      </c>
      <c r="L4993" t="s">
        <v>144</v>
      </c>
      <c r="M4993" t="s">
        <v>663</v>
      </c>
      <c r="N4993" t="s">
        <v>85</v>
      </c>
      <c r="O4993" s="6" t="s">
        <v>583</v>
      </c>
      <c r="P4993" t="s">
        <v>584</v>
      </c>
      <c r="Q4993">
        <v>7</v>
      </c>
      <c r="R4993" t="s">
        <v>214</v>
      </c>
      <c r="S4993" s="2" t="s">
        <v>9</v>
      </c>
      <c r="T4993">
        <v>3</v>
      </c>
      <c r="U4993" t="s">
        <v>28</v>
      </c>
      <c r="V4993" t="s">
        <v>28</v>
      </c>
      <c r="W4993">
        <v>14.4</v>
      </c>
      <c r="X4993">
        <v>21.49</v>
      </c>
      <c r="Y4993" s="6">
        <f t="shared" si="88"/>
        <v>4.0703193977868635</v>
      </c>
      <c r="Z4993">
        <f>23.84-X4993</f>
        <v>2.3500000000000014</v>
      </c>
      <c r="AA4993" s="6"/>
      <c r="AB4993" s="6"/>
    </row>
    <row r="4994" spans="1:28" x14ac:dyDescent="0.2">
      <c r="A4994" t="s">
        <v>575</v>
      </c>
      <c r="B4994">
        <v>2015</v>
      </c>
      <c r="C4994" t="s">
        <v>805</v>
      </c>
      <c r="D4994" t="s">
        <v>806</v>
      </c>
      <c r="E4994" t="s">
        <v>577</v>
      </c>
      <c r="F4994" t="s">
        <v>576</v>
      </c>
      <c r="G4994">
        <v>44.477347000000002</v>
      </c>
      <c r="H4994">
        <v>-63.546725000000002</v>
      </c>
      <c r="I4994" t="s">
        <v>771</v>
      </c>
      <c r="J4994" s="2" t="s">
        <v>14</v>
      </c>
      <c r="K4994" t="s">
        <v>578</v>
      </c>
      <c r="L4994" t="s">
        <v>144</v>
      </c>
      <c r="M4994" t="s">
        <v>663</v>
      </c>
      <c r="N4994" t="s">
        <v>85</v>
      </c>
      <c r="O4994" s="6" t="s">
        <v>583</v>
      </c>
      <c r="P4994" t="s">
        <v>584</v>
      </c>
      <c r="Q4994">
        <v>7</v>
      </c>
      <c r="R4994" t="s">
        <v>214</v>
      </c>
      <c r="S4994" s="2" t="s">
        <v>27</v>
      </c>
      <c r="T4994">
        <v>3</v>
      </c>
      <c r="U4994" t="s">
        <v>28</v>
      </c>
      <c r="V4994" t="s">
        <v>28</v>
      </c>
      <c r="W4994">
        <v>18.2</v>
      </c>
      <c r="X4994">
        <v>23.37</v>
      </c>
      <c r="Y4994" s="6">
        <f t="shared" si="88"/>
        <v>6.3046649395507144</v>
      </c>
      <c r="Z4994">
        <f>27.01-X4994</f>
        <v>3.6400000000000006</v>
      </c>
      <c r="AA4994" s="6"/>
      <c r="AB4994" s="6"/>
    </row>
    <row r="4995" spans="1:28" x14ac:dyDescent="0.2">
      <c r="A4995" t="s">
        <v>575</v>
      </c>
      <c r="B4995">
        <v>2015</v>
      </c>
      <c r="C4995" t="s">
        <v>805</v>
      </c>
      <c r="D4995" t="s">
        <v>806</v>
      </c>
      <c r="E4995" t="s">
        <v>577</v>
      </c>
      <c r="F4995" t="s">
        <v>576</v>
      </c>
      <c r="G4995">
        <v>44.477347000000002</v>
      </c>
      <c r="H4995">
        <v>-63.546725000000002</v>
      </c>
      <c r="I4995" t="s">
        <v>771</v>
      </c>
      <c r="J4995" s="2" t="s">
        <v>14</v>
      </c>
      <c r="K4995" t="s">
        <v>578</v>
      </c>
      <c r="L4995" t="s">
        <v>144</v>
      </c>
      <c r="M4995" t="s">
        <v>663</v>
      </c>
      <c r="N4995" t="s">
        <v>85</v>
      </c>
      <c r="O4995" s="6" t="s">
        <v>583</v>
      </c>
      <c r="P4995" t="s">
        <v>584</v>
      </c>
      <c r="Q4995">
        <v>7</v>
      </c>
      <c r="R4995" t="s">
        <v>213</v>
      </c>
      <c r="S4995" s="2" t="s">
        <v>13</v>
      </c>
      <c r="T4995">
        <v>3</v>
      </c>
      <c r="U4995" t="s">
        <v>28</v>
      </c>
      <c r="V4995" t="s">
        <v>28</v>
      </c>
      <c r="W4995">
        <v>20.8</v>
      </c>
      <c r="X4995">
        <v>21.25</v>
      </c>
      <c r="Y4995" s="6">
        <f t="shared" si="88"/>
        <v>4.6765371804359672</v>
      </c>
      <c r="Z4995">
        <f>23.95-X4995</f>
        <v>2.6999999999999993</v>
      </c>
      <c r="AA4995" s="6"/>
      <c r="AB4995" s="6"/>
    </row>
    <row r="4996" spans="1:28" x14ac:dyDescent="0.2">
      <c r="A4996" t="s">
        <v>575</v>
      </c>
      <c r="B4996">
        <v>2015</v>
      </c>
      <c r="C4996" t="s">
        <v>805</v>
      </c>
      <c r="D4996" t="s">
        <v>806</v>
      </c>
      <c r="E4996" t="s">
        <v>577</v>
      </c>
      <c r="F4996" t="s">
        <v>576</v>
      </c>
      <c r="G4996">
        <v>44.477347000000002</v>
      </c>
      <c r="H4996">
        <v>-63.546725000000002</v>
      </c>
      <c r="I4996" t="s">
        <v>771</v>
      </c>
      <c r="J4996" s="2" t="s">
        <v>7</v>
      </c>
      <c r="K4996" t="s">
        <v>578</v>
      </c>
      <c r="L4996" t="s">
        <v>144</v>
      </c>
      <c r="M4996" t="s">
        <v>663</v>
      </c>
      <c r="N4996" t="s">
        <v>85</v>
      </c>
      <c r="O4996" s="6" t="s">
        <v>583</v>
      </c>
      <c r="P4996" t="s">
        <v>584</v>
      </c>
      <c r="Q4996">
        <v>14</v>
      </c>
      <c r="R4996" t="s">
        <v>214</v>
      </c>
      <c r="S4996" s="2" t="s">
        <v>7</v>
      </c>
      <c r="T4996">
        <v>3</v>
      </c>
      <c r="U4996" t="s">
        <v>28</v>
      </c>
      <c r="V4996" t="s">
        <v>28</v>
      </c>
      <c r="W4996">
        <v>11.6</v>
      </c>
      <c r="X4996">
        <v>23.25</v>
      </c>
      <c r="Y4996" s="6">
        <f t="shared" si="88"/>
        <v>9.9592921435210435</v>
      </c>
      <c r="Z4996">
        <f>29-X4996</f>
        <v>5.75</v>
      </c>
      <c r="AA4996" s="6"/>
      <c r="AB4996" s="6"/>
    </row>
    <row r="4997" spans="1:28" x14ac:dyDescent="0.2">
      <c r="A4997" t="s">
        <v>575</v>
      </c>
      <c r="B4997">
        <v>2015</v>
      </c>
      <c r="C4997" t="s">
        <v>805</v>
      </c>
      <c r="D4997" t="s">
        <v>806</v>
      </c>
      <c r="E4997" t="s">
        <v>577</v>
      </c>
      <c r="F4997" t="s">
        <v>576</v>
      </c>
      <c r="G4997">
        <v>44.477347000000002</v>
      </c>
      <c r="H4997">
        <v>-63.546725000000002</v>
      </c>
      <c r="I4997" t="s">
        <v>771</v>
      </c>
      <c r="J4997" s="2" t="s">
        <v>14</v>
      </c>
      <c r="K4997" t="s">
        <v>578</v>
      </c>
      <c r="L4997" t="s">
        <v>144</v>
      </c>
      <c r="M4997" t="s">
        <v>663</v>
      </c>
      <c r="N4997" t="s">
        <v>85</v>
      </c>
      <c r="O4997" s="6" t="s">
        <v>583</v>
      </c>
      <c r="P4997" t="s">
        <v>584</v>
      </c>
      <c r="Q4997">
        <v>14</v>
      </c>
      <c r="R4997" t="s">
        <v>214</v>
      </c>
      <c r="S4997" s="2" t="s">
        <v>9</v>
      </c>
      <c r="T4997">
        <v>3</v>
      </c>
      <c r="U4997" t="s">
        <v>28</v>
      </c>
      <c r="V4997" t="s">
        <v>28</v>
      </c>
      <c r="W4997">
        <v>14.4</v>
      </c>
      <c r="X4997">
        <v>11.98</v>
      </c>
      <c r="Y4997" s="6">
        <f t="shared" si="88"/>
        <v>6.4951905283832891</v>
      </c>
      <c r="Z4997">
        <f>15.73-X4997</f>
        <v>3.75</v>
      </c>
      <c r="AA4997" s="6"/>
      <c r="AB4997" s="6"/>
    </row>
    <row r="4998" spans="1:28" x14ac:dyDescent="0.2">
      <c r="A4998" t="s">
        <v>575</v>
      </c>
      <c r="B4998">
        <v>2015</v>
      </c>
      <c r="C4998" t="s">
        <v>805</v>
      </c>
      <c r="D4998" t="s">
        <v>806</v>
      </c>
      <c r="E4998" t="s">
        <v>577</v>
      </c>
      <c r="F4998" t="s">
        <v>576</v>
      </c>
      <c r="G4998">
        <v>44.477347000000002</v>
      </c>
      <c r="H4998">
        <v>-63.546725000000002</v>
      </c>
      <c r="I4998" t="s">
        <v>771</v>
      </c>
      <c r="J4998" s="2" t="s">
        <v>14</v>
      </c>
      <c r="K4998" t="s">
        <v>578</v>
      </c>
      <c r="L4998" t="s">
        <v>144</v>
      </c>
      <c r="M4998" t="s">
        <v>663</v>
      </c>
      <c r="N4998" t="s">
        <v>85</v>
      </c>
      <c r="O4998" s="6" t="s">
        <v>583</v>
      </c>
      <c r="P4998" t="s">
        <v>584</v>
      </c>
      <c r="Q4998">
        <v>14</v>
      </c>
      <c r="R4998" t="s">
        <v>214</v>
      </c>
      <c r="S4998" s="2" t="s">
        <v>27</v>
      </c>
      <c r="T4998">
        <v>3</v>
      </c>
      <c r="U4998" t="s">
        <v>28</v>
      </c>
      <c r="V4998" t="s">
        <v>28</v>
      </c>
      <c r="W4998">
        <v>18.2</v>
      </c>
      <c r="X4998">
        <v>15.26</v>
      </c>
      <c r="Y4998" s="6">
        <f t="shared" ref="Y4998:Y5029" si="89">Z4998*SQRT(T4998)</f>
        <v>4.278165494695128</v>
      </c>
      <c r="Z4998">
        <f>17.73-X4998</f>
        <v>2.4700000000000006</v>
      </c>
      <c r="AA4998" s="6"/>
      <c r="AB4998" s="6"/>
    </row>
    <row r="4999" spans="1:28" x14ac:dyDescent="0.2">
      <c r="A4999" t="s">
        <v>575</v>
      </c>
      <c r="B4999">
        <v>2015</v>
      </c>
      <c r="C4999" t="s">
        <v>805</v>
      </c>
      <c r="D4999" t="s">
        <v>806</v>
      </c>
      <c r="E4999" t="s">
        <v>577</v>
      </c>
      <c r="F4999" t="s">
        <v>576</v>
      </c>
      <c r="G4999">
        <v>44.477347000000002</v>
      </c>
      <c r="H4999">
        <v>-63.546725000000002</v>
      </c>
      <c r="I4999" t="s">
        <v>771</v>
      </c>
      <c r="J4999" s="2" t="s">
        <v>7</v>
      </c>
      <c r="K4999" t="s">
        <v>578</v>
      </c>
      <c r="L4999" t="s">
        <v>144</v>
      </c>
      <c r="M4999" t="s">
        <v>663</v>
      </c>
      <c r="N4999" t="s">
        <v>85</v>
      </c>
      <c r="O4999" s="6" t="s">
        <v>583</v>
      </c>
      <c r="P4999" t="s">
        <v>584</v>
      </c>
      <c r="Q4999">
        <v>21</v>
      </c>
      <c r="R4999" t="s">
        <v>213</v>
      </c>
      <c r="S4999" s="2" t="s">
        <v>7</v>
      </c>
      <c r="T4999">
        <v>3</v>
      </c>
      <c r="U4999" t="s">
        <v>28</v>
      </c>
      <c r="V4999" t="s">
        <v>28</v>
      </c>
      <c r="W4999">
        <v>11.6</v>
      </c>
      <c r="X4999">
        <v>22.43</v>
      </c>
      <c r="Y4999" s="6">
        <f t="shared" si="89"/>
        <v>2.6327172275046924</v>
      </c>
      <c r="Z4999">
        <f>23.95-X4999</f>
        <v>1.5199999999999996</v>
      </c>
      <c r="AA4999" s="6"/>
      <c r="AB4999" s="6"/>
    </row>
    <row r="5000" spans="1:28" x14ac:dyDescent="0.2">
      <c r="A5000" t="s">
        <v>575</v>
      </c>
      <c r="B5000">
        <v>2015</v>
      </c>
      <c r="C5000" t="s">
        <v>805</v>
      </c>
      <c r="D5000" t="s">
        <v>806</v>
      </c>
      <c r="E5000" t="s">
        <v>577</v>
      </c>
      <c r="F5000" t="s">
        <v>576</v>
      </c>
      <c r="G5000">
        <v>44.477347000000002</v>
      </c>
      <c r="H5000">
        <v>-63.546725000000002</v>
      </c>
      <c r="I5000" t="s">
        <v>771</v>
      </c>
      <c r="J5000" s="2" t="s">
        <v>14</v>
      </c>
      <c r="K5000" t="s">
        <v>578</v>
      </c>
      <c r="L5000" t="s">
        <v>144</v>
      </c>
      <c r="M5000" t="s">
        <v>663</v>
      </c>
      <c r="N5000" t="s">
        <v>85</v>
      </c>
      <c r="O5000" s="6" t="s">
        <v>583</v>
      </c>
      <c r="P5000" t="s">
        <v>584</v>
      </c>
      <c r="Q5000">
        <v>21</v>
      </c>
      <c r="R5000" t="s">
        <v>213</v>
      </c>
      <c r="S5000" s="2" t="s">
        <v>9</v>
      </c>
      <c r="T5000">
        <v>3</v>
      </c>
      <c r="U5000" t="s">
        <v>28</v>
      </c>
      <c r="V5000" t="s">
        <v>28</v>
      </c>
      <c r="W5000">
        <v>14.4</v>
      </c>
      <c r="X5000">
        <v>21.14</v>
      </c>
      <c r="Y5000" s="6">
        <f t="shared" si="89"/>
        <v>8.1233182874980301</v>
      </c>
      <c r="Z5000">
        <f>25.83-X5000</f>
        <v>4.6899999999999977</v>
      </c>
      <c r="AA5000" s="6"/>
      <c r="AB5000" s="6"/>
    </row>
    <row r="5001" spans="1:28" x14ac:dyDescent="0.2">
      <c r="A5001" t="s">
        <v>575</v>
      </c>
      <c r="B5001">
        <v>2015</v>
      </c>
      <c r="C5001" t="s">
        <v>805</v>
      </c>
      <c r="D5001" t="s">
        <v>806</v>
      </c>
      <c r="E5001" t="s">
        <v>577</v>
      </c>
      <c r="F5001" t="s">
        <v>576</v>
      </c>
      <c r="G5001">
        <v>44.477347000000002</v>
      </c>
      <c r="H5001">
        <v>-63.546725000000002</v>
      </c>
      <c r="I5001" t="s">
        <v>771</v>
      </c>
      <c r="J5001" s="2" t="s">
        <v>14</v>
      </c>
      <c r="K5001" t="s">
        <v>578</v>
      </c>
      <c r="L5001" t="s">
        <v>144</v>
      </c>
      <c r="M5001" t="s">
        <v>663</v>
      </c>
      <c r="N5001" t="s">
        <v>85</v>
      </c>
      <c r="O5001" s="6" t="s">
        <v>583</v>
      </c>
      <c r="P5001" t="s">
        <v>584</v>
      </c>
      <c r="Q5001">
        <v>21</v>
      </c>
      <c r="R5001" t="s">
        <v>213</v>
      </c>
      <c r="S5001" s="2" t="s">
        <v>27</v>
      </c>
      <c r="T5001">
        <v>3</v>
      </c>
      <c r="U5001" t="s">
        <v>28</v>
      </c>
      <c r="V5001" t="s">
        <v>28</v>
      </c>
      <c r="W5001">
        <v>18.2</v>
      </c>
      <c r="X5001">
        <v>12.45</v>
      </c>
      <c r="Y5001" s="6">
        <f t="shared" si="89"/>
        <v>21.7545581430651</v>
      </c>
      <c r="Z5001">
        <f>25.01-X5001</f>
        <v>12.560000000000002</v>
      </c>
      <c r="AA5001" s="6"/>
      <c r="AB5001" s="6"/>
    </row>
    <row r="5002" spans="1:28" x14ac:dyDescent="0.2">
      <c r="A5002" t="s">
        <v>575</v>
      </c>
      <c r="B5002">
        <v>2015</v>
      </c>
      <c r="C5002" t="s">
        <v>816</v>
      </c>
      <c r="D5002" t="s">
        <v>817</v>
      </c>
      <c r="E5002" t="s">
        <v>31</v>
      </c>
      <c r="F5002" t="s">
        <v>576</v>
      </c>
      <c r="G5002">
        <v>44.477347000000002</v>
      </c>
      <c r="H5002">
        <v>-63.546725000000002</v>
      </c>
      <c r="I5002" t="s">
        <v>771</v>
      </c>
      <c r="J5002" s="2" t="s">
        <v>7</v>
      </c>
      <c r="K5002" t="s">
        <v>578</v>
      </c>
      <c r="L5002" t="s">
        <v>144</v>
      </c>
      <c r="M5002" t="s">
        <v>663</v>
      </c>
      <c r="N5002" t="s">
        <v>85</v>
      </c>
      <c r="O5002" s="6" t="s">
        <v>583</v>
      </c>
      <c r="P5002" t="s">
        <v>584</v>
      </c>
      <c r="Q5002">
        <v>7</v>
      </c>
      <c r="R5002" t="s">
        <v>213</v>
      </c>
      <c r="S5002" s="2" t="s">
        <v>7</v>
      </c>
      <c r="T5002">
        <v>3</v>
      </c>
      <c r="U5002" t="s">
        <v>28</v>
      </c>
      <c r="V5002" t="s">
        <v>28</v>
      </c>
      <c r="W5002">
        <v>11.6</v>
      </c>
      <c r="X5002">
        <v>32.520000000000003</v>
      </c>
      <c r="Y5002" s="6">
        <f t="shared" si="89"/>
        <v>20.143750892026034</v>
      </c>
      <c r="Z5002">
        <f>44.15-X5002</f>
        <v>11.629999999999995</v>
      </c>
      <c r="AA5002" s="6"/>
      <c r="AB5002" s="6"/>
    </row>
    <row r="5003" spans="1:28" x14ac:dyDescent="0.2">
      <c r="A5003" t="s">
        <v>575</v>
      </c>
      <c r="B5003">
        <v>2015</v>
      </c>
      <c r="C5003" t="s">
        <v>816</v>
      </c>
      <c r="D5003" t="s">
        <v>817</v>
      </c>
      <c r="E5003" t="s">
        <v>31</v>
      </c>
      <c r="F5003" t="s">
        <v>576</v>
      </c>
      <c r="G5003">
        <v>44.477347000000002</v>
      </c>
      <c r="H5003">
        <v>-63.546725000000002</v>
      </c>
      <c r="I5003" t="s">
        <v>771</v>
      </c>
      <c r="J5003" s="2" t="s">
        <v>14</v>
      </c>
      <c r="K5003" t="s">
        <v>578</v>
      </c>
      <c r="L5003" t="s">
        <v>144</v>
      </c>
      <c r="M5003" t="s">
        <v>663</v>
      </c>
      <c r="N5003" t="s">
        <v>85</v>
      </c>
      <c r="O5003" s="6" t="s">
        <v>583</v>
      </c>
      <c r="P5003" t="s">
        <v>584</v>
      </c>
      <c r="Q5003">
        <v>7</v>
      </c>
      <c r="R5003" t="s">
        <v>214</v>
      </c>
      <c r="S5003" s="2" t="s">
        <v>9</v>
      </c>
      <c r="T5003">
        <v>3</v>
      </c>
      <c r="U5003" t="s">
        <v>28</v>
      </c>
      <c r="V5003" t="s">
        <v>28</v>
      </c>
      <c r="W5003">
        <v>14.4</v>
      </c>
      <c r="X5003">
        <v>45.79</v>
      </c>
      <c r="Y5003" s="6">
        <f t="shared" si="89"/>
        <v>32.129542480402677</v>
      </c>
      <c r="Z5003">
        <f>64.34-X5003</f>
        <v>18.550000000000004</v>
      </c>
      <c r="AA5003" s="6"/>
      <c r="AB5003" s="6"/>
    </row>
    <row r="5004" spans="1:28" x14ac:dyDescent="0.2">
      <c r="A5004" t="s">
        <v>575</v>
      </c>
      <c r="B5004">
        <v>2015</v>
      </c>
      <c r="C5004" t="s">
        <v>816</v>
      </c>
      <c r="D5004" t="s">
        <v>817</v>
      </c>
      <c r="E5004" t="s">
        <v>31</v>
      </c>
      <c r="F5004" t="s">
        <v>576</v>
      </c>
      <c r="G5004">
        <v>44.477347000000002</v>
      </c>
      <c r="H5004">
        <v>-63.546725000000002</v>
      </c>
      <c r="I5004" t="s">
        <v>771</v>
      </c>
      <c r="J5004" s="2" t="s">
        <v>14</v>
      </c>
      <c r="K5004" t="s">
        <v>578</v>
      </c>
      <c r="L5004" t="s">
        <v>144</v>
      </c>
      <c r="M5004" t="s">
        <v>663</v>
      </c>
      <c r="N5004" t="s">
        <v>85</v>
      </c>
      <c r="O5004" s="6" t="s">
        <v>583</v>
      </c>
      <c r="P5004" t="s">
        <v>584</v>
      </c>
      <c r="Q5004">
        <v>7</v>
      </c>
      <c r="R5004" t="s">
        <v>214</v>
      </c>
      <c r="S5004" s="2" t="s">
        <v>27</v>
      </c>
      <c r="T5004">
        <v>3</v>
      </c>
      <c r="U5004" t="s">
        <v>28</v>
      </c>
      <c r="V5004" t="s">
        <v>28</v>
      </c>
      <c r="W5004">
        <v>18.2</v>
      </c>
      <c r="X5004">
        <v>35.340000000000003</v>
      </c>
      <c r="Y5004" s="6">
        <f t="shared" si="89"/>
        <v>26.846787517317598</v>
      </c>
      <c r="Z5004">
        <f>50.84-X5004</f>
        <v>15.5</v>
      </c>
      <c r="AA5004" s="6"/>
      <c r="AB5004" s="6"/>
    </row>
    <row r="5005" spans="1:28" x14ac:dyDescent="0.2">
      <c r="A5005" t="s">
        <v>575</v>
      </c>
      <c r="B5005">
        <v>2015</v>
      </c>
      <c r="C5005" t="s">
        <v>816</v>
      </c>
      <c r="D5005" t="s">
        <v>817</v>
      </c>
      <c r="E5005" t="s">
        <v>31</v>
      </c>
      <c r="F5005" t="s">
        <v>576</v>
      </c>
      <c r="G5005">
        <v>44.477347000000002</v>
      </c>
      <c r="H5005">
        <v>-63.546725000000002</v>
      </c>
      <c r="I5005" t="s">
        <v>771</v>
      </c>
      <c r="J5005" s="2" t="s">
        <v>14</v>
      </c>
      <c r="K5005" t="s">
        <v>578</v>
      </c>
      <c r="L5005" t="s">
        <v>144</v>
      </c>
      <c r="M5005" t="s">
        <v>663</v>
      </c>
      <c r="N5005" t="s">
        <v>85</v>
      </c>
      <c r="O5005" s="6" t="s">
        <v>583</v>
      </c>
      <c r="P5005" t="s">
        <v>584</v>
      </c>
      <c r="Q5005">
        <v>7</v>
      </c>
      <c r="R5005" t="s">
        <v>213</v>
      </c>
      <c r="S5005" s="2" t="s">
        <v>13</v>
      </c>
      <c r="T5005">
        <v>3</v>
      </c>
      <c r="U5005" t="s">
        <v>28</v>
      </c>
      <c r="V5005" t="s">
        <v>28</v>
      </c>
      <c r="W5005">
        <v>20.8</v>
      </c>
      <c r="X5005">
        <v>12.56</v>
      </c>
      <c r="Y5005" s="6">
        <f t="shared" si="89"/>
        <v>4.0703193977868608</v>
      </c>
      <c r="Z5005">
        <f>14.91-X5005</f>
        <v>2.3499999999999996</v>
      </c>
      <c r="AA5005" s="6"/>
      <c r="AB5005" s="6"/>
    </row>
    <row r="5006" spans="1:28" x14ac:dyDescent="0.2">
      <c r="A5006" t="s">
        <v>575</v>
      </c>
      <c r="B5006">
        <v>2015</v>
      </c>
      <c r="C5006" t="s">
        <v>816</v>
      </c>
      <c r="D5006" t="s">
        <v>817</v>
      </c>
      <c r="E5006" t="s">
        <v>31</v>
      </c>
      <c r="F5006" t="s">
        <v>576</v>
      </c>
      <c r="G5006">
        <v>44.477347000000002</v>
      </c>
      <c r="H5006">
        <v>-63.546725000000002</v>
      </c>
      <c r="I5006" t="s">
        <v>771</v>
      </c>
      <c r="J5006" s="2" t="s">
        <v>7</v>
      </c>
      <c r="K5006" t="s">
        <v>578</v>
      </c>
      <c r="L5006" t="s">
        <v>144</v>
      </c>
      <c r="M5006" t="s">
        <v>663</v>
      </c>
      <c r="N5006" t="s">
        <v>85</v>
      </c>
      <c r="O5006" s="6" t="s">
        <v>583</v>
      </c>
      <c r="P5006" t="s">
        <v>584</v>
      </c>
      <c r="Q5006">
        <v>14</v>
      </c>
      <c r="R5006" t="s">
        <v>214</v>
      </c>
      <c r="S5006" s="2" t="s">
        <v>7</v>
      </c>
      <c r="T5006">
        <v>3</v>
      </c>
      <c r="U5006" t="s">
        <v>28</v>
      </c>
      <c r="V5006" t="s">
        <v>28</v>
      </c>
      <c r="W5006">
        <v>11.6</v>
      </c>
      <c r="X5006">
        <v>31.23</v>
      </c>
      <c r="Y5006" s="6">
        <f t="shared" si="89"/>
        <v>19.935904795117779</v>
      </c>
      <c r="Z5006">
        <f>42.74-X5006</f>
        <v>11.510000000000002</v>
      </c>
      <c r="AA5006" s="6"/>
      <c r="AB5006" s="6"/>
    </row>
    <row r="5007" spans="1:28" x14ac:dyDescent="0.2">
      <c r="A5007" t="s">
        <v>575</v>
      </c>
      <c r="B5007">
        <v>2015</v>
      </c>
      <c r="C5007" t="s">
        <v>816</v>
      </c>
      <c r="D5007" t="s">
        <v>817</v>
      </c>
      <c r="E5007" t="s">
        <v>31</v>
      </c>
      <c r="F5007" t="s">
        <v>576</v>
      </c>
      <c r="G5007">
        <v>44.477347000000002</v>
      </c>
      <c r="H5007">
        <v>-63.546725000000002</v>
      </c>
      <c r="I5007" t="s">
        <v>771</v>
      </c>
      <c r="J5007" s="2" t="s">
        <v>14</v>
      </c>
      <c r="K5007" t="s">
        <v>578</v>
      </c>
      <c r="L5007" t="s">
        <v>144</v>
      </c>
      <c r="M5007" t="s">
        <v>663</v>
      </c>
      <c r="N5007" t="s">
        <v>85</v>
      </c>
      <c r="O5007" s="6" t="s">
        <v>583</v>
      </c>
      <c r="P5007" t="s">
        <v>584</v>
      </c>
      <c r="Q5007">
        <v>14</v>
      </c>
      <c r="R5007" t="s">
        <v>214</v>
      </c>
      <c r="S5007" s="2" t="s">
        <v>9</v>
      </c>
      <c r="T5007">
        <v>3</v>
      </c>
      <c r="U5007" t="s">
        <v>28</v>
      </c>
      <c r="V5007" t="s">
        <v>28</v>
      </c>
      <c r="W5007">
        <v>14.4</v>
      </c>
      <c r="X5007">
        <v>25.24</v>
      </c>
      <c r="Y5007" s="6">
        <f t="shared" si="89"/>
        <v>7.742267109832885</v>
      </c>
      <c r="Z5007">
        <f>29.71-X5007</f>
        <v>4.4700000000000024</v>
      </c>
      <c r="AA5007" s="6"/>
      <c r="AB5007" s="6"/>
    </row>
    <row r="5008" spans="1:28" x14ac:dyDescent="0.2">
      <c r="A5008" t="s">
        <v>575</v>
      </c>
      <c r="B5008">
        <v>2015</v>
      </c>
      <c r="C5008" t="s">
        <v>816</v>
      </c>
      <c r="D5008" t="s">
        <v>817</v>
      </c>
      <c r="E5008" t="s">
        <v>31</v>
      </c>
      <c r="F5008" t="s">
        <v>576</v>
      </c>
      <c r="G5008">
        <v>44.477347000000002</v>
      </c>
      <c r="H5008">
        <v>-63.546725000000002</v>
      </c>
      <c r="I5008" t="s">
        <v>771</v>
      </c>
      <c r="J5008" s="2" t="s">
        <v>14</v>
      </c>
      <c r="K5008" t="s">
        <v>578</v>
      </c>
      <c r="L5008" t="s">
        <v>144</v>
      </c>
      <c r="M5008" t="s">
        <v>663</v>
      </c>
      <c r="N5008" t="s">
        <v>85</v>
      </c>
      <c r="O5008" s="6" t="s">
        <v>583</v>
      </c>
      <c r="P5008" t="s">
        <v>584</v>
      </c>
      <c r="Q5008">
        <v>14</v>
      </c>
      <c r="R5008" t="s">
        <v>214</v>
      </c>
      <c r="S5008" s="2" t="s">
        <v>27</v>
      </c>
      <c r="T5008">
        <v>3</v>
      </c>
      <c r="U5008" t="s">
        <v>28</v>
      </c>
      <c r="V5008" t="s">
        <v>28</v>
      </c>
      <c r="W5008">
        <v>18.2</v>
      </c>
      <c r="X5008">
        <v>27.24</v>
      </c>
      <c r="Y5008" s="6">
        <f t="shared" si="89"/>
        <v>14.237457638216174</v>
      </c>
      <c r="Z5008">
        <f>35.46-X5008</f>
        <v>8.2200000000000024</v>
      </c>
      <c r="AA5008" s="6"/>
      <c r="AB5008" s="6"/>
    </row>
    <row r="5009" spans="1:28" x14ac:dyDescent="0.2">
      <c r="A5009" t="s">
        <v>575</v>
      </c>
      <c r="B5009">
        <v>2015</v>
      </c>
      <c r="C5009" t="s">
        <v>816</v>
      </c>
      <c r="D5009" t="s">
        <v>817</v>
      </c>
      <c r="E5009" t="s">
        <v>31</v>
      </c>
      <c r="F5009" t="s">
        <v>576</v>
      </c>
      <c r="G5009">
        <v>44.477347000000002</v>
      </c>
      <c r="H5009">
        <v>-63.546725000000002</v>
      </c>
      <c r="I5009" t="s">
        <v>771</v>
      </c>
      <c r="J5009" s="2" t="s">
        <v>7</v>
      </c>
      <c r="K5009" t="s">
        <v>578</v>
      </c>
      <c r="L5009" t="s">
        <v>144</v>
      </c>
      <c r="M5009" t="s">
        <v>663</v>
      </c>
      <c r="N5009" t="s">
        <v>85</v>
      </c>
      <c r="O5009" s="6" t="s">
        <v>583</v>
      </c>
      <c r="P5009" t="s">
        <v>584</v>
      </c>
      <c r="Q5009">
        <v>21</v>
      </c>
      <c r="R5009" t="s">
        <v>213</v>
      </c>
      <c r="S5009" s="2" t="s">
        <v>7</v>
      </c>
      <c r="T5009">
        <v>3</v>
      </c>
      <c r="U5009" t="s">
        <v>28</v>
      </c>
      <c r="V5009" t="s">
        <v>28</v>
      </c>
      <c r="W5009">
        <v>11.6</v>
      </c>
      <c r="X5009">
        <v>30.06</v>
      </c>
      <c r="Y5009" s="6">
        <f t="shared" si="89"/>
        <v>12.1936376852849</v>
      </c>
      <c r="Z5009">
        <f>37.1-X5009</f>
        <v>7.0400000000000027</v>
      </c>
      <c r="AA5009" s="6"/>
      <c r="AB5009" s="6"/>
    </row>
    <row r="5010" spans="1:28" x14ac:dyDescent="0.2">
      <c r="A5010" t="s">
        <v>575</v>
      </c>
      <c r="B5010">
        <v>2015</v>
      </c>
      <c r="C5010" t="s">
        <v>816</v>
      </c>
      <c r="D5010" t="s">
        <v>817</v>
      </c>
      <c r="E5010" t="s">
        <v>31</v>
      </c>
      <c r="F5010" t="s">
        <v>576</v>
      </c>
      <c r="G5010">
        <v>44.477347000000002</v>
      </c>
      <c r="H5010">
        <v>-63.546725000000002</v>
      </c>
      <c r="I5010" t="s">
        <v>771</v>
      </c>
      <c r="J5010" s="2" t="s">
        <v>14</v>
      </c>
      <c r="K5010" t="s">
        <v>578</v>
      </c>
      <c r="L5010" t="s">
        <v>144</v>
      </c>
      <c r="M5010" t="s">
        <v>663</v>
      </c>
      <c r="N5010" t="s">
        <v>85</v>
      </c>
      <c r="O5010" s="6" t="s">
        <v>583</v>
      </c>
      <c r="P5010" t="s">
        <v>584</v>
      </c>
      <c r="Q5010">
        <v>21</v>
      </c>
      <c r="R5010" t="s">
        <v>213</v>
      </c>
      <c r="S5010" s="2" t="s">
        <v>9</v>
      </c>
      <c r="T5010">
        <v>3</v>
      </c>
      <c r="U5010" t="s">
        <v>28</v>
      </c>
      <c r="V5010" t="s">
        <v>28</v>
      </c>
      <c r="W5010">
        <v>14.4</v>
      </c>
      <c r="X5010">
        <v>39.799999999999997</v>
      </c>
      <c r="Y5010" s="6">
        <f t="shared" si="89"/>
        <v>18.099930939094772</v>
      </c>
      <c r="Z5010">
        <f>50.25-X5010</f>
        <v>10.450000000000003</v>
      </c>
      <c r="AA5010" s="6"/>
      <c r="AB5010" s="6"/>
    </row>
    <row r="5011" spans="1:28" x14ac:dyDescent="0.2">
      <c r="A5011" t="s">
        <v>575</v>
      </c>
      <c r="B5011">
        <v>2015</v>
      </c>
      <c r="C5011" t="s">
        <v>816</v>
      </c>
      <c r="D5011" t="s">
        <v>817</v>
      </c>
      <c r="E5011" t="s">
        <v>31</v>
      </c>
      <c r="F5011" t="s">
        <v>576</v>
      </c>
      <c r="G5011">
        <v>44.477347000000002</v>
      </c>
      <c r="H5011">
        <v>-63.546725000000002</v>
      </c>
      <c r="I5011" t="s">
        <v>771</v>
      </c>
      <c r="J5011" s="2" t="s">
        <v>14</v>
      </c>
      <c r="K5011" t="s">
        <v>578</v>
      </c>
      <c r="L5011" t="s">
        <v>144</v>
      </c>
      <c r="M5011" t="s">
        <v>663</v>
      </c>
      <c r="N5011" t="s">
        <v>85</v>
      </c>
      <c r="O5011" s="6" t="s">
        <v>583</v>
      </c>
      <c r="P5011" t="s">
        <v>584</v>
      </c>
      <c r="Q5011">
        <v>21</v>
      </c>
      <c r="R5011" t="s">
        <v>213</v>
      </c>
      <c r="S5011" s="2" t="s">
        <v>27</v>
      </c>
      <c r="T5011">
        <v>3</v>
      </c>
      <c r="U5011" t="s">
        <v>28</v>
      </c>
      <c r="V5011" t="s">
        <v>28</v>
      </c>
      <c r="W5011">
        <v>18.2</v>
      </c>
      <c r="X5011">
        <v>12.8</v>
      </c>
      <c r="Y5011" s="6">
        <f t="shared" si="89"/>
        <v>11.587419902635785</v>
      </c>
      <c r="Z5011">
        <f>19.49-X5011</f>
        <v>6.6899999999999977</v>
      </c>
      <c r="AA5011" s="6"/>
      <c r="AB5011" s="6"/>
    </row>
    <row r="5012" spans="1:28" x14ac:dyDescent="0.2">
      <c r="A5012" t="s">
        <v>575</v>
      </c>
      <c r="B5012">
        <v>2015</v>
      </c>
      <c r="C5012" t="s">
        <v>826</v>
      </c>
      <c r="D5012" t="s">
        <v>824</v>
      </c>
      <c r="E5012" t="s">
        <v>48</v>
      </c>
      <c r="F5012" t="s">
        <v>576</v>
      </c>
      <c r="G5012">
        <v>44.477347000000002</v>
      </c>
      <c r="H5012">
        <v>-63.546725000000002</v>
      </c>
      <c r="I5012" t="s">
        <v>771</v>
      </c>
      <c r="J5012" s="2" t="s">
        <v>7</v>
      </c>
      <c r="K5012" t="s">
        <v>579</v>
      </c>
      <c r="L5012" t="s">
        <v>144</v>
      </c>
      <c r="M5012" t="s">
        <v>663</v>
      </c>
      <c r="N5012" t="s">
        <v>85</v>
      </c>
      <c r="O5012" s="6" t="s">
        <v>583</v>
      </c>
      <c r="P5012" t="s">
        <v>584</v>
      </c>
      <c r="Q5012">
        <v>7</v>
      </c>
      <c r="R5012" t="s">
        <v>213</v>
      </c>
      <c r="S5012" s="2" t="s">
        <v>7</v>
      </c>
      <c r="T5012">
        <v>3</v>
      </c>
      <c r="U5012" t="s">
        <v>28</v>
      </c>
      <c r="V5012" t="s">
        <v>28</v>
      </c>
      <c r="W5012">
        <v>11.6</v>
      </c>
      <c r="X5012">
        <v>44.85</v>
      </c>
      <c r="Y5012" s="6">
        <f t="shared" si="89"/>
        <v>15.467213711590073</v>
      </c>
      <c r="Z5012">
        <f>53.78-X5012</f>
        <v>8.93</v>
      </c>
      <c r="AA5012" s="6"/>
      <c r="AB5012" s="6"/>
    </row>
    <row r="5013" spans="1:28" x14ac:dyDescent="0.2">
      <c r="A5013" t="s">
        <v>575</v>
      </c>
      <c r="B5013">
        <v>2015</v>
      </c>
      <c r="C5013" t="s">
        <v>826</v>
      </c>
      <c r="D5013" t="s">
        <v>824</v>
      </c>
      <c r="E5013" t="s">
        <v>48</v>
      </c>
      <c r="F5013" t="s">
        <v>576</v>
      </c>
      <c r="G5013">
        <v>44.477347000000002</v>
      </c>
      <c r="H5013">
        <v>-63.546725000000002</v>
      </c>
      <c r="I5013" t="s">
        <v>771</v>
      </c>
      <c r="J5013" s="2" t="s">
        <v>14</v>
      </c>
      <c r="K5013" t="s">
        <v>579</v>
      </c>
      <c r="L5013" t="s">
        <v>144</v>
      </c>
      <c r="M5013" t="s">
        <v>663</v>
      </c>
      <c r="N5013" t="s">
        <v>85</v>
      </c>
      <c r="O5013" s="6" t="s">
        <v>583</v>
      </c>
      <c r="P5013" t="s">
        <v>584</v>
      </c>
      <c r="Q5013">
        <v>7</v>
      </c>
      <c r="R5013" t="s">
        <v>214</v>
      </c>
      <c r="S5013" s="2" t="s">
        <v>9</v>
      </c>
      <c r="T5013">
        <v>3</v>
      </c>
      <c r="U5013" t="s">
        <v>28</v>
      </c>
      <c r="V5013" t="s">
        <v>28</v>
      </c>
      <c r="W5013">
        <v>14.4</v>
      </c>
      <c r="X5013">
        <v>32.409999999999997</v>
      </c>
      <c r="Y5013" s="6">
        <f t="shared" si="89"/>
        <v>8.3311643844063035</v>
      </c>
      <c r="Z5013">
        <f>37.22-X5013</f>
        <v>4.8100000000000023</v>
      </c>
      <c r="AA5013" s="6"/>
      <c r="AB5013" s="6"/>
    </row>
    <row r="5014" spans="1:28" x14ac:dyDescent="0.2">
      <c r="A5014" t="s">
        <v>575</v>
      </c>
      <c r="B5014">
        <v>2015</v>
      </c>
      <c r="C5014" t="s">
        <v>826</v>
      </c>
      <c r="D5014" t="s">
        <v>824</v>
      </c>
      <c r="E5014" t="s">
        <v>48</v>
      </c>
      <c r="F5014" t="s">
        <v>576</v>
      </c>
      <c r="G5014">
        <v>44.477347000000002</v>
      </c>
      <c r="H5014">
        <v>-63.546725000000002</v>
      </c>
      <c r="I5014" t="s">
        <v>771</v>
      </c>
      <c r="J5014" s="2" t="s">
        <v>14</v>
      </c>
      <c r="K5014" t="s">
        <v>579</v>
      </c>
      <c r="L5014" t="s">
        <v>144</v>
      </c>
      <c r="M5014" t="s">
        <v>663</v>
      </c>
      <c r="N5014" t="s">
        <v>85</v>
      </c>
      <c r="O5014" s="6" t="s">
        <v>583</v>
      </c>
      <c r="P5014" t="s">
        <v>584</v>
      </c>
      <c r="Q5014">
        <v>7</v>
      </c>
      <c r="R5014" t="s">
        <v>214</v>
      </c>
      <c r="S5014" s="2" t="s">
        <v>27</v>
      </c>
      <c r="T5014">
        <v>3</v>
      </c>
      <c r="U5014" t="s">
        <v>28</v>
      </c>
      <c r="V5014" t="s">
        <v>28</v>
      </c>
      <c r="W5014">
        <v>18.2</v>
      </c>
      <c r="X5014">
        <v>27.71</v>
      </c>
      <c r="Y5014" s="6">
        <f t="shared" si="89"/>
        <v>13.025022072917949</v>
      </c>
      <c r="Z5014">
        <f>35.23-X5014</f>
        <v>7.519999999999996</v>
      </c>
      <c r="AA5014" s="6"/>
      <c r="AB5014" s="6"/>
    </row>
    <row r="5015" spans="1:28" x14ac:dyDescent="0.2">
      <c r="A5015" t="s">
        <v>575</v>
      </c>
      <c r="B5015">
        <v>2015</v>
      </c>
      <c r="C5015" t="s">
        <v>826</v>
      </c>
      <c r="D5015" t="s">
        <v>824</v>
      </c>
      <c r="E5015" t="s">
        <v>48</v>
      </c>
      <c r="F5015" t="s">
        <v>576</v>
      </c>
      <c r="G5015">
        <v>44.477347000000002</v>
      </c>
      <c r="H5015">
        <v>-63.546725000000002</v>
      </c>
      <c r="I5015" t="s">
        <v>771</v>
      </c>
      <c r="J5015" s="2" t="s">
        <v>14</v>
      </c>
      <c r="K5015" t="s">
        <v>579</v>
      </c>
      <c r="L5015" t="s">
        <v>144</v>
      </c>
      <c r="M5015" t="s">
        <v>663</v>
      </c>
      <c r="N5015" t="s">
        <v>85</v>
      </c>
      <c r="O5015" s="6" t="s">
        <v>583</v>
      </c>
      <c r="P5015" t="s">
        <v>584</v>
      </c>
      <c r="Q5015">
        <v>7</v>
      </c>
      <c r="R5015" t="s">
        <v>213</v>
      </c>
      <c r="S5015" s="2" t="s">
        <v>13</v>
      </c>
      <c r="T5015">
        <v>3</v>
      </c>
      <c r="U5015" t="s">
        <v>28</v>
      </c>
      <c r="V5015" t="s">
        <v>28</v>
      </c>
      <c r="W5015">
        <v>20.8</v>
      </c>
      <c r="X5015">
        <v>14.56</v>
      </c>
      <c r="Y5015" s="6">
        <f t="shared" si="89"/>
        <v>4.4686910835277036</v>
      </c>
      <c r="Z5015">
        <f>17.14-X5015</f>
        <v>2.58</v>
      </c>
      <c r="AA5015" s="6"/>
      <c r="AB5015" s="6"/>
    </row>
    <row r="5016" spans="1:28" x14ac:dyDescent="0.2">
      <c r="A5016" t="s">
        <v>575</v>
      </c>
      <c r="B5016">
        <v>2015</v>
      </c>
      <c r="C5016" t="s">
        <v>826</v>
      </c>
      <c r="D5016" t="s">
        <v>824</v>
      </c>
      <c r="E5016" t="s">
        <v>48</v>
      </c>
      <c r="F5016" t="s">
        <v>576</v>
      </c>
      <c r="G5016">
        <v>44.477347000000002</v>
      </c>
      <c r="H5016">
        <v>-63.546725000000002</v>
      </c>
      <c r="I5016" t="s">
        <v>771</v>
      </c>
      <c r="J5016" s="2" t="s">
        <v>7</v>
      </c>
      <c r="K5016" t="s">
        <v>579</v>
      </c>
      <c r="L5016" t="s">
        <v>144</v>
      </c>
      <c r="M5016" t="s">
        <v>663</v>
      </c>
      <c r="N5016" t="s">
        <v>85</v>
      </c>
      <c r="O5016" s="6" t="s">
        <v>583</v>
      </c>
      <c r="P5016" t="s">
        <v>584</v>
      </c>
      <c r="Q5016">
        <v>14</v>
      </c>
      <c r="R5016" t="s">
        <v>214</v>
      </c>
      <c r="S5016" s="2" t="s">
        <v>7</v>
      </c>
      <c r="T5016">
        <v>3</v>
      </c>
      <c r="U5016" t="s">
        <v>28</v>
      </c>
      <c r="V5016" t="s">
        <v>28</v>
      </c>
      <c r="W5016">
        <v>11.6</v>
      </c>
      <c r="X5016">
        <v>42.15</v>
      </c>
      <c r="Y5016" s="6">
        <f t="shared" si="89"/>
        <v>7.7249466017571935</v>
      </c>
      <c r="Z5016">
        <f>46.61-X5016</f>
        <v>4.4600000000000009</v>
      </c>
      <c r="AA5016" s="6"/>
      <c r="AB5016" s="6"/>
    </row>
    <row r="5017" spans="1:28" x14ac:dyDescent="0.2">
      <c r="A5017" t="s">
        <v>575</v>
      </c>
      <c r="B5017">
        <v>2015</v>
      </c>
      <c r="C5017" t="s">
        <v>826</v>
      </c>
      <c r="D5017" t="s">
        <v>824</v>
      </c>
      <c r="E5017" t="s">
        <v>48</v>
      </c>
      <c r="F5017" t="s">
        <v>576</v>
      </c>
      <c r="G5017">
        <v>44.477347000000002</v>
      </c>
      <c r="H5017">
        <v>-63.546725000000002</v>
      </c>
      <c r="I5017" t="s">
        <v>771</v>
      </c>
      <c r="J5017" s="2" t="s">
        <v>14</v>
      </c>
      <c r="K5017" t="s">
        <v>579</v>
      </c>
      <c r="L5017" t="s">
        <v>144</v>
      </c>
      <c r="M5017" t="s">
        <v>663</v>
      </c>
      <c r="N5017" t="s">
        <v>85</v>
      </c>
      <c r="O5017" s="6" t="s">
        <v>583</v>
      </c>
      <c r="P5017" t="s">
        <v>584</v>
      </c>
      <c r="Q5017">
        <v>14</v>
      </c>
      <c r="R5017" t="s">
        <v>214</v>
      </c>
      <c r="S5017" s="2" t="s">
        <v>9</v>
      </c>
      <c r="T5017">
        <v>3</v>
      </c>
      <c r="U5017" t="s">
        <v>28</v>
      </c>
      <c r="V5017" t="s">
        <v>28</v>
      </c>
      <c r="W5017">
        <v>14.4</v>
      </c>
      <c r="X5017">
        <v>24.66</v>
      </c>
      <c r="Y5017" s="6">
        <f t="shared" si="89"/>
        <v>6.4951905283832891</v>
      </c>
      <c r="Z5017">
        <f>28.41-X5017</f>
        <v>3.75</v>
      </c>
      <c r="AA5017" s="6"/>
      <c r="AB5017" s="6"/>
    </row>
    <row r="5018" spans="1:28" x14ac:dyDescent="0.2">
      <c r="A5018" t="s">
        <v>575</v>
      </c>
      <c r="B5018">
        <v>2015</v>
      </c>
      <c r="C5018" t="s">
        <v>826</v>
      </c>
      <c r="D5018" t="s">
        <v>824</v>
      </c>
      <c r="E5018" t="s">
        <v>48</v>
      </c>
      <c r="F5018" t="s">
        <v>576</v>
      </c>
      <c r="G5018">
        <v>44.477347000000002</v>
      </c>
      <c r="H5018">
        <v>-63.546725000000002</v>
      </c>
      <c r="I5018" t="s">
        <v>771</v>
      </c>
      <c r="J5018" s="2" t="s">
        <v>14</v>
      </c>
      <c r="K5018" t="s">
        <v>579</v>
      </c>
      <c r="L5018" t="s">
        <v>144</v>
      </c>
      <c r="M5018" t="s">
        <v>663</v>
      </c>
      <c r="N5018" t="s">
        <v>85</v>
      </c>
      <c r="O5018" s="6" t="s">
        <v>583</v>
      </c>
      <c r="P5018" t="s">
        <v>584</v>
      </c>
      <c r="Q5018">
        <v>14</v>
      </c>
      <c r="R5018" t="s">
        <v>214</v>
      </c>
      <c r="S5018" s="2" t="s">
        <v>27</v>
      </c>
      <c r="T5018">
        <v>3</v>
      </c>
      <c r="U5018" t="s">
        <v>28</v>
      </c>
      <c r="V5018" t="s">
        <v>28</v>
      </c>
      <c r="W5018">
        <v>18.2</v>
      </c>
      <c r="X5018">
        <v>19.61</v>
      </c>
      <c r="Y5018" s="6">
        <f t="shared" si="89"/>
        <v>8.1406387955737216</v>
      </c>
      <c r="Z5018">
        <f>24.31-X5018</f>
        <v>4.6999999999999993</v>
      </c>
      <c r="AA5018" s="6"/>
      <c r="AB5018" s="6"/>
    </row>
    <row r="5019" spans="1:28" x14ac:dyDescent="0.2">
      <c r="A5019" t="s">
        <v>575</v>
      </c>
      <c r="B5019">
        <v>2015</v>
      </c>
      <c r="C5019" t="s">
        <v>826</v>
      </c>
      <c r="D5019" t="s">
        <v>824</v>
      </c>
      <c r="E5019" t="s">
        <v>48</v>
      </c>
      <c r="F5019" t="s">
        <v>576</v>
      </c>
      <c r="G5019">
        <v>44.477347000000002</v>
      </c>
      <c r="H5019">
        <v>-63.546725000000002</v>
      </c>
      <c r="I5019" t="s">
        <v>771</v>
      </c>
      <c r="J5019" s="2" t="s">
        <v>7</v>
      </c>
      <c r="K5019" t="s">
        <v>579</v>
      </c>
      <c r="L5019" t="s">
        <v>144</v>
      </c>
      <c r="M5019" t="s">
        <v>663</v>
      </c>
      <c r="N5019" t="s">
        <v>85</v>
      </c>
      <c r="O5019" s="6" t="s">
        <v>583</v>
      </c>
      <c r="P5019" t="s">
        <v>584</v>
      </c>
      <c r="Q5019">
        <v>21</v>
      </c>
      <c r="R5019" t="s">
        <v>213</v>
      </c>
      <c r="S5019" s="2" t="s">
        <v>7</v>
      </c>
      <c r="T5019">
        <v>3</v>
      </c>
      <c r="U5019" t="s">
        <v>28</v>
      </c>
      <c r="V5019" t="s">
        <v>28</v>
      </c>
      <c r="W5019">
        <v>11.6</v>
      </c>
      <c r="X5019">
        <v>48.61</v>
      </c>
      <c r="Y5019" s="6">
        <f t="shared" si="89"/>
        <v>12.210958193360579</v>
      </c>
      <c r="Z5019">
        <f>55.66-X5019</f>
        <v>7.0499999999999972</v>
      </c>
      <c r="AA5019" s="6"/>
      <c r="AB5019" s="6"/>
    </row>
    <row r="5020" spans="1:28" x14ac:dyDescent="0.2">
      <c r="A5020" t="s">
        <v>575</v>
      </c>
      <c r="B5020">
        <v>2015</v>
      </c>
      <c r="C5020" t="s">
        <v>826</v>
      </c>
      <c r="D5020" t="s">
        <v>824</v>
      </c>
      <c r="E5020" t="s">
        <v>48</v>
      </c>
      <c r="F5020" t="s">
        <v>576</v>
      </c>
      <c r="G5020">
        <v>44.477347000000002</v>
      </c>
      <c r="H5020">
        <v>-63.546725000000002</v>
      </c>
      <c r="I5020" t="s">
        <v>771</v>
      </c>
      <c r="J5020" s="2" t="s">
        <v>14</v>
      </c>
      <c r="K5020" t="s">
        <v>579</v>
      </c>
      <c r="L5020" t="s">
        <v>144</v>
      </c>
      <c r="M5020" t="s">
        <v>663</v>
      </c>
      <c r="N5020" t="s">
        <v>85</v>
      </c>
      <c r="O5020" s="6" t="s">
        <v>583</v>
      </c>
      <c r="P5020" t="s">
        <v>584</v>
      </c>
      <c r="Q5020">
        <v>21</v>
      </c>
      <c r="R5020" t="s">
        <v>213</v>
      </c>
      <c r="S5020" s="2" t="s">
        <v>9</v>
      </c>
      <c r="T5020">
        <v>3</v>
      </c>
      <c r="U5020" t="s">
        <v>28</v>
      </c>
      <c r="V5020" t="s">
        <v>28</v>
      </c>
      <c r="W5020">
        <v>14.4</v>
      </c>
      <c r="X5020">
        <v>37.22</v>
      </c>
      <c r="Y5020" s="6">
        <f t="shared" si="89"/>
        <v>10.582830434245839</v>
      </c>
      <c r="Z5020">
        <f>43.33-X5020</f>
        <v>6.1099999999999994</v>
      </c>
      <c r="AA5020" s="6"/>
      <c r="AB5020" s="6"/>
    </row>
    <row r="5021" spans="1:28" x14ac:dyDescent="0.2">
      <c r="A5021" t="s">
        <v>575</v>
      </c>
      <c r="B5021">
        <v>2015</v>
      </c>
      <c r="C5021" t="s">
        <v>826</v>
      </c>
      <c r="D5021" t="s">
        <v>824</v>
      </c>
      <c r="E5021" t="s">
        <v>48</v>
      </c>
      <c r="F5021" t="s">
        <v>576</v>
      </c>
      <c r="G5021">
        <v>44.477347000000002</v>
      </c>
      <c r="H5021">
        <v>-63.546725000000002</v>
      </c>
      <c r="I5021" t="s">
        <v>771</v>
      </c>
      <c r="J5021" s="2" t="s">
        <v>14</v>
      </c>
      <c r="K5021" t="s">
        <v>579</v>
      </c>
      <c r="L5021" t="s">
        <v>144</v>
      </c>
      <c r="M5021" t="s">
        <v>663</v>
      </c>
      <c r="N5021" t="s">
        <v>85</v>
      </c>
      <c r="O5021" s="6" t="s">
        <v>583</v>
      </c>
      <c r="P5021" t="s">
        <v>584</v>
      </c>
      <c r="Q5021">
        <v>21</v>
      </c>
      <c r="R5021" t="s">
        <v>213</v>
      </c>
      <c r="S5021" s="2" t="s">
        <v>27</v>
      </c>
      <c r="T5021">
        <v>3</v>
      </c>
      <c r="U5021" t="s">
        <v>28</v>
      </c>
      <c r="V5021" t="s">
        <v>28</v>
      </c>
      <c r="W5021">
        <v>18.2</v>
      </c>
      <c r="X5021">
        <v>48.61</v>
      </c>
      <c r="Y5021" s="6">
        <f t="shared" si="89"/>
        <v>15.051521517773539</v>
      </c>
      <c r="Z5021">
        <f>57.3-X5021</f>
        <v>8.6899999999999977</v>
      </c>
      <c r="AA5021" s="6"/>
      <c r="AB5021" s="6"/>
    </row>
    <row r="5022" spans="1:28" x14ac:dyDescent="0.2">
      <c r="A5022" t="s">
        <v>585</v>
      </c>
      <c r="B5022">
        <v>2015</v>
      </c>
      <c r="C5022" t="s">
        <v>805</v>
      </c>
      <c r="D5022" t="s">
        <v>806</v>
      </c>
      <c r="E5022" t="s">
        <v>577</v>
      </c>
      <c r="F5022" t="s">
        <v>576</v>
      </c>
      <c r="G5022">
        <v>44.477347000000002</v>
      </c>
      <c r="H5022">
        <v>-63.546725000000002</v>
      </c>
      <c r="I5022" t="s">
        <v>771</v>
      </c>
      <c r="J5022" s="2" t="s">
        <v>7</v>
      </c>
      <c r="K5022" t="s">
        <v>578</v>
      </c>
      <c r="L5022" t="s">
        <v>144</v>
      </c>
      <c r="M5022" t="s">
        <v>638</v>
      </c>
      <c r="N5022" t="s">
        <v>86</v>
      </c>
      <c r="O5022" s="6" t="s">
        <v>272</v>
      </c>
      <c r="Q5022">
        <v>7</v>
      </c>
      <c r="R5022" t="s">
        <v>213</v>
      </c>
      <c r="S5022" s="2" t="s">
        <v>7</v>
      </c>
      <c r="T5022">
        <v>3</v>
      </c>
      <c r="U5022" t="s">
        <v>28</v>
      </c>
      <c r="V5022" t="s">
        <v>28</v>
      </c>
      <c r="W5022">
        <v>11.6</v>
      </c>
      <c r="X5022">
        <v>23.44</v>
      </c>
      <c r="Y5022" s="6">
        <f t="shared" si="89"/>
        <v>0</v>
      </c>
      <c r="Z5022">
        <v>0</v>
      </c>
      <c r="AA5022" s="6"/>
      <c r="AB5022" s="6"/>
    </row>
    <row r="5023" spans="1:28" x14ac:dyDescent="0.2">
      <c r="A5023" t="s">
        <v>585</v>
      </c>
      <c r="B5023">
        <v>2015</v>
      </c>
      <c r="C5023" t="s">
        <v>805</v>
      </c>
      <c r="D5023" t="s">
        <v>806</v>
      </c>
      <c r="E5023" t="s">
        <v>577</v>
      </c>
      <c r="F5023" t="s">
        <v>576</v>
      </c>
      <c r="G5023">
        <v>44.477347000000002</v>
      </c>
      <c r="H5023">
        <v>-63.546725000000002</v>
      </c>
      <c r="I5023" t="s">
        <v>771</v>
      </c>
      <c r="J5023" s="2" t="s">
        <v>14</v>
      </c>
      <c r="K5023" t="s">
        <v>578</v>
      </c>
      <c r="L5023" t="s">
        <v>144</v>
      </c>
      <c r="M5023" t="s">
        <v>638</v>
      </c>
      <c r="N5023" t="s">
        <v>86</v>
      </c>
      <c r="O5023" s="6" t="s">
        <v>272</v>
      </c>
      <c r="Q5023">
        <v>7</v>
      </c>
      <c r="R5023" t="s">
        <v>213</v>
      </c>
      <c r="S5023" s="2" t="s">
        <v>27</v>
      </c>
      <c r="T5023">
        <v>3</v>
      </c>
      <c r="U5023" t="s">
        <v>28</v>
      </c>
      <c r="V5023" t="s">
        <v>28</v>
      </c>
      <c r="W5023">
        <v>20.8</v>
      </c>
      <c r="X5023">
        <v>21.88</v>
      </c>
      <c r="Y5023" s="6">
        <f t="shared" si="89"/>
        <v>2.0611404610069659</v>
      </c>
      <c r="Z5023">
        <f>23.07-X5023</f>
        <v>1.1900000000000013</v>
      </c>
      <c r="AA5023" s="6"/>
      <c r="AB5023" s="6"/>
    </row>
    <row r="5024" spans="1:28" x14ac:dyDescent="0.2">
      <c r="A5024" t="s">
        <v>585</v>
      </c>
      <c r="B5024">
        <v>2015</v>
      </c>
      <c r="C5024" t="s">
        <v>805</v>
      </c>
      <c r="D5024" t="s">
        <v>806</v>
      </c>
      <c r="E5024" t="s">
        <v>577</v>
      </c>
      <c r="F5024" t="s">
        <v>576</v>
      </c>
      <c r="G5024">
        <v>44.477347000000002</v>
      </c>
      <c r="H5024">
        <v>-63.546725000000002</v>
      </c>
      <c r="I5024" t="s">
        <v>771</v>
      </c>
      <c r="J5024" s="2" t="s">
        <v>7</v>
      </c>
      <c r="K5024" t="s">
        <v>578</v>
      </c>
      <c r="L5024" t="s">
        <v>144</v>
      </c>
      <c r="M5024" t="s">
        <v>638</v>
      </c>
      <c r="N5024" t="s">
        <v>86</v>
      </c>
      <c r="O5024" s="6" t="s">
        <v>272</v>
      </c>
      <c r="Q5024">
        <v>21</v>
      </c>
      <c r="R5024" t="s">
        <v>213</v>
      </c>
      <c r="S5024" s="2" t="s">
        <v>7</v>
      </c>
      <c r="T5024">
        <v>3</v>
      </c>
      <c r="U5024" t="s">
        <v>28</v>
      </c>
      <c r="V5024" t="s">
        <v>28</v>
      </c>
      <c r="W5024">
        <v>11.6</v>
      </c>
      <c r="X5024">
        <v>16.690000000000001</v>
      </c>
      <c r="Y5024" s="6">
        <f t="shared" si="89"/>
        <v>3.8624733008785967</v>
      </c>
      <c r="Z5024">
        <f>18.92-X5024</f>
        <v>2.2300000000000004</v>
      </c>
      <c r="AA5024" s="6"/>
      <c r="AB5024" s="6"/>
    </row>
    <row r="5025" spans="1:28" x14ac:dyDescent="0.2">
      <c r="A5025" t="s">
        <v>585</v>
      </c>
      <c r="B5025">
        <v>2015</v>
      </c>
      <c r="C5025" t="s">
        <v>805</v>
      </c>
      <c r="D5025" t="s">
        <v>806</v>
      </c>
      <c r="E5025" t="s">
        <v>577</v>
      </c>
      <c r="F5025" t="s">
        <v>576</v>
      </c>
      <c r="G5025">
        <v>44.477347000000002</v>
      </c>
      <c r="H5025">
        <v>-63.546725000000002</v>
      </c>
      <c r="I5025" t="s">
        <v>771</v>
      </c>
      <c r="J5025" s="2" t="s">
        <v>14</v>
      </c>
      <c r="K5025" t="s">
        <v>578</v>
      </c>
      <c r="L5025" t="s">
        <v>144</v>
      </c>
      <c r="M5025" t="s">
        <v>638</v>
      </c>
      <c r="N5025" t="s">
        <v>86</v>
      </c>
      <c r="O5025" s="6" t="s">
        <v>272</v>
      </c>
      <c r="Q5025">
        <v>21</v>
      </c>
      <c r="R5025" t="s">
        <v>213</v>
      </c>
      <c r="S5025" s="2" t="s">
        <v>9</v>
      </c>
      <c r="T5025">
        <v>3</v>
      </c>
      <c r="U5025" t="s">
        <v>28</v>
      </c>
      <c r="V5025" t="s">
        <v>28</v>
      </c>
      <c r="W5025">
        <v>18.2</v>
      </c>
      <c r="X5025">
        <v>13.28</v>
      </c>
      <c r="Y5025" s="6">
        <f t="shared" si="89"/>
        <v>1.5415252187363018</v>
      </c>
      <c r="Z5025">
        <f>14.17-X5025</f>
        <v>0.89000000000000057</v>
      </c>
      <c r="AA5025" s="6"/>
      <c r="AB5025" s="6"/>
    </row>
    <row r="5026" spans="1:28" x14ac:dyDescent="0.2">
      <c r="A5026" t="s">
        <v>585</v>
      </c>
      <c r="B5026">
        <v>2015</v>
      </c>
      <c r="C5026" t="s">
        <v>816</v>
      </c>
      <c r="D5026" t="s">
        <v>817</v>
      </c>
      <c r="E5026" t="s">
        <v>31</v>
      </c>
      <c r="F5026" t="s">
        <v>576</v>
      </c>
      <c r="G5026">
        <v>44.477347000000002</v>
      </c>
      <c r="H5026">
        <v>-63.546725000000002</v>
      </c>
      <c r="I5026" t="s">
        <v>771</v>
      </c>
      <c r="J5026" s="2" t="s">
        <v>7</v>
      </c>
      <c r="K5026" t="s">
        <v>578</v>
      </c>
      <c r="L5026" t="s">
        <v>144</v>
      </c>
      <c r="M5026" t="s">
        <v>638</v>
      </c>
      <c r="N5026" t="s">
        <v>86</v>
      </c>
      <c r="O5026" s="6" t="s">
        <v>272</v>
      </c>
      <c r="Q5026">
        <v>7</v>
      </c>
      <c r="R5026" t="s">
        <v>213</v>
      </c>
      <c r="S5026" s="2" t="s">
        <v>7</v>
      </c>
      <c r="T5026">
        <v>3</v>
      </c>
      <c r="U5026" t="s">
        <v>28</v>
      </c>
      <c r="V5026" t="s">
        <v>28</v>
      </c>
      <c r="W5026">
        <v>11.6</v>
      </c>
      <c r="X5026">
        <v>22.92</v>
      </c>
      <c r="Y5026" s="6">
        <f t="shared" si="89"/>
        <v>0</v>
      </c>
      <c r="Z5026">
        <v>0</v>
      </c>
      <c r="AA5026" s="6"/>
      <c r="AB5026" s="6"/>
    </row>
    <row r="5027" spans="1:28" x14ac:dyDescent="0.2">
      <c r="A5027" t="s">
        <v>585</v>
      </c>
      <c r="B5027">
        <v>2015</v>
      </c>
      <c r="C5027" t="s">
        <v>816</v>
      </c>
      <c r="D5027" t="s">
        <v>817</v>
      </c>
      <c r="E5027" t="s">
        <v>31</v>
      </c>
      <c r="F5027" t="s">
        <v>576</v>
      </c>
      <c r="G5027">
        <v>44.477347000000002</v>
      </c>
      <c r="H5027">
        <v>-63.546725000000002</v>
      </c>
      <c r="I5027" t="s">
        <v>771</v>
      </c>
      <c r="J5027" s="2" t="s">
        <v>14</v>
      </c>
      <c r="K5027" t="s">
        <v>578</v>
      </c>
      <c r="L5027" t="s">
        <v>144</v>
      </c>
      <c r="M5027" t="s">
        <v>638</v>
      </c>
      <c r="N5027" t="s">
        <v>86</v>
      </c>
      <c r="O5027" s="6" t="s">
        <v>272</v>
      </c>
      <c r="Q5027">
        <v>7</v>
      </c>
      <c r="R5027" t="s">
        <v>213</v>
      </c>
      <c r="S5027" s="2" t="s">
        <v>27</v>
      </c>
      <c r="T5027">
        <v>3</v>
      </c>
      <c r="U5027" t="s">
        <v>28</v>
      </c>
      <c r="V5027" t="s">
        <v>28</v>
      </c>
      <c r="W5027">
        <v>20.8</v>
      </c>
      <c r="X5027">
        <v>17.43</v>
      </c>
      <c r="Y5027" s="6">
        <f t="shared" si="89"/>
        <v>6.4259084960805355</v>
      </c>
      <c r="Z5027">
        <f>21.14-X5027</f>
        <v>3.7100000000000009</v>
      </c>
      <c r="AA5027" s="6"/>
      <c r="AB5027" s="6"/>
    </row>
    <row r="5028" spans="1:28" x14ac:dyDescent="0.2">
      <c r="A5028" t="s">
        <v>585</v>
      </c>
      <c r="B5028">
        <v>2015</v>
      </c>
      <c r="C5028" t="s">
        <v>816</v>
      </c>
      <c r="D5028" t="s">
        <v>817</v>
      </c>
      <c r="E5028" t="s">
        <v>31</v>
      </c>
      <c r="F5028" t="s">
        <v>576</v>
      </c>
      <c r="G5028">
        <v>44.477347000000002</v>
      </c>
      <c r="H5028">
        <v>-63.546725000000002</v>
      </c>
      <c r="I5028" t="s">
        <v>771</v>
      </c>
      <c r="J5028" s="2" t="s">
        <v>7</v>
      </c>
      <c r="K5028" t="s">
        <v>578</v>
      </c>
      <c r="L5028" t="s">
        <v>144</v>
      </c>
      <c r="M5028" t="s">
        <v>638</v>
      </c>
      <c r="N5028" t="s">
        <v>86</v>
      </c>
      <c r="O5028" s="6" t="s">
        <v>272</v>
      </c>
      <c r="Q5028">
        <v>21</v>
      </c>
      <c r="R5028" t="s">
        <v>213</v>
      </c>
      <c r="S5028" s="2" t="s">
        <v>7</v>
      </c>
      <c r="T5028">
        <v>3</v>
      </c>
      <c r="U5028" t="s">
        <v>28</v>
      </c>
      <c r="V5028" t="s">
        <v>28</v>
      </c>
      <c r="W5028">
        <v>11.6</v>
      </c>
      <c r="X5028">
        <v>17.510000000000002</v>
      </c>
      <c r="Y5028" s="6">
        <f t="shared" si="89"/>
        <v>2.0438199529312744</v>
      </c>
      <c r="Z5028">
        <f>18.69-X5028</f>
        <v>1.1799999999999997</v>
      </c>
      <c r="AA5028" s="6"/>
      <c r="AB5028" s="6"/>
    </row>
    <row r="5029" spans="1:28" x14ac:dyDescent="0.2">
      <c r="A5029" t="s">
        <v>585</v>
      </c>
      <c r="B5029">
        <v>2015</v>
      </c>
      <c r="C5029" t="s">
        <v>816</v>
      </c>
      <c r="D5029" t="s">
        <v>817</v>
      </c>
      <c r="E5029" t="s">
        <v>31</v>
      </c>
      <c r="F5029" t="s">
        <v>576</v>
      </c>
      <c r="G5029">
        <v>44.477347000000002</v>
      </c>
      <c r="H5029">
        <v>-63.546725000000002</v>
      </c>
      <c r="I5029" t="s">
        <v>771</v>
      </c>
      <c r="J5029" s="2" t="s">
        <v>14</v>
      </c>
      <c r="K5029" t="s">
        <v>578</v>
      </c>
      <c r="L5029" t="s">
        <v>144</v>
      </c>
      <c r="M5029" t="s">
        <v>638</v>
      </c>
      <c r="N5029" t="s">
        <v>86</v>
      </c>
      <c r="O5029" s="6" t="s">
        <v>272</v>
      </c>
      <c r="Q5029">
        <v>21</v>
      </c>
      <c r="R5029" t="s">
        <v>213</v>
      </c>
      <c r="S5029" s="2" t="s">
        <v>9</v>
      </c>
      <c r="T5029">
        <v>3</v>
      </c>
      <c r="U5029" t="s">
        <v>28</v>
      </c>
      <c r="V5029" t="s">
        <v>28</v>
      </c>
      <c r="W5029">
        <v>18.2</v>
      </c>
      <c r="X5029">
        <v>19.440000000000001</v>
      </c>
      <c r="Y5029" s="6">
        <f t="shared" si="89"/>
        <v>3.9837168574084125</v>
      </c>
      <c r="Z5029">
        <f>21.74-X5029</f>
        <v>2.2999999999999972</v>
      </c>
      <c r="AA5029" s="6"/>
      <c r="AB5029" s="6"/>
    </row>
    <row r="5030" spans="1:28" x14ac:dyDescent="0.2">
      <c r="A5030" t="s">
        <v>585</v>
      </c>
      <c r="B5030">
        <v>2015</v>
      </c>
      <c r="C5030" t="s">
        <v>826</v>
      </c>
      <c r="D5030" t="s">
        <v>824</v>
      </c>
      <c r="E5030" t="s">
        <v>48</v>
      </c>
      <c r="F5030" t="s">
        <v>576</v>
      </c>
      <c r="G5030">
        <v>44.477347000000002</v>
      </c>
      <c r="H5030">
        <v>-63.546725000000002</v>
      </c>
      <c r="I5030" t="s">
        <v>771</v>
      </c>
      <c r="J5030" s="2" t="s">
        <v>7</v>
      </c>
      <c r="K5030" t="s">
        <v>579</v>
      </c>
      <c r="L5030" t="s">
        <v>144</v>
      </c>
      <c r="M5030" t="s">
        <v>638</v>
      </c>
      <c r="N5030" t="s">
        <v>86</v>
      </c>
      <c r="O5030" s="6" t="s">
        <v>272</v>
      </c>
      <c r="Q5030">
        <v>7</v>
      </c>
      <c r="R5030" t="s">
        <v>213</v>
      </c>
      <c r="S5030" s="2" t="s">
        <v>7</v>
      </c>
      <c r="T5030">
        <v>3</v>
      </c>
      <c r="U5030" t="s">
        <v>28</v>
      </c>
      <c r="V5030" t="s">
        <v>28</v>
      </c>
      <c r="W5030">
        <v>11.6</v>
      </c>
      <c r="X5030">
        <v>28.41</v>
      </c>
      <c r="Y5030" s="6">
        <f t="shared" ref="Y5030:Y5047" si="90">Z5030*SQRT(T5030)</f>
        <v>4.6245756562088989</v>
      </c>
      <c r="Z5030">
        <f>31.08-X5030</f>
        <v>2.6699999999999982</v>
      </c>
      <c r="AA5030" s="6"/>
      <c r="AB5030" s="6"/>
    </row>
    <row r="5031" spans="1:28" x14ac:dyDescent="0.2">
      <c r="A5031" t="s">
        <v>585</v>
      </c>
      <c r="B5031">
        <v>2015</v>
      </c>
      <c r="C5031" t="s">
        <v>826</v>
      </c>
      <c r="D5031" t="s">
        <v>824</v>
      </c>
      <c r="E5031" t="s">
        <v>48</v>
      </c>
      <c r="F5031" t="s">
        <v>576</v>
      </c>
      <c r="G5031">
        <v>44.477347000000002</v>
      </c>
      <c r="H5031">
        <v>-63.546725000000002</v>
      </c>
      <c r="I5031" t="s">
        <v>771</v>
      </c>
      <c r="J5031" s="2" t="s">
        <v>14</v>
      </c>
      <c r="K5031" t="s">
        <v>579</v>
      </c>
      <c r="L5031" t="s">
        <v>144</v>
      </c>
      <c r="M5031" t="s">
        <v>638</v>
      </c>
      <c r="N5031" t="s">
        <v>86</v>
      </c>
      <c r="O5031" s="6" t="s">
        <v>272</v>
      </c>
      <c r="Q5031">
        <v>7</v>
      </c>
      <c r="R5031" t="s">
        <v>213</v>
      </c>
      <c r="S5031" s="2" t="s">
        <v>27</v>
      </c>
      <c r="T5031">
        <v>3</v>
      </c>
      <c r="U5031" t="s">
        <v>28</v>
      </c>
      <c r="V5031" t="s">
        <v>28</v>
      </c>
      <c r="W5031">
        <v>20.8</v>
      </c>
      <c r="X5031">
        <v>30.64</v>
      </c>
      <c r="Y5031" s="6">
        <f t="shared" si="90"/>
        <v>9.2491513124177978</v>
      </c>
      <c r="Z5031">
        <f>35.98-X5031</f>
        <v>5.3399999999999963</v>
      </c>
      <c r="AA5031" s="6"/>
      <c r="AB5031" s="6"/>
    </row>
    <row r="5032" spans="1:28" x14ac:dyDescent="0.2">
      <c r="A5032" t="s">
        <v>585</v>
      </c>
      <c r="B5032">
        <v>2015</v>
      </c>
      <c r="C5032" t="s">
        <v>826</v>
      </c>
      <c r="D5032" t="s">
        <v>824</v>
      </c>
      <c r="E5032" t="s">
        <v>48</v>
      </c>
      <c r="F5032" t="s">
        <v>576</v>
      </c>
      <c r="G5032">
        <v>44.477347000000002</v>
      </c>
      <c r="H5032">
        <v>-63.546725000000002</v>
      </c>
      <c r="I5032" t="s">
        <v>771</v>
      </c>
      <c r="J5032" s="2" t="s">
        <v>7</v>
      </c>
      <c r="K5032" t="s">
        <v>579</v>
      </c>
      <c r="L5032" t="s">
        <v>144</v>
      </c>
      <c r="M5032" t="s">
        <v>638</v>
      </c>
      <c r="N5032" t="s">
        <v>86</v>
      </c>
      <c r="O5032" s="6" t="s">
        <v>272</v>
      </c>
      <c r="Q5032">
        <v>21</v>
      </c>
      <c r="R5032" t="s">
        <v>213</v>
      </c>
      <c r="S5032" s="2" t="s">
        <v>7</v>
      </c>
      <c r="T5032">
        <v>3</v>
      </c>
      <c r="U5032" t="s">
        <v>28</v>
      </c>
      <c r="V5032" t="s">
        <v>28</v>
      </c>
      <c r="W5032">
        <v>11.6</v>
      </c>
      <c r="X5032">
        <v>23.15</v>
      </c>
      <c r="Y5032" s="6">
        <f t="shared" si="90"/>
        <v>2.9444863728670962</v>
      </c>
      <c r="Z5032">
        <f>24.85-X5032</f>
        <v>1.7000000000000028</v>
      </c>
      <c r="AA5032" s="6"/>
      <c r="AB5032" s="6"/>
    </row>
    <row r="5033" spans="1:28" x14ac:dyDescent="0.2">
      <c r="A5033" t="s">
        <v>585</v>
      </c>
      <c r="B5033">
        <v>2015</v>
      </c>
      <c r="C5033" t="s">
        <v>826</v>
      </c>
      <c r="D5033" t="s">
        <v>824</v>
      </c>
      <c r="E5033" t="s">
        <v>48</v>
      </c>
      <c r="F5033" t="s">
        <v>576</v>
      </c>
      <c r="G5033">
        <v>44.477347000000002</v>
      </c>
      <c r="H5033">
        <v>-63.546725000000002</v>
      </c>
      <c r="I5033" t="s">
        <v>771</v>
      </c>
      <c r="J5033" s="2" t="s">
        <v>14</v>
      </c>
      <c r="K5033" t="s">
        <v>579</v>
      </c>
      <c r="L5033" t="s">
        <v>144</v>
      </c>
      <c r="M5033" t="s">
        <v>638</v>
      </c>
      <c r="N5033" t="s">
        <v>86</v>
      </c>
      <c r="O5033" s="6" t="s">
        <v>272</v>
      </c>
      <c r="Q5033">
        <v>21</v>
      </c>
      <c r="R5033" t="s">
        <v>213</v>
      </c>
      <c r="S5033" s="2" t="s">
        <v>9</v>
      </c>
      <c r="T5033">
        <v>3</v>
      </c>
      <c r="U5033" t="s">
        <v>28</v>
      </c>
      <c r="V5033" t="s">
        <v>28</v>
      </c>
      <c r="W5033">
        <v>18.2</v>
      </c>
      <c r="X5033">
        <v>17.579999999999998</v>
      </c>
      <c r="Y5033" s="6">
        <f t="shared" si="90"/>
        <v>7.7076260936815082</v>
      </c>
      <c r="Z5033">
        <f>22.03-X5033</f>
        <v>4.4500000000000028</v>
      </c>
      <c r="AA5033" s="6"/>
      <c r="AB5033" s="6"/>
    </row>
    <row r="5034" spans="1:28" x14ac:dyDescent="0.2">
      <c r="A5034" t="s">
        <v>585</v>
      </c>
      <c r="B5034">
        <v>2015</v>
      </c>
      <c r="C5034" t="s">
        <v>805</v>
      </c>
      <c r="D5034" t="s">
        <v>806</v>
      </c>
      <c r="E5034" t="s">
        <v>577</v>
      </c>
      <c r="F5034" t="s">
        <v>576</v>
      </c>
      <c r="G5034">
        <v>44.477347000000002</v>
      </c>
      <c r="H5034">
        <v>-63.546725000000002</v>
      </c>
      <c r="I5034" t="s">
        <v>771</v>
      </c>
      <c r="J5034" s="2" t="s">
        <v>7</v>
      </c>
      <c r="K5034" t="s">
        <v>578</v>
      </c>
      <c r="L5034" t="s">
        <v>144</v>
      </c>
      <c r="M5034" t="s">
        <v>637</v>
      </c>
      <c r="N5034" t="s">
        <v>85</v>
      </c>
      <c r="O5034" s="6" t="s">
        <v>148</v>
      </c>
      <c r="P5034" t="s">
        <v>126</v>
      </c>
      <c r="Q5034">
        <v>7</v>
      </c>
      <c r="R5034" t="s">
        <v>213</v>
      </c>
      <c r="S5034" s="2" t="s">
        <v>7</v>
      </c>
      <c r="T5034">
        <v>9</v>
      </c>
      <c r="U5034" t="s">
        <v>28</v>
      </c>
      <c r="V5034" t="s">
        <v>28</v>
      </c>
      <c r="W5034">
        <v>11.6</v>
      </c>
      <c r="X5034">
        <v>6.5810000000000004</v>
      </c>
      <c r="Y5034" s="6">
        <f t="shared" si="90"/>
        <v>0.99599999999999955</v>
      </c>
      <c r="Z5034">
        <f>6.913-X5034</f>
        <v>0.33199999999999985</v>
      </c>
      <c r="AA5034" s="6"/>
      <c r="AB5034" s="6"/>
    </row>
    <row r="5035" spans="1:28" x14ac:dyDescent="0.2">
      <c r="A5035" t="s">
        <v>585</v>
      </c>
      <c r="B5035">
        <v>2015</v>
      </c>
      <c r="C5035" t="s">
        <v>805</v>
      </c>
      <c r="D5035" t="s">
        <v>806</v>
      </c>
      <c r="E5035" t="s">
        <v>577</v>
      </c>
      <c r="F5035" t="s">
        <v>576</v>
      </c>
      <c r="G5035">
        <v>44.477347000000002</v>
      </c>
      <c r="H5035">
        <v>-63.546725000000002</v>
      </c>
      <c r="I5035" t="s">
        <v>771</v>
      </c>
      <c r="J5035" s="2" t="s">
        <v>14</v>
      </c>
      <c r="K5035" t="s">
        <v>578</v>
      </c>
      <c r="L5035" t="s">
        <v>144</v>
      </c>
      <c r="M5035" t="s">
        <v>637</v>
      </c>
      <c r="N5035" t="s">
        <v>85</v>
      </c>
      <c r="O5035" s="6" t="s">
        <v>148</v>
      </c>
      <c r="P5035" t="s">
        <v>126</v>
      </c>
      <c r="Q5035">
        <v>7</v>
      </c>
      <c r="R5035" t="s">
        <v>213</v>
      </c>
      <c r="S5035" s="2" t="s">
        <v>27</v>
      </c>
      <c r="T5035">
        <v>9</v>
      </c>
      <c r="U5035" t="s">
        <v>28</v>
      </c>
      <c r="V5035" t="s">
        <v>28</v>
      </c>
      <c r="W5035">
        <v>20.8</v>
      </c>
      <c r="X5035">
        <v>5.46</v>
      </c>
      <c r="Y5035" s="6">
        <f t="shared" si="90"/>
        <v>0.68700000000000028</v>
      </c>
      <c r="Z5035">
        <f>5.689-X5035</f>
        <v>0.22900000000000009</v>
      </c>
      <c r="AA5035" s="6"/>
      <c r="AB5035" s="6"/>
    </row>
    <row r="5036" spans="1:28" x14ac:dyDescent="0.2">
      <c r="A5036" t="s">
        <v>585</v>
      </c>
      <c r="B5036">
        <v>2015</v>
      </c>
      <c r="C5036" t="s">
        <v>805</v>
      </c>
      <c r="D5036" t="s">
        <v>806</v>
      </c>
      <c r="E5036" t="s">
        <v>577</v>
      </c>
      <c r="F5036" t="s">
        <v>576</v>
      </c>
      <c r="G5036">
        <v>44.477347000000002</v>
      </c>
      <c r="H5036">
        <v>-63.546725000000002</v>
      </c>
      <c r="I5036" t="s">
        <v>771</v>
      </c>
      <c r="J5036" s="2" t="s">
        <v>7</v>
      </c>
      <c r="K5036" t="s">
        <v>578</v>
      </c>
      <c r="L5036" t="s">
        <v>144</v>
      </c>
      <c r="M5036" t="s">
        <v>637</v>
      </c>
      <c r="N5036" t="s">
        <v>85</v>
      </c>
      <c r="O5036" s="6" t="s">
        <v>148</v>
      </c>
      <c r="P5036" t="s">
        <v>126</v>
      </c>
      <c r="Q5036">
        <v>14</v>
      </c>
      <c r="R5036" t="s">
        <v>213</v>
      </c>
      <c r="S5036" s="2" t="s">
        <v>7</v>
      </c>
      <c r="T5036">
        <v>9</v>
      </c>
      <c r="U5036" t="s">
        <v>28</v>
      </c>
      <c r="V5036" t="s">
        <v>28</v>
      </c>
      <c r="W5036">
        <v>11.6</v>
      </c>
      <c r="X5036">
        <v>5.2839999999999998</v>
      </c>
      <c r="Y5036" s="6">
        <f t="shared" si="90"/>
        <v>1.4010000000000016</v>
      </c>
      <c r="Z5036">
        <f>5.751-X5036</f>
        <v>0.46700000000000053</v>
      </c>
      <c r="AA5036" s="6"/>
      <c r="AB5036" s="6"/>
    </row>
    <row r="5037" spans="1:28" x14ac:dyDescent="0.2">
      <c r="A5037" t="s">
        <v>585</v>
      </c>
      <c r="B5037">
        <v>2015</v>
      </c>
      <c r="C5037" t="s">
        <v>805</v>
      </c>
      <c r="D5037" t="s">
        <v>806</v>
      </c>
      <c r="E5037" t="s">
        <v>577</v>
      </c>
      <c r="F5037" t="s">
        <v>576</v>
      </c>
      <c r="G5037">
        <v>44.477347000000002</v>
      </c>
      <c r="H5037">
        <v>-63.546725000000002</v>
      </c>
      <c r="I5037" t="s">
        <v>771</v>
      </c>
      <c r="J5037" s="2" t="s">
        <v>14</v>
      </c>
      <c r="K5037" t="s">
        <v>578</v>
      </c>
      <c r="L5037" t="s">
        <v>144</v>
      </c>
      <c r="M5037" t="s">
        <v>637</v>
      </c>
      <c r="N5037" t="s">
        <v>85</v>
      </c>
      <c r="O5037" s="6" t="s">
        <v>148</v>
      </c>
      <c r="P5037" t="s">
        <v>126</v>
      </c>
      <c r="Q5037">
        <v>14</v>
      </c>
      <c r="R5037" t="s">
        <v>213</v>
      </c>
      <c r="S5037" s="2" t="s">
        <v>9</v>
      </c>
      <c r="T5037">
        <v>9</v>
      </c>
      <c r="U5037" t="s">
        <v>28</v>
      </c>
      <c r="V5037" t="s">
        <v>28</v>
      </c>
      <c r="W5037">
        <v>18.2</v>
      </c>
      <c r="X5037">
        <v>5.5430000000000001</v>
      </c>
      <c r="Y5037" s="6">
        <f t="shared" si="90"/>
        <v>0.93600000000000083</v>
      </c>
      <c r="Z5037">
        <f>5.855-X5037</f>
        <v>0.31200000000000028</v>
      </c>
      <c r="AA5037" s="6"/>
      <c r="AB5037" s="6"/>
    </row>
    <row r="5038" spans="1:28" x14ac:dyDescent="0.2">
      <c r="A5038" t="s">
        <v>585</v>
      </c>
      <c r="B5038">
        <v>2015</v>
      </c>
      <c r="C5038" t="s">
        <v>816</v>
      </c>
      <c r="D5038" t="s">
        <v>817</v>
      </c>
      <c r="E5038" t="s">
        <v>31</v>
      </c>
      <c r="F5038" t="s">
        <v>576</v>
      </c>
      <c r="G5038">
        <v>44.477347000000002</v>
      </c>
      <c r="H5038">
        <v>-63.546725000000002</v>
      </c>
      <c r="I5038" t="s">
        <v>771</v>
      </c>
      <c r="J5038" s="2" t="s">
        <v>7</v>
      </c>
      <c r="K5038" t="s">
        <v>578</v>
      </c>
      <c r="L5038" t="s">
        <v>144</v>
      </c>
      <c r="M5038" t="s">
        <v>637</v>
      </c>
      <c r="N5038" t="s">
        <v>85</v>
      </c>
      <c r="O5038" s="6" t="s">
        <v>148</v>
      </c>
      <c r="P5038" t="s">
        <v>126</v>
      </c>
      <c r="Q5038">
        <v>7</v>
      </c>
      <c r="R5038" t="s">
        <v>213</v>
      </c>
      <c r="S5038" s="2" t="s">
        <v>7</v>
      </c>
      <c r="T5038">
        <v>9</v>
      </c>
      <c r="U5038" t="s">
        <v>28</v>
      </c>
      <c r="V5038" t="s">
        <v>28</v>
      </c>
      <c r="W5038">
        <v>11.6</v>
      </c>
      <c r="X5038">
        <v>0.374</v>
      </c>
      <c r="Y5038" s="6">
        <f t="shared" si="90"/>
        <v>0.34199999999999997</v>
      </c>
      <c r="Z5038">
        <f>0.488-X5038</f>
        <v>0.11399999999999999</v>
      </c>
      <c r="AA5038" s="6"/>
      <c r="AB5038" s="6"/>
    </row>
    <row r="5039" spans="1:28" x14ac:dyDescent="0.2">
      <c r="A5039" t="s">
        <v>585</v>
      </c>
      <c r="B5039">
        <v>2015</v>
      </c>
      <c r="C5039" t="s">
        <v>816</v>
      </c>
      <c r="D5039" t="s">
        <v>817</v>
      </c>
      <c r="E5039" t="s">
        <v>31</v>
      </c>
      <c r="F5039" t="s">
        <v>576</v>
      </c>
      <c r="G5039">
        <v>44.477347000000002</v>
      </c>
      <c r="H5039">
        <v>-63.546725000000002</v>
      </c>
      <c r="I5039" t="s">
        <v>771</v>
      </c>
      <c r="J5039" s="2" t="s">
        <v>14</v>
      </c>
      <c r="K5039" t="s">
        <v>578</v>
      </c>
      <c r="L5039" t="s">
        <v>144</v>
      </c>
      <c r="M5039" t="s">
        <v>637</v>
      </c>
      <c r="N5039" t="s">
        <v>85</v>
      </c>
      <c r="O5039" s="6" t="s">
        <v>148</v>
      </c>
      <c r="P5039" t="s">
        <v>126</v>
      </c>
      <c r="Q5039">
        <v>7</v>
      </c>
      <c r="R5039" t="s">
        <v>213</v>
      </c>
      <c r="S5039" s="2" t="s">
        <v>27</v>
      </c>
      <c r="T5039">
        <v>9</v>
      </c>
      <c r="U5039" t="s">
        <v>28</v>
      </c>
      <c r="V5039" t="s">
        <v>28</v>
      </c>
      <c r="W5039">
        <v>20.8</v>
      </c>
      <c r="X5039">
        <v>0.623</v>
      </c>
      <c r="Y5039" s="6">
        <f t="shared" si="90"/>
        <v>0.27899999999999991</v>
      </c>
      <c r="Z5039">
        <f>0.716-X5039</f>
        <v>9.2999999999999972E-2</v>
      </c>
      <c r="AA5039" s="6"/>
      <c r="AB5039" s="6"/>
    </row>
    <row r="5040" spans="1:28" x14ac:dyDescent="0.2">
      <c r="A5040" t="s">
        <v>585</v>
      </c>
      <c r="B5040">
        <v>2015</v>
      </c>
      <c r="C5040" t="s">
        <v>816</v>
      </c>
      <c r="D5040" t="s">
        <v>817</v>
      </c>
      <c r="E5040" t="s">
        <v>31</v>
      </c>
      <c r="F5040" t="s">
        <v>576</v>
      </c>
      <c r="G5040">
        <v>44.477347000000002</v>
      </c>
      <c r="H5040">
        <v>-63.546725000000002</v>
      </c>
      <c r="I5040" t="s">
        <v>771</v>
      </c>
      <c r="J5040" s="2" t="s">
        <v>7</v>
      </c>
      <c r="K5040" t="s">
        <v>578</v>
      </c>
      <c r="L5040" t="s">
        <v>144</v>
      </c>
      <c r="M5040" t="s">
        <v>637</v>
      </c>
      <c r="N5040" t="s">
        <v>85</v>
      </c>
      <c r="O5040" s="6" t="s">
        <v>148</v>
      </c>
      <c r="P5040" t="s">
        <v>126</v>
      </c>
      <c r="Q5040">
        <v>14</v>
      </c>
      <c r="R5040" t="s">
        <v>213</v>
      </c>
      <c r="S5040" s="2" t="s">
        <v>7</v>
      </c>
      <c r="T5040">
        <v>9</v>
      </c>
      <c r="U5040" t="s">
        <v>28</v>
      </c>
      <c r="V5040" t="s">
        <v>28</v>
      </c>
      <c r="W5040">
        <v>11.6</v>
      </c>
      <c r="X5040">
        <v>0.51900000000000002</v>
      </c>
      <c r="Y5040" s="6">
        <f t="shared" si="90"/>
        <v>0.15599999999999981</v>
      </c>
      <c r="Z5040">
        <f>0.571-X5040</f>
        <v>5.1999999999999935E-2</v>
      </c>
      <c r="AA5040" s="6"/>
      <c r="AB5040" s="6"/>
    </row>
    <row r="5041" spans="1:28" x14ac:dyDescent="0.2">
      <c r="A5041" t="s">
        <v>585</v>
      </c>
      <c r="B5041">
        <v>2015</v>
      </c>
      <c r="C5041" t="s">
        <v>816</v>
      </c>
      <c r="D5041" t="s">
        <v>817</v>
      </c>
      <c r="E5041" t="s">
        <v>31</v>
      </c>
      <c r="F5041" t="s">
        <v>576</v>
      </c>
      <c r="G5041">
        <v>44.477347000000002</v>
      </c>
      <c r="H5041">
        <v>-63.546725000000002</v>
      </c>
      <c r="I5041" t="s">
        <v>771</v>
      </c>
      <c r="J5041" s="2" t="s">
        <v>14</v>
      </c>
      <c r="K5041" t="s">
        <v>578</v>
      </c>
      <c r="L5041" t="s">
        <v>144</v>
      </c>
      <c r="M5041" t="s">
        <v>637</v>
      </c>
      <c r="N5041" t="s">
        <v>85</v>
      </c>
      <c r="O5041" s="6" t="s">
        <v>148</v>
      </c>
      <c r="P5041" t="s">
        <v>126</v>
      </c>
      <c r="Q5041">
        <v>14</v>
      </c>
      <c r="R5041" t="s">
        <v>213</v>
      </c>
      <c r="S5041" s="2" t="s">
        <v>9</v>
      </c>
      <c r="T5041">
        <v>9</v>
      </c>
      <c r="U5041" t="s">
        <v>28</v>
      </c>
      <c r="V5041" t="s">
        <v>28</v>
      </c>
      <c r="W5041">
        <v>18.2</v>
      </c>
      <c r="X5041">
        <v>0.34300000000000003</v>
      </c>
      <c r="Y5041" s="6">
        <f t="shared" si="90"/>
        <v>0.15299999999999997</v>
      </c>
      <c r="Z5041">
        <f>0.394-X5041</f>
        <v>5.099999999999999E-2</v>
      </c>
      <c r="AA5041" s="6"/>
      <c r="AB5041" s="6"/>
    </row>
    <row r="5042" spans="1:28" x14ac:dyDescent="0.2">
      <c r="A5042" t="s">
        <v>585</v>
      </c>
      <c r="B5042">
        <v>2015</v>
      </c>
      <c r="C5042" t="s">
        <v>826</v>
      </c>
      <c r="D5042" t="s">
        <v>824</v>
      </c>
      <c r="E5042" t="s">
        <v>48</v>
      </c>
      <c r="F5042" t="s">
        <v>576</v>
      </c>
      <c r="G5042">
        <v>44.477347000000002</v>
      </c>
      <c r="H5042">
        <v>-63.546725000000002</v>
      </c>
      <c r="I5042" t="s">
        <v>771</v>
      </c>
      <c r="J5042" s="2" t="s">
        <v>7</v>
      </c>
      <c r="K5042" t="s">
        <v>579</v>
      </c>
      <c r="L5042" t="s">
        <v>144</v>
      </c>
      <c r="M5042" t="s">
        <v>637</v>
      </c>
      <c r="N5042" t="s">
        <v>85</v>
      </c>
      <c r="O5042" s="6" t="s">
        <v>148</v>
      </c>
      <c r="P5042" t="s">
        <v>126</v>
      </c>
      <c r="Q5042">
        <v>7</v>
      </c>
      <c r="R5042" t="s">
        <v>213</v>
      </c>
      <c r="S5042" s="2" t="s">
        <v>7</v>
      </c>
      <c r="T5042">
        <v>9</v>
      </c>
      <c r="U5042" t="s">
        <v>28</v>
      </c>
      <c r="V5042" t="s">
        <v>28</v>
      </c>
      <c r="W5042">
        <v>11.6</v>
      </c>
      <c r="X5042">
        <v>1.7749999999999999</v>
      </c>
      <c r="Y5042" s="6">
        <f t="shared" si="90"/>
        <v>1.0289999999999999</v>
      </c>
      <c r="Z5042">
        <f>2.118-X5042</f>
        <v>0.34299999999999997</v>
      </c>
      <c r="AA5042" s="6"/>
      <c r="AB5042" s="6"/>
    </row>
    <row r="5043" spans="1:28" x14ac:dyDescent="0.2">
      <c r="A5043" t="s">
        <v>585</v>
      </c>
      <c r="B5043">
        <v>2015</v>
      </c>
      <c r="C5043" t="s">
        <v>826</v>
      </c>
      <c r="D5043" t="s">
        <v>824</v>
      </c>
      <c r="E5043" t="s">
        <v>48</v>
      </c>
      <c r="F5043" t="s">
        <v>576</v>
      </c>
      <c r="G5043">
        <v>44.477347000000002</v>
      </c>
      <c r="H5043">
        <v>-63.546725000000002</v>
      </c>
      <c r="I5043" t="s">
        <v>771</v>
      </c>
      <c r="J5043" s="2" t="s">
        <v>14</v>
      </c>
      <c r="K5043" t="s">
        <v>579</v>
      </c>
      <c r="L5043" t="s">
        <v>144</v>
      </c>
      <c r="M5043" t="s">
        <v>637</v>
      </c>
      <c r="N5043" t="s">
        <v>85</v>
      </c>
      <c r="O5043" s="6" t="s">
        <v>148</v>
      </c>
      <c r="P5043" t="s">
        <v>126</v>
      </c>
      <c r="Q5043">
        <v>7</v>
      </c>
      <c r="R5043" t="s">
        <v>213</v>
      </c>
      <c r="S5043" s="2" t="s">
        <v>27</v>
      </c>
      <c r="T5043">
        <v>9</v>
      </c>
      <c r="U5043" t="s">
        <v>28</v>
      </c>
      <c r="V5043" t="s">
        <v>28</v>
      </c>
      <c r="W5043">
        <v>20.8</v>
      </c>
      <c r="X5043">
        <v>1.474</v>
      </c>
      <c r="Y5043" s="6">
        <f t="shared" si="90"/>
        <v>0.49799999999999978</v>
      </c>
      <c r="Z5043">
        <f>1.64-X5043</f>
        <v>0.16599999999999993</v>
      </c>
      <c r="AA5043" s="6"/>
      <c r="AB5043" s="6"/>
    </row>
    <row r="5044" spans="1:28" x14ac:dyDescent="0.2">
      <c r="A5044" t="s">
        <v>585</v>
      </c>
      <c r="B5044">
        <v>2015</v>
      </c>
      <c r="C5044" t="s">
        <v>826</v>
      </c>
      <c r="D5044" t="s">
        <v>824</v>
      </c>
      <c r="E5044" t="s">
        <v>48</v>
      </c>
      <c r="F5044" t="s">
        <v>576</v>
      </c>
      <c r="G5044">
        <v>44.477347000000002</v>
      </c>
      <c r="H5044">
        <v>-63.546725000000002</v>
      </c>
      <c r="I5044" t="s">
        <v>771</v>
      </c>
      <c r="J5044" s="2" t="s">
        <v>7</v>
      </c>
      <c r="K5044" t="s">
        <v>579</v>
      </c>
      <c r="L5044" t="s">
        <v>144</v>
      </c>
      <c r="M5044" t="s">
        <v>637</v>
      </c>
      <c r="N5044" t="s">
        <v>85</v>
      </c>
      <c r="O5044" s="6" t="s">
        <v>148</v>
      </c>
      <c r="P5044" t="s">
        <v>126</v>
      </c>
      <c r="Q5044">
        <v>14</v>
      </c>
      <c r="R5044" t="s">
        <v>213</v>
      </c>
      <c r="S5044" s="2" t="s">
        <v>7</v>
      </c>
      <c r="T5044">
        <v>9</v>
      </c>
      <c r="U5044" t="s">
        <v>28</v>
      </c>
      <c r="V5044" t="s">
        <v>28</v>
      </c>
      <c r="W5044">
        <v>11.6</v>
      </c>
      <c r="X5044">
        <v>1.516</v>
      </c>
      <c r="Y5044" s="6">
        <f t="shared" si="90"/>
        <v>0.55799999999999983</v>
      </c>
      <c r="Z5044">
        <f>1.702-X5044</f>
        <v>0.18599999999999994</v>
      </c>
      <c r="AA5044" s="6"/>
      <c r="AB5044" s="6"/>
    </row>
    <row r="5045" spans="1:28" x14ac:dyDescent="0.2">
      <c r="A5045" t="s">
        <v>585</v>
      </c>
      <c r="B5045">
        <v>2015</v>
      </c>
      <c r="C5045" t="s">
        <v>826</v>
      </c>
      <c r="D5045" t="s">
        <v>824</v>
      </c>
      <c r="E5045" t="s">
        <v>48</v>
      </c>
      <c r="F5045" t="s">
        <v>576</v>
      </c>
      <c r="G5045">
        <v>44.477347000000002</v>
      </c>
      <c r="H5045">
        <v>-63.546725000000002</v>
      </c>
      <c r="I5045" t="s">
        <v>771</v>
      </c>
      <c r="J5045" s="2" t="s">
        <v>14</v>
      </c>
      <c r="K5045" t="s">
        <v>579</v>
      </c>
      <c r="L5045" t="s">
        <v>144</v>
      </c>
      <c r="M5045" t="s">
        <v>637</v>
      </c>
      <c r="N5045" t="s">
        <v>85</v>
      </c>
      <c r="O5045" s="6" t="s">
        <v>148</v>
      </c>
      <c r="P5045" t="s">
        <v>126</v>
      </c>
      <c r="Q5045">
        <v>14</v>
      </c>
      <c r="R5045" t="s">
        <v>213</v>
      </c>
      <c r="S5045" s="2" t="s">
        <v>9</v>
      </c>
      <c r="T5045">
        <v>9</v>
      </c>
      <c r="U5045" t="s">
        <v>28</v>
      </c>
      <c r="V5045" t="s">
        <v>28</v>
      </c>
      <c r="W5045">
        <v>18.2</v>
      </c>
      <c r="X5045">
        <v>1.37</v>
      </c>
      <c r="Y5045" s="6">
        <f t="shared" si="90"/>
        <v>0.74699999999999966</v>
      </c>
      <c r="Z5045">
        <f>1.619-X5045</f>
        <v>0.24899999999999989</v>
      </c>
      <c r="AA5045" s="6"/>
      <c r="AB5045" s="6"/>
    </row>
    <row r="5046" spans="1:28" x14ac:dyDescent="0.2">
      <c r="A5046" t="s">
        <v>585</v>
      </c>
      <c r="B5046">
        <v>2015</v>
      </c>
      <c r="C5046" t="s">
        <v>826</v>
      </c>
      <c r="D5046" t="s">
        <v>824</v>
      </c>
      <c r="E5046" t="s">
        <v>48</v>
      </c>
      <c r="F5046" t="s">
        <v>576</v>
      </c>
      <c r="G5046">
        <v>44.477347000000002</v>
      </c>
      <c r="H5046">
        <v>-63.546725000000002</v>
      </c>
      <c r="I5046" t="s">
        <v>771</v>
      </c>
      <c r="J5046" s="2" t="s">
        <v>7</v>
      </c>
      <c r="K5046" t="s">
        <v>579</v>
      </c>
      <c r="L5046" t="s">
        <v>144</v>
      </c>
      <c r="M5046" s="6" t="s">
        <v>663</v>
      </c>
      <c r="N5046" t="s">
        <v>86</v>
      </c>
      <c r="O5046" s="6" t="s">
        <v>580</v>
      </c>
      <c r="P5046" t="s">
        <v>586</v>
      </c>
      <c r="Q5046">
        <v>10</v>
      </c>
      <c r="R5046" t="s">
        <v>213</v>
      </c>
      <c r="S5046" s="2" t="s">
        <v>7</v>
      </c>
      <c r="T5046">
        <v>11</v>
      </c>
      <c r="U5046" t="s">
        <v>28</v>
      </c>
      <c r="V5046" t="s">
        <v>28</v>
      </c>
      <c r="W5046">
        <v>11.6</v>
      </c>
      <c r="X5046">
        <f>AVERAGE(34.4,15,15,8.62,9.31,13.1)</f>
        <v>15.905000000000001</v>
      </c>
      <c r="Y5046" s="6">
        <f t="shared" si="90"/>
        <v>13.371525613116185</v>
      </c>
      <c r="Z5046">
        <f>AVERAGE(11.4,2.6,2.6,3.45,1.72,2.42)</f>
        <v>4.0316666666666663</v>
      </c>
      <c r="AA5046" s="6"/>
      <c r="AB5046" s="6"/>
    </row>
    <row r="5047" spans="1:28" x14ac:dyDescent="0.2">
      <c r="A5047" t="s">
        <v>585</v>
      </c>
      <c r="B5047">
        <v>2015</v>
      </c>
      <c r="C5047" t="s">
        <v>826</v>
      </c>
      <c r="D5047" t="s">
        <v>824</v>
      </c>
      <c r="E5047" t="s">
        <v>48</v>
      </c>
      <c r="F5047" t="s">
        <v>576</v>
      </c>
      <c r="G5047">
        <v>44.477347000000002</v>
      </c>
      <c r="H5047">
        <v>-63.546725000000002</v>
      </c>
      <c r="I5047" t="s">
        <v>771</v>
      </c>
      <c r="J5047" s="2" t="s">
        <v>14</v>
      </c>
      <c r="K5047" t="s">
        <v>579</v>
      </c>
      <c r="L5047" t="s">
        <v>144</v>
      </c>
      <c r="M5047" s="6" t="s">
        <v>663</v>
      </c>
      <c r="N5047" t="s">
        <v>86</v>
      </c>
      <c r="O5047" s="6" t="s">
        <v>580</v>
      </c>
      <c r="P5047" t="s">
        <v>586</v>
      </c>
      <c r="Q5047">
        <v>10</v>
      </c>
      <c r="R5047" t="s">
        <v>213</v>
      </c>
      <c r="S5047" s="2" t="s">
        <v>27</v>
      </c>
      <c r="T5047">
        <v>11</v>
      </c>
      <c r="U5047" t="s">
        <v>28</v>
      </c>
      <c r="V5047" t="s">
        <v>28</v>
      </c>
      <c r="W5047">
        <v>20.8</v>
      </c>
      <c r="X5047">
        <f>AVERAGE(115.4,87.2,114.5,25.17,25.86,47.24)</f>
        <v>69.228333333333339</v>
      </c>
      <c r="Y5047" s="6">
        <f t="shared" si="90"/>
        <v>39.080895446354461</v>
      </c>
      <c r="Z5047">
        <f>AVERAGE(24.7,14.1,15,4.49,7.93,4.48)</f>
        <v>11.783333333333333</v>
      </c>
      <c r="AA5047" s="6"/>
      <c r="AB5047" s="6"/>
    </row>
    <row r="5048" spans="1:28" x14ac:dyDescent="0.2">
      <c r="A5048" t="s">
        <v>587</v>
      </c>
      <c r="B5048">
        <v>2019</v>
      </c>
      <c r="C5048" t="s">
        <v>826</v>
      </c>
      <c r="D5048" t="s">
        <v>824</v>
      </c>
      <c r="E5048" t="s">
        <v>588</v>
      </c>
      <c r="F5048" t="s">
        <v>589</v>
      </c>
      <c r="G5048">
        <v>43.725555999999997</v>
      </c>
      <c r="H5048">
        <v>-69.996110999999999</v>
      </c>
      <c r="I5048" t="s">
        <v>761</v>
      </c>
      <c r="J5048" s="2" t="s">
        <v>7</v>
      </c>
      <c r="K5048" t="s">
        <v>3</v>
      </c>
      <c r="L5048" t="s">
        <v>300</v>
      </c>
      <c r="M5048" t="s">
        <v>727</v>
      </c>
      <c r="N5048" t="s">
        <v>85</v>
      </c>
      <c r="O5048" s="6" t="s">
        <v>71</v>
      </c>
      <c r="P5048" t="s">
        <v>70</v>
      </c>
      <c r="Q5048">
        <v>7</v>
      </c>
      <c r="R5048" t="s">
        <v>213</v>
      </c>
      <c r="S5048" s="2" t="s">
        <v>7</v>
      </c>
      <c r="T5048">
        <v>1</v>
      </c>
      <c r="U5048" t="s">
        <v>28</v>
      </c>
      <c r="V5048" t="s">
        <v>28</v>
      </c>
      <c r="W5048">
        <v>12</v>
      </c>
      <c r="X5048">
        <v>97.92</v>
      </c>
      <c r="Y5048" t="s">
        <v>28</v>
      </c>
      <c r="Z5048" t="s">
        <v>28</v>
      </c>
      <c r="AA5048" t="s">
        <v>28</v>
      </c>
      <c r="AB5048" t="s">
        <v>28</v>
      </c>
    </row>
    <row r="5049" spans="1:28" x14ac:dyDescent="0.2">
      <c r="A5049" t="s">
        <v>587</v>
      </c>
      <c r="B5049">
        <v>2019</v>
      </c>
      <c r="C5049" t="s">
        <v>826</v>
      </c>
      <c r="D5049" t="s">
        <v>824</v>
      </c>
      <c r="E5049" t="s">
        <v>588</v>
      </c>
      <c r="F5049" t="s">
        <v>589</v>
      </c>
      <c r="G5049">
        <v>43.725555999999997</v>
      </c>
      <c r="H5049">
        <v>-69.996110999999999</v>
      </c>
      <c r="I5049" t="s">
        <v>761</v>
      </c>
      <c r="J5049" s="2" t="s">
        <v>14</v>
      </c>
      <c r="K5049" t="s">
        <v>3</v>
      </c>
      <c r="L5049" t="s">
        <v>300</v>
      </c>
      <c r="M5049" t="s">
        <v>727</v>
      </c>
      <c r="N5049" t="s">
        <v>85</v>
      </c>
      <c r="O5049" s="6" t="s">
        <v>71</v>
      </c>
      <c r="P5049" t="s">
        <v>70</v>
      </c>
      <c r="Q5049">
        <v>7</v>
      </c>
      <c r="R5049" t="s">
        <v>213</v>
      </c>
      <c r="S5049" s="2" t="s">
        <v>9</v>
      </c>
      <c r="T5049">
        <v>1</v>
      </c>
      <c r="U5049" t="s">
        <v>28</v>
      </c>
      <c r="V5049" t="s">
        <v>28</v>
      </c>
      <c r="W5049">
        <v>15</v>
      </c>
      <c r="X5049">
        <v>89.25</v>
      </c>
      <c r="Y5049" t="s">
        <v>28</v>
      </c>
      <c r="Z5049" t="s">
        <v>28</v>
      </c>
      <c r="AA5049" t="s">
        <v>28</v>
      </c>
      <c r="AB5049" t="s">
        <v>28</v>
      </c>
    </row>
    <row r="5050" spans="1:28" x14ac:dyDescent="0.2">
      <c r="A5050" t="s">
        <v>587</v>
      </c>
      <c r="B5050">
        <v>2019</v>
      </c>
      <c r="C5050" t="s">
        <v>826</v>
      </c>
      <c r="D5050" t="s">
        <v>824</v>
      </c>
      <c r="E5050" t="s">
        <v>588</v>
      </c>
      <c r="F5050" t="s">
        <v>589</v>
      </c>
      <c r="G5050">
        <v>43.725555999999997</v>
      </c>
      <c r="H5050">
        <v>-69.996110999999999</v>
      </c>
      <c r="I5050" t="s">
        <v>761</v>
      </c>
      <c r="J5050" s="2" t="s">
        <v>14</v>
      </c>
      <c r="K5050" t="s">
        <v>3</v>
      </c>
      <c r="L5050" t="s">
        <v>300</v>
      </c>
      <c r="M5050" t="s">
        <v>727</v>
      </c>
      <c r="N5050" t="s">
        <v>85</v>
      </c>
      <c r="O5050" s="6" t="s">
        <v>71</v>
      </c>
      <c r="P5050" t="s">
        <v>70</v>
      </c>
      <c r="Q5050">
        <v>7</v>
      </c>
      <c r="R5050" t="s">
        <v>213</v>
      </c>
      <c r="S5050" s="2" t="s">
        <v>27</v>
      </c>
      <c r="T5050">
        <v>1</v>
      </c>
      <c r="U5050" t="s">
        <v>28</v>
      </c>
      <c r="V5050" t="s">
        <v>28</v>
      </c>
      <c r="W5050">
        <v>17</v>
      </c>
      <c r="X5050">
        <v>99.06</v>
      </c>
      <c r="Y5050" t="s">
        <v>28</v>
      </c>
      <c r="Z5050" t="s">
        <v>28</v>
      </c>
      <c r="AA5050" t="s">
        <v>28</v>
      </c>
      <c r="AB5050" t="s">
        <v>28</v>
      </c>
    </row>
    <row r="5051" spans="1:28" x14ac:dyDescent="0.2">
      <c r="A5051" t="s">
        <v>587</v>
      </c>
      <c r="B5051">
        <v>2019</v>
      </c>
      <c r="C5051" t="s">
        <v>826</v>
      </c>
      <c r="D5051" t="s">
        <v>824</v>
      </c>
      <c r="E5051" t="s">
        <v>588</v>
      </c>
      <c r="F5051" t="s">
        <v>589</v>
      </c>
      <c r="G5051">
        <v>43.725555999999997</v>
      </c>
      <c r="H5051">
        <v>-69.996110999999999</v>
      </c>
      <c r="I5051" t="s">
        <v>761</v>
      </c>
      <c r="J5051" s="2" t="s">
        <v>7</v>
      </c>
      <c r="K5051" t="s">
        <v>41</v>
      </c>
      <c r="L5051" t="s">
        <v>3</v>
      </c>
      <c r="M5051" t="s">
        <v>26</v>
      </c>
      <c r="N5051" t="s">
        <v>85</v>
      </c>
      <c r="O5051" s="6" t="s">
        <v>207</v>
      </c>
      <c r="P5051" t="s">
        <v>206</v>
      </c>
      <c r="Q5051">
        <v>21</v>
      </c>
      <c r="R5051" t="s">
        <v>213</v>
      </c>
      <c r="S5051" s="2" t="s">
        <v>7</v>
      </c>
      <c r="T5051">
        <v>3</v>
      </c>
      <c r="U5051" t="s">
        <v>28</v>
      </c>
      <c r="V5051" t="s">
        <v>28</v>
      </c>
      <c r="W5051">
        <v>12</v>
      </c>
      <c r="X5051">
        <v>2.6850000000000001</v>
      </c>
      <c r="Y5051" s="6">
        <f t="shared" ref="Y5051:Y5089" si="91">Z5051*SQRT(T5051)</f>
        <v>0.54906010599933364</v>
      </c>
      <c r="Z5051">
        <f>3.002-X5051</f>
        <v>0.31699999999999973</v>
      </c>
      <c r="AA5051" s="6"/>
      <c r="AB5051" s="6"/>
    </row>
    <row r="5052" spans="1:28" x14ac:dyDescent="0.2">
      <c r="A5052" t="s">
        <v>587</v>
      </c>
      <c r="B5052">
        <v>2019</v>
      </c>
      <c r="C5052" t="s">
        <v>826</v>
      </c>
      <c r="D5052" t="s">
        <v>824</v>
      </c>
      <c r="E5052" t="s">
        <v>588</v>
      </c>
      <c r="F5052" t="s">
        <v>589</v>
      </c>
      <c r="G5052">
        <v>43.725555999999997</v>
      </c>
      <c r="H5052">
        <v>-69.996110999999999</v>
      </c>
      <c r="I5052" t="s">
        <v>761</v>
      </c>
      <c r="J5052" s="2" t="s">
        <v>14</v>
      </c>
      <c r="K5052" t="s">
        <v>41</v>
      </c>
      <c r="L5052" t="s">
        <v>3</v>
      </c>
      <c r="M5052" t="s">
        <v>26</v>
      </c>
      <c r="N5052" t="s">
        <v>85</v>
      </c>
      <c r="O5052" s="6" t="s">
        <v>207</v>
      </c>
      <c r="P5052" t="s">
        <v>206</v>
      </c>
      <c r="Q5052">
        <v>21</v>
      </c>
      <c r="R5052" t="s">
        <v>213</v>
      </c>
      <c r="S5052" s="2" t="s">
        <v>9</v>
      </c>
      <c r="T5052">
        <v>3</v>
      </c>
      <c r="U5052" t="s">
        <v>28</v>
      </c>
      <c r="V5052" t="s">
        <v>28</v>
      </c>
      <c r="W5052">
        <v>15</v>
      </c>
      <c r="X5052">
        <v>2.1739999999999999</v>
      </c>
      <c r="Y5052" s="6">
        <f t="shared" si="91"/>
        <v>0.53347164873121466</v>
      </c>
      <c r="Z5052">
        <f>2.482-X5052</f>
        <v>0.30800000000000027</v>
      </c>
      <c r="AA5052" s="6"/>
      <c r="AB5052" s="6"/>
    </row>
    <row r="5053" spans="1:28" x14ac:dyDescent="0.2">
      <c r="A5053" t="s">
        <v>587</v>
      </c>
      <c r="B5053">
        <v>2019</v>
      </c>
      <c r="C5053" t="s">
        <v>826</v>
      </c>
      <c r="D5053" t="s">
        <v>824</v>
      </c>
      <c r="E5053" t="s">
        <v>588</v>
      </c>
      <c r="F5053" t="s">
        <v>589</v>
      </c>
      <c r="G5053">
        <v>43.725555999999997</v>
      </c>
      <c r="H5053">
        <v>-69.996110999999999</v>
      </c>
      <c r="I5053" t="s">
        <v>761</v>
      </c>
      <c r="J5053" s="2" t="s">
        <v>14</v>
      </c>
      <c r="K5053" t="s">
        <v>41</v>
      </c>
      <c r="L5053" t="s">
        <v>3</v>
      </c>
      <c r="M5053" t="s">
        <v>26</v>
      </c>
      <c r="N5053" t="s">
        <v>85</v>
      </c>
      <c r="O5053" s="6" t="s">
        <v>207</v>
      </c>
      <c r="P5053" t="s">
        <v>206</v>
      </c>
      <c r="Q5053">
        <v>21</v>
      </c>
      <c r="R5053" t="s">
        <v>213</v>
      </c>
      <c r="S5053" s="2" t="s">
        <v>27</v>
      </c>
      <c r="T5053">
        <v>3</v>
      </c>
      <c r="U5053" t="s">
        <v>28</v>
      </c>
      <c r="V5053" t="s">
        <v>28</v>
      </c>
      <c r="W5053">
        <v>17</v>
      </c>
      <c r="X5053">
        <v>2.6850000000000001</v>
      </c>
      <c r="Y5053" s="6">
        <f t="shared" si="91"/>
        <v>0.53347164873121389</v>
      </c>
      <c r="Z5053">
        <f>2.993-X5053</f>
        <v>0.30799999999999983</v>
      </c>
      <c r="AA5053" s="6"/>
      <c r="AB5053" s="6"/>
    </row>
    <row r="5054" spans="1:28" x14ac:dyDescent="0.2">
      <c r="A5054" t="s">
        <v>587</v>
      </c>
      <c r="B5054">
        <v>2019</v>
      </c>
      <c r="C5054" t="s">
        <v>826</v>
      </c>
      <c r="D5054" t="s">
        <v>824</v>
      </c>
      <c r="E5054" t="s">
        <v>588</v>
      </c>
      <c r="F5054" t="s">
        <v>589</v>
      </c>
      <c r="G5054">
        <v>43.725555999999997</v>
      </c>
      <c r="H5054">
        <v>-69.996110999999999</v>
      </c>
      <c r="I5054" t="s">
        <v>761</v>
      </c>
      <c r="J5054" s="2" t="s">
        <v>7</v>
      </c>
      <c r="K5054" t="s">
        <v>40</v>
      </c>
      <c r="L5054" t="s">
        <v>3</v>
      </c>
      <c r="M5054" t="s">
        <v>26</v>
      </c>
      <c r="N5054" t="s">
        <v>85</v>
      </c>
      <c r="O5054" s="6" t="s">
        <v>356</v>
      </c>
      <c r="P5054" t="s">
        <v>65</v>
      </c>
      <c r="Q5054">
        <v>21</v>
      </c>
      <c r="R5054" t="s">
        <v>213</v>
      </c>
      <c r="S5054" s="2" t="s">
        <v>7</v>
      </c>
      <c r="T5054">
        <v>3</v>
      </c>
      <c r="U5054" t="s">
        <v>28</v>
      </c>
      <c r="V5054" t="s">
        <v>28</v>
      </c>
      <c r="W5054">
        <v>12</v>
      </c>
      <c r="X5054">
        <v>15.08</v>
      </c>
      <c r="Y5054" s="6">
        <f t="shared" si="91"/>
        <v>22.86307065990918</v>
      </c>
      <c r="Z5054">
        <f>28.28-X5054</f>
        <v>13.200000000000001</v>
      </c>
      <c r="AA5054" s="6"/>
      <c r="AB5054" s="6"/>
    </row>
    <row r="5055" spans="1:28" x14ac:dyDescent="0.2">
      <c r="A5055" t="s">
        <v>587</v>
      </c>
      <c r="B5055">
        <v>2019</v>
      </c>
      <c r="C5055" t="s">
        <v>826</v>
      </c>
      <c r="D5055" t="s">
        <v>824</v>
      </c>
      <c r="E5055" t="s">
        <v>588</v>
      </c>
      <c r="F5055" t="s">
        <v>589</v>
      </c>
      <c r="G5055">
        <v>43.725555999999997</v>
      </c>
      <c r="H5055">
        <v>-69.996110999999999</v>
      </c>
      <c r="I5055" t="s">
        <v>761</v>
      </c>
      <c r="J5055" s="2" t="s">
        <v>14</v>
      </c>
      <c r="K5055" t="s">
        <v>40</v>
      </c>
      <c r="L5055" t="s">
        <v>3</v>
      </c>
      <c r="M5055" t="s">
        <v>26</v>
      </c>
      <c r="N5055" t="s">
        <v>85</v>
      </c>
      <c r="O5055" s="6" t="s">
        <v>356</v>
      </c>
      <c r="P5055" t="s">
        <v>65</v>
      </c>
      <c r="Q5055">
        <v>21</v>
      </c>
      <c r="R5055" t="s">
        <v>213</v>
      </c>
      <c r="S5055" s="2" t="s">
        <v>9</v>
      </c>
      <c r="T5055">
        <v>3</v>
      </c>
      <c r="U5055" t="s">
        <v>28</v>
      </c>
      <c r="V5055" t="s">
        <v>28</v>
      </c>
      <c r="W5055">
        <v>15</v>
      </c>
      <c r="X5055">
        <v>18.86</v>
      </c>
      <c r="Y5055" s="6">
        <f t="shared" si="91"/>
        <v>22.845750151833485</v>
      </c>
      <c r="Z5055">
        <f>32.05-X5055</f>
        <v>13.189999999999998</v>
      </c>
      <c r="AA5055" s="6"/>
      <c r="AB5055" s="6"/>
    </row>
    <row r="5056" spans="1:28" x14ac:dyDescent="0.2">
      <c r="A5056" t="s">
        <v>587</v>
      </c>
      <c r="B5056">
        <v>2019</v>
      </c>
      <c r="C5056" t="s">
        <v>826</v>
      </c>
      <c r="D5056" t="s">
        <v>824</v>
      </c>
      <c r="E5056" t="s">
        <v>588</v>
      </c>
      <c r="F5056" t="s">
        <v>589</v>
      </c>
      <c r="G5056">
        <v>43.725555999999997</v>
      </c>
      <c r="H5056">
        <v>-69.996110999999999</v>
      </c>
      <c r="I5056" t="s">
        <v>761</v>
      </c>
      <c r="J5056" s="2" t="s">
        <v>14</v>
      </c>
      <c r="K5056" t="s">
        <v>40</v>
      </c>
      <c r="L5056" t="s">
        <v>3</v>
      </c>
      <c r="M5056" t="s">
        <v>26</v>
      </c>
      <c r="N5056" t="s">
        <v>85</v>
      </c>
      <c r="O5056" s="6" t="s">
        <v>356</v>
      </c>
      <c r="P5056" t="s">
        <v>65</v>
      </c>
      <c r="Q5056">
        <v>21</v>
      </c>
      <c r="R5056" t="s">
        <v>213</v>
      </c>
      <c r="S5056" s="2" t="s">
        <v>27</v>
      </c>
      <c r="T5056">
        <v>3</v>
      </c>
      <c r="U5056" t="s">
        <v>28</v>
      </c>
      <c r="V5056" t="s">
        <v>28</v>
      </c>
      <c r="W5056">
        <v>17</v>
      </c>
      <c r="X5056">
        <v>83.5</v>
      </c>
      <c r="Y5056" s="6">
        <f t="shared" si="91"/>
        <v>22.395416941865594</v>
      </c>
      <c r="Z5056">
        <f>96.43-X5056</f>
        <v>12.930000000000007</v>
      </c>
      <c r="AA5056" s="6"/>
      <c r="AB5056" s="6"/>
    </row>
    <row r="5057" spans="1:28" x14ac:dyDescent="0.2">
      <c r="A5057" t="s">
        <v>587</v>
      </c>
      <c r="B5057">
        <v>2019</v>
      </c>
      <c r="C5057" t="s">
        <v>826</v>
      </c>
      <c r="D5057" t="s">
        <v>824</v>
      </c>
      <c r="E5057" t="s">
        <v>588</v>
      </c>
      <c r="F5057" t="s">
        <v>589</v>
      </c>
      <c r="G5057">
        <v>43.725555999999997</v>
      </c>
      <c r="H5057">
        <v>-69.996110999999999</v>
      </c>
      <c r="I5057" t="s">
        <v>761</v>
      </c>
      <c r="J5057" s="2" t="s">
        <v>7</v>
      </c>
      <c r="K5057" t="s">
        <v>143</v>
      </c>
      <c r="L5057" t="s">
        <v>143</v>
      </c>
      <c r="M5057" t="s">
        <v>26</v>
      </c>
      <c r="N5057" t="s">
        <v>85</v>
      </c>
      <c r="O5057" s="6" t="s">
        <v>356</v>
      </c>
      <c r="P5057" t="s">
        <v>65</v>
      </c>
      <c r="Q5057">
        <v>21</v>
      </c>
      <c r="R5057" t="s">
        <v>214</v>
      </c>
      <c r="S5057" s="2" t="s">
        <v>7</v>
      </c>
      <c r="T5057">
        <v>3</v>
      </c>
      <c r="U5057" t="s">
        <v>28</v>
      </c>
      <c r="V5057" t="s">
        <v>28</v>
      </c>
      <c r="W5057">
        <v>12</v>
      </c>
      <c r="X5057">
        <v>83.83</v>
      </c>
      <c r="Y5057" s="6">
        <f t="shared" si="91"/>
        <v>25.790236524700582</v>
      </c>
      <c r="Z5057">
        <f>98.72-X5057</f>
        <v>14.89</v>
      </c>
      <c r="AA5057" s="6"/>
      <c r="AB5057" s="6"/>
    </row>
    <row r="5058" spans="1:28" x14ac:dyDescent="0.2">
      <c r="A5058" t="s">
        <v>587</v>
      </c>
      <c r="B5058">
        <v>2019</v>
      </c>
      <c r="C5058" t="s">
        <v>826</v>
      </c>
      <c r="D5058" t="s">
        <v>824</v>
      </c>
      <c r="E5058" t="s">
        <v>588</v>
      </c>
      <c r="F5058" t="s">
        <v>589</v>
      </c>
      <c r="G5058">
        <v>43.725555999999997</v>
      </c>
      <c r="H5058">
        <v>-69.996110999999999</v>
      </c>
      <c r="I5058" t="s">
        <v>761</v>
      </c>
      <c r="J5058" s="2" t="s">
        <v>14</v>
      </c>
      <c r="K5058" t="s">
        <v>143</v>
      </c>
      <c r="L5058" t="s">
        <v>143</v>
      </c>
      <c r="M5058" t="s">
        <v>26</v>
      </c>
      <c r="N5058" t="s">
        <v>85</v>
      </c>
      <c r="O5058" s="6" t="s">
        <v>356</v>
      </c>
      <c r="P5058" t="s">
        <v>65</v>
      </c>
      <c r="Q5058">
        <v>21</v>
      </c>
      <c r="R5058" t="s">
        <v>214</v>
      </c>
      <c r="S5058" s="2" t="s">
        <v>9</v>
      </c>
      <c r="T5058">
        <v>3</v>
      </c>
      <c r="U5058" t="s">
        <v>28</v>
      </c>
      <c r="V5058" t="s">
        <v>28</v>
      </c>
      <c r="W5058">
        <v>15</v>
      </c>
      <c r="X5058">
        <v>109.79</v>
      </c>
      <c r="Y5058" s="6">
        <f t="shared" si="91"/>
        <v>25.790236524700582</v>
      </c>
      <c r="Z5058">
        <f>124.68-X5058</f>
        <v>14.89</v>
      </c>
      <c r="AA5058" s="6"/>
      <c r="AB5058" s="6"/>
    </row>
    <row r="5059" spans="1:28" x14ac:dyDescent="0.2">
      <c r="A5059" t="s">
        <v>587</v>
      </c>
      <c r="B5059">
        <v>2019</v>
      </c>
      <c r="C5059" t="s">
        <v>826</v>
      </c>
      <c r="D5059" t="s">
        <v>824</v>
      </c>
      <c r="E5059" t="s">
        <v>588</v>
      </c>
      <c r="F5059" t="s">
        <v>589</v>
      </c>
      <c r="G5059">
        <v>43.725555999999997</v>
      </c>
      <c r="H5059">
        <v>-69.996110999999999</v>
      </c>
      <c r="I5059" t="s">
        <v>761</v>
      </c>
      <c r="J5059" s="2" t="s">
        <v>14</v>
      </c>
      <c r="K5059" t="s">
        <v>143</v>
      </c>
      <c r="L5059" t="s">
        <v>143</v>
      </c>
      <c r="M5059" t="s">
        <v>26</v>
      </c>
      <c r="N5059" t="s">
        <v>85</v>
      </c>
      <c r="O5059" s="6" t="s">
        <v>356</v>
      </c>
      <c r="P5059" t="s">
        <v>65</v>
      </c>
      <c r="Q5059">
        <v>21</v>
      </c>
      <c r="R5059" t="s">
        <v>214</v>
      </c>
      <c r="S5059" s="2" t="s">
        <v>27</v>
      </c>
      <c r="T5059">
        <v>3</v>
      </c>
      <c r="U5059" t="s">
        <v>28</v>
      </c>
      <c r="V5059" t="s">
        <v>28</v>
      </c>
      <c r="W5059">
        <v>17</v>
      </c>
      <c r="X5059">
        <v>28.09</v>
      </c>
      <c r="Y5059" s="6">
        <f t="shared" si="91"/>
        <v>25.790236524700575</v>
      </c>
      <c r="Z5059">
        <f>42.98-X5059</f>
        <v>14.889999999999997</v>
      </c>
      <c r="AA5059" s="6"/>
      <c r="AB5059" s="6"/>
    </row>
    <row r="5060" spans="1:28" x14ac:dyDescent="0.2">
      <c r="A5060" t="s">
        <v>587</v>
      </c>
      <c r="B5060">
        <v>2019</v>
      </c>
      <c r="C5060" t="s">
        <v>826</v>
      </c>
      <c r="D5060" t="s">
        <v>824</v>
      </c>
      <c r="E5060" t="s">
        <v>588</v>
      </c>
      <c r="F5060" t="s">
        <v>589</v>
      </c>
      <c r="G5060">
        <v>43.725555999999997</v>
      </c>
      <c r="H5060">
        <v>-69.996110999999999</v>
      </c>
      <c r="I5060" t="s">
        <v>761</v>
      </c>
      <c r="J5060" s="2" t="s">
        <v>7</v>
      </c>
      <c r="K5060" t="s">
        <v>143</v>
      </c>
      <c r="L5060" t="s">
        <v>143</v>
      </c>
      <c r="M5060" t="s">
        <v>26</v>
      </c>
      <c r="N5060" t="s">
        <v>85</v>
      </c>
      <c r="O5060" s="6" t="s">
        <v>356</v>
      </c>
      <c r="P5060" t="s">
        <v>65</v>
      </c>
      <c r="Q5060">
        <v>28</v>
      </c>
      <c r="R5060" t="s">
        <v>213</v>
      </c>
      <c r="S5060" s="2" t="s">
        <v>7</v>
      </c>
      <c r="T5060">
        <v>3</v>
      </c>
      <c r="U5060" t="s">
        <v>28</v>
      </c>
      <c r="V5060" t="s">
        <v>28</v>
      </c>
      <c r="W5060">
        <v>12</v>
      </c>
      <c r="X5060">
        <v>349.67</v>
      </c>
      <c r="Y5060" s="6">
        <f t="shared" si="91"/>
        <v>90.568936727776531</v>
      </c>
      <c r="Z5060">
        <f>401.96-X5060</f>
        <v>52.289999999999964</v>
      </c>
      <c r="AA5060" s="6"/>
      <c r="AB5060" s="6"/>
    </row>
    <row r="5061" spans="1:28" x14ac:dyDescent="0.2">
      <c r="A5061" t="s">
        <v>587</v>
      </c>
      <c r="B5061">
        <v>2019</v>
      </c>
      <c r="C5061" t="s">
        <v>826</v>
      </c>
      <c r="D5061" t="s">
        <v>824</v>
      </c>
      <c r="E5061" t="s">
        <v>588</v>
      </c>
      <c r="F5061" t="s">
        <v>589</v>
      </c>
      <c r="G5061">
        <v>43.725555999999997</v>
      </c>
      <c r="H5061">
        <v>-69.996110999999999</v>
      </c>
      <c r="I5061" t="s">
        <v>761</v>
      </c>
      <c r="J5061" s="2" t="s">
        <v>14</v>
      </c>
      <c r="K5061" t="s">
        <v>143</v>
      </c>
      <c r="L5061" t="s">
        <v>143</v>
      </c>
      <c r="M5061" t="s">
        <v>26</v>
      </c>
      <c r="N5061" t="s">
        <v>85</v>
      </c>
      <c r="O5061" s="6" t="s">
        <v>356</v>
      </c>
      <c r="P5061" t="s">
        <v>65</v>
      </c>
      <c r="Q5061">
        <v>28</v>
      </c>
      <c r="R5061" t="s">
        <v>213</v>
      </c>
      <c r="S5061" s="2" t="s">
        <v>9</v>
      </c>
      <c r="T5061">
        <v>3</v>
      </c>
      <c r="U5061" t="s">
        <v>28</v>
      </c>
      <c r="V5061" t="s">
        <v>28</v>
      </c>
      <c r="W5061">
        <v>15</v>
      </c>
      <c r="X5061">
        <v>323.52999999999997</v>
      </c>
      <c r="Y5061" s="6">
        <f t="shared" si="91"/>
        <v>93.392179544113887</v>
      </c>
      <c r="Z5061">
        <f>377.45-X5061</f>
        <v>53.920000000000016</v>
      </c>
      <c r="AA5061" s="6"/>
      <c r="AB5061" s="6"/>
    </row>
    <row r="5062" spans="1:28" x14ac:dyDescent="0.2">
      <c r="A5062" t="s">
        <v>587</v>
      </c>
      <c r="B5062">
        <v>2019</v>
      </c>
      <c r="C5062" t="s">
        <v>826</v>
      </c>
      <c r="D5062" t="s">
        <v>824</v>
      </c>
      <c r="E5062" t="s">
        <v>588</v>
      </c>
      <c r="F5062" t="s">
        <v>589</v>
      </c>
      <c r="G5062">
        <v>43.725555999999997</v>
      </c>
      <c r="H5062">
        <v>-69.996110999999999</v>
      </c>
      <c r="I5062" t="s">
        <v>761</v>
      </c>
      <c r="J5062" s="2" t="s">
        <v>14</v>
      </c>
      <c r="K5062" t="s">
        <v>143</v>
      </c>
      <c r="L5062" t="s">
        <v>143</v>
      </c>
      <c r="M5062" t="s">
        <v>26</v>
      </c>
      <c r="N5062" t="s">
        <v>85</v>
      </c>
      <c r="O5062" s="6" t="s">
        <v>356</v>
      </c>
      <c r="P5062" t="s">
        <v>65</v>
      </c>
      <c r="Q5062">
        <v>28</v>
      </c>
      <c r="R5062" t="s">
        <v>213</v>
      </c>
      <c r="S5062" s="2" t="s">
        <v>27</v>
      </c>
      <c r="T5062">
        <v>3</v>
      </c>
      <c r="U5062" t="s">
        <v>28</v>
      </c>
      <c r="V5062" t="s">
        <v>28</v>
      </c>
      <c r="W5062">
        <v>17</v>
      </c>
      <c r="X5062">
        <v>263.07</v>
      </c>
      <c r="Y5062" s="6">
        <f t="shared" si="91"/>
        <v>87.745693911439361</v>
      </c>
      <c r="Z5062">
        <f>313.73-X5062</f>
        <v>50.660000000000025</v>
      </c>
      <c r="AA5062" s="6"/>
      <c r="AB5062" s="6"/>
    </row>
    <row r="5063" spans="1:28" x14ac:dyDescent="0.2">
      <c r="A5063" t="s">
        <v>590</v>
      </c>
      <c r="B5063">
        <v>2016</v>
      </c>
      <c r="C5063" t="s">
        <v>826</v>
      </c>
      <c r="D5063" t="s">
        <v>812</v>
      </c>
      <c r="E5063" t="s">
        <v>175</v>
      </c>
      <c r="F5063" t="s">
        <v>442</v>
      </c>
      <c r="G5063">
        <v>-43.123078999999997</v>
      </c>
      <c r="H5063">
        <v>147.97484800000001</v>
      </c>
      <c r="I5063" t="s">
        <v>766</v>
      </c>
      <c r="J5063" s="2" t="s">
        <v>7</v>
      </c>
      <c r="K5063" t="s">
        <v>591</v>
      </c>
      <c r="L5063" t="s">
        <v>143</v>
      </c>
      <c r="M5063" t="s">
        <v>26</v>
      </c>
      <c r="N5063" t="s">
        <v>85</v>
      </c>
      <c r="O5063" t="s">
        <v>839</v>
      </c>
      <c r="P5063" t="s">
        <v>549</v>
      </c>
      <c r="Q5063">
        <v>21</v>
      </c>
      <c r="R5063" t="s">
        <v>213</v>
      </c>
      <c r="S5063" s="2" t="s">
        <v>7</v>
      </c>
      <c r="T5063">
        <v>6</v>
      </c>
      <c r="U5063">
        <v>8.02</v>
      </c>
      <c r="V5063">
        <v>443</v>
      </c>
      <c r="W5063" t="s">
        <v>28</v>
      </c>
      <c r="X5063">
        <v>9.8700000000000003E-3</v>
      </c>
      <c r="Y5063" s="6">
        <f t="shared" si="91"/>
        <v>1.7636326148038884E-3</v>
      </c>
      <c r="Z5063">
        <f>0.01059-X5063</f>
        <v>7.2000000000000015E-4</v>
      </c>
      <c r="AA5063" s="6"/>
      <c r="AB5063" s="6"/>
    </row>
    <row r="5064" spans="1:28" x14ac:dyDescent="0.2">
      <c r="A5064" t="s">
        <v>590</v>
      </c>
      <c r="B5064">
        <v>2016</v>
      </c>
      <c r="C5064" t="s">
        <v>826</v>
      </c>
      <c r="D5064" t="s">
        <v>812</v>
      </c>
      <c r="E5064" t="s">
        <v>175</v>
      </c>
      <c r="F5064" t="s">
        <v>442</v>
      </c>
      <c r="G5064">
        <v>-43.123078999999997</v>
      </c>
      <c r="H5064">
        <v>147.97484800000001</v>
      </c>
      <c r="I5064" t="s">
        <v>766</v>
      </c>
      <c r="J5064" s="2" t="s">
        <v>5</v>
      </c>
      <c r="K5064" t="s">
        <v>591</v>
      </c>
      <c r="L5064" t="s">
        <v>143</v>
      </c>
      <c r="M5064" t="s">
        <v>26</v>
      </c>
      <c r="N5064" t="s">
        <v>85</v>
      </c>
      <c r="O5064" t="s">
        <v>839</v>
      </c>
      <c r="P5064" t="s">
        <v>549</v>
      </c>
      <c r="Q5064">
        <v>21</v>
      </c>
      <c r="R5064" t="s">
        <v>213</v>
      </c>
      <c r="S5064" s="2" t="s">
        <v>9</v>
      </c>
      <c r="T5064">
        <v>5</v>
      </c>
      <c r="U5064">
        <v>7.71</v>
      </c>
      <c r="V5064">
        <v>957</v>
      </c>
      <c r="W5064" t="s">
        <v>28</v>
      </c>
      <c r="X5064">
        <v>9.4199999999999996E-3</v>
      </c>
      <c r="Y5064" s="6">
        <f t="shared" si="91"/>
        <v>3.7118728426496512E-3</v>
      </c>
      <c r="Z5064">
        <f>0.01108-X5064</f>
        <v>1.66E-3</v>
      </c>
      <c r="AA5064" s="6"/>
      <c r="AB5064" s="6"/>
    </row>
    <row r="5065" spans="1:28" x14ac:dyDescent="0.2">
      <c r="A5065" t="s">
        <v>590</v>
      </c>
      <c r="B5065">
        <v>2016</v>
      </c>
      <c r="C5065" t="s">
        <v>826</v>
      </c>
      <c r="D5065" t="s">
        <v>812</v>
      </c>
      <c r="E5065" t="s">
        <v>175</v>
      </c>
      <c r="F5065" t="s">
        <v>442</v>
      </c>
      <c r="G5065">
        <v>-43.123078999999997</v>
      </c>
      <c r="H5065">
        <v>147.97484800000001</v>
      </c>
      <c r="I5065" t="s">
        <v>766</v>
      </c>
      <c r="J5065" s="2" t="s">
        <v>5</v>
      </c>
      <c r="K5065" t="s">
        <v>591</v>
      </c>
      <c r="L5065" t="s">
        <v>143</v>
      </c>
      <c r="M5065" t="s">
        <v>26</v>
      </c>
      <c r="N5065" t="s">
        <v>85</v>
      </c>
      <c r="O5065" t="s">
        <v>839</v>
      </c>
      <c r="P5065" t="s">
        <v>549</v>
      </c>
      <c r="Q5065">
        <v>21</v>
      </c>
      <c r="R5065" t="s">
        <v>213</v>
      </c>
      <c r="S5065" s="2" t="s">
        <v>27</v>
      </c>
      <c r="T5065">
        <v>4</v>
      </c>
      <c r="U5065">
        <v>7.45</v>
      </c>
      <c r="V5065">
        <v>1800</v>
      </c>
      <c r="W5065" t="s">
        <v>28</v>
      </c>
      <c r="X5065">
        <v>1.1220000000000001E-2</v>
      </c>
      <c r="Y5065" s="6">
        <f t="shared" si="91"/>
        <v>2.8999999999999998E-3</v>
      </c>
      <c r="Z5065">
        <f>0.01267-X5065</f>
        <v>1.4499999999999999E-3</v>
      </c>
      <c r="AA5065" s="6"/>
      <c r="AB5065" s="6"/>
    </row>
    <row r="5066" spans="1:28" x14ac:dyDescent="0.2">
      <c r="A5066" t="s">
        <v>590</v>
      </c>
      <c r="B5066">
        <v>2016</v>
      </c>
      <c r="C5066" t="s">
        <v>826</v>
      </c>
      <c r="D5066" t="s">
        <v>812</v>
      </c>
      <c r="E5066" t="s">
        <v>175</v>
      </c>
      <c r="F5066" t="s">
        <v>442</v>
      </c>
      <c r="G5066">
        <v>-43.123078999999997</v>
      </c>
      <c r="H5066">
        <v>147.97484800000001</v>
      </c>
      <c r="I5066" t="s">
        <v>766</v>
      </c>
      <c r="J5066" s="2" t="s">
        <v>7</v>
      </c>
      <c r="K5066" t="s">
        <v>591</v>
      </c>
      <c r="L5066" t="s">
        <v>143</v>
      </c>
      <c r="M5066" t="s">
        <v>73</v>
      </c>
      <c r="N5066" t="s">
        <v>85</v>
      </c>
      <c r="O5066" s="6" t="s">
        <v>146</v>
      </c>
      <c r="P5066" t="s">
        <v>592</v>
      </c>
      <c r="Q5066">
        <v>21</v>
      </c>
      <c r="R5066" t="s">
        <v>213</v>
      </c>
      <c r="S5066" s="2" t="s">
        <v>7</v>
      </c>
      <c r="T5066">
        <v>6</v>
      </c>
      <c r="U5066">
        <v>8.02</v>
      </c>
      <c r="V5066">
        <v>443</v>
      </c>
      <c r="W5066" t="s">
        <v>28</v>
      </c>
      <c r="X5066">
        <v>3.3249999999999998E-3</v>
      </c>
      <c r="Y5066" s="6">
        <f t="shared" si="91"/>
        <v>8.2302855357514867E-4</v>
      </c>
      <c r="Z5066">
        <f>0.003661-X5066</f>
        <v>3.3600000000000036E-4</v>
      </c>
      <c r="AA5066" s="6"/>
      <c r="AB5066" s="6"/>
    </row>
    <row r="5067" spans="1:28" x14ac:dyDescent="0.2">
      <c r="A5067" t="s">
        <v>590</v>
      </c>
      <c r="B5067">
        <v>2016</v>
      </c>
      <c r="C5067" t="s">
        <v>826</v>
      </c>
      <c r="D5067" t="s">
        <v>812</v>
      </c>
      <c r="E5067" t="s">
        <v>175</v>
      </c>
      <c r="F5067" t="s">
        <v>442</v>
      </c>
      <c r="G5067">
        <v>-43.123078999999997</v>
      </c>
      <c r="H5067">
        <v>147.97484800000001</v>
      </c>
      <c r="I5067" t="s">
        <v>766</v>
      </c>
      <c r="J5067" s="2" t="s">
        <v>5</v>
      </c>
      <c r="K5067" t="s">
        <v>591</v>
      </c>
      <c r="L5067" t="s">
        <v>143</v>
      </c>
      <c r="M5067" t="s">
        <v>73</v>
      </c>
      <c r="N5067" t="s">
        <v>85</v>
      </c>
      <c r="O5067" s="6" t="s">
        <v>146</v>
      </c>
      <c r="P5067" t="s">
        <v>592</v>
      </c>
      <c r="Q5067">
        <v>21</v>
      </c>
      <c r="R5067" t="s">
        <v>213</v>
      </c>
      <c r="S5067" s="2" t="s">
        <v>9</v>
      </c>
      <c r="T5067">
        <v>5</v>
      </c>
      <c r="U5067">
        <v>7.71</v>
      </c>
      <c r="V5067">
        <v>957</v>
      </c>
      <c r="W5067" t="s">
        <v>28</v>
      </c>
      <c r="X5067">
        <v>4.346E-3</v>
      </c>
      <c r="Y5067" s="6">
        <f t="shared" si="91"/>
        <v>1.3371686505448733E-3</v>
      </c>
      <c r="Z5067">
        <f>0.004944-X5067</f>
        <v>5.9799999999999957E-4</v>
      </c>
      <c r="AA5067" s="6"/>
      <c r="AB5067" s="6"/>
    </row>
    <row r="5068" spans="1:28" x14ac:dyDescent="0.2">
      <c r="A5068" t="s">
        <v>590</v>
      </c>
      <c r="B5068">
        <v>2016</v>
      </c>
      <c r="C5068" t="s">
        <v>826</v>
      </c>
      <c r="D5068" t="s">
        <v>812</v>
      </c>
      <c r="E5068" t="s">
        <v>175</v>
      </c>
      <c r="F5068" t="s">
        <v>442</v>
      </c>
      <c r="G5068">
        <v>-43.123078999999997</v>
      </c>
      <c r="H5068">
        <v>147.97484800000001</v>
      </c>
      <c r="I5068" t="s">
        <v>766</v>
      </c>
      <c r="J5068" s="2" t="s">
        <v>5</v>
      </c>
      <c r="K5068" t="s">
        <v>591</v>
      </c>
      <c r="L5068" t="s">
        <v>143</v>
      </c>
      <c r="M5068" t="s">
        <v>73</v>
      </c>
      <c r="N5068" t="s">
        <v>85</v>
      </c>
      <c r="O5068" s="6" t="s">
        <v>146</v>
      </c>
      <c r="P5068" t="s">
        <v>592</v>
      </c>
      <c r="Q5068">
        <v>21</v>
      </c>
      <c r="R5068" t="s">
        <v>213</v>
      </c>
      <c r="S5068" s="2" t="s">
        <v>27</v>
      </c>
      <c r="T5068">
        <v>4</v>
      </c>
      <c r="U5068">
        <v>7.45</v>
      </c>
      <c r="V5068">
        <v>1800</v>
      </c>
      <c r="W5068" t="s">
        <v>28</v>
      </c>
      <c r="X5068">
        <v>3.1879999999999999E-3</v>
      </c>
      <c r="Y5068" s="6">
        <f t="shared" si="91"/>
        <v>9.9600000000000036E-4</v>
      </c>
      <c r="Z5068">
        <f>0.003686-X5068</f>
        <v>4.9800000000000018E-4</v>
      </c>
      <c r="AA5068" s="6"/>
      <c r="AB5068" s="6"/>
    </row>
    <row r="5069" spans="1:28" x14ac:dyDescent="0.2">
      <c r="A5069" t="s">
        <v>590</v>
      </c>
      <c r="B5069">
        <v>2016</v>
      </c>
      <c r="C5069" t="s">
        <v>826</v>
      </c>
      <c r="D5069" t="s">
        <v>812</v>
      </c>
      <c r="E5069" t="s">
        <v>175</v>
      </c>
      <c r="F5069" t="s">
        <v>442</v>
      </c>
      <c r="G5069">
        <v>-43.123078999999997</v>
      </c>
      <c r="H5069">
        <v>147.97484800000001</v>
      </c>
      <c r="I5069" t="s">
        <v>766</v>
      </c>
      <c r="J5069" s="2" t="s">
        <v>7</v>
      </c>
      <c r="K5069" t="s">
        <v>591</v>
      </c>
      <c r="L5069" t="s">
        <v>143</v>
      </c>
      <c r="M5069" t="s">
        <v>638</v>
      </c>
      <c r="N5069" t="s">
        <v>85</v>
      </c>
      <c r="O5069" s="6" t="s">
        <v>447</v>
      </c>
      <c r="Q5069">
        <v>21</v>
      </c>
      <c r="R5069" t="s">
        <v>213</v>
      </c>
      <c r="S5069" s="2" t="s">
        <v>7</v>
      </c>
      <c r="T5069">
        <v>6</v>
      </c>
      <c r="U5069">
        <v>8.02</v>
      </c>
      <c r="V5069">
        <v>443</v>
      </c>
      <c r="W5069" t="s">
        <v>28</v>
      </c>
      <c r="X5069">
        <v>8.0030000000000001</v>
      </c>
      <c r="Y5069" s="6">
        <f t="shared" si="91"/>
        <v>5.7660988545115988</v>
      </c>
      <c r="Z5069">
        <f>10.357-X5069</f>
        <v>2.3539999999999992</v>
      </c>
      <c r="AA5069" s="6"/>
      <c r="AB5069" s="6"/>
    </row>
    <row r="5070" spans="1:28" x14ac:dyDescent="0.2">
      <c r="A5070" t="s">
        <v>590</v>
      </c>
      <c r="B5070">
        <v>2016</v>
      </c>
      <c r="C5070" t="s">
        <v>826</v>
      </c>
      <c r="D5070" t="s">
        <v>812</v>
      </c>
      <c r="E5070" t="s">
        <v>175</v>
      </c>
      <c r="F5070" t="s">
        <v>442</v>
      </c>
      <c r="G5070">
        <v>-43.123078999999997</v>
      </c>
      <c r="H5070">
        <v>147.97484800000001</v>
      </c>
      <c r="I5070" t="s">
        <v>766</v>
      </c>
      <c r="J5070" s="2" t="s">
        <v>5</v>
      </c>
      <c r="K5070" t="s">
        <v>591</v>
      </c>
      <c r="L5070" t="s">
        <v>143</v>
      </c>
      <c r="M5070" t="s">
        <v>638</v>
      </c>
      <c r="N5070" t="s">
        <v>85</v>
      </c>
      <c r="O5070" s="6" t="s">
        <v>447</v>
      </c>
      <c r="Q5070">
        <v>21</v>
      </c>
      <c r="R5070" t="s">
        <v>213</v>
      </c>
      <c r="S5070" s="2" t="s">
        <v>9</v>
      </c>
      <c r="T5070">
        <v>5</v>
      </c>
      <c r="U5070">
        <v>7.71</v>
      </c>
      <c r="V5070">
        <v>957</v>
      </c>
      <c r="W5070" t="s">
        <v>28</v>
      </c>
      <c r="X5070">
        <v>4.6539999999999999</v>
      </c>
      <c r="Y5070" s="6">
        <f t="shared" si="91"/>
        <v>4.1546143021946085</v>
      </c>
      <c r="Z5070">
        <f>6.512-X5070</f>
        <v>1.8579999999999997</v>
      </c>
      <c r="AA5070" s="6"/>
      <c r="AB5070" s="6"/>
    </row>
    <row r="5071" spans="1:28" x14ac:dyDescent="0.2">
      <c r="A5071" t="s">
        <v>590</v>
      </c>
      <c r="B5071">
        <v>2016</v>
      </c>
      <c r="C5071" t="s">
        <v>826</v>
      </c>
      <c r="D5071" t="s">
        <v>812</v>
      </c>
      <c r="E5071" t="s">
        <v>175</v>
      </c>
      <c r="F5071" t="s">
        <v>442</v>
      </c>
      <c r="G5071">
        <v>-43.123078999999997</v>
      </c>
      <c r="H5071">
        <v>147.97484800000001</v>
      </c>
      <c r="I5071" t="s">
        <v>766</v>
      </c>
      <c r="J5071" s="2" t="s">
        <v>5</v>
      </c>
      <c r="K5071" t="s">
        <v>591</v>
      </c>
      <c r="L5071" t="s">
        <v>143</v>
      </c>
      <c r="M5071" t="s">
        <v>638</v>
      </c>
      <c r="N5071" t="s">
        <v>85</v>
      </c>
      <c r="O5071" s="6" t="s">
        <v>447</v>
      </c>
      <c r="Q5071">
        <v>21</v>
      </c>
      <c r="R5071" t="s">
        <v>213</v>
      </c>
      <c r="S5071" s="2" t="s">
        <v>27</v>
      </c>
      <c r="T5071">
        <v>4</v>
      </c>
      <c r="U5071">
        <v>7.45</v>
      </c>
      <c r="V5071">
        <v>1800</v>
      </c>
      <c r="W5071" t="s">
        <v>28</v>
      </c>
      <c r="X5071">
        <v>3.33</v>
      </c>
      <c r="Y5071" s="6">
        <f t="shared" si="91"/>
        <v>3.016</v>
      </c>
      <c r="Z5071">
        <f>4.838-X5071</f>
        <v>1.508</v>
      </c>
      <c r="AA5071" s="6"/>
      <c r="AB5071" s="6"/>
    </row>
    <row r="5072" spans="1:28" x14ac:dyDescent="0.2">
      <c r="A5072" t="s">
        <v>590</v>
      </c>
      <c r="B5072">
        <v>2016</v>
      </c>
      <c r="C5072" t="s">
        <v>826</v>
      </c>
      <c r="D5072" t="s">
        <v>812</v>
      </c>
      <c r="E5072" t="s">
        <v>175</v>
      </c>
      <c r="F5072" t="s">
        <v>442</v>
      </c>
      <c r="G5072">
        <v>-43.123078999999997</v>
      </c>
      <c r="H5072">
        <v>147.97484800000001</v>
      </c>
      <c r="I5072" t="s">
        <v>766</v>
      </c>
      <c r="J5072" s="2" t="s">
        <v>7</v>
      </c>
      <c r="K5072" t="s">
        <v>591</v>
      </c>
      <c r="L5072" t="s">
        <v>143</v>
      </c>
      <c r="M5072" t="s">
        <v>638</v>
      </c>
      <c r="N5072" t="s">
        <v>86</v>
      </c>
      <c r="O5072" s="6" t="s">
        <v>273</v>
      </c>
      <c r="Q5072">
        <v>21</v>
      </c>
      <c r="R5072" t="s">
        <v>213</v>
      </c>
      <c r="S5072" s="2" t="s">
        <v>7</v>
      </c>
      <c r="T5072">
        <v>6</v>
      </c>
      <c r="U5072">
        <v>8.02</v>
      </c>
      <c r="V5072">
        <v>443</v>
      </c>
      <c r="W5072" t="s">
        <v>28</v>
      </c>
      <c r="X5072">
        <v>25.71</v>
      </c>
      <c r="Y5072" s="6">
        <f t="shared" si="91"/>
        <v>0.97979589711326764</v>
      </c>
      <c r="Z5072">
        <f>26.11-X5072</f>
        <v>0.39999999999999858</v>
      </c>
      <c r="AA5072" s="6"/>
      <c r="AB5072" s="6"/>
    </row>
    <row r="5073" spans="1:28" x14ac:dyDescent="0.2">
      <c r="A5073" t="s">
        <v>590</v>
      </c>
      <c r="B5073">
        <v>2016</v>
      </c>
      <c r="C5073" t="s">
        <v>826</v>
      </c>
      <c r="D5073" t="s">
        <v>812</v>
      </c>
      <c r="E5073" t="s">
        <v>175</v>
      </c>
      <c r="F5073" t="s">
        <v>442</v>
      </c>
      <c r="G5073">
        <v>-43.123078999999997</v>
      </c>
      <c r="H5073">
        <v>147.97484800000001</v>
      </c>
      <c r="I5073" t="s">
        <v>766</v>
      </c>
      <c r="J5073" s="2" t="s">
        <v>5</v>
      </c>
      <c r="K5073" t="s">
        <v>591</v>
      </c>
      <c r="L5073" t="s">
        <v>143</v>
      </c>
      <c r="M5073" t="s">
        <v>638</v>
      </c>
      <c r="N5073" t="s">
        <v>86</v>
      </c>
      <c r="O5073" s="6" t="s">
        <v>273</v>
      </c>
      <c r="Q5073">
        <v>21</v>
      </c>
      <c r="R5073" t="s">
        <v>213</v>
      </c>
      <c r="S5073" s="2" t="s">
        <v>9</v>
      </c>
      <c r="T5073">
        <v>5</v>
      </c>
      <c r="U5073">
        <v>7.71</v>
      </c>
      <c r="V5073">
        <v>957</v>
      </c>
      <c r="W5073" t="s">
        <v>28</v>
      </c>
      <c r="X5073">
        <v>26.49</v>
      </c>
      <c r="Y5073" s="6">
        <f t="shared" si="91"/>
        <v>1.1627553482998978</v>
      </c>
      <c r="Z5073">
        <f>27.01-X5073</f>
        <v>0.52000000000000313</v>
      </c>
      <c r="AA5073" s="6"/>
      <c r="AB5073" s="6"/>
    </row>
    <row r="5074" spans="1:28" x14ac:dyDescent="0.2">
      <c r="A5074" t="s">
        <v>590</v>
      </c>
      <c r="B5074">
        <v>2016</v>
      </c>
      <c r="C5074" t="s">
        <v>826</v>
      </c>
      <c r="D5074" t="s">
        <v>812</v>
      </c>
      <c r="E5074" t="s">
        <v>175</v>
      </c>
      <c r="F5074" t="s">
        <v>442</v>
      </c>
      <c r="G5074">
        <v>-43.123078999999997</v>
      </c>
      <c r="H5074">
        <v>147.97484800000001</v>
      </c>
      <c r="I5074" t="s">
        <v>766</v>
      </c>
      <c r="J5074" s="2" t="s">
        <v>5</v>
      </c>
      <c r="K5074" t="s">
        <v>591</v>
      </c>
      <c r="L5074" t="s">
        <v>143</v>
      </c>
      <c r="M5074" t="s">
        <v>638</v>
      </c>
      <c r="N5074" t="s">
        <v>86</v>
      </c>
      <c r="O5074" s="6" t="s">
        <v>273</v>
      </c>
      <c r="Q5074">
        <v>21</v>
      </c>
      <c r="R5074" t="s">
        <v>213</v>
      </c>
      <c r="S5074" s="2" t="s">
        <v>27</v>
      </c>
      <c r="T5074">
        <v>4</v>
      </c>
      <c r="U5074">
        <v>7.45</v>
      </c>
      <c r="V5074">
        <v>1800</v>
      </c>
      <c r="W5074" t="s">
        <v>28</v>
      </c>
      <c r="X5074">
        <v>26.74</v>
      </c>
      <c r="Y5074" s="6">
        <f t="shared" si="91"/>
        <v>0.92000000000000171</v>
      </c>
      <c r="Z5074">
        <f>27.2-X5074</f>
        <v>0.46000000000000085</v>
      </c>
      <c r="AA5074" s="6"/>
      <c r="AB5074" s="6"/>
    </row>
    <row r="5075" spans="1:28" x14ac:dyDescent="0.2">
      <c r="A5075" t="s">
        <v>590</v>
      </c>
      <c r="B5075">
        <v>2016</v>
      </c>
      <c r="C5075" t="s">
        <v>826</v>
      </c>
      <c r="D5075" t="s">
        <v>812</v>
      </c>
      <c r="E5075" t="s">
        <v>175</v>
      </c>
      <c r="F5075" t="s">
        <v>442</v>
      </c>
      <c r="G5075">
        <v>-43.123078999999997</v>
      </c>
      <c r="H5075">
        <v>147.97484800000001</v>
      </c>
      <c r="I5075" t="s">
        <v>766</v>
      </c>
      <c r="J5075" s="2" t="s">
        <v>7</v>
      </c>
      <c r="K5075" t="s">
        <v>591</v>
      </c>
      <c r="L5075" t="s">
        <v>143</v>
      </c>
      <c r="M5075" t="s">
        <v>638</v>
      </c>
      <c r="N5075" t="s">
        <v>85</v>
      </c>
      <c r="O5075" s="6" t="s">
        <v>445</v>
      </c>
      <c r="P5075" t="s">
        <v>67</v>
      </c>
      <c r="Q5075">
        <v>21</v>
      </c>
      <c r="R5075" t="s">
        <v>213</v>
      </c>
      <c r="S5075" s="2" t="s">
        <v>7</v>
      </c>
      <c r="T5075">
        <v>6</v>
      </c>
      <c r="U5075">
        <v>8.02</v>
      </c>
      <c r="V5075">
        <v>443</v>
      </c>
      <c r="W5075" t="s">
        <v>28</v>
      </c>
      <c r="X5075">
        <v>221.4</v>
      </c>
      <c r="Y5075" s="6">
        <f t="shared" si="91"/>
        <v>148.19412943838219</v>
      </c>
      <c r="Z5075">
        <f>281.9-X5075</f>
        <v>60.499999999999972</v>
      </c>
      <c r="AA5075" s="6"/>
      <c r="AB5075" s="6"/>
    </row>
    <row r="5076" spans="1:28" x14ac:dyDescent="0.2">
      <c r="A5076" t="s">
        <v>590</v>
      </c>
      <c r="B5076">
        <v>2016</v>
      </c>
      <c r="C5076" t="s">
        <v>826</v>
      </c>
      <c r="D5076" t="s">
        <v>812</v>
      </c>
      <c r="E5076" t="s">
        <v>175</v>
      </c>
      <c r="F5076" t="s">
        <v>442</v>
      </c>
      <c r="G5076">
        <v>-43.123078999999997</v>
      </c>
      <c r="H5076">
        <v>147.97484800000001</v>
      </c>
      <c r="I5076" t="s">
        <v>766</v>
      </c>
      <c r="J5076" s="2" t="s">
        <v>5</v>
      </c>
      <c r="K5076" t="s">
        <v>591</v>
      </c>
      <c r="L5076" t="s">
        <v>143</v>
      </c>
      <c r="M5076" t="s">
        <v>638</v>
      </c>
      <c r="N5076" t="s">
        <v>85</v>
      </c>
      <c r="O5076" s="6" t="s">
        <v>445</v>
      </c>
      <c r="P5076" t="s">
        <v>67</v>
      </c>
      <c r="Q5076">
        <v>21</v>
      </c>
      <c r="R5076" t="s">
        <v>213</v>
      </c>
      <c r="S5076" s="2" t="s">
        <v>9</v>
      </c>
      <c r="T5076">
        <v>5</v>
      </c>
      <c r="U5076">
        <v>7.71</v>
      </c>
      <c r="V5076">
        <v>957</v>
      </c>
      <c r="W5076" t="s">
        <v>28</v>
      </c>
      <c r="X5076">
        <v>168</v>
      </c>
      <c r="Y5076" s="6">
        <f t="shared" si="91"/>
        <v>116.0519280322391</v>
      </c>
      <c r="Z5076">
        <f>219.9-X5076</f>
        <v>51.900000000000006</v>
      </c>
      <c r="AA5076" s="6"/>
      <c r="AB5076" s="6"/>
    </row>
    <row r="5077" spans="1:28" x14ac:dyDescent="0.2">
      <c r="A5077" t="s">
        <v>590</v>
      </c>
      <c r="B5077">
        <v>2016</v>
      </c>
      <c r="C5077" t="s">
        <v>826</v>
      </c>
      <c r="D5077" t="s">
        <v>812</v>
      </c>
      <c r="E5077" t="s">
        <v>175</v>
      </c>
      <c r="F5077" t="s">
        <v>442</v>
      </c>
      <c r="G5077">
        <v>-43.123078999999997</v>
      </c>
      <c r="H5077">
        <v>147.97484800000001</v>
      </c>
      <c r="I5077" t="s">
        <v>766</v>
      </c>
      <c r="J5077" s="2" t="s">
        <v>5</v>
      </c>
      <c r="K5077" t="s">
        <v>591</v>
      </c>
      <c r="L5077" t="s">
        <v>143</v>
      </c>
      <c r="M5077" t="s">
        <v>638</v>
      </c>
      <c r="N5077" t="s">
        <v>85</v>
      </c>
      <c r="O5077" s="6" t="s">
        <v>445</v>
      </c>
      <c r="P5077" t="s">
        <v>67</v>
      </c>
      <c r="Q5077">
        <v>21</v>
      </c>
      <c r="R5077" t="s">
        <v>213</v>
      </c>
      <c r="S5077" s="2" t="s">
        <v>27</v>
      </c>
      <c r="T5077">
        <v>4</v>
      </c>
      <c r="U5077">
        <v>7.45</v>
      </c>
      <c r="V5077">
        <v>1800</v>
      </c>
      <c r="W5077" t="s">
        <v>28</v>
      </c>
      <c r="X5077">
        <v>123.1</v>
      </c>
      <c r="Y5077" s="6">
        <f t="shared" si="91"/>
        <v>54.199999999999989</v>
      </c>
      <c r="Z5077">
        <f>150.2-X5077</f>
        <v>27.099999999999994</v>
      </c>
      <c r="AA5077" s="6"/>
      <c r="AB5077" s="6"/>
    </row>
    <row r="5078" spans="1:28" x14ac:dyDescent="0.2">
      <c r="A5078" t="s">
        <v>590</v>
      </c>
      <c r="B5078">
        <v>2016</v>
      </c>
      <c r="C5078" t="s">
        <v>826</v>
      </c>
      <c r="D5078" t="s">
        <v>812</v>
      </c>
      <c r="E5078" t="s">
        <v>175</v>
      </c>
      <c r="F5078" t="s">
        <v>442</v>
      </c>
      <c r="G5078">
        <v>-43.123078999999997</v>
      </c>
      <c r="H5078">
        <v>147.97484800000001</v>
      </c>
      <c r="I5078" t="s">
        <v>766</v>
      </c>
      <c r="J5078" s="2" t="s">
        <v>7</v>
      </c>
      <c r="K5078" t="s">
        <v>591</v>
      </c>
      <c r="L5078" t="s">
        <v>143</v>
      </c>
      <c r="M5078" t="s">
        <v>638</v>
      </c>
      <c r="N5078" t="s">
        <v>86</v>
      </c>
      <c r="O5078" s="6" t="s">
        <v>446</v>
      </c>
      <c r="P5078" t="s">
        <v>67</v>
      </c>
      <c r="Q5078">
        <v>21</v>
      </c>
      <c r="R5078" t="s">
        <v>213</v>
      </c>
      <c r="S5078" s="2" t="s">
        <v>7</v>
      </c>
      <c r="T5078">
        <v>6</v>
      </c>
      <c r="U5078">
        <v>8.02</v>
      </c>
      <c r="V5078">
        <v>443</v>
      </c>
      <c r="W5078" t="s">
        <v>28</v>
      </c>
      <c r="X5078">
        <v>30.43</v>
      </c>
      <c r="Y5078" s="6">
        <f t="shared" si="91"/>
        <v>7.0545304592155587</v>
      </c>
      <c r="Z5078">
        <f>33.31-X5078</f>
        <v>2.8800000000000026</v>
      </c>
      <c r="AA5078" s="6"/>
      <c r="AB5078" s="6"/>
    </row>
    <row r="5079" spans="1:28" x14ac:dyDescent="0.2">
      <c r="A5079" t="s">
        <v>590</v>
      </c>
      <c r="B5079">
        <v>2016</v>
      </c>
      <c r="C5079" t="s">
        <v>826</v>
      </c>
      <c r="D5079" t="s">
        <v>812</v>
      </c>
      <c r="E5079" t="s">
        <v>175</v>
      </c>
      <c r="F5079" t="s">
        <v>442</v>
      </c>
      <c r="G5079">
        <v>-43.123078999999997</v>
      </c>
      <c r="H5079">
        <v>147.97484800000001</v>
      </c>
      <c r="I5079" t="s">
        <v>766</v>
      </c>
      <c r="J5079" s="2" t="s">
        <v>5</v>
      </c>
      <c r="K5079" t="s">
        <v>591</v>
      </c>
      <c r="L5079" t="s">
        <v>143</v>
      </c>
      <c r="M5079" t="s">
        <v>638</v>
      </c>
      <c r="N5079" t="s">
        <v>86</v>
      </c>
      <c r="O5079" s="6" t="s">
        <v>446</v>
      </c>
      <c r="P5079" t="s">
        <v>67</v>
      </c>
      <c r="Q5079">
        <v>21</v>
      </c>
      <c r="R5079" t="s">
        <v>213</v>
      </c>
      <c r="S5079" s="2" t="s">
        <v>9</v>
      </c>
      <c r="T5079">
        <v>5</v>
      </c>
      <c r="U5079">
        <v>7.71</v>
      </c>
      <c r="V5079">
        <v>957</v>
      </c>
      <c r="W5079" t="s">
        <v>28</v>
      </c>
      <c r="X5079">
        <v>39.82</v>
      </c>
      <c r="Y5079" s="6">
        <f t="shared" si="91"/>
        <v>8.4076155953992053</v>
      </c>
      <c r="Z5079">
        <f>43.58-X5079</f>
        <v>3.759999999999998</v>
      </c>
      <c r="AA5079" s="6"/>
      <c r="AB5079" s="6"/>
    </row>
    <row r="5080" spans="1:28" x14ac:dyDescent="0.2">
      <c r="A5080" t="s">
        <v>590</v>
      </c>
      <c r="B5080">
        <v>2016</v>
      </c>
      <c r="C5080" t="s">
        <v>826</v>
      </c>
      <c r="D5080" t="s">
        <v>812</v>
      </c>
      <c r="E5080" t="s">
        <v>175</v>
      </c>
      <c r="F5080" t="s">
        <v>442</v>
      </c>
      <c r="G5080">
        <v>-43.123078999999997</v>
      </c>
      <c r="H5080">
        <v>147.97484800000001</v>
      </c>
      <c r="I5080" t="s">
        <v>766</v>
      </c>
      <c r="J5080" s="2" t="s">
        <v>5</v>
      </c>
      <c r="K5080" t="s">
        <v>591</v>
      </c>
      <c r="L5080" t="s">
        <v>143</v>
      </c>
      <c r="M5080" t="s">
        <v>638</v>
      </c>
      <c r="N5080" t="s">
        <v>86</v>
      </c>
      <c r="O5080" s="6" t="s">
        <v>446</v>
      </c>
      <c r="P5080" t="s">
        <v>67</v>
      </c>
      <c r="Q5080">
        <v>21</v>
      </c>
      <c r="R5080" t="s">
        <v>213</v>
      </c>
      <c r="S5080" s="2" t="s">
        <v>27</v>
      </c>
      <c r="T5080">
        <v>4</v>
      </c>
      <c r="U5080">
        <v>7.45</v>
      </c>
      <c r="V5080">
        <v>1800</v>
      </c>
      <c r="W5080" t="s">
        <v>28</v>
      </c>
      <c r="X5080">
        <v>49.59</v>
      </c>
      <c r="Y5080" s="6">
        <f t="shared" si="91"/>
        <v>22.539999999999992</v>
      </c>
      <c r="Z5080">
        <f>60.86-X5080</f>
        <v>11.269999999999996</v>
      </c>
      <c r="AA5080" s="6"/>
      <c r="AB5080" s="6"/>
    </row>
    <row r="5081" spans="1:28" x14ac:dyDescent="0.2">
      <c r="A5081" t="s">
        <v>590</v>
      </c>
      <c r="B5081">
        <v>2016</v>
      </c>
      <c r="C5081" t="s">
        <v>826</v>
      </c>
      <c r="D5081" t="s">
        <v>812</v>
      </c>
      <c r="E5081" t="s">
        <v>175</v>
      </c>
      <c r="F5081" t="s">
        <v>442</v>
      </c>
      <c r="G5081">
        <v>-43.123078999999997</v>
      </c>
      <c r="H5081">
        <v>147.97484800000001</v>
      </c>
      <c r="I5081" t="s">
        <v>766</v>
      </c>
      <c r="J5081" s="2" t="s">
        <v>7</v>
      </c>
      <c r="K5081" t="s">
        <v>591</v>
      </c>
      <c r="L5081" t="s">
        <v>143</v>
      </c>
      <c r="M5081" t="s">
        <v>726</v>
      </c>
      <c r="N5081" t="s">
        <v>85</v>
      </c>
      <c r="O5081" s="6" t="s">
        <v>84</v>
      </c>
      <c r="Q5081">
        <v>21</v>
      </c>
      <c r="R5081" t="s">
        <v>213</v>
      </c>
      <c r="S5081" s="2" t="s">
        <v>7</v>
      </c>
      <c r="T5081">
        <v>6</v>
      </c>
      <c r="U5081">
        <v>8.02</v>
      </c>
      <c r="V5081">
        <v>443</v>
      </c>
      <c r="W5081" t="s">
        <v>28</v>
      </c>
      <c r="X5081">
        <v>0.73099999999999998</v>
      </c>
      <c r="Y5081" s="6">
        <f t="shared" si="91"/>
        <v>1.3717142559585917E-2</v>
      </c>
      <c r="Z5081">
        <f>0.7366-X5081</f>
        <v>5.6000000000000494E-3</v>
      </c>
      <c r="AA5081" s="6"/>
      <c r="AB5081" s="6"/>
    </row>
    <row r="5082" spans="1:28" x14ac:dyDescent="0.2">
      <c r="A5082" t="s">
        <v>590</v>
      </c>
      <c r="B5082">
        <v>2016</v>
      </c>
      <c r="C5082" t="s">
        <v>826</v>
      </c>
      <c r="D5082" t="s">
        <v>812</v>
      </c>
      <c r="E5082" t="s">
        <v>175</v>
      </c>
      <c r="F5082" t="s">
        <v>442</v>
      </c>
      <c r="G5082">
        <v>-43.123078999999997</v>
      </c>
      <c r="H5082">
        <v>147.97484800000001</v>
      </c>
      <c r="I5082" t="s">
        <v>766</v>
      </c>
      <c r="J5082" s="2" t="s">
        <v>5</v>
      </c>
      <c r="K5082" t="s">
        <v>591</v>
      </c>
      <c r="L5082" t="s">
        <v>143</v>
      </c>
      <c r="M5082" t="s">
        <v>726</v>
      </c>
      <c r="N5082" t="s">
        <v>85</v>
      </c>
      <c r="O5082" s="6" t="s">
        <v>84</v>
      </c>
      <c r="Q5082">
        <v>21</v>
      </c>
      <c r="R5082" t="s">
        <v>213</v>
      </c>
      <c r="S5082" s="2" t="s">
        <v>9</v>
      </c>
      <c r="T5082">
        <v>5</v>
      </c>
      <c r="U5082">
        <v>7.71</v>
      </c>
      <c r="V5082">
        <v>957</v>
      </c>
      <c r="W5082" t="s">
        <v>28</v>
      </c>
      <c r="X5082">
        <v>0.72209999999999996</v>
      </c>
      <c r="Y5082" s="6">
        <f t="shared" si="91"/>
        <v>1.609968943799845E-2</v>
      </c>
      <c r="Z5082">
        <f>0.7293-X5082</f>
        <v>7.1999999999999842E-3</v>
      </c>
      <c r="AA5082" s="6"/>
      <c r="AB5082" s="6"/>
    </row>
    <row r="5083" spans="1:28" x14ac:dyDescent="0.2">
      <c r="A5083" t="s">
        <v>590</v>
      </c>
      <c r="B5083">
        <v>2016</v>
      </c>
      <c r="C5083" t="s">
        <v>826</v>
      </c>
      <c r="D5083" t="s">
        <v>812</v>
      </c>
      <c r="E5083" t="s">
        <v>175</v>
      </c>
      <c r="F5083" t="s">
        <v>442</v>
      </c>
      <c r="G5083">
        <v>-43.123078999999997</v>
      </c>
      <c r="H5083">
        <v>147.97484800000001</v>
      </c>
      <c r="I5083" t="s">
        <v>766</v>
      </c>
      <c r="J5083" s="2" t="s">
        <v>5</v>
      </c>
      <c r="K5083" t="s">
        <v>591</v>
      </c>
      <c r="L5083" t="s">
        <v>143</v>
      </c>
      <c r="M5083" t="s">
        <v>726</v>
      </c>
      <c r="N5083" t="s">
        <v>85</v>
      </c>
      <c r="O5083" s="6" t="s">
        <v>84</v>
      </c>
      <c r="Q5083">
        <v>21</v>
      </c>
      <c r="R5083" t="s">
        <v>213</v>
      </c>
      <c r="S5083" s="2" t="s">
        <v>27</v>
      </c>
      <c r="T5083">
        <v>4</v>
      </c>
      <c r="U5083">
        <v>7.45</v>
      </c>
      <c r="V5083">
        <v>1800</v>
      </c>
      <c r="W5083" t="s">
        <v>28</v>
      </c>
      <c r="X5083">
        <v>0.71760000000000002</v>
      </c>
      <c r="Y5083" s="6">
        <f t="shared" si="91"/>
        <v>1.0599999999999943E-2</v>
      </c>
      <c r="Z5083">
        <f>0.7229-X5083</f>
        <v>5.2999999999999714E-3</v>
      </c>
      <c r="AA5083" s="6"/>
      <c r="AB5083" s="6"/>
    </row>
    <row r="5084" spans="1:28" x14ac:dyDescent="0.2">
      <c r="A5084" t="s">
        <v>590</v>
      </c>
      <c r="B5084">
        <v>2016</v>
      </c>
      <c r="C5084" t="s">
        <v>826</v>
      </c>
      <c r="D5084" t="s">
        <v>812</v>
      </c>
      <c r="E5084" t="s">
        <v>175</v>
      </c>
      <c r="F5084" t="s">
        <v>442</v>
      </c>
      <c r="G5084">
        <v>-43.123078999999997</v>
      </c>
      <c r="H5084">
        <v>147.97484800000001</v>
      </c>
      <c r="I5084" t="s">
        <v>766</v>
      </c>
      <c r="J5084" s="2" t="s">
        <v>7</v>
      </c>
      <c r="K5084" t="s">
        <v>591</v>
      </c>
      <c r="L5084" t="s">
        <v>143</v>
      </c>
      <c r="M5084" t="s">
        <v>638</v>
      </c>
      <c r="N5084" t="s">
        <v>86</v>
      </c>
      <c r="O5084" s="6" t="s">
        <v>272</v>
      </c>
      <c r="Q5084">
        <v>21</v>
      </c>
      <c r="R5084" t="s">
        <v>213</v>
      </c>
      <c r="S5084" s="2" t="s">
        <v>7</v>
      </c>
      <c r="T5084">
        <v>6</v>
      </c>
      <c r="U5084">
        <v>8.02</v>
      </c>
      <c r="V5084">
        <v>443</v>
      </c>
      <c r="W5084" t="s">
        <v>28</v>
      </c>
      <c r="X5084">
        <v>27.16</v>
      </c>
      <c r="Y5084" s="6">
        <f t="shared" si="91"/>
        <v>5.5603417161178124</v>
      </c>
      <c r="Z5084">
        <f>29.43-X5084</f>
        <v>2.2699999999999996</v>
      </c>
      <c r="AA5084" s="6"/>
      <c r="AB5084" s="6"/>
    </row>
    <row r="5085" spans="1:28" x14ac:dyDescent="0.2">
      <c r="A5085" t="s">
        <v>590</v>
      </c>
      <c r="B5085">
        <v>2016</v>
      </c>
      <c r="C5085" t="s">
        <v>826</v>
      </c>
      <c r="D5085" t="s">
        <v>812</v>
      </c>
      <c r="E5085" t="s">
        <v>175</v>
      </c>
      <c r="F5085" t="s">
        <v>442</v>
      </c>
      <c r="G5085">
        <v>-43.123078999999997</v>
      </c>
      <c r="H5085">
        <v>147.97484800000001</v>
      </c>
      <c r="I5085" t="s">
        <v>766</v>
      </c>
      <c r="J5085" s="2" t="s">
        <v>5</v>
      </c>
      <c r="K5085" t="s">
        <v>591</v>
      </c>
      <c r="L5085" t="s">
        <v>143</v>
      </c>
      <c r="M5085" t="s">
        <v>638</v>
      </c>
      <c r="N5085" t="s">
        <v>86</v>
      </c>
      <c r="O5085" s="6" t="s">
        <v>272</v>
      </c>
      <c r="Q5085">
        <v>21</v>
      </c>
      <c r="R5085" t="s">
        <v>213</v>
      </c>
      <c r="S5085" s="2" t="s">
        <v>9</v>
      </c>
      <c r="T5085">
        <v>5</v>
      </c>
      <c r="U5085">
        <v>7.71</v>
      </c>
      <c r="V5085">
        <v>957</v>
      </c>
      <c r="W5085" t="s">
        <v>28</v>
      </c>
      <c r="X5085">
        <v>24.65</v>
      </c>
      <c r="Y5085" s="6">
        <f t="shared" si="91"/>
        <v>4.9640709100495384</v>
      </c>
      <c r="Z5085">
        <f>26.87-X5085</f>
        <v>2.2200000000000024</v>
      </c>
      <c r="AA5085" s="6"/>
      <c r="AB5085" s="6"/>
    </row>
    <row r="5086" spans="1:28" x14ac:dyDescent="0.2">
      <c r="A5086" t="s">
        <v>590</v>
      </c>
      <c r="B5086">
        <v>2016</v>
      </c>
      <c r="C5086" t="s">
        <v>826</v>
      </c>
      <c r="D5086" t="s">
        <v>812</v>
      </c>
      <c r="E5086" t="s">
        <v>175</v>
      </c>
      <c r="F5086" t="s">
        <v>442</v>
      </c>
      <c r="G5086">
        <v>-43.123078999999997</v>
      </c>
      <c r="H5086">
        <v>147.97484800000001</v>
      </c>
      <c r="I5086" t="s">
        <v>766</v>
      </c>
      <c r="J5086" s="2" t="s">
        <v>5</v>
      </c>
      <c r="K5086" t="s">
        <v>591</v>
      </c>
      <c r="L5086" t="s">
        <v>143</v>
      </c>
      <c r="M5086" t="s">
        <v>638</v>
      </c>
      <c r="N5086" t="s">
        <v>86</v>
      </c>
      <c r="O5086" s="6" t="s">
        <v>272</v>
      </c>
      <c r="Q5086">
        <v>21</v>
      </c>
      <c r="R5086" t="s">
        <v>213</v>
      </c>
      <c r="S5086" s="2" t="s">
        <v>27</v>
      </c>
      <c r="T5086">
        <v>4</v>
      </c>
      <c r="U5086">
        <v>7.45</v>
      </c>
      <c r="V5086">
        <v>1800</v>
      </c>
      <c r="W5086" t="s">
        <v>28</v>
      </c>
      <c r="X5086">
        <v>23.96</v>
      </c>
      <c r="Y5086" s="6">
        <f t="shared" si="91"/>
        <v>0.87999999999999545</v>
      </c>
      <c r="Z5086">
        <f>24.4-X5086</f>
        <v>0.43999999999999773</v>
      </c>
      <c r="AA5086" s="6"/>
      <c r="AB5086" s="6"/>
    </row>
    <row r="5087" spans="1:28" x14ac:dyDescent="0.2">
      <c r="A5087" t="s">
        <v>590</v>
      </c>
      <c r="B5087">
        <v>2016</v>
      </c>
      <c r="C5087" t="s">
        <v>826</v>
      </c>
      <c r="D5087" t="s">
        <v>812</v>
      </c>
      <c r="E5087" t="s">
        <v>175</v>
      </c>
      <c r="F5087" t="s">
        <v>442</v>
      </c>
      <c r="G5087">
        <v>-43.123078999999997</v>
      </c>
      <c r="H5087">
        <v>147.97484800000001</v>
      </c>
      <c r="I5087" t="s">
        <v>766</v>
      </c>
      <c r="J5087" s="2" t="s">
        <v>7</v>
      </c>
      <c r="K5087" t="s">
        <v>591</v>
      </c>
      <c r="L5087" t="s">
        <v>143</v>
      </c>
      <c r="M5087" t="s">
        <v>726</v>
      </c>
      <c r="N5087" t="s">
        <v>85</v>
      </c>
      <c r="O5087" s="6" t="s">
        <v>112</v>
      </c>
      <c r="Q5087">
        <v>21</v>
      </c>
      <c r="R5087" t="s">
        <v>213</v>
      </c>
      <c r="S5087" s="2" t="s">
        <v>7</v>
      </c>
      <c r="T5087">
        <v>6</v>
      </c>
      <c r="U5087">
        <v>8.02</v>
      </c>
      <c r="V5087">
        <v>443</v>
      </c>
      <c r="W5087" t="s">
        <v>28</v>
      </c>
      <c r="X5087">
        <v>5.835</v>
      </c>
      <c r="Y5087" s="6">
        <f t="shared" si="91"/>
        <v>0.82302855357514848</v>
      </c>
      <c r="Z5087">
        <f>6.171-X5087</f>
        <v>0.3360000000000003</v>
      </c>
      <c r="AA5087" s="6"/>
      <c r="AB5087" s="6"/>
    </row>
    <row r="5088" spans="1:28" x14ac:dyDescent="0.2">
      <c r="A5088" t="s">
        <v>590</v>
      </c>
      <c r="B5088">
        <v>2016</v>
      </c>
      <c r="C5088" t="s">
        <v>826</v>
      </c>
      <c r="D5088" t="s">
        <v>812</v>
      </c>
      <c r="E5088" t="s">
        <v>175</v>
      </c>
      <c r="F5088" t="s">
        <v>442</v>
      </c>
      <c r="G5088">
        <v>-43.123078999999997</v>
      </c>
      <c r="H5088">
        <v>147.97484800000001</v>
      </c>
      <c r="I5088" t="s">
        <v>766</v>
      </c>
      <c r="J5088" s="2" t="s">
        <v>5</v>
      </c>
      <c r="K5088" t="s">
        <v>591</v>
      </c>
      <c r="L5088" t="s">
        <v>143</v>
      </c>
      <c r="M5088" t="s">
        <v>726</v>
      </c>
      <c r="N5088" t="s">
        <v>85</v>
      </c>
      <c r="O5088" s="6" t="s">
        <v>112</v>
      </c>
      <c r="Q5088">
        <v>21</v>
      </c>
      <c r="R5088" t="s">
        <v>213</v>
      </c>
      <c r="S5088" s="2" t="s">
        <v>9</v>
      </c>
      <c r="T5088">
        <v>5</v>
      </c>
      <c r="U5088">
        <v>7.71</v>
      </c>
      <c r="V5088">
        <v>957</v>
      </c>
      <c r="W5088" t="s">
        <v>28</v>
      </c>
      <c r="X5088">
        <v>4.9550000000000001</v>
      </c>
      <c r="Y5088" s="6">
        <f t="shared" si="91"/>
        <v>1.6323296235748455</v>
      </c>
      <c r="Z5088">
        <f>5.685-X5088</f>
        <v>0.72999999999999954</v>
      </c>
      <c r="AA5088" s="6"/>
      <c r="AB5088" s="6"/>
    </row>
    <row r="5089" spans="1:28" x14ac:dyDescent="0.2">
      <c r="A5089" t="s">
        <v>590</v>
      </c>
      <c r="B5089">
        <v>2016</v>
      </c>
      <c r="C5089" t="s">
        <v>826</v>
      </c>
      <c r="D5089" t="s">
        <v>812</v>
      </c>
      <c r="E5089" t="s">
        <v>175</v>
      </c>
      <c r="F5089" t="s">
        <v>442</v>
      </c>
      <c r="G5089">
        <v>-43.123078999999997</v>
      </c>
      <c r="H5089">
        <v>147.97484800000001</v>
      </c>
      <c r="I5089" t="s">
        <v>766</v>
      </c>
      <c r="J5089" s="2" t="s">
        <v>5</v>
      </c>
      <c r="K5089" t="s">
        <v>591</v>
      </c>
      <c r="L5089" t="s">
        <v>143</v>
      </c>
      <c r="M5089" t="s">
        <v>726</v>
      </c>
      <c r="N5089" t="s">
        <v>85</v>
      </c>
      <c r="O5089" s="6" t="s">
        <v>112</v>
      </c>
      <c r="Q5089">
        <v>21</v>
      </c>
      <c r="R5089" t="s">
        <v>213</v>
      </c>
      <c r="S5089" s="2" t="s">
        <v>27</v>
      </c>
      <c r="T5089">
        <v>4</v>
      </c>
      <c r="U5089">
        <v>7.45</v>
      </c>
      <c r="V5089">
        <v>1800</v>
      </c>
      <c r="W5089" t="s">
        <v>28</v>
      </c>
      <c r="X5089">
        <v>4.6890000000000001</v>
      </c>
      <c r="Y5089" s="6">
        <f t="shared" si="91"/>
        <v>1.3900000000000006</v>
      </c>
      <c r="Z5089">
        <f>5.384-X5089</f>
        <v>0.69500000000000028</v>
      </c>
      <c r="AA5089" s="6"/>
      <c r="AB5089" s="6"/>
    </row>
    <row r="5090" spans="1:28" x14ac:dyDescent="0.2">
      <c r="A5090" t="s">
        <v>593</v>
      </c>
      <c r="B5090">
        <v>2014</v>
      </c>
      <c r="C5090" t="s">
        <v>816</v>
      </c>
      <c r="D5090" t="s">
        <v>820</v>
      </c>
      <c r="E5090" t="s">
        <v>34</v>
      </c>
      <c r="F5090" t="s">
        <v>325</v>
      </c>
      <c r="G5090">
        <v>32.671039</v>
      </c>
      <c r="H5090">
        <v>-117.251121</v>
      </c>
      <c r="I5090" t="s">
        <v>766</v>
      </c>
      <c r="J5090" s="2" t="s">
        <v>7</v>
      </c>
      <c r="K5090" t="s">
        <v>144</v>
      </c>
      <c r="L5090" t="s">
        <v>144</v>
      </c>
      <c r="M5090" t="s">
        <v>26</v>
      </c>
      <c r="N5090" t="s">
        <v>85</v>
      </c>
      <c r="O5090" s="6" t="s">
        <v>594</v>
      </c>
      <c r="P5090" t="s">
        <v>145</v>
      </c>
      <c r="Q5090">
        <v>7</v>
      </c>
      <c r="R5090" t="s">
        <v>214</v>
      </c>
      <c r="S5090" s="2" t="s">
        <v>7</v>
      </c>
      <c r="T5090">
        <v>17</v>
      </c>
      <c r="U5090">
        <v>7.98</v>
      </c>
      <c r="V5090">
        <v>465</v>
      </c>
      <c r="W5090">
        <v>12</v>
      </c>
      <c r="X5090">
        <v>6.788235294117646</v>
      </c>
      <c r="Y5090" s="6">
        <v>1.7065617308425987</v>
      </c>
      <c r="AA5090" s="6"/>
      <c r="AB5090" s="6"/>
    </row>
    <row r="5091" spans="1:28" x14ac:dyDescent="0.2">
      <c r="A5091" t="s">
        <v>593</v>
      </c>
      <c r="B5091">
        <v>2014</v>
      </c>
      <c r="C5091" t="s">
        <v>816</v>
      </c>
      <c r="D5091" t="s">
        <v>820</v>
      </c>
      <c r="E5091" t="s">
        <v>34</v>
      </c>
      <c r="F5091" t="s">
        <v>325</v>
      </c>
      <c r="G5091">
        <v>32.671039</v>
      </c>
      <c r="H5091">
        <v>-117.251121</v>
      </c>
      <c r="I5091" t="s">
        <v>766</v>
      </c>
      <c r="J5091" s="2" t="s">
        <v>14</v>
      </c>
      <c r="K5091" t="s">
        <v>144</v>
      </c>
      <c r="L5091" t="s">
        <v>144</v>
      </c>
      <c r="M5091" t="s">
        <v>26</v>
      </c>
      <c r="N5091" t="s">
        <v>85</v>
      </c>
      <c r="O5091" s="6" t="s">
        <v>594</v>
      </c>
      <c r="P5091" t="s">
        <v>145</v>
      </c>
      <c r="Q5091">
        <v>7</v>
      </c>
      <c r="R5091" t="s">
        <v>214</v>
      </c>
      <c r="S5091" s="2" t="s">
        <v>9</v>
      </c>
      <c r="T5091">
        <v>18</v>
      </c>
      <c r="U5091" t="s">
        <v>28</v>
      </c>
      <c r="V5091" t="s">
        <v>28</v>
      </c>
      <c r="W5091">
        <v>15</v>
      </c>
      <c r="X5091">
        <v>6.6000000000000005</v>
      </c>
      <c r="Y5091">
        <v>1.4824463089176316</v>
      </c>
      <c r="AA5091" s="6"/>
      <c r="AB5091" s="6"/>
    </row>
    <row r="5092" spans="1:28" x14ac:dyDescent="0.2">
      <c r="A5092" t="s">
        <v>593</v>
      </c>
      <c r="B5092">
        <v>2014</v>
      </c>
      <c r="C5092" t="s">
        <v>816</v>
      </c>
      <c r="D5092" t="s">
        <v>820</v>
      </c>
      <c r="E5092" t="s">
        <v>34</v>
      </c>
      <c r="F5092" t="s">
        <v>325</v>
      </c>
      <c r="G5092">
        <v>32.671039</v>
      </c>
      <c r="H5092">
        <v>-117.251121</v>
      </c>
      <c r="I5092" t="s">
        <v>766</v>
      </c>
      <c r="J5092" s="2" t="s">
        <v>5</v>
      </c>
      <c r="K5092" t="s">
        <v>144</v>
      </c>
      <c r="L5092" t="s">
        <v>144</v>
      </c>
      <c r="M5092" t="s">
        <v>26</v>
      </c>
      <c r="N5092" t="s">
        <v>85</v>
      </c>
      <c r="O5092" s="6" t="s">
        <v>594</v>
      </c>
      <c r="P5092" t="s">
        <v>145</v>
      </c>
      <c r="Q5092">
        <v>7</v>
      </c>
      <c r="R5092" t="s">
        <v>214</v>
      </c>
      <c r="S5092" s="2" t="s">
        <v>27</v>
      </c>
      <c r="T5092">
        <v>18</v>
      </c>
      <c r="U5092">
        <v>7.58</v>
      </c>
      <c r="V5092">
        <v>1259</v>
      </c>
      <c r="W5092" t="s">
        <v>28</v>
      </c>
      <c r="X5092">
        <v>6.5888888888888877</v>
      </c>
      <c r="Y5092">
        <v>1.7180320098671364</v>
      </c>
      <c r="AA5092" s="6"/>
      <c r="AB5092" s="6"/>
    </row>
    <row r="5093" spans="1:28" x14ac:dyDescent="0.2">
      <c r="A5093" t="s">
        <v>593</v>
      </c>
      <c r="B5093">
        <v>2014</v>
      </c>
      <c r="C5093" t="s">
        <v>816</v>
      </c>
      <c r="D5093" t="s">
        <v>820</v>
      </c>
      <c r="E5093" t="s">
        <v>34</v>
      </c>
      <c r="F5093" t="s">
        <v>325</v>
      </c>
      <c r="G5093">
        <v>32.671039</v>
      </c>
      <c r="H5093">
        <v>-117.251121</v>
      </c>
      <c r="I5093" t="s">
        <v>766</v>
      </c>
      <c r="J5093" s="2" t="s">
        <v>16</v>
      </c>
      <c r="K5093" t="s">
        <v>144</v>
      </c>
      <c r="L5093" t="s">
        <v>144</v>
      </c>
      <c r="M5093" t="s">
        <v>26</v>
      </c>
      <c r="N5093" t="s">
        <v>85</v>
      </c>
      <c r="O5093" s="6" t="s">
        <v>594</v>
      </c>
      <c r="P5093" t="s">
        <v>145</v>
      </c>
      <c r="Q5093">
        <v>7</v>
      </c>
      <c r="R5093" t="s">
        <v>214</v>
      </c>
      <c r="S5093" s="2" t="s">
        <v>13</v>
      </c>
      <c r="T5093">
        <v>18</v>
      </c>
      <c r="U5093">
        <v>7.57</v>
      </c>
      <c r="V5093">
        <v>1318</v>
      </c>
      <c r="W5093">
        <v>15</v>
      </c>
      <c r="X5093">
        <v>6.7833333333333341</v>
      </c>
      <c r="Y5093">
        <v>1.6596420592121277</v>
      </c>
      <c r="AA5093" s="6"/>
      <c r="AB5093" s="6"/>
    </row>
    <row r="5094" spans="1:28" x14ac:dyDescent="0.2">
      <c r="A5094" t="s">
        <v>593</v>
      </c>
      <c r="B5094">
        <v>2014</v>
      </c>
      <c r="C5094" t="s">
        <v>816</v>
      </c>
      <c r="D5094" t="s">
        <v>820</v>
      </c>
      <c r="E5094" t="s">
        <v>34</v>
      </c>
      <c r="F5094" t="s">
        <v>325</v>
      </c>
      <c r="G5094">
        <v>32.671039</v>
      </c>
      <c r="H5094">
        <v>-117.251121</v>
      </c>
      <c r="I5094" t="s">
        <v>766</v>
      </c>
      <c r="J5094" s="2" t="s">
        <v>7</v>
      </c>
      <c r="K5094" t="s">
        <v>144</v>
      </c>
      <c r="L5094" t="s">
        <v>144</v>
      </c>
      <c r="M5094" t="s">
        <v>26</v>
      </c>
      <c r="N5094" t="s">
        <v>85</v>
      </c>
      <c r="O5094" s="6" t="s">
        <v>594</v>
      </c>
      <c r="P5094" t="s">
        <v>145</v>
      </c>
      <c r="Q5094">
        <v>14</v>
      </c>
      <c r="R5094" t="s">
        <v>214</v>
      </c>
      <c r="S5094" s="2" t="s">
        <v>7</v>
      </c>
      <c r="T5094">
        <v>17</v>
      </c>
      <c r="U5094">
        <v>7.98</v>
      </c>
      <c r="V5094">
        <v>465</v>
      </c>
      <c r="W5094">
        <v>12</v>
      </c>
      <c r="X5094">
        <v>9.0176470588235276</v>
      </c>
      <c r="Y5094">
        <v>2.2195819691210028</v>
      </c>
      <c r="AA5094" s="6"/>
      <c r="AB5094" s="6"/>
    </row>
    <row r="5095" spans="1:28" x14ac:dyDescent="0.2">
      <c r="A5095" t="s">
        <v>593</v>
      </c>
      <c r="B5095">
        <v>2014</v>
      </c>
      <c r="C5095" t="s">
        <v>816</v>
      </c>
      <c r="D5095" t="s">
        <v>820</v>
      </c>
      <c r="E5095" t="s">
        <v>34</v>
      </c>
      <c r="F5095" t="s">
        <v>325</v>
      </c>
      <c r="G5095">
        <v>32.671039</v>
      </c>
      <c r="H5095">
        <v>-117.251121</v>
      </c>
      <c r="I5095" t="s">
        <v>766</v>
      </c>
      <c r="J5095" s="2" t="s">
        <v>14</v>
      </c>
      <c r="K5095" t="s">
        <v>144</v>
      </c>
      <c r="L5095" t="s">
        <v>144</v>
      </c>
      <c r="M5095" t="s">
        <v>26</v>
      </c>
      <c r="N5095" t="s">
        <v>85</v>
      </c>
      <c r="O5095" s="6" t="s">
        <v>594</v>
      </c>
      <c r="P5095" t="s">
        <v>145</v>
      </c>
      <c r="Q5095">
        <v>14</v>
      </c>
      <c r="R5095" t="s">
        <v>214</v>
      </c>
      <c r="S5095" s="2" t="s">
        <v>9</v>
      </c>
      <c r="T5095">
        <v>18</v>
      </c>
      <c r="U5095" t="s">
        <v>28</v>
      </c>
      <c r="V5095" t="s">
        <v>28</v>
      </c>
      <c r="W5095">
        <v>15</v>
      </c>
      <c r="X5095">
        <v>7.8000000000000016</v>
      </c>
      <c r="Y5095">
        <v>1.620457451752789</v>
      </c>
      <c r="AA5095" s="6"/>
      <c r="AB5095" s="6"/>
    </row>
    <row r="5096" spans="1:28" x14ac:dyDescent="0.2">
      <c r="A5096" t="s">
        <v>593</v>
      </c>
      <c r="B5096">
        <v>2014</v>
      </c>
      <c r="C5096" t="s">
        <v>816</v>
      </c>
      <c r="D5096" t="s">
        <v>820</v>
      </c>
      <c r="E5096" t="s">
        <v>34</v>
      </c>
      <c r="F5096" t="s">
        <v>325</v>
      </c>
      <c r="G5096">
        <v>32.671039</v>
      </c>
      <c r="H5096">
        <v>-117.251121</v>
      </c>
      <c r="I5096" t="s">
        <v>766</v>
      </c>
      <c r="J5096" s="2" t="s">
        <v>5</v>
      </c>
      <c r="K5096" t="s">
        <v>144</v>
      </c>
      <c r="L5096" t="s">
        <v>144</v>
      </c>
      <c r="M5096" t="s">
        <v>26</v>
      </c>
      <c r="N5096" t="s">
        <v>85</v>
      </c>
      <c r="O5096" s="6" t="s">
        <v>594</v>
      </c>
      <c r="P5096" t="s">
        <v>145</v>
      </c>
      <c r="Q5096">
        <v>14</v>
      </c>
      <c r="R5096" t="s">
        <v>214</v>
      </c>
      <c r="S5096" s="2" t="s">
        <v>27</v>
      </c>
      <c r="T5096">
        <v>18</v>
      </c>
      <c r="U5096">
        <v>7.58</v>
      </c>
      <c r="V5096">
        <v>1259</v>
      </c>
      <c r="W5096" t="s">
        <v>28</v>
      </c>
      <c r="X5096">
        <v>8.8333333333333339</v>
      </c>
      <c r="Y5096">
        <v>2.2215521865684478</v>
      </c>
      <c r="AA5096" s="6"/>
      <c r="AB5096" s="6"/>
    </row>
    <row r="5097" spans="1:28" x14ac:dyDescent="0.2">
      <c r="A5097" t="s">
        <v>593</v>
      </c>
      <c r="B5097">
        <v>2014</v>
      </c>
      <c r="C5097" t="s">
        <v>816</v>
      </c>
      <c r="D5097" t="s">
        <v>820</v>
      </c>
      <c r="E5097" t="s">
        <v>34</v>
      </c>
      <c r="F5097" t="s">
        <v>325</v>
      </c>
      <c r="G5097">
        <v>32.671039</v>
      </c>
      <c r="H5097">
        <v>-117.251121</v>
      </c>
      <c r="I5097" t="s">
        <v>766</v>
      </c>
      <c r="J5097" s="2" t="s">
        <v>16</v>
      </c>
      <c r="K5097" t="s">
        <v>144</v>
      </c>
      <c r="L5097" t="s">
        <v>144</v>
      </c>
      <c r="M5097" t="s">
        <v>26</v>
      </c>
      <c r="N5097" t="s">
        <v>85</v>
      </c>
      <c r="O5097" s="6" t="s">
        <v>594</v>
      </c>
      <c r="P5097" t="s">
        <v>145</v>
      </c>
      <c r="Q5097">
        <v>14</v>
      </c>
      <c r="R5097" t="s">
        <v>214</v>
      </c>
      <c r="S5097" s="2" t="s">
        <v>13</v>
      </c>
      <c r="T5097">
        <v>18</v>
      </c>
      <c r="U5097">
        <v>7.57</v>
      </c>
      <c r="V5097">
        <v>1318</v>
      </c>
      <c r="W5097">
        <v>15</v>
      </c>
      <c r="X5097">
        <v>9.6166666666666671</v>
      </c>
      <c r="Y5097">
        <v>2.1745182022150868</v>
      </c>
      <c r="AA5097" s="6"/>
      <c r="AB5097" s="6"/>
    </row>
    <row r="5098" spans="1:28" x14ac:dyDescent="0.2">
      <c r="A5098" t="s">
        <v>593</v>
      </c>
      <c r="B5098">
        <v>2014</v>
      </c>
      <c r="C5098" t="s">
        <v>816</v>
      </c>
      <c r="D5098" t="s">
        <v>820</v>
      </c>
      <c r="E5098" t="s">
        <v>34</v>
      </c>
      <c r="F5098" t="s">
        <v>325</v>
      </c>
      <c r="G5098">
        <v>32.671039</v>
      </c>
      <c r="H5098">
        <v>-117.251121</v>
      </c>
      <c r="I5098" t="s">
        <v>766</v>
      </c>
      <c r="J5098" s="2" t="s">
        <v>7</v>
      </c>
      <c r="K5098" t="s">
        <v>144</v>
      </c>
      <c r="L5098" t="s">
        <v>144</v>
      </c>
      <c r="M5098" t="s">
        <v>26</v>
      </c>
      <c r="N5098" t="s">
        <v>85</v>
      </c>
      <c r="O5098" s="6" t="s">
        <v>594</v>
      </c>
      <c r="P5098" t="s">
        <v>145</v>
      </c>
      <c r="Q5098">
        <v>21</v>
      </c>
      <c r="R5098" t="s">
        <v>214</v>
      </c>
      <c r="S5098" s="2" t="s">
        <v>7</v>
      </c>
      <c r="T5098">
        <v>17</v>
      </c>
      <c r="U5098">
        <v>7.98</v>
      </c>
      <c r="V5098">
        <v>465</v>
      </c>
      <c r="W5098">
        <v>12</v>
      </c>
      <c r="X5098">
        <v>10.047058823529412</v>
      </c>
      <c r="Y5098">
        <v>2.2096712558259708</v>
      </c>
      <c r="AA5098" s="6"/>
      <c r="AB5098" s="6"/>
    </row>
    <row r="5099" spans="1:28" x14ac:dyDescent="0.2">
      <c r="A5099" t="s">
        <v>593</v>
      </c>
      <c r="B5099">
        <v>2014</v>
      </c>
      <c r="C5099" t="s">
        <v>816</v>
      </c>
      <c r="D5099" t="s">
        <v>820</v>
      </c>
      <c r="E5099" t="s">
        <v>34</v>
      </c>
      <c r="F5099" t="s">
        <v>325</v>
      </c>
      <c r="G5099">
        <v>32.671039</v>
      </c>
      <c r="H5099">
        <v>-117.251121</v>
      </c>
      <c r="I5099" t="s">
        <v>766</v>
      </c>
      <c r="J5099" s="2" t="s">
        <v>14</v>
      </c>
      <c r="K5099" t="s">
        <v>144</v>
      </c>
      <c r="L5099" t="s">
        <v>144</v>
      </c>
      <c r="M5099" t="s">
        <v>26</v>
      </c>
      <c r="N5099" t="s">
        <v>85</v>
      </c>
      <c r="O5099" s="6" t="s">
        <v>594</v>
      </c>
      <c r="P5099" t="s">
        <v>145</v>
      </c>
      <c r="Q5099">
        <v>21</v>
      </c>
      <c r="R5099" t="s">
        <v>214</v>
      </c>
      <c r="S5099" s="2" t="s">
        <v>9</v>
      </c>
      <c r="T5099">
        <v>18</v>
      </c>
      <c r="U5099" t="s">
        <v>28</v>
      </c>
      <c r="V5099" t="s">
        <v>28</v>
      </c>
      <c r="W5099">
        <v>15</v>
      </c>
      <c r="X5099">
        <v>7.8058823529411772</v>
      </c>
      <c r="Y5099">
        <v>1.6083650814706516</v>
      </c>
      <c r="AA5099" s="6"/>
      <c r="AB5099" s="6"/>
    </row>
    <row r="5100" spans="1:28" x14ac:dyDescent="0.2">
      <c r="A5100" t="s">
        <v>593</v>
      </c>
      <c r="B5100">
        <v>2014</v>
      </c>
      <c r="C5100" t="s">
        <v>816</v>
      </c>
      <c r="D5100" t="s">
        <v>820</v>
      </c>
      <c r="E5100" t="s">
        <v>34</v>
      </c>
      <c r="F5100" t="s">
        <v>325</v>
      </c>
      <c r="G5100">
        <v>32.671039</v>
      </c>
      <c r="H5100">
        <v>-117.251121</v>
      </c>
      <c r="I5100" t="s">
        <v>766</v>
      </c>
      <c r="J5100" s="2" t="s">
        <v>5</v>
      </c>
      <c r="K5100" t="s">
        <v>144</v>
      </c>
      <c r="L5100" t="s">
        <v>144</v>
      </c>
      <c r="M5100" t="s">
        <v>26</v>
      </c>
      <c r="N5100" t="s">
        <v>85</v>
      </c>
      <c r="O5100" s="6" t="s">
        <v>594</v>
      </c>
      <c r="P5100" t="s">
        <v>145</v>
      </c>
      <c r="Q5100">
        <v>21</v>
      </c>
      <c r="R5100" t="s">
        <v>214</v>
      </c>
      <c r="S5100" s="2" t="s">
        <v>27</v>
      </c>
      <c r="T5100">
        <v>18</v>
      </c>
      <c r="U5100">
        <v>7.58</v>
      </c>
      <c r="V5100">
        <v>1259</v>
      </c>
      <c r="W5100" t="s">
        <v>28</v>
      </c>
      <c r="X5100">
        <v>9.6166666666666671</v>
      </c>
      <c r="Y5100">
        <v>2.4132599382187929</v>
      </c>
      <c r="AA5100" s="6"/>
      <c r="AB5100" s="6"/>
    </row>
    <row r="5101" spans="1:28" x14ac:dyDescent="0.2">
      <c r="A5101" t="s">
        <v>593</v>
      </c>
      <c r="B5101">
        <v>2014</v>
      </c>
      <c r="C5101" t="s">
        <v>816</v>
      </c>
      <c r="D5101" t="s">
        <v>820</v>
      </c>
      <c r="E5101" t="s">
        <v>34</v>
      </c>
      <c r="F5101" t="s">
        <v>325</v>
      </c>
      <c r="G5101">
        <v>32.671039</v>
      </c>
      <c r="H5101">
        <v>-117.251121</v>
      </c>
      <c r="I5101" t="s">
        <v>766</v>
      </c>
      <c r="J5101" s="2" t="s">
        <v>16</v>
      </c>
      <c r="K5101" t="s">
        <v>144</v>
      </c>
      <c r="L5101" t="s">
        <v>144</v>
      </c>
      <c r="M5101" t="s">
        <v>26</v>
      </c>
      <c r="N5101" t="s">
        <v>85</v>
      </c>
      <c r="O5101" s="6" t="s">
        <v>594</v>
      </c>
      <c r="P5101" t="s">
        <v>145</v>
      </c>
      <c r="Q5101">
        <v>21</v>
      </c>
      <c r="R5101" t="s">
        <v>214</v>
      </c>
      <c r="S5101" s="2" t="s">
        <v>13</v>
      </c>
      <c r="T5101">
        <v>18</v>
      </c>
      <c r="U5101">
        <v>7.57</v>
      </c>
      <c r="V5101">
        <v>1318</v>
      </c>
      <c r="W5101">
        <v>15</v>
      </c>
      <c r="X5101">
        <v>11.711111111111112</v>
      </c>
      <c r="Y5101">
        <v>2.5538641745837216</v>
      </c>
      <c r="AA5101" s="6"/>
      <c r="AB5101" s="6"/>
    </row>
    <row r="5102" spans="1:28" x14ac:dyDescent="0.2">
      <c r="A5102" t="s">
        <v>593</v>
      </c>
      <c r="B5102">
        <v>2014</v>
      </c>
      <c r="C5102" t="s">
        <v>816</v>
      </c>
      <c r="D5102" t="s">
        <v>820</v>
      </c>
      <c r="E5102" t="s">
        <v>34</v>
      </c>
      <c r="F5102" t="s">
        <v>325</v>
      </c>
      <c r="G5102">
        <v>32.671039</v>
      </c>
      <c r="H5102">
        <v>-117.251121</v>
      </c>
      <c r="I5102" t="s">
        <v>766</v>
      </c>
      <c r="J5102" s="2" t="s">
        <v>7</v>
      </c>
      <c r="K5102" t="s">
        <v>144</v>
      </c>
      <c r="L5102" t="s">
        <v>144</v>
      </c>
      <c r="M5102" t="s">
        <v>26</v>
      </c>
      <c r="N5102" t="s">
        <v>85</v>
      </c>
      <c r="O5102" s="6" t="s">
        <v>594</v>
      </c>
      <c r="P5102" t="s">
        <v>145</v>
      </c>
      <c r="Q5102">
        <v>28</v>
      </c>
      <c r="R5102" t="s">
        <v>213</v>
      </c>
      <c r="S5102" s="2" t="s">
        <v>7</v>
      </c>
      <c r="T5102">
        <v>17</v>
      </c>
      <c r="U5102">
        <v>7.98</v>
      </c>
      <c r="V5102">
        <v>465</v>
      </c>
      <c r="W5102">
        <v>12</v>
      </c>
      <c r="X5102">
        <v>11.81176470588235</v>
      </c>
      <c r="Y5102">
        <v>2.6315115316442204</v>
      </c>
      <c r="AA5102" s="6"/>
      <c r="AB5102" s="6"/>
    </row>
    <row r="5103" spans="1:28" x14ac:dyDescent="0.2">
      <c r="A5103" t="s">
        <v>593</v>
      </c>
      <c r="B5103">
        <v>2014</v>
      </c>
      <c r="C5103" t="s">
        <v>816</v>
      </c>
      <c r="D5103" t="s">
        <v>820</v>
      </c>
      <c r="E5103" t="s">
        <v>34</v>
      </c>
      <c r="F5103" t="s">
        <v>325</v>
      </c>
      <c r="G5103">
        <v>32.671039</v>
      </c>
      <c r="H5103">
        <v>-117.251121</v>
      </c>
      <c r="I5103" t="s">
        <v>766</v>
      </c>
      <c r="J5103" s="2" t="s">
        <v>14</v>
      </c>
      <c r="K5103" t="s">
        <v>144</v>
      </c>
      <c r="L5103" t="s">
        <v>144</v>
      </c>
      <c r="M5103" t="s">
        <v>26</v>
      </c>
      <c r="N5103" t="s">
        <v>85</v>
      </c>
      <c r="O5103" s="6" t="s">
        <v>594</v>
      </c>
      <c r="P5103" t="s">
        <v>145</v>
      </c>
      <c r="Q5103">
        <v>28</v>
      </c>
      <c r="R5103" t="s">
        <v>213</v>
      </c>
      <c r="S5103" s="2" t="s">
        <v>9</v>
      </c>
      <c r="T5103">
        <v>18</v>
      </c>
      <c r="U5103" t="s">
        <v>28</v>
      </c>
      <c r="V5103" t="s">
        <v>28</v>
      </c>
      <c r="W5103">
        <v>15</v>
      </c>
      <c r="X5103">
        <v>7.0363636363636353</v>
      </c>
      <c r="Y5103">
        <v>2.9200249064940293</v>
      </c>
      <c r="AA5103" s="6"/>
      <c r="AB5103" s="6"/>
    </row>
    <row r="5104" spans="1:28" x14ac:dyDescent="0.2">
      <c r="A5104" t="s">
        <v>593</v>
      </c>
      <c r="B5104">
        <v>2014</v>
      </c>
      <c r="C5104" t="s">
        <v>816</v>
      </c>
      <c r="D5104" t="s">
        <v>820</v>
      </c>
      <c r="E5104" t="s">
        <v>34</v>
      </c>
      <c r="F5104" t="s">
        <v>325</v>
      </c>
      <c r="G5104">
        <v>32.671039</v>
      </c>
      <c r="H5104">
        <v>-117.251121</v>
      </c>
      <c r="I5104" t="s">
        <v>766</v>
      </c>
      <c r="J5104" s="2" t="s">
        <v>5</v>
      </c>
      <c r="K5104" t="s">
        <v>144</v>
      </c>
      <c r="L5104" t="s">
        <v>144</v>
      </c>
      <c r="M5104" t="s">
        <v>26</v>
      </c>
      <c r="N5104" t="s">
        <v>85</v>
      </c>
      <c r="O5104" s="6" t="s">
        <v>594</v>
      </c>
      <c r="P5104" t="s">
        <v>145</v>
      </c>
      <c r="Q5104">
        <v>28</v>
      </c>
      <c r="R5104" t="s">
        <v>213</v>
      </c>
      <c r="S5104" s="2" t="s">
        <v>27</v>
      </c>
      <c r="T5104">
        <v>18</v>
      </c>
      <c r="U5104">
        <v>7.58</v>
      </c>
      <c r="V5104">
        <v>1259</v>
      </c>
      <c r="W5104" t="s">
        <v>28</v>
      </c>
      <c r="X5104">
        <v>11.5625</v>
      </c>
      <c r="Y5104">
        <v>3.9423977475642937</v>
      </c>
      <c r="AA5104" s="6"/>
      <c r="AB5104" s="6"/>
    </row>
    <row r="5105" spans="1:28" x14ac:dyDescent="0.2">
      <c r="A5105" t="s">
        <v>593</v>
      </c>
      <c r="B5105">
        <v>2014</v>
      </c>
      <c r="C5105" t="s">
        <v>816</v>
      </c>
      <c r="D5105" t="s">
        <v>820</v>
      </c>
      <c r="E5105" t="s">
        <v>34</v>
      </c>
      <c r="F5105" t="s">
        <v>325</v>
      </c>
      <c r="G5105">
        <v>32.671039</v>
      </c>
      <c r="H5105">
        <v>-117.251121</v>
      </c>
      <c r="I5105" t="s">
        <v>766</v>
      </c>
      <c r="J5105" s="2" t="s">
        <v>16</v>
      </c>
      <c r="K5105" t="s">
        <v>144</v>
      </c>
      <c r="L5105" t="s">
        <v>144</v>
      </c>
      <c r="M5105" t="s">
        <v>26</v>
      </c>
      <c r="N5105" t="s">
        <v>85</v>
      </c>
      <c r="O5105" s="6" t="s">
        <v>594</v>
      </c>
      <c r="P5105" t="s">
        <v>145</v>
      </c>
      <c r="Q5105">
        <v>28</v>
      </c>
      <c r="R5105" t="s">
        <v>213</v>
      </c>
      <c r="S5105" s="2" t="s">
        <v>13</v>
      </c>
      <c r="T5105">
        <v>18</v>
      </c>
      <c r="U5105">
        <v>7.57</v>
      </c>
      <c r="V5105">
        <v>1318</v>
      </c>
      <c r="W5105">
        <v>15</v>
      </c>
      <c r="X5105">
        <v>14.766666666666667</v>
      </c>
      <c r="Y5105">
        <v>3.8719200283428323</v>
      </c>
      <c r="AA5105" s="6"/>
      <c r="AB5105" s="6"/>
    </row>
    <row r="5106" spans="1:28" x14ac:dyDescent="0.2">
      <c r="A5106" t="s">
        <v>593</v>
      </c>
      <c r="B5106">
        <v>2014</v>
      </c>
      <c r="C5106" t="s">
        <v>816</v>
      </c>
      <c r="D5106" t="s">
        <v>820</v>
      </c>
      <c r="E5106" t="s">
        <v>34</v>
      </c>
      <c r="F5106" t="s">
        <v>325</v>
      </c>
      <c r="G5106">
        <v>32.671039</v>
      </c>
      <c r="H5106">
        <v>-117.251121</v>
      </c>
      <c r="I5106" t="s">
        <v>766</v>
      </c>
      <c r="J5106" s="2" t="s">
        <v>7</v>
      </c>
      <c r="K5106" t="s">
        <v>144</v>
      </c>
      <c r="L5106" t="s">
        <v>144</v>
      </c>
      <c r="M5106" t="s">
        <v>73</v>
      </c>
      <c r="N5106" t="s">
        <v>85</v>
      </c>
      <c r="O5106" s="6" t="s">
        <v>834</v>
      </c>
      <c r="Q5106">
        <v>28</v>
      </c>
      <c r="R5106" t="s">
        <v>213</v>
      </c>
      <c r="S5106" s="2" t="s">
        <v>7</v>
      </c>
      <c r="T5106">
        <v>3</v>
      </c>
      <c r="U5106">
        <v>7.98</v>
      </c>
      <c r="V5106">
        <v>465</v>
      </c>
      <c r="W5106">
        <v>12</v>
      </c>
      <c r="X5106">
        <v>19.899999999999999</v>
      </c>
      <c r="Y5106">
        <v>8.1999999999999993</v>
      </c>
      <c r="AA5106" s="6"/>
      <c r="AB5106" s="6"/>
    </row>
    <row r="5107" spans="1:28" x14ac:dyDescent="0.2">
      <c r="A5107" t="s">
        <v>593</v>
      </c>
      <c r="B5107">
        <v>2014</v>
      </c>
      <c r="C5107" t="s">
        <v>816</v>
      </c>
      <c r="D5107" t="s">
        <v>820</v>
      </c>
      <c r="E5107" t="s">
        <v>34</v>
      </c>
      <c r="F5107" t="s">
        <v>325</v>
      </c>
      <c r="G5107">
        <v>32.671039</v>
      </c>
      <c r="H5107">
        <v>-117.251121</v>
      </c>
      <c r="I5107" t="s">
        <v>766</v>
      </c>
      <c r="J5107" s="2" t="s">
        <v>14</v>
      </c>
      <c r="K5107" t="s">
        <v>144</v>
      </c>
      <c r="L5107" t="s">
        <v>144</v>
      </c>
      <c r="M5107" t="s">
        <v>73</v>
      </c>
      <c r="N5107" t="s">
        <v>85</v>
      </c>
      <c r="O5107" s="6" t="s">
        <v>834</v>
      </c>
      <c r="Q5107">
        <v>28</v>
      </c>
      <c r="R5107" t="s">
        <v>213</v>
      </c>
      <c r="S5107" s="2" t="s">
        <v>9</v>
      </c>
      <c r="T5107">
        <v>3</v>
      </c>
      <c r="U5107" t="s">
        <v>28</v>
      </c>
      <c r="V5107" t="s">
        <v>28</v>
      </c>
      <c r="W5107">
        <v>15</v>
      </c>
      <c r="X5107">
        <v>12.5</v>
      </c>
      <c r="Y5107">
        <v>1.1499999999999999</v>
      </c>
      <c r="AA5107" s="6"/>
      <c r="AB5107" s="6"/>
    </row>
    <row r="5108" spans="1:28" x14ac:dyDescent="0.2">
      <c r="A5108" t="s">
        <v>593</v>
      </c>
      <c r="B5108">
        <v>2014</v>
      </c>
      <c r="C5108" t="s">
        <v>816</v>
      </c>
      <c r="D5108" t="s">
        <v>820</v>
      </c>
      <c r="E5108" t="s">
        <v>34</v>
      </c>
      <c r="F5108" t="s">
        <v>325</v>
      </c>
      <c r="G5108">
        <v>32.671039</v>
      </c>
      <c r="H5108">
        <v>-117.251121</v>
      </c>
      <c r="I5108" t="s">
        <v>766</v>
      </c>
      <c r="J5108" s="2" t="s">
        <v>5</v>
      </c>
      <c r="K5108" t="s">
        <v>144</v>
      </c>
      <c r="L5108" t="s">
        <v>144</v>
      </c>
      <c r="M5108" t="s">
        <v>73</v>
      </c>
      <c r="N5108" t="s">
        <v>85</v>
      </c>
      <c r="O5108" s="6" t="s">
        <v>834</v>
      </c>
      <c r="Q5108">
        <v>28</v>
      </c>
      <c r="R5108" t="s">
        <v>213</v>
      </c>
      <c r="S5108" s="2" t="s">
        <v>27</v>
      </c>
      <c r="T5108">
        <v>3</v>
      </c>
      <c r="U5108">
        <v>7.58</v>
      </c>
      <c r="V5108">
        <v>1259</v>
      </c>
      <c r="W5108" t="s">
        <v>28</v>
      </c>
      <c r="X5108">
        <v>27.2</v>
      </c>
      <c r="Y5108">
        <v>10.8</v>
      </c>
      <c r="AA5108" s="6"/>
      <c r="AB5108" s="6"/>
    </row>
    <row r="5109" spans="1:28" x14ac:dyDescent="0.2">
      <c r="A5109" t="s">
        <v>593</v>
      </c>
      <c r="B5109">
        <v>2014</v>
      </c>
      <c r="C5109" t="s">
        <v>816</v>
      </c>
      <c r="D5109" t="s">
        <v>820</v>
      </c>
      <c r="E5109" t="s">
        <v>34</v>
      </c>
      <c r="F5109" t="s">
        <v>325</v>
      </c>
      <c r="G5109">
        <v>32.671039</v>
      </c>
      <c r="H5109">
        <v>-117.251121</v>
      </c>
      <c r="I5109" t="s">
        <v>766</v>
      </c>
      <c r="J5109" s="2" t="s">
        <v>16</v>
      </c>
      <c r="K5109" t="s">
        <v>144</v>
      </c>
      <c r="L5109" t="s">
        <v>144</v>
      </c>
      <c r="M5109" t="s">
        <v>73</v>
      </c>
      <c r="N5109" t="s">
        <v>85</v>
      </c>
      <c r="O5109" s="6" t="s">
        <v>834</v>
      </c>
      <c r="Q5109">
        <v>28</v>
      </c>
      <c r="R5109" t="s">
        <v>213</v>
      </c>
      <c r="S5109" s="2" t="s">
        <v>13</v>
      </c>
      <c r="T5109">
        <v>3</v>
      </c>
      <c r="U5109">
        <v>7.57</v>
      </c>
      <c r="V5109">
        <v>1318</v>
      </c>
      <c r="W5109">
        <v>15</v>
      </c>
      <c r="X5109">
        <v>44.64</v>
      </c>
      <c r="Y5109">
        <v>3.77</v>
      </c>
      <c r="AA5109" s="6"/>
      <c r="AB5109" s="6"/>
    </row>
    <row r="5110" spans="1:28" x14ac:dyDescent="0.2">
      <c r="A5110" t="s">
        <v>593</v>
      </c>
      <c r="B5110">
        <v>2014</v>
      </c>
      <c r="C5110" t="s">
        <v>816</v>
      </c>
      <c r="D5110" t="s">
        <v>820</v>
      </c>
      <c r="E5110" t="s">
        <v>34</v>
      </c>
      <c r="F5110" t="s">
        <v>325</v>
      </c>
      <c r="G5110">
        <v>32.671039</v>
      </c>
      <c r="H5110">
        <v>-117.251121</v>
      </c>
      <c r="I5110" t="s">
        <v>766</v>
      </c>
      <c r="J5110" s="2" t="s">
        <v>7</v>
      </c>
      <c r="K5110" t="s">
        <v>144</v>
      </c>
      <c r="L5110" t="s">
        <v>144</v>
      </c>
      <c r="M5110" t="s">
        <v>726</v>
      </c>
      <c r="N5110" t="s">
        <v>85</v>
      </c>
      <c r="O5110" s="6" t="s">
        <v>58</v>
      </c>
      <c r="Q5110">
        <v>28</v>
      </c>
      <c r="R5110" t="s">
        <v>213</v>
      </c>
      <c r="S5110" s="2" t="s">
        <v>7</v>
      </c>
      <c r="T5110">
        <v>3</v>
      </c>
      <c r="U5110">
        <v>7.98</v>
      </c>
      <c r="V5110">
        <v>465</v>
      </c>
      <c r="W5110">
        <v>12</v>
      </c>
      <c r="X5110">
        <v>0.82</v>
      </c>
      <c r="Y5110">
        <v>0.25</v>
      </c>
      <c r="AA5110" s="6"/>
      <c r="AB5110" s="6"/>
    </row>
    <row r="5111" spans="1:28" x14ac:dyDescent="0.2">
      <c r="A5111" t="s">
        <v>593</v>
      </c>
      <c r="B5111">
        <v>2014</v>
      </c>
      <c r="C5111" t="s">
        <v>816</v>
      </c>
      <c r="D5111" t="s">
        <v>820</v>
      </c>
      <c r="E5111" t="s">
        <v>34</v>
      </c>
      <c r="F5111" t="s">
        <v>325</v>
      </c>
      <c r="G5111">
        <v>32.671039</v>
      </c>
      <c r="H5111">
        <v>-117.251121</v>
      </c>
      <c r="I5111" t="s">
        <v>766</v>
      </c>
      <c r="J5111" s="2" t="s">
        <v>14</v>
      </c>
      <c r="K5111" t="s">
        <v>144</v>
      </c>
      <c r="L5111" t="s">
        <v>144</v>
      </c>
      <c r="M5111" t="s">
        <v>726</v>
      </c>
      <c r="N5111" t="s">
        <v>85</v>
      </c>
      <c r="O5111" s="6" t="s">
        <v>58</v>
      </c>
      <c r="Q5111">
        <v>28</v>
      </c>
      <c r="R5111" t="s">
        <v>213</v>
      </c>
      <c r="S5111" s="2" t="s">
        <v>9</v>
      </c>
      <c r="T5111">
        <v>3</v>
      </c>
      <c r="U5111" t="s">
        <v>28</v>
      </c>
      <c r="V5111" t="s">
        <v>28</v>
      </c>
      <c r="W5111">
        <v>15</v>
      </c>
      <c r="X5111">
        <v>0.18</v>
      </c>
      <c r="Y5111">
        <v>0.02</v>
      </c>
      <c r="AA5111" s="6"/>
      <c r="AB5111" s="6"/>
    </row>
    <row r="5112" spans="1:28" x14ac:dyDescent="0.2">
      <c r="A5112" t="s">
        <v>593</v>
      </c>
      <c r="B5112">
        <v>2014</v>
      </c>
      <c r="C5112" t="s">
        <v>816</v>
      </c>
      <c r="D5112" t="s">
        <v>820</v>
      </c>
      <c r="E5112" t="s">
        <v>34</v>
      </c>
      <c r="F5112" t="s">
        <v>325</v>
      </c>
      <c r="G5112">
        <v>32.671039</v>
      </c>
      <c r="H5112">
        <v>-117.251121</v>
      </c>
      <c r="I5112" t="s">
        <v>766</v>
      </c>
      <c r="J5112" s="2" t="s">
        <v>5</v>
      </c>
      <c r="K5112" t="s">
        <v>144</v>
      </c>
      <c r="L5112" t="s">
        <v>144</v>
      </c>
      <c r="M5112" t="s">
        <v>726</v>
      </c>
      <c r="N5112" t="s">
        <v>85</v>
      </c>
      <c r="O5112" s="6" t="s">
        <v>58</v>
      </c>
      <c r="Q5112">
        <v>28</v>
      </c>
      <c r="R5112" t="s">
        <v>213</v>
      </c>
      <c r="S5112" s="2" t="s">
        <v>27</v>
      </c>
      <c r="T5112">
        <v>3</v>
      </c>
      <c r="U5112">
        <v>7.58</v>
      </c>
      <c r="V5112">
        <v>1259</v>
      </c>
      <c r="W5112" t="s">
        <v>28</v>
      </c>
      <c r="X5112">
        <v>0.89</v>
      </c>
      <c r="Y5112">
        <v>0.14000000000000001</v>
      </c>
      <c r="AA5112" s="6"/>
      <c r="AB5112" s="6"/>
    </row>
    <row r="5113" spans="1:28" x14ac:dyDescent="0.2">
      <c r="A5113" t="s">
        <v>593</v>
      </c>
      <c r="B5113">
        <v>2014</v>
      </c>
      <c r="C5113" t="s">
        <v>816</v>
      </c>
      <c r="D5113" t="s">
        <v>820</v>
      </c>
      <c r="E5113" t="s">
        <v>34</v>
      </c>
      <c r="F5113" t="s">
        <v>325</v>
      </c>
      <c r="G5113">
        <v>32.671039</v>
      </c>
      <c r="H5113">
        <v>-117.251121</v>
      </c>
      <c r="I5113" t="s">
        <v>766</v>
      </c>
      <c r="J5113" s="2" t="s">
        <v>16</v>
      </c>
      <c r="K5113" t="s">
        <v>144</v>
      </c>
      <c r="L5113" t="s">
        <v>144</v>
      </c>
      <c r="M5113" t="s">
        <v>726</v>
      </c>
      <c r="N5113" t="s">
        <v>85</v>
      </c>
      <c r="O5113" s="6" t="s">
        <v>58</v>
      </c>
      <c r="Q5113">
        <v>28</v>
      </c>
      <c r="R5113" t="s">
        <v>213</v>
      </c>
      <c r="S5113" s="2" t="s">
        <v>13</v>
      </c>
      <c r="T5113">
        <v>3</v>
      </c>
      <c r="U5113">
        <v>7.57</v>
      </c>
      <c r="V5113">
        <v>1318</v>
      </c>
      <c r="W5113">
        <v>15</v>
      </c>
      <c r="X5113">
        <v>0.96</v>
      </c>
      <c r="Y5113">
        <v>0.1</v>
      </c>
      <c r="AA5113" s="6"/>
      <c r="AB5113" s="6"/>
    </row>
    <row r="5114" spans="1:28" x14ac:dyDescent="0.2">
      <c r="A5114" t="s">
        <v>593</v>
      </c>
      <c r="B5114">
        <v>2014</v>
      </c>
      <c r="C5114" t="s">
        <v>816</v>
      </c>
      <c r="D5114" t="s">
        <v>820</v>
      </c>
      <c r="E5114" t="s">
        <v>34</v>
      </c>
      <c r="F5114" t="s">
        <v>325</v>
      </c>
      <c r="G5114">
        <v>32.671039</v>
      </c>
      <c r="H5114">
        <v>-117.251121</v>
      </c>
      <c r="I5114" t="s">
        <v>766</v>
      </c>
      <c r="J5114" s="2" t="s">
        <v>7</v>
      </c>
      <c r="K5114" t="s">
        <v>144</v>
      </c>
      <c r="L5114" t="s">
        <v>144</v>
      </c>
      <c r="M5114" t="s">
        <v>638</v>
      </c>
      <c r="N5114" t="s">
        <v>86</v>
      </c>
      <c r="O5114" s="6" t="s">
        <v>272</v>
      </c>
      <c r="Q5114">
        <v>28</v>
      </c>
      <c r="R5114" t="s">
        <v>213</v>
      </c>
      <c r="S5114" s="2" t="s">
        <v>7</v>
      </c>
      <c r="T5114">
        <v>18</v>
      </c>
      <c r="U5114">
        <v>7.98</v>
      </c>
      <c r="V5114">
        <v>465</v>
      </c>
      <c r="W5114">
        <v>12</v>
      </c>
      <c r="X5114">
        <v>7.9960000000000004</v>
      </c>
      <c r="Y5114">
        <f>8.234-X5114</f>
        <v>0.23799999999999955</v>
      </c>
      <c r="AA5114" s="6"/>
      <c r="AB5114" s="6"/>
    </row>
    <row r="5115" spans="1:28" x14ac:dyDescent="0.2">
      <c r="A5115" t="s">
        <v>593</v>
      </c>
      <c r="B5115">
        <v>2014</v>
      </c>
      <c r="C5115" t="s">
        <v>816</v>
      </c>
      <c r="D5115" t="s">
        <v>820</v>
      </c>
      <c r="E5115" t="s">
        <v>34</v>
      </c>
      <c r="F5115" t="s">
        <v>325</v>
      </c>
      <c r="G5115">
        <v>32.671039</v>
      </c>
      <c r="H5115">
        <v>-117.251121</v>
      </c>
      <c r="I5115" t="s">
        <v>766</v>
      </c>
      <c r="J5115" s="2" t="s">
        <v>14</v>
      </c>
      <c r="K5115" t="s">
        <v>144</v>
      </c>
      <c r="L5115" t="s">
        <v>144</v>
      </c>
      <c r="M5115" t="s">
        <v>638</v>
      </c>
      <c r="N5115" t="s">
        <v>86</v>
      </c>
      <c r="O5115" s="6" t="s">
        <v>272</v>
      </c>
      <c r="Q5115">
        <v>28</v>
      </c>
      <c r="R5115" t="s">
        <v>213</v>
      </c>
      <c r="S5115" s="2" t="s">
        <v>9</v>
      </c>
      <c r="T5115">
        <v>18</v>
      </c>
      <c r="U5115" t="s">
        <v>28</v>
      </c>
      <c r="V5115" t="s">
        <v>28</v>
      </c>
      <c r="W5115">
        <v>15</v>
      </c>
      <c r="X5115">
        <v>9.5060000000000002</v>
      </c>
      <c r="Y5115">
        <f>9.838-X5115</f>
        <v>0.33199999999999896</v>
      </c>
      <c r="AA5115" s="6"/>
      <c r="AB5115" s="6"/>
    </row>
    <row r="5116" spans="1:28" x14ac:dyDescent="0.2">
      <c r="A5116" t="s">
        <v>593</v>
      </c>
      <c r="B5116">
        <v>2014</v>
      </c>
      <c r="C5116" t="s">
        <v>816</v>
      </c>
      <c r="D5116" t="s">
        <v>820</v>
      </c>
      <c r="E5116" t="s">
        <v>34</v>
      </c>
      <c r="F5116" t="s">
        <v>325</v>
      </c>
      <c r="G5116">
        <v>32.671039</v>
      </c>
      <c r="H5116">
        <v>-117.251121</v>
      </c>
      <c r="I5116" t="s">
        <v>766</v>
      </c>
      <c r="J5116" s="2" t="s">
        <v>5</v>
      </c>
      <c r="K5116" t="s">
        <v>144</v>
      </c>
      <c r="L5116" t="s">
        <v>144</v>
      </c>
      <c r="M5116" t="s">
        <v>638</v>
      </c>
      <c r="N5116" t="s">
        <v>86</v>
      </c>
      <c r="O5116" s="6" t="s">
        <v>272</v>
      </c>
      <c r="Q5116">
        <v>28</v>
      </c>
      <c r="R5116" t="s">
        <v>213</v>
      </c>
      <c r="S5116" s="2" t="s">
        <v>27</v>
      </c>
      <c r="T5116">
        <v>18</v>
      </c>
      <c r="U5116">
        <v>7.58</v>
      </c>
      <c r="V5116">
        <v>1259</v>
      </c>
      <c r="W5116" t="s">
        <v>28</v>
      </c>
      <c r="X5116">
        <v>7.8890000000000002</v>
      </c>
      <c r="Y5116">
        <f>8.132-X5116</f>
        <v>0.24299999999999944</v>
      </c>
      <c r="AA5116" s="6"/>
      <c r="AB5116" s="6"/>
    </row>
    <row r="5117" spans="1:28" x14ac:dyDescent="0.2">
      <c r="A5117" t="s">
        <v>593</v>
      </c>
      <c r="B5117">
        <v>2014</v>
      </c>
      <c r="C5117" t="s">
        <v>816</v>
      </c>
      <c r="D5117" t="s">
        <v>820</v>
      </c>
      <c r="E5117" t="s">
        <v>34</v>
      </c>
      <c r="F5117" t="s">
        <v>325</v>
      </c>
      <c r="G5117">
        <v>32.671039</v>
      </c>
      <c r="H5117">
        <v>-117.251121</v>
      </c>
      <c r="I5117" t="s">
        <v>766</v>
      </c>
      <c r="J5117" s="2" t="s">
        <v>16</v>
      </c>
      <c r="K5117" t="s">
        <v>144</v>
      </c>
      <c r="L5117" t="s">
        <v>144</v>
      </c>
      <c r="M5117" t="s">
        <v>638</v>
      </c>
      <c r="N5117" t="s">
        <v>86</v>
      </c>
      <c r="O5117" s="6" t="s">
        <v>272</v>
      </c>
      <c r="Q5117">
        <v>28</v>
      </c>
      <c r="R5117" t="s">
        <v>213</v>
      </c>
      <c r="S5117" s="2" t="s">
        <v>13</v>
      </c>
      <c r="T5117">
        <v>18</v>
      </c>
      <c r="U5117">
        <v>7.57</v>
      </c>
      <c r="V5117">
        <v>1318</v>
      </c>
      <c r="W5117">
        <v>15</v>
      </c>
      <c r="X5117">
        <v>7.4850000000000003</v>
      </c>
      <c r="Y5117">
        <f>7.706-X5117</f>
        <v>0.22100000000000009</v>
      </c>
      <c r="AA5117" s="6"/>
      <c r="AB5117" s="6"/>
    </row>
    <row r="5118" spans="1:28" x14ac:dyDescent="0.2">
      <c r="A5118" t="s">
        <v>595</v>
      </c>
      <c r="B5118">
        <v>2017</v>
      </c>
      <c r="C5118" t="s">
        <v>816</v>
      </c>
      <c r="D5118" t="s">
        <v>817</v>
      </c>
      <c r="E5118" t="s">
        <v>121</v>
      </c>
      <c r="F5118" t="s">
        <v>597</v>
      </c>
      <c r="G5118">
        <v>41.643827999999999</v>
      </c>
      <c r="H5118">
        <v>-8.8268959999999996</v>
      </c>
      <c r="I5118" t="s">
        <v>768</v>
      </c>
      <c r="J5118" s="2" t="s">
        <v>7</v>
      </c>
      <c r="K5118" t="s">
        <v>596</v>
      </c>
      <c r="L5118" t="s">
        <v>143</v>
      </c>
      <c r="M5118" t="s">
        <v>12</v>
      </c>
      <c r="N5118" t="s">
        <v>85</v>
      </c>
      <c r="O5118" s="6" t="s">
        <v>12</v>
      </c>
      <c r="P5118" t="s">
        <v>70</v>
      </c>
      <c r="Q5118">
        <v>36</v>
      </c>
      <c r="R5118" t="s">
        <v>213</v>
      </c>
      <c r="S5118" s="2" t="s">
        <v>7</v>
      </c>
      <c r="T5118">
        <v>4</v>
      </c>
      <c r="U5118" t="s">
        <v>28</v>
      </c>
      <c r="V5118" t="s">
        <v>28</v>
      </c>
      <c r="W5118">
        <v>15</v>
      </c>
      <c r="X5118">
        <v>100</v>
      </c>
      <c r="Y5118">
        <v>0</v>
      </c>
      <c r="AA5118" s="6"/>
      <c r="AB5118" s="6"/>
    </row>
    <row r="5119" spans="1:28" x14ac:dyDescent="0.2">
      <c r="A5119" t="s">
        <v>595</v>
      </c>
      <c r="B5119">
        <v>2017</v>
      </c>
      <c r="C5119" t="s">
        <v>816</v>
      </c>
      <c r="D5119" t="s">
        <v>817</v>
      </c>
      <c r="E5119" t="s">
        <v>121</v>
      </c>
      <c r="F5119" t="s">
        <v>597</v>
      </c>
      <c r="G5119">
        <v>41.643827999999999</v>
      </c>
      <c r="H5119">
        <v>-8.8268959999999996</v>
      </c>
      <c r="I5119" t="s">
        <v>768</v>
      </c>
      <c r="J5119" s="2" t="s">
        <v>14</v>
      </c>
      <c r="K5119" t="s">
        <v>596</v>
      </c>
      <c r="L5119" t="s">
        <v>143</v>
      </c>
      <c r="M5119" t="s">
        <v>12</v>
      </c>
      <c r="N5119" t="s">
        <v>85</v>
      </c>
      <c r="O5119" s="6" t="s">
        <v>12</v>
      </c>
      <c r="P5119" t="s">
        <v>70</v>
      </c>
      <c r="Q5119">
        <v>36</v>
      </c>
      <c r="R5119" t="s">
        <v>213</v>
      </c>
      <c r="S5119" s="2" t="s">
        <v>9</v>
      </c>
      <c r="T5119">
        <v>4</v>
      </c>
      <c r="U5119" t="s">
        <v>28</v>
      </c>
      <c r="V5119" t="s">
        <v>28</v>
      </c>
      <c r="W5119">
        <v>18</v>
      </c>
      <c r="X5119">
        <v>100</v>
      </c>
      <c r="Y5119">
        <v>0</v>
      </c>
      <c r="AA5119" s="6"/>
      <c r="AB5119" s="6"/>
    </row>
    <row r="5120" spans="1:28" x14ac:dyDescent="0.2">
      <c r="A5120" t="s">
        <v>595</v>
      </c>
      <c r="B5120">
        <v>2017</v>
      </c>
      <c r="C5120" t="s">
        <v>816</v>
      </c>
      <c r="D5120" t="s">
        <v>817</v>
      </c>
      <c r="E5120" t="s">
        <v>121</v>
      </c>
      <c r="F5120" t="s">
        <v>597</v>
      </c>
      <c r="G5120">
        <v>41.643827999999999</v>
      </c>
      <c r="H5120">
        <v>-8.8268959999999996</v>
      </c>
      <c r="I5120" t="s">
        <v>768</v>
      </c>
      <c r="J5120" s="2" t="s">
        <v>14</v>
      </c>
      <c r="K5120" t="s">
        <v>596</v>
      </c>
      <c r="L5120" t="s">
        <v>143</v>
      </c>
      <c r="M5120" t="s">
        <v>12</v>
      </c>
      <c r="N5120" t="s">
        <v>85</v>
      </c>
      <c r="O5120" s="6" t="s">
        <v>12</v>
      </c>
      <c r="P5120" t="s">
        <v>70</v>
      </c>
      <c r="Q5120">
        <v>36</v>
      </c>
      <c r="R5120" t="s">
        <v>213</v>
      </c>
      <c r="S5120" s="2" t="s">
        <v>27</v>
      </c>
      <c r="T5120">
        <v>4</v>
      </c>
      <c r="U5120" t="s">
        <v>28</v>
      </c>
      <c r="V5120" t="s">
        <v>28</v>
      </c>
      <c r="W5120">
        <v>20</v>
      </c>
      <c r="X5120">
        <v>100</v>
      </c>
      <c r="Y5120">
        <v>0</v>
      </c>
      <c r="AA5120" s="6"/>
      <c r="AB5120" s="6"/>
    </row>
    <row r="5121" spans="1:30" x14ac:dyDescent="0.2">
      <c r="A5121" t="s">
        <v>595</v>
      </c>
      <c r="B5121">
        <v>2017</v>
      </c>
      <c r="C5121" t="s">
        <v>816</v>
      </c>
      <c r="D5121" t="s">
        <v>817</v>
      </c>
      <c r="E5121" t="s">
        <v>121</v>
      </c>
      <c r="F5121" t="s">
        <v>597</v>
      </c>
      <c r="G5121">
        <v>41.643827999999999</v>
      </c>
      <c r="H5121">
        <v>-8.8268959999999996</v>
      </c>
      <c r="I5121" t="s">
        <v>768</v>
      </c>
      <c r="J5121" s="2" t="s">
        <v>14</v>
      </c>
      <c r="K5121" t="s">
        <v>596</v>
      </c>
      <c r="L5121" t="s">
        <v>143</v>
      </c>
      <c r="M5121" t="s">
        <v>12</v>
      </c>
      <c r="N5121" t="s">
        <v>85</v>
      </c>
      <c r="O5121" s="6" t="s">
        <v>12</v>
      </c>
      <c r="P5121" t="s">
        <v>70</v>
      </c>
      <c r="Q5121">
        <v>36</v>
      </c>
      <c r="R5121" t="s">
        <v>213</v>
      </c>
      <c r="S5121" s="2" t="s">
        <v>13</v>
      </c>
      <c r="T5121">
        <v>4</v>
      </c>
      <c r="U5121" t="s">
        <v>28</v>
      </c>
      <c r="V5121" t="s">
        <v>28</v>
      </c>
      <c r="W5121">
        <v>22</v>
      </c>
      <c r="X5121">
        <v>100</v>
      </c>
      <c r="Y5121">
        <v>0</v>
      </c>
      <c r="AA5121" s="6"/>
      <c r="AB5121" s="6"/>
    </row>
    <row r="5122" spans="1:30" x14ac:dyDescent="0.2">
      <c r="A5122" t="s">
        <v>595</v>
      </c>
      <c r="B5122">
        <v>2017</v>
      </c>
      <c r="C5122" t="s">
        <v>816</v>
      </c>
      <c r="D5122" t="s">
        <v>817</v>
      </c>
      <c r="E5122" t="s">
        <v>121</v>
      </c>
      <c r="F5122" t="s">
        <v>597</v>
      </c>
      <c r="G5122">
        <v>41.643827999999999</v>
      </c>
      <c r="H5122">
        <v>-8.8268959999999996</v>
      </c>
      <c r="I5122" t="s">
        <v>768</v>
      </c>
      <c r="J5122" s="2" t="s">
        <v>14</v>
      </c>
      <c r="K5122" t="s">
        <v>596</v>
      </c>
      <c r="L5122" t="s">
        <v>143</v>
      </c>
      <c r="M5122" t="s">
        <v>12</v>
      </c>
      <c r="N5122" t="s">
        <v>85</v>
      </c>
      <c r="O5122" s="6" t="s">
        <v>12</v>
      </c>
      <c r="P5122" t="s">
        <v>70</v>
      </c>
      <c r="Q5122">
        <v>36</v>
      </c>
      <c r="R5122" t="s">
        <v>213</v>
      </c>
      <c r="S5122" s="2" t="s">
        <v>15</v>
      </c>
      <c r="T5122">
        <v>4</v>
      </c>
      <c r="U5122" t="s">
        <v>28</v>
      </c>
      <c r="V5122" t="s">
        <v>28</v>
      </c>
      <c r="W5122">
        <v>24</v>
      </c>
      <c r="X5122">
        <v>90</v>
      </c>
      <c r="Y5122">
        <v>30.38</v>
      </c>
      <c r="AA5122" s="6"/>
      <c r="AB5122" s="6"/>
    </row>
    <row r="5123" spans="1:30" x14ac:dyDescent="0.2">
      <c r="A5123" t="s">
        <v>595</v>
      </c>
      <c r="B5123">
        <v>2017</v>
      </c>
      <c r="C5123" t="s">
        <v>816</v>
      </c>
      <c r="D5123" t="s">
        <v>817</v>
      </c>
      <c r="E5123" t="s">
        <v>121</v>
      </c>
      <c r="F5123" t="s">
        <v>597</v>
      </c>
      <c r="G5123">
        <v>41.643827999999999</v>
      </c>
      <c r="H5123">
        <v>-8.8268959999999996</v>
      </c>
      <c r="I5123" t="s">
        <v>768</v>
      </c>
      <c r="J5123" s="2" t="s">
        <v>14</v>
      </c>
      <c r="K5123" t="s">
        <v>596</v>
      </c>
      <c r="L5123" t="s">
        <v>143</v>
      </c>
      <c r="M5123" t="s">
        <v>12</v>
      </c>
      <c r="N5123" t="s">
        <v>85</v>
      </c>
      <c r="O5123" s="6" t="s">
        <v>12</v>
      </c>
      <c r="P5123" t="s">
        <v>70</v>
      </c>
      <c r="Q5123">
        <v>36</v>
      </c>
      <c r="R5123" t="s">
        <v>213</v>
      </c>
      <c r="S5123" s="2" t="s">
        <v>37</v>
      </c>
      <c r="T5123">
        <v>4</v>
      </c>
      <c r="U5123" t="s">
        <v>28</v>
      </c>
      <c r="V5123" t="s">
        <v>28</v>
      </c>
      <c r="W5123">
        <v>26</v>
      </c>
      <c r="X5123">
        <v>0</v>
      </c>
      <c r="Y5123">
        <v>0</v>
      </c>
      <c r="AA5123" s="6"/>
      <c r="AB5123" s="6"/>
    </row>
    <row r="5124" spans="1:30" x14ac:dyDescent="0.2">
      <c r="A5124" t="s">
        <v>595</v>
      </c>
      <c r="B5124">
        <v>2017</v>
      </c>
      <c r="C5124" t="s">
        <v>816</v>
      </c>
      <c r="D5124" t="s">
        <v>817</v>
      </c>
      <c r="E5124" t="s">
        <v>121</v>
      </c>
      <c r="F5124" t="s">
        <v>597</v>
      </c>
      <c r="G5124">
        <v>41.643827999999999</v>
      </c>
      <c r="H5124">
        <v>-8.8268959999999996</v>
      </c>
      <c r="I5124" t="s">
        <v>768</v>
      </c>
      <c r="J5124" s="2" t="s">
        <v>14</v>
      </c>
      <c r="K5124" t="s">
        <v>596</v>
      </c>
      <c r="L5124" t="s">
        <v>143</v>
      </c>
      <c r="M5124" t="s">
        <v>12</v>
      </c>
      <c r="N5124" t="s">
        <v>85</v>
      </c>
      <c r="O5124" s="6" t="s">
        <v>12</v>
      </c>
      <c r="P5124" t="s">
        <v>70</v>
      </c>
      <c r="Q5124">
        <v>36</v>
      </c>
      <c r="R5124" t="s">
        <v>213</v>
      </c>
      <c r="S5124" s="2" t="s">
        <v>116</v>
      </c>
      <c r="T5124">
        <v>4</v>
      </c>
      <c r="U5124" t="s">
        <v>28</v>
      </c>
      <c r="V5124" t="s">
        <v>28</v>
      </c>
      <c r="W5124">
        <v>28</v>
      </c>
      <c r="X5124">
        <v>0</v>
      </c>
      <c r="Y5124">
        <v>0</v>
      </c>
      <c r="AA5124" s="6"/>
      <c r="AB5124" s="6"/>
    </row>
    <row r="5125" spans="1:30" x14ac:dyDescent="0.2">
      <c r="A5125" t="s">
        <v>595</v>
      </c>
      <c r="B5125">
        <v>2017</v>
      </c>
      <c r="C5125" t="s">
        <v>816</v>
      </c>
      <c r="D5125" t="s">
        <v>817</v>
      </c>
      <c r="E5125" t="s">
        <v>121</v>
      </c>
      <c r="F5125" t="s">
        <v>597</v>
      </c>
      <c r="G5125">
        <v>41.643827999999999</v>
      </c>
      <c r="H5125">
        <v>-8.8268959999999996</v>
      </c>
      <c r="I5125" t="s">
        <v>768</v>
      </c>
      <c r="J5125" s="2" t="s">
        <v>7</v>
      </c>
      <c r="K5125" t="s">
        <v>596</v>
      </c>
      <c r="L5125" t="s">
        <v>143</v>
      </c>
      <c r="M5125" t="s">
        <v>26</v>
      </c>
      <c r="N5125" t="s">
        <v>85</v>
      </c>
      <c r="O5125" t="s">
        <v>839</v>
      </c>
      <c r="P5125" t="s">
        <v>125</v>
      </c>
      <c r="Q5125">
        <v>36</v>
      </c>
      <c r="R5125" t="s">
        <v>213</v>
      </c>
      <c r="S5125" s="2" t="s">
        <v>7</v>
      </c>
      <c r="T5125">
        <v>20</v>
      </c>
      <c r="U5125" t="s">
        <v>28</v>
      </c>
      <c r="V5125" t="s">
        <v>28</v>
      </c>
      <c r="W5125">
        <v>15</v>
      </c>
      <c r="X5125">
        <v>5.58</v>
      </c>
      <c r="Y5125" s="6">
        <f t="shared" ref="Y5125:Y5134" si="92">Z5125*SQRT(T5125)</f>
        <v>0.71106961684493231</v>
      </c>
      <c r="Z5125">
        <f>5.739-X5125</f>
        <v>0.15899999999999981</v>
      </c>
      <c r="AA5125" s="6"/>
      <c r="AB5125" s="6"/>
    </row>
    <row r="5126" spans="1:30" x14ac:dyDescent="0.2">
      <c r="A5126" t="s">
        <v>595</v>
      </c>
      <c r="B5126">
        <v>2017</v>
      </c>
      <c r="C5126" t="s">
        <v>816</v>
      </c>
      <c r="D5126" t="s">
        <v>817</v>
      </c>
      <c r="E5126" t="s">
        <v>121</v>
      </c>
      <c r="F5126" t="s">
        <v>597</v>
      </c>
      <c r="G5126">
        <v>41.643827999999999</v>
      </c>
      <c r="H5126">
        <v>-8.8268959999999996</v>
      </c>
      <c r="I5126" t="s">
        <v>768</v>
      </c>
      <c r="J5126" s="2" t="s">
        <v>14</v>
      </c>
      <c r="K5126" t="s">
        <v>596</v>
      </c>
      <c r="L5126" t="s">
        <v>143</v>
      </c>
      <c r="M5126" t="s">
        <v>26</v>
      </c>
      <c r="N5126" t="s">
        <v>85</v>
      </c>
      <c r="O5126" t="s">
        <v>839</v>
      </c>
      <c r="P5126" t="s">
        <v>125</v>
      </c>
      <c r="Q5126">
        <v>36</v>
      </c>
      <c r="R5126" t="s">
        <v>213</v>
      </c>
      <c r="S5126" s="2" t="s">
        <v>9</v>
      </c>
      <c r="T5126">
        <v>20</v>
      </c>
      <c r="U5126" t="s">
        <v>28</v>
      </c>
      <c r="V5126" t="s">
        <v>28</v>
      </c>
      <c r="W5126">
        <v>18</v>
      </c>
      <c r="X5126">
        <v>4.5369999999999999</v>
      </c>
      <c r="Y5126" s="6">
        <f t="shared" si="92"/>
        <v>0.51429563482495266</v>
      </c>
      <c r="Z5126">
        <f>4.652-X5126</f>
        <v>0.11500000000000021</v>
      </c>
      <c r="AA5126" s="6"/>
      <c r="AB5126" s="6"/>
    </row>
    <row r="5127" spans="1:30" x14ac:dyDescent="0.2">
      <c r="A5127" t="s">
        <v>595</v>
      </c>
      <c r="B5127">
        <v>2017</v>
      </c>
      <c r="C5127" t="s">
        <v>816</v>
      </c>
      <c r="D5127" t="s">
        <v>817</v>
      </c>
      <c r="E5127" t="s">
        <v>121</v>
      </c>
      <c r="F5127" t="s">
        <v>597</v>
      </c>
      <c r="G5127">
        <v>41.643827999999999</v>
      </c>
      <c r="H5127">
        <v>-8.8268959999999996</v>
      </c>
      <c r="I5127" t="s">
        <v>768</v>
      </c>
      <c r="J5127" s="2" t="s">
        <v>14</v>
      </c>
      <c r="K5127" t="s">
        <v>596</v>
      </c>
      <c r="L5127" t="s">
        <v>143</v>
      </c>
      <c r="M5127" t="s">
        <v>26</v>
      </c>
      <c r="N5127" t="s">
        <v>85</v>
      </c>
      <c r="O5127" t="s">
        <v>839</v>
      </c>
      <c r="P5127" t="s">
        <v>125</v>
      </c>
      <c r="Q5127">
        <v>36</v>
      </c>
      <c r="R5127" t="s">
        <v>213</v>
      </c>
      <c r="S5127" s="2" t="s">
        <v>27</v>
      </c>
      <c r="T5127">
        <v>20</v>
      </c>
      <c r="U5127" t="s">
        <v>28</v>
      </c>
      <c r="V5127" t="s">
        <v>28</v>
      </c>
      <c r="W5127">
        <v>20</v>
      </c>
      <c r="X5127">
        <v>2.726</v>
      </c>
      <c r="Y5127" s="6">
        <f t="shared" si="92"/>
        <v>0.39802009999496246</v>
      </c>
      <c r="Z5127">
        <f>2.815-X5127</f>
        <v>8.8999999999999968E-2</v>
      </c>
      <c r="AA5127" s="6"/>
      <c r="AB5127" s="6"/>
    </row>
    <row r="5128" spans="1:30" x14ac:dyDescent="0.2">
      <c r="A5128" t="s">
        <v>595</v>
      </c>
      <c r="B5128">
        <v>2017</v>
      </c>
      <c r="C5128" t="s">
        <v>816</v>
      </c>
      <c r="D5128" t="s">
        <v>817</v>
      </c>
      <c r="E5128" t="s">
        <v>121</v>
      </c>
      <c r="F5128" t="s">
        <v>597</v>
      </c>
      <c r="G5128">
        <v>41.643827999999999</v>
      </c>
      <c r="H5128">
        <v>-8.8268959999999996</v>
      </c>
      <c r="I5128" t="s">
        <v>768</v>
      </c>
      <c r="J5128" s="2" t="s">
        <v>14</v>
      </c>
      <c r="K5128" t="s">
        <v>596</v>
      </c>
      <c r="L5128" t="s">
        <v>143</v>
      </c>
      <c r="M5128" t="s">
        <v>26</v>
      </c>
      <c r="N5128" t="s">
        <v>85</v>
      </c>
      <c r="O5128" t="s">
        <v>839</v>
      </c>
      <c r="P5128" t="s">
        <v>125</v>
      </c>
      <c r="Q5128">
        <v>36</v>
      </c>
      <c r="R5128" t="s">
        <v>213</v>
      </c>
      <c r="S5128" s="2" t="s">
        <v>13</v>
      </c>
      <c r="T5128">
        <v>20</v>
      </c>
      <c r="U5128" t="s">
        <v>28</v>
      </c>
      <c r="V5128" t="s">
        <v>28</v>
      </c>
      <c r="W5128">
        <v>22</v>
      </c>
      <c r="X5128">
        <v>2.2330000000000001</v>
      </c>
      <c r="Y5128" s="6">
        <f t="shared" si="92"/>
        <v>0.25938388538997487</v>
      </c>
      <c r="Z5128">
        <f>2.291-X5128</f>
        <v>5.7999999999999829E-2</v>
      </c>
      <c r="AA5128" s="6"/>
      <c r="AB5128" s="6"/>
    </row>
    <row r="5129" spans="1:30" x14ac:dyDescent="0.2">
      <c r="A5129" t="s">
        <v>595</v>
      </c>
      <c r="B5129">
        <v>2017</v>
      </c>
      <c r="C5129" t="s">
        <v>816</v>
      </c>
      <c r="D5129" t="s">
        <v>817</v>
      </c>
      <c r="E5129" t="s">
        <v>121</v>
      </c>
      <c r="F5129" t="s">
        <v>597</v>
      </c>
      <c r="G5129">
        <v>41.643827999999999</v>
      </c>
      <c r="H5129">
        <v>-8.8268959999999996</v>
      </c>
      <c r="I5129" t="s">
        <v>768</v>
      </c>
      <c r="J5129" s="2" t="s">
        <v>14</v>
      </c>
      <c r="K5129" t="s">
        <v>596</v>
      </c>
      <c r="L5129" t="s">
        <v>143</v>
      </c>
      <c r="M5129" t="s">
        <v>26</v>
      </c>
      <c r="N5129" t="s">
        <v>85</v>
      </c>
      <c r="O5129" t="s">
        <v>839</v>
      </c>
      <c r="P5129" t="s">
        <v>125</v>
      </c>
      <c r="Q5129">
        <v>36</v>
      </c>
      <c r="R5129" t="s">
        <v>213</v>
      </c>
      <c r="S5129" s="2" t="s">
        <v>15</v>
      </c>
      <c r="T5129">
        <v>20</v>
      </c>
      <c r="U5129" t="s">
        <v>28</v>
      </c>
      <c r="V5129" t="s">
        <v>28</v>
      </c>
      <c r="W5129">
        <v>24</v>
      </c>
      <c r="X5129">
        <v>1.843</v>
      </c>
      <c r="Y5129" s="6">
        <f t="shared" si="92"/>
        <v>0.11180339887499009</v>
      </c>
      <c r="Z5129">
        <f>1.868-X5129</f>
        <v>2.5000000000000133E-2</v>
      </c>
      <c r="AA5129" s="6"/>
      <c r="AB5129" s="6"/>
    </row>
    <row r="5130" spans="1:30" x14ac:dyDescent="0.2">
      <c r="A5130" t="s">
        <v>595</v>
      </c>
      <c r="B5130">
        <v>2017</v>
      </c>
      <c r="C5130" t="s">
        <v>816</v>
      </c>
      <c r="D5130" t="s">
        <v>817</v>
      </c>
      <c r="E5130" t="s">
        <v>121</v>
      </c>
      <c r="F5130" t="s">
        <v>597</v>
      </c>
      <c r="G5130">
        <v>41.643827999999999</v>
      </c>
      <c r="H5130">
        <v>-8.8268959999999996</v>
      </c>
      <c r="I5130" t="s">
        <v>768</v>
      </c>
      <c r="J5130" s="2" t="s">
        <v>7</v>
      </c>
      <c r="K5130" t="s">
        <v>596</v>
      </c>
      <c r="L5130" t="s">
        <v>143</v>
      </c>
      <c r="M5130" t="s">
        <v>638</v>
      </c>
      <c r="N5130" t="s">
        <v>85</v>
      </c>
      <c r="O5130" s="6" t="s">
        <v>107</v>
      </c>
      <c r="P5130" t="s">
        <v>70</v>
      </c>
      <c r="Q5130">
        <v>36</v>
      </c>
      <c r="R5130" t="s">
        <v>213</v>
      </c>
      <c r="S5130" s="2" t="s">
        <v>7</v>
      </c>
      <c r="T5130">
        <v>6</v>
      </c>
      <c r="U5130" t="s">
        <v>28</v>
      </c>
      <c r="V5130" t="s">
        <v>28</v>
      </c>
      <c r="W5130">
        <v>15</v>
      </c>
      <c r="X5130">
        <v>1.7</v>
      </c>
      <c r="Y5130" s="6">
        <f t="shared" si="92"/>
        <v>0.17636326148038897</v>
      </c>
      <c r="Z5130">
        <f>1.772-X5130</f>
        <v>7.2000000000000064E-2</v>
      </c>
      <c r="AA5130" s="6"/>
      <c r="AB5130" s="6"/>
    </row>
    <row r="5131" spans="1:30" x14ac:dyDescent="0.2">
      <c r="A5131" t="s">
        <v>595</v>
      </c>
      <c r="B5131">
        <v>2017</v>
      </c>
      <c r="C5131" t="s">
        <v>816</v>
      </c>
      <c r="D5131" t="s">
        <v>817</v>
      </c>
      <c r="E5131" t="s">
        <v>121</v>
      </c>
      <c r="F5131" t="s">
        <v>597</v>
      </c>
      <c r="G5131">
        <v>41.643827999999999</v>
      </c>
      <c r="H5131">
        <v>-8.8268959999999996</v>
      </c>
      <c r="I5131" t="s">
        <v>768</v>
      </c>
      <c r="J5131" s="2" t="s">
        <v>14</v>
      </c>
      <c r="K5131" t="s">
        <v>596</v>
      </c>
      <c r="L5131" t="s">
        <v>143</v>
      </c>
      <c r="M5131" t="s">
        <v>638</v>
      </c>
      <c r="N5131" t="s">
        <v>85</v>
      </c>
      <c r="O5131" s="6" t="s">
        <v>107</v>
      </c>
      <c r="P5131" t="s">
        <v>70</v>
      </c>
      <c r="Q5131">
        <v>36</v>
      </c>
      <c r="R5131" t="s">
        <v>213</v>
      </c>
      <c r="S5131" s="2" t="s">
        <v>9</v>
      </c>
      <c r="T5131">
        <v>6</v>
      </c>
      <c r="U5131" t="s">
        <v>28</v>
      </c>
      <c r="V5131" t="s">
        <v>28</v>
      </c>
      <c r="W5131">
        <v>18</v>
      </c>
      <c r="X5131">
        <v>1.534</v>
      </c>
      <c r="Y5131" s="6">
        <f t="shared" si="92"/>
        <v>9.3080610225760849E-2</v>
      </c>
      <c r="Z5131">
        <f>1.572-X5131</f>
        <v>3.8000000000000034E-2</v>
      </c>
      <c r="AA5131" s="6"/>
      <c r="AB5131" s="6"/>
    </row>
    <row r="5132" spans="1:30" x14ac:dyDescent="0.2">
      <c r="A5132" t="s">
        <v>595</v>
      </c>
      <c r="B5132">
        <v>2017</v>
      </c>
      <c r="C5132" t="s">
        <v>816</v>
      </c>
      <c r="D5132" t="s">
        <v>817</v>
      </c>
      <c r="E5132" t="s">
        <v>121</v>
      </c>
      <c r="F5132" t="s">
        <v>597</v>
      </c>
      <c r="G5132">
        <v>41.643827999999999</v>
      </c>
      <c r="H5132">
        <v>-8.8268959999999996</v>
      </c>
      <c r="I5132" t="s">
        <v>768</v>
      </c>
      <c r="J5132" s="2" t="s">
        <v>14</v>
      </c>
      <c r="K5132" t="s">
        <v>596</v>
      </c>
      <c r="L5132" t="s">
        <v>143</v>
      </c>
      <c r="M5132" t="s">
        <v>638</v>
      </c>
      <c r="N5132" t="s">
        <v>85</v>
      </c>
      <c r="O5132" s="6" t="s">
        <v>107</v>
      </c>
      <c r="P5132" t="s">
        <v>70</v>
      </c>
      <c r="Q5132">
        <v>36</v>
      </c>
      <c r="R5132" t="s">
        <v>213</v>
      </c>
      <c r="S5132" s="2" t="s">
        <v>27</v>
      </c>
      <c r="T5132">
        <v>6</v>
      </c>
      <c r="U5132" t="s">
        <v>28</v>
      </c>
      <c r="V5132" t="s">
        <v>28</v>
      </c>
      <c r="W5132">
        <v>20</v>
      </c>
      <c r="X5132">
        <v>1.6140000000000001</v>
      </c>
      <c r="Y5132" s="6">
        <f t="shared" si="92"/>
        <v>9.5530099968543752E-2</v>
      </c>
      <c r="Z5132">
        <f>1.653-X5132</f>
        <v>3.8999999999999924E-2</v>
      </c>
      <c r="AA5132" s="6"/>
      <c r="AB5132" s="6"/>
    </row>
    <row r="5133" spans="1:30" x14ac:dyDescent="0.2">
      <c r="A5133" t="s">
        <v>595</v>
      </c>
      <c r="B5133">
        <v>2017</v>
      </c>
      <c r="C5133" t="s">
        <v>816</v>
      </c>
      <c r="D5133" t="s">
        <v>817</v>
      </c>
      <c r="E5133" t="s">
        <v>121</v>
      </c>
      <c r="F5133" t="s">
        <v>597</v>
      </c>
      <c r="G5133">
        <v>41.643827999999999</v>
      </c>
      <c r="H5133">
        <v>-8.8268959999999996</v>
      </c>
      <c r="I5133" t="s">
        <v>768</v>
      </c>
      <c r="J5133" s="2" t="s">
        <v>14</v>
      </c>
      <c r="K5133" t="s">
        <v>596</v>
      </c>
      <c r="L5133" t="s">
        <v>143</v>
      </c>
      <c r="M5133" t="s">
        <v>638</v>
      </c>
      <c r="N5133" t="s">
        <v>85</v>
      </c>
      <c r="O5133" s="6" t="s">
        <v>107</v>
      </c>
      <c r="P5133" t="s">
        <v>70</v>
      </c>
      <c r="Q5133">
        <v>36</v>
      </c>
      <c r="R5133" t="s">
        <v>213</v>
      </c>
      <c r="S5133" s="2" t="s">
        <v>13</v>
      </c>
      <c r="T5133">
        <v>6</v>
      </c>
      <c r="U5133" t="s">
        <v>28</v>
      </c>
      <c r="V5133" t="s">
        <v>28</v>
      </c>
      <c r="W5133">
        <v>22</v>
      </c>
      <c r="X5133">
        <v>1.665</v>
      </c>
      <c r="Y5133" s="6">
        <f t="shared" si="92"/>
        <v>6.8585712797929035E-2</v>
      </c>
      <c r="Z5133">
        <f>1.693-X5133</f>
        <v>2.8000000000000025E-2</v>
      </c>
      <c r="AA5133" s="6"/>
      <c r="AB5133" s="6"/>
    </row>
    <row r="5134" spans="1:30" x14ac:dyDescent="0.2">
      <c r="A5134" t="s">
        <v>595</v>
      </c>
      <c r="B5134">
        <v>2017</v>
      </c>
      <c r="C5134" t="s">
        <v>816</v>
      </c>
      <c r="D5134" t="s">
        <v>817</v>
      </c>
      <c r="E5134" t="s">
        <v>121</v>
      </c>
      <c r="F5134" t="s">
        <v>597</v>
      </c>
      <c r="G5134">
        <v>41.643827999999999</v>
      </c>
      <c r="H5134">
        <v>-8.8268959999999996</v>
      </c>
      <c r="I5134" t="s">
        <v>768</v>
      </c>
      <c r="J5134" s="2" t="s">
        <v>14</v>
      </c>
      <c r="K5134" t="s">
        <v>596</v>
      </c>
      <c r="L5134" t="s">
        <v>143</v>
      </c>
      <c r="M5134" t="s">
        <v>638</v>
      </c>
      <c r="N5134" t="s">
        <v>85</v>
      </c>
      <c r="O5134" s="6" t="s">
        <v>107</v>
      </c>
      <c r="P5134" t="s">
        <v>70</v>
      </c>
      <c r="Q5134">
        <v>36</v>
      </c>
      <c r="R5134" t="s">
        <v>213</v>
      </c>
      <c r="S5134" s="2" t="s">
        <v>15</v>
      </c>
      <c r="T5134">
        <v>6</v>
      </c>
      <c r="U5134" t="s">
        <v>28</v>
      </c>
      <c r="V5134" t="s">
        <v>28</v>
      </c>
      <c r="W5134">
        <v>24</v>
      </c>
      <c r="X5134">
        <v>1.647</v>
      </c>
      <c r="Y5134" s="6">
        <f t="shared" si="92"/>
        <v>0.16166632302368988</v>
      </c>
      <c r="Z5134">
        <f>1.713-X5134</f>
        <v>6.6000000000000059E-2</v>
      </c>
      <c r="AA5134" s="6"/>
      <c r="AB5134" s="6"/>
    </row>
    <row r="5135" spans="1:30" x14ac:dyDescent="0.2">
      <c r="A5135" t="s">
        <v>598</v>
      </c>
      <c r="B5135">
        <v>1987</v>
      </c>
      <c r="C5135" t="s">
        <v>826</v>
      </c>
      <c r="D5135" t="s">
        <v>812</v>
      </c>
      <c r="E5135" t="s">
        <v>290</v>
      </c>
      <c r="F5135" t="s">
        <v>599</v>
      </c>
      <c r="G5135">
        <v>-34.133333</v>
      </c>
      <c r="H5135">
        <v>18.333333</v>
      </c>
      <c r="I5135" t="s">
        <v>763</v>
      </c>
      <c r="J5135" s="2" t="s">
        <v>7</v>
      </c>
      <c r="K5135" t="s">
        <v>41</v>
      </c>
      <c r="L5135" t="s">
        <v>3</v>
      </c>
      <c r="M5135" t="s">
        <v>26</v>
      </c>
      <c r="N5135" t="s">
        <v>85</v>
      </c>
      <c r="O5135" s="6" t="s">
        <v>356</v>
      </c>
      <c r="P5135" t="s">
        <v>65</v>
      </c>
      <c r="Q5135">
        <v>7</v>
      </c>
      <c r="R5135" t="s">
        <v>213</v>
      </c>
      <c r="S5135" s="2" t="s">
        <v>7</v>
      </c>
      <c r="T5135">
        <v>30</v>
      </c>
      <c r="U5135" t="s">
        <v>28</v>
      </c>
      <c r="V5135" t="s">
        <v>28</v>
      </c>
      <c r="W5135">
        <v>15</v>
      </c>
      <c r="X5135">
        <v>36.380000000000003</v>
      </c>
      <c r="Y5135">
        <f t="shared" ref="Y5135:Y5145" si="93">SQRT(T5135) * (AB5135-AA5135)/3.92</f>
        <v>8.9563816163472385</v>
      </c>
      <c r="AA5135">
        <v>33.26</v>
      </c>
      <c r="AB5135">
        <v>39.67</v>
      </c>
      <c r="AD5135" s="4"/>
    </row>
    <row r="5136" spans="1:30" x14ac:dyDescent="0.2">
      <c r="A5136" t="s">
        <v>598</v>
      </c>
      <c r="B5136">
        <v>1987</v>
      </c>
      <c r="C5136" t="s">
        <v>826</v>
      </c>
      <c r="D5136" t="s">
        <v>812</v>
      </c>
      <c r="E5136" t="s">
        <v>290</v>
      </c>
      <c r="F5136" t="s">
        <v>599</v>
      </c>
      <c r="G5136">
        <v>-34.133333</v>
      </c>
      <c r="H5136">
        <v>18.333333</v>
      </c>
      <c r="I5136" t="s">
        <v>763</v>
      </c>
      <c r="J5136" s="2" t="s">
        <v>14</v>
      </c>
      <c r="K5136" t="s">
        <v>41</v>
      </c>
      <c r="L5136" t="s">
        <v>3</v>
      </c>
      <c r="M5136" t="s">
        <v>26</v>
      </c>
      <c r="N5136" t="s">
        <v>85</v>
      </c>
      <c r="O5136" s="6" t="s">
        <v>356</v>
      </c>
      <c r="P5136" t="s">
        <v>65</v>
      </c>
      <c r="Q5136">
        <v>7</v>
      </c>
      <c r="R5136" t="s">
        <v>213</v>
      </c>
      <c r="S5136" s="2" t="s">
        <v>9</v>
      </c>
      <c r="T5136">
        <v>30</v>
      </c>
      <c r="U5136" t="s">
        <v>28</v>
      </c>
      <c r="V5136" t="s">
        <v>28</v>
      </c>
      <c r="W5136">
        <v>17</v>
      </c>
      <c r="X5136">
        <v>48.29</v>
      </c>
      <c r="Y5136">
        <f t="shared" si="93"/>
        <v>10.395550581220508</v>
      </c>
      <c r="AA5136">
        <v>44.48</v>
      </c>
      <c r="AB5136">
        <v>51.92</v>
      </c>
      <c r="AD5136" s="4"/>
    </row>
    <row r="5137" spans="1:30" x14ac:dyDescent="0.2">
      <c r="A5137" t="s">
        <v>598</v>
      </c>
      <c r="B5137">
        <v>1987</v>
      </c>
      <c r="C5137" t="s">
        <v>826</v>
      </c>
      <c r="D5137" t="s">
        <v>812</v>
      </c>
      <c r="E5137" t="s">
        <v>290</v>
      </c>
      <c r="F5137" t="s">
        <v>599</v>
      </c>
      <c r="G5137">
        <v>-34.133333</v>
      </c>
      <c r="H5137">
        <v>18.333333</v>
      </c>
      <c r="I5137" t="s">
        <v>763</v>
      </c>
      <c r="J5137" s="2" t="s">
        <v>14</v>
      </c>
      <c r="K5137" t="s">
        <v>41</v>
      </c>
      <c r="L5137" t="s">
        <v>3</v>
      </c>
      <c r="M5137" t="s">
        <v>26</v>
      </c>
      <c r="N5137" t="s">
        <v>85</v>
      </c>
      <c r="O5137" s="6" t="s">
        <v>356</v>
      </c>
      <c r="P5137" t="s">
        <v>65</v>
      </c>
      <c r="Q5137">
        <v>7</v>
      </c>
      <c r="R5137" t="s">
        <v>213</v>
      </c>
      <c r="S5137" s="2" t="s">
        <v>27</v>
      </c>
      <c r="T5137">
        <v>30</v>
      </c>
      <c r="U5137" t="s">
        <v>28</v>
      </c>
      <c r="V5137" t="s">
        <v>28</v>
      </c>
      <c r="W5137">
        <v>20</v>
      </c>
      <c r="X5137">
        <v>50.32</v>
      </c>
      <c r="Y5137">
        <f t="shared" si="93"/>
        <v>16.082363869603217</v>
      </c>
      <c r="AA5137">
        <v>44.61</v>
      </c>
      <c r="AB5137">
        <v>56.12</v>
      </c>
      <c r="AD5137" s="4"/>
    </row>
    <row r="5138" spans="1:30" x14ac:dyDescent="0.2">
      <c r="A5138" t="s">
        <v>598</v>
      </c>
      <c r="B5138">
        <v>1987</v>
      </c>
      <c r="C5138" t="s">
        <v>826</v>
      </c>
      <c r="D5138" t="s">
        <v>812</v>
      </c>
      <c r="E5138" t="s">
        <v>290</v>
      </c>
      <c r="F5138" t="s">
        <v>599</v>
      </c>
      <c r="G5138">
        <v>-34.133333</v>
      </c>
      <c r="H5138">
        <v>18.333333</v>
      </c>
      <c r="I5138" t="s">
        <v>763</v>
      </c>
      <c r="J5138" s="2" t="s">
        <v>14</v>
      </c>
      <c r="K5138" t="s">
        <v>41</v>
      </c>
      <c r="L5138" t="s">
        <v>3</v>
      </c>
      <c r="M5138" t="s">
        <v>26</v>
      </c>
      <c r="N5138" t="s">
        <v>85</v>
      </c>
      <c r="O5138" s="6" t="s">
        <v>356</v>
      </c>
      <c r="P5138" t="s">
        <v>65</v>
      </c>
      <c r="Q5138">
        <v>7</v>
      </c>
      <c r="R5138" t="s">
        <v>213</v>
      </c>
      <c r="S5138" s="2" t="s">
        <v>13</v>
      </c>
      <c r="T5138">
        <v>30</v>
      </c>
      <c r="U5138" t="s">
        <v>28</v>
      </c>
      <c r="V5138" t="s">
        <v>28</v>
      </c>
      <c r="W5138">
        <v>22</v>
      </c>
      <c r="X5138">
        <v>24.13</v>
      </c>
      <c r="Y5138">
        <f t="shared" si="93"/>
        <v>6.050098658156557</v>
      </c>
      <c r="AA5138">
        <v>21.88</v>
      </c>
      <c r="AB5138">
        <v>26.21</v>
      </c>
      <c r="AD5138" s="4"/>
    </row>
    <row r="5139" spans="1:30" x14ac:dyDescent="0.2">
      <c r="A5139" t="s">
        <v>598</v>
      </c>
      <c r="B5139">
        <v>1987</v>
      </c>
      <c r="C5139" t="s">
        <v>826</v>
      </c>
      <c r="D5139" t="s">
        <v>812</v>
      </c>
      <c r="E5139" t="s">
        <v>290</v>
      </c>
      <c r="F5139" t="s">
        <v>599</v>
      </c>
      <c r="G5139">
        <v>-34.133333</v>
      </c>
      <c r="H5139">
        <v>18.333333</v>
      </c>
      <c r="I5139" t="s">
        <v>763</v>
      </c>
      <c r="J5139" s="2" t="s">
        <v>14</v>
      </c>
      <c r="K5139" t="s">
        <v>41</v>
      </c>
      <c r="L5139" t="s">
        <v>3</v>
      </c>
      <c r="M5139" t="s">
        <v>26</v>
      </c>
      <c r="N5139" t="s">
        <v>85</v>
      </c>
      <c r="O5139" s="6" t="s">
        <v>356</v>
      </c>
      <c r="P5139" t="s">
        <v>65</v>
      </c>
      <c r="Q5139">
        <v>7</v>
      </c>
      <c r="R5139" t="s">
        <v>213</v>
      </c>
      <c r="S5139" s="2" t="s">
        <v>15</v>
      </c>
      <c r="T5139">
        <v>30</v>
      </c>
      <c r="U5139" t="s">
        <v>28</v>
      </c>
      <c r="V5139" t="s">
        <v>28</v>
      </c>
      <c r="W5139">
        <v>25</v>
      </c>
      <c r="X5139">
        <v>19.84</v>
      </c>
      <c r="Y5139">
        <f t="shared" si="93"/>
        <v>3.2555958137424392</v>
      </c>
      <c r="AA5139">
        <v>18.55</v>
      </c>
      <c r="AB5139">
        <v>20.88</v>
      </c>
      <c r="AD5139" s="4"/>
    </row>
    <row r="5140" spans="1:30" x14ac:dyDescent="0.2">
      <c r="A5140" t="s">
        <v>598</v>
      </c>
      <c r="B5140">
        <v>1987</v>
      </c>
      <c r="C5140" t="s">
        <v>826</v>
      </c>
      <c r="D5140" t="s">
        <v>812</v>
      </c>
      <c r="E5140" t="s">
        <v>600</v>
      </c>
      <c r="F5140" t="s">
        <v>601</v>
      </c>
      <c r="G5140">
        <v>-32.916666999999997</v>
      </c>
      <c r="H5140">
        <v>28.1</v>
      </c>
      <c r="I5140" t="s">
        <v>763</v>
      </c>
      <c r="J5140" s="2" t="s">
        <v>7</v>
      </c>
      <c r="K5140" t="s">
        <v>41</v>
      </c>
      <c r="L5140" t="s">
        <v>3</v>
      </c>
      <c r="M5140" t="s">
        <v>26</v>
      </c>
      <c r="N5140" t="s">
        <v>85</v>
      </c>
      <c r="O5140" s="6" t="s">
        <v>356</v>
      </c>
      <c r="P5140" t="s">
        <v>65</v>
      </c>
      <c r="Q5140">
        <v>7</v>
      </c>
      <c r="R5140" t="s">
        <v>213</v>
      </c>
      <c r="S5140" s="2" t="s">
        <v>7</v>
      </c>
      <c r="T5140">
        <v>30</v>
      </c>
      <c r="U5140" t="s">
        <v>28</v>
      </c>
      <c r="V5140" t="s">
        <v>28</v>
      </c>
      <c r="W5140">
        <v>22</v>
      </c>
      <c r="X5140">
        <v>83.97</v>
      </c>
      <c r="Y5140">
        <f t="shared" si="93"/>
        <v>18.150295974469657</v>
      </c>
      <c r="AA5140">
        <v>77.56</v>
      </c>
      <c r="AB5140">
        <v>90.55</v>
      </c>
      <c r="AD5140" s="4"/>
    </row>
    <row r="5141" spans="1:30" x14ac:dyDescent="0.2">
      <c r="A5141" t="s">
        <v>598</v>
      </c>
      <c r="B5141">
        <v>1987</v>
      </c>
      <c r="C5141" t="s">
        <v>826</v>
      </c>
      <c r="D5141" t="s">
        <v>812</v>
      </c>
      <c r="E5141" t="s">
        <v>600</v>
      </c>
      <c r="F5141" t="s">
        <v>601</v>
      </c>
      <c r="G5141">
        <v>-32.916666999999997</v>
      </c>
      <c r="H5141">
        <v>28.1</v>
      </c>
      <c r="I5141" t="s">
        <v>763</v>
      </c>
      <c r="J5141" s="2" t="s">
        <v>14</v>
      </c>
      <c r="K5141" t="s">
        <v>41</v>
      </c>
      <c r="L5141" t="s">
        <v>3</v>
      </c>
      <c r="M5141" t="s">
        <v>26</v>
      </c>
      <c r="N5141" t="s">
        <v>85</v>
      </c>
      <c r="O5141" s="6" t="s">
        <v>356</v>
      </c>
      <c r="P5141" t="s">
        <v>65</v>
      </c>
      <c r="Q5141">
        <v>7</v>
      </c>
      <c r="R5141" t="s">
        <v>213</v>
      </c>
      <c r="S5141" s="2" t="s">
        <v>9</v>
      </c>
      <c r="T5141">
        <v>30</v>
      </c>
      <c r="U5141" t="s">
        <v>28</v>
      </c>
      <c r="V5141" t="s">
        <v>28</v>
      </c>
      <c r="W5141">
        <v>26</v>
      </c>
      <c r="X5141">
        <v>32.729999999999997</v>
      </c>
      <c r="Y5141">
        <f t="shared" si="93"/>
        <v>7.9922781350243621</v>
      </c>
      <c r="AA5141">
        <v>29.78</v>
      </c>
      <c r="AB5141">
        <v>35.5</v>
      </c>
      <c r="AD5141" s="4"/>
    </row>
    <row r="5142" spans="1:30" x14ac:dyDescent="0.2">
      <c r="A5142" t="s">
        <v>598</v>
      </c>
      <c r="B5142">
        <v>1987</v>
      </c>
      <c r="C5142" t="s">
        <v>826</v>
      </c>
      <c r="D5142" t="s">
        <v>812</v>
      </c>
      <c r="E5142" t="s">
        <v>290</v>
      </c>
      <c r="F5142" t="s">
        <v>599</v>
      </c>
      <c r="G5142">
        <v>-34.133333</v>
      </c>
      <c r="H5142">
        <v>18.333333</v>
      </c>
      <c r="I5142" t="s">
        <v>763</v>
      </c>
      <c r="J5142" s="2" t="s">
        <v>7</v>
      </c>
      <c r="K5142" t="s">
        <v>41</v>
      </c>
      <c r="L5142" t="s">
        <v>3</v>
      </c>
      <c r="M5142" t="s">
        <v>727</v>
      </c>
      <c r="N5142" t="s">
        <v>85</v>
      </c>
      <c r="O5142" s="6" t="s">
        <v>394</v>
      </c>
      <c r="P5142" t="s">
        <v>69</v>
      </c>
      <c r="Q5142">
        <v>20</v>
      </c>
      <c r="R5142" t="s">
        <v>213</v>
      </c>
      <c r="S5142" s="2" t="s">
        <v>7</v>
      </c>
      <c r="T5142">
        <v>30</v>
      </c>
      <c r="U5142" t="s">
        <v>28</v>
      </c>
      <c r="V5142" t="s">
        <v>28</v>
      </c>
      <c r="W5142">
        <v>15</v>
      </c>
      <c r="X5142">
        <v>2.988</v>
      </c>
      <c r="Y5142">
        <f t="shared" si="93"/>
        <v>1.4796892561172725</v>
      </c>
      <c r="AA5142">
        <v>2.4630000000000001</v>
      </c>
      <c r="AB5142">
        <v>3.5219999999999998</v>
      </c>
      <c r="AD5142" s="4"/>
    </row>
    <row r="5143" spans="1:30" x14ac:dyDescent="0.2">
      <c r="A5143" t="s">
        <v>598</v>
      </c>
      <c r="B5143">
        <v>1987</v>
      </c>
      <c r="C5143" t="s">
        <v>826</v>
      </c>
      <c r="D5143" t="s">
        <v>812</v>
      </c>
      <c r="E5143" t="s">
        <v>290</v>
      </c>
      <c r="F5143" t="s">
        <v>599</v>
      </c>
      <c r="G5143">
        <v>-34.133333</v>
      </c>
      <c r="H5143">
        <v>18.333333</v>
      </c>
      <c r="I5143" t="s">
        <v>763</v>
      </c>
      <c r="J5143" s="2" t="s">
        <v>14</v>
      </c>
      <c r="K5143" t="s">
        <v>41</v>
      </c>
      <c r="L5143" t="s">
        <v>3</v>
      </c>
      <c r="M5143" t="s">
        <v>727</v>
      </c>
      <c r="N5143" t="s">
        <v>85</v>
      </c>
      <c r="O5143" s="6" t="s">
        <v>394</v>
      </c>
      <c r="P5143" t="s">
        <v>69</v>
      </c>
      <c r="Q5143">
        <v>20</v>
      </c>
      <c r="R5143" t="s">
        <v>213</v>
      </c>
      <c r="S5143" s="2" t="s">
        <v>9</v>
      </c>
      <c r="T5143">
        <v>30</v>
      </c>
      <c r="U5143" t="s">
        <v>28</v>
      </c>
      <c r="V5143" t="s">
        <v>28</v>
      </c>
      <c r="W5143">
        <v>18</v>
      </c>
      <c r="X5143">
        <v>2.774</v>
      </c>
      <c r="Y5143">
        <f t="shared" si="93"/>
        <v>0.95711722421183376</v>
      </c>
      <c r="AA5143">
        <v>2.427</v>
      </c>
      <c r="AB5143">
        <v>3.1120000000000001</v>
      </c>
      <c r="AD5143" s="4"/>
    </row>
    <row r="5144" spans="1:30" x14ac:dyDescent="0.2">
      <c r="A5144" t="s">
        <v>598</v>
      </c>
      <c r="B5144">
        <v>1987</v>
      </c>
      <c r="C5144" t="s">
        <v>826</v>
      </c>
      <c r="D5144" t="s">
        <v>812</v>
      </c>
      <c r="E5144" t="s">
        <v>290</v>
      </c>
      <c r="F5144" t="s">
        <v>599</v>
      </c>
      <c r="G5144">
        <v>-34.133333</v>
      </c>
      <c r="H5144">
        <v>18.333333</v>
      </c>
      <c r="I5144" t="s">
        <v>763</v>
      </c>
      <c r="J5144" s="2" t="s">
        <v>14</v>
      </c>
      <c r="K5144" t="s">
        <v>41</v>
      </c>
      <c r="L5144" t="s">
        <v>3</v>
      </c>
      <c r="M5144" t="s">
        <v>727</v>
      </c>
      <c r="N5144" t="s">
        <v>85</v>
      </c>
      <c r="O5144" s="6" t="s">
        <v>394</v>
      </c>
      <c r="P5144" t="s">
        <v>69</v>
      </c>
      <c r="Q5144">
        <v>20</v>
      </c>
      <c r="R5144" t="s">
        <v>213</v>
      </c>
      <c r="S5144" s="2" t="s">
        <v>27</v>
      </c>
      <c r="T5144">
        <v>30</v>
      </c>
      <c r="U5144" t="s">
        <v>28</v>
      </c>
      <c r="V5144" t="s">
        <v>28</v>
      </c>
      <c r="W5144">
        <v>20</v>
      </c>
      <c r="X5144">
        <v>8.4960000000000004</v>
      </c>
      <c r="Y5144">
        <f t="shared" si="93"/>
        <v>5.6448957457165072</v>
      </c>
      <c r="AA5144">
        <v>6.5030000000000001</v>
      </c>
      <c r="AB5144">
        <v>10.542999999999999</v>
      </c>
      <c r="AD5144" s="4"/>
    </row>
    <row r="5145" spans="1:30" x14ac:dyDescent="0.2">
      <c r="A5145" t="s">
        <v>598</v>
      </c>
      <c r="B5145">
        <v>1987</v>
      </c>
      <c r="C5145" t="s">
        <v>826</v>
      </c>
      <c r="D5145" t="s">
        <v>812</v>
      </c>
      <c r="E5145" t="s">
        <v>290</v>
      </c>
      <c r="F5145" t="s">
        <v>599</v>
      </c>
      <c r="G5145">
        <v>-34.133333</v>
      </c>
      <c r="H5145">
        <v>18.333333</v>
      </c>
      <c r="I5145" t="s">
        <v>763</v>
      </c>
      <c r="J5145" s="2" t="s">
        <v>14</v>
      </c>
      <c r="K5145" t="s">
        <v>41</v>
      </c>
      <c r="L5145" t="s">
        <v>3</v>
      </c>
      <c r="M5145" t="s">
        <v>727</v>
      </c>
      <c r="N5145" t="s">
        <v>85</v>
      </c>
      <c r="O5145" s="6" t="s">
        <v>394</v>
      </c>
      <c r="P5145" t="s">
        <v>69</v>
      </c>
      <c r="Q5145">
        <v>20</v>
      </c>
      <c r="R5145" t="s">
        <v>213</v>
      </c>
      <c r="S5145" s="2" t="s">
        <v>13</v>
      </c>
      <c r="T5145">
        <v>30</v>
      </c>
      <c r="U5145" t="s">
        <v>28</v>
      </c>
      <c r="V5145" t="s">
        <v>28</v>
      </c>
      <c r="W5145">
        <v>22</v>
      </c>
      <c r="X5145">
        <v>1.101</v>
      </c>
      <c r="Y5145">
        <f t="shared" si="93"/>
        <v>1.8164268488691733</v>
      </c>
      <c r="AA5145">
        <v>0.45100000000000001</v>
      </c>
      <c r="AB5145">
        <v>1.7509999999999999</v>
      </c>
      <c r="AD5145" s="4"/>
    </row>
    <row r="5146" spans="1:30" x14ac:dyDescent="0.2">
      <c r="A5146" t="s">
        <v>602</v>
      </c>
      <c r="B5146">
        <v>2021</v>
      </c>
      <c r="C5146" t="s">
        <v>826</v>
      </c>
      <c r="D5146" t="s">
        <v>824</v>
      </c>
      <c r="E5146" t="s">
        <v>48</v>
      </c>
      <c r="F5146" t="s">
        <v>603</v>
      </c>
      <c r="G5146">
        <v>40.78</v>
      </c>
      <c r="H5146">
        <v>-72.78</v>
      </c>
      <c r="J5146" s="2" t="s">
        <v>7</v>
      </c>
      <c r="K5146" t="s">
        <v>144</v>
      </c>
      <c r="L5146" t="s">
        <v>144</v>
      </c>
      <c r="M5146" t="s">
        <v>26</v>
      </c>
      <c r="N5146" t="s">
        <v>85</v>
      </c>
      <c r="O5146" t="s">
        <v>839</v>
      </c>
      <c r="P5146" t="s">
        <v>586</v>
      </c>
      <c r="Q5146">
        <v>7</v>
      </c>
      <c r="R5146" t="s">
        <v>213</v>
      </c>
      <c r="S5146" s="2" t="s">
        <v>7</v>
      </c>
      <c r="T5146">
        <v>4</v>
      </c>
      <c r="U5146">
        <v>7.98</v>
      </c>
      <c r="V5146">
        <v>377</v>
      </c>
      <c r="W5146" t="s">
        <v>28</v>
      </c>
      <c r="X5146">
        <v>32.19</v>
      </c>
      <c r="Y5146">
        <f>34.26-X5146</f>
        <v>2.0700000000000003</v>
      </c>
      <c r="AA5146" s="6"/>
      <c r="AB5146" s="6"/>
      <c r="AD5146" s="4"/>
    </row>
    <row r="5147" spans="1:30" x14ac:dyDescent="0.2">
      <c r="A5147" t="s">
        <v>602</v>
      </c>
      <c r="B5147">
        <v>2021</v>
      </c>
      <c r="C5147" t="s">
        <v>826</v>
      </c>
      <c r="D5147" t="s">
        <v>824</v>
      </c>
      <c r="E5147" t="s">
        <v>48</v>
      </c>
      <c r="F5147" t="s">
        <v>603</v>
      </c>
      <c r="G5147">
        <v>40.78</v>
      </c>
      <c r="H5147">
        <v>-72.78</v>
      </c>
      <c r="J5147" s="2" t="s">
        <v>5</v>
      </c>
      <c r="K5147" t="s">
        <v>144</v>
      </c>
      <c r="L5147" t="s">
        <v>144</v>
      </c>
      <c r="M5147" t="s">
        <v>26</v>
      </c>
      <c r="N5147" t="s">
        <v>85</v>
      </c>
      <c r="O5147" t="s">
        <v>839</v>
      </c>
      <c r="P5147" t="s">
        <v>586</v>
      </c>
      <c r="Q5147">
        <v>7</v>
      </c>
      <c r="R5147" t="s">
        <v>213</v>
      </c>
      <c r="S5147" s="2" t="s">
        <v>13</v>
      </c>
      <c r="T5147">
        <v>4</v>
      </c>
      <c r="U5147">
        <v>7.31</v>
      </c>
      <c r="V5147">
        <v>2053</v>
      </c>
      <c r="W5147" t="s">
        <v>28</v>
      </c>
      <c r="X5147">
        <v>49.03</v>
      </c>
      <c r="Y5147">
        <f>64.96-X5147</f>
        <v>15.929999999999993</v>
      </c>
      <c r="AA5147" s="6"/>
      <c r="AB5147" s="6"/>
      <c r="AD5147" s="4"/>
    </row>
    <row r="5148" spans="1:30" x14ac:dyDescent="0.2">
      <c r="A5148" t="s">
        <v>602</v>
      </c>
      <c r="B5148">
        <v>2021</v>
      </c>
      <c r="C5148" t="s">
        <v>826</v>
      </c>
      <c r="D5148" t="s">
        <v>824</v>
      </c>
      <c r="E5148" t="s">
        <v>48</v>
      </c>
      <c r="F5148" t="s">
        <v>603</v>
      </c>
      <c r="G5148">
        <v>40.78</v>
      </c>
      <c r="H5148">
        <v>-72.78</v>
      </c>
      <c r="J5148" s="2" t="s">
        <v>7</v>
      </c>
      <c r="K5148" t="s">
        <v>144</v>
      </c>
      <c r="L5148" t="s">
        <v>144</v>
      </c>
      <c r="M5148" t="s">
        <v>26</v>
      </c>
      <c r="N5148" t="s">
        <v>85</v>
      </c>
      <c r="O5148" t="s">
        <v>839</v>
      </c>
      <c r="P5148" t="s">
        <v>586</v>
      </c>
      <c r="Q5148">
        <v>14</v>
      </c>
      <c r="R5148" t="s">
        <v>213</v>
      </c>
      <c r="S5148" s="2" t="s">
        <v>7</v>
      </c>
      <c r="T5148">
        <v>4</v>
      </c>
      <c r="U5148">
        <v>7.89</v>
      </c>
      <c r="V5148">
        <v>479</v>
      </c>
      <c r="W5148" t="s">
        <v>28</v>
      </c>
      <c r="X5148">
        <v>6.45</v>
      </c>
      <c r="Y5148">
        <f>8.79-X5148</f>
        <v>2.339999999999999</v>
      </c>
      <c r="AA5148" s="6"/>
      <c r="AB5148" s="6"/>
      <c r="AD5148" s="4"/>
    </row>
    <row r="5149" spans="1:30" x14ac:dyDescent="0.2">
      <c r="A5149" t="s">
        <v>602</v>
      </c>
      <c r="B5149">
        <v>2021</v>
      </c>
      <c r="C5149" t="s">
        <v>826</v>
      </c>
      <c r="D5149" t="s">
        <v>824</v>
      </c>
      <c r="E5149" t="s">
        <v>48</v>
      </c>
      <c r="F5149" t="s">
        <v>603</v>
      </c>
      <c r="G5149">
        <v>40.78</v>
      </c>
      <c r="H5149">
        <v>-72.78</v>
      </c>
      <c r="J5149" s="2" t="s">
        <v>5</v>
      </c>
      <c r="K5149" t="s">
        <v>144</v>
      </c>
      <c r="L5149" t="s">
        <v>144</v>
      </c>
      <c r="M5149" t="s">
        <v>26</v>
      </c>
      <c r="N5149" t="s">
        <v>85</v>
      </c>
      <c r="O5149" t="s">
        <v>839</v>
      </c>
      <c r="P5149" t="s">
        <v>586</v>
      </c>
      <c r="Q5149">
        <v>14</v>
      </c>
      <c r="R5149" t="s">
        <v>213</v>
      </c>
      <c r="S5149" s="2" t="s">
        <v>9</v>
      </c>
      <c r="T5149">
        <v>4</v>
      </c>
      <c r="U5149">
        <v>7.69</v>
      </c>
      <c r="V5149">
        <v>802</v>
      </c>
      <c r="W5149" t="s">
        <v>28</v>
      </c>
      <c r="X5149">
        <v>9.2799999999999994</v>
      </c>
      <c r="Y5149">
        <f>10.55-X5149</f>
        <v>1.2700000000000014</v>
      </c>
      <c r="AA5149" s="6"/>
      <c r="AB5149" s="6"/>
      <c r="AD5149" s="4"/>
    </row>
    <row r="5150" spans="1:30" x14ac:dyDescent="0.2">
      <c r="A5150" t="s">
        <v>602</v>
      </c>
      <c r="B5150">
        <v>2021</v>
      </c>
      <c r="C5150" t="s">
        <v>826</v>
      </c>
      <c r="D5150" t="s">
        <v>824</v>
      </c>
      <c r="E5150" t="s">
        <v>48</v>
      </c>
      <c r="F5150" t="s">
        <v>603</v>
      </c>
      <c r="G5150">
        <v>40.78</v>
      </c>
      <c r="H5150">
        <v>-72.78</v>
      </c>
      <c r="J5150" s="2" t="s">
        <v>5</v>
      </c>
      <c r="K5150" t="s">
        <v>144</v>
      </c>
      <c r="L5150" t="s">
        <v>144</v>
      </c>
      <c r="M5150" t="s">
        <v>26</v>
      </c>
      <c r="N5150" t="s">
        <v>85</v>
      </c>
      <c r="O5150" t="s">
        <v>839</v>
      </c>
      <c r="P5150" t="s">
        <v>586</v>
      </c>
      <c r="Q5150">
        <v>14</v>
      </c>
      <c r="R5150" t="s">
        <v>213</v>
      </c>
      <c r="S5150" s="2" t="s">
        <v>27</v>
      </c>
      <c r="T5150">
        <v>4</v>
      </c>
      <c r="U5150">
        <v>7.5</v>
      </c>
      <c r="V5150">
        <v>1232</v>
      </c>
      <c r="W5150" t="s">
        <v>28</v>
      </c>
      <c r="X5150">
        <v>14.99</v>
      </c>
      <c r="Y5150">
        <f>18.49-X5150</f>
        <v>3.4999999999999982</v>
      </c>
      <c r="AA5150" s="6"/>
      <c r="AB5150" s="6"/>
      <c r="AD5150" s="4"/>
    </row>
    <row r="5151" spans="1:30" x14ac:dyDescent="0.2">
      <c r="A5151" t="s">
        <v>602</v>
      </c>
      <c r="B5151">
        <v>2021</v>
      </c>
      <c r="C5151" t="s">
        <v>826</v>
      </c>
      <c r="D5151" t="s">
        <v>824</v>
      </c>
      <c r="E5151" t="s">
        <v>48</v>
      </c>
      <c r="F5151" t="s">
        <v>603</v>
      </c>
      <c r="G5151">
        <v>40.78</v>
      </c>
      <c r="H5151">
        <v>-72.78</v>
      </c>
      <c r="J5151" s="2" t="s">
        <v>5</v>
      </c>
      <c r="K5151" t="s">
        <v>144</v>
      </c>
      <c r="L5151" t="s">
        <v>144</v>
      </c>
      <c r="M5151" t="s">
        <v>26</v>
      </c>
      <c r="N5151" t="s">
        <v>85</v>
      </c>
      <c r="O5151" t="s">
        <v>839</v>
      </c>
      <c r="P5151" t="s">
        <v>586</v>
      </c>
      <c r="Q5151">
        <v>14</v>
      </c>
      <c r="R5151" t="s">
        <v>213</v>
      </c>
      <c r="S5151" s="2" t="s">
        <v>13</v>
      </c>
      <c r="T5151">
        <v>4</v>
      </c>
      <c r="U5151">
        <v>7.27</v>
      </c>
      <c r="V5151">
        <v>2338</v>
      </c>
      <c r="W5151" t="s">
        <v>28</v>
      </c>
      <c r="X5151">
        <v>14.93</v>
      </c>
      <c r="Y5151">
        <f>15.77-X5151</f>
        <v>0.83999999999999986</v>
      </c>
      <c r="AA5151" s="6"/>
      <c r="AB5151" s="6"/>
      <c r="AD5151" s="4"/>
    </row>
    <row r="5152" spans="1:30" x14ac:dyDescent="0.2">
      <c r="A5152" t="s">
        <v>602</v>
      </c>
      <c r="B5152">
        <v>2021</v>
      </c>
      <c r="C5152" t="s">
        <v>826</v>
      </c>
      <c r="D5152" t="s">
        <v>824</v>
      </c>
      <c r="E5152" t="s">
        <v>48</v>
      </c>
      <c r="F5152" t="s">
        <v>603</v>
      </c>
      <c r="G5152">
        <v>40.78</v>
      </c>
      <c r="H5152">
        <v>-72.78</v>
      </c>
      <c r="J5152" s="2" t="s">
        <v>7</v>
      </c>
      <c r="K5152" t="s">
        <v>144</v>
      </c>
      <c r="L5152" t="s">
        <v>144</v>
      </c>
      <c r="M5152" t="s">
        <v>638</v>
      </c>
      <c r="N5152" t="s">
        <v>86</v>
      </c>
      <c r="O5152" t="s">
        <v>273</v>
      </c>
      <c r="P5152" t="s">
        <v>70</v>
      </c>
      <c r="Q5152">
        <v>7</v>
      </c>
      <c r="R5152" t="s">
        <v>213</v>
      </c>
      <c r="S5152" s="2" t="s">
        <v>7</v>
      </c>
      <c r="T5152">
        <v>4</v>
      </c>
      <c r="U5152">
        <v>7.98</v>
      </c>
      <c r="V5152">
        <v>377</v>
      </c>
      <c r="W5152" t="s">
        <v>28</v>
      </c>
      <c r="X5152">
        <v>-16.54</v>
      </c>
      <c r="Y5152">
        <v>1.91</v>
      </c>
      <c r="AA5152" s="6"/>
      <c r="AB5152" s="6"/>
      <c r="AD5152" s="4"/>
    </row>
    <row r="5153" spans="1:30" x14ac:dyDescent="0.2">
      <c r="A5153" t="s">
        <v>602</v>
      </c>
      <c r="B5153">
        <v>2021</v>
      </c>
      <c r="C5153" t="s">
        <v>826</v>
      </c>
      <c r="D5153" t="s">
        <v>824</v>
      </c>
      <c r="E5153" t="s">
        <v>48</v>
      </c>
      <c r="F5153" t="s">
        <v>603</v>
      </c>
      <c r="G5153">
        <v>40.78</v>
      </c>
      <c r="H5153">
        <v>-72.78</v>
      </c>
      <c r="J5153" s="2" t="s">
        <v>5</v>
      </c>
      <c r="K5153" t="s">
        <v>144</v>
      </c>
      <c r="L5153" t="s">
        <v>144</v>
      </c>
      <c r="M5153" t="s">
        <v>638</v>
      </c>
      <c r="N5153" t="s">
        <v>86</v>
      </c>
      <c r="O5153" t="s">
        <v>273</v>
      </c>
      <c r="P5153" t="s">
        <v>70</v>
      </c>
      <c r="Q5153">
        <v>7</v>
      </c>
      <c r="R5153" t="s">
        <v>213</v>
      </c>
      <c r="S5153" s="2" t="s">
        <v>13</v>
      </c>
      <c r="T5153">
        <v>4</v>
      </c>
      <c r="U5153">
        <v>7.31</v>
      </c>
      <c r="V5153">
        <v>2053</v>
      </c>
      <c r="W5153" t="s">
        <v>28</v>
      </c>
      <c r="X5153">
        <v>-30.81</v>
      </c>
      <c r="Y5153">
        <v>3</v>
      </c>
      <c r="AA5153" s="6"/>
      <c r="AB5153" s="6"/>
      <c r="AD5153" s="4"/>
    </row>
    <row r="5154" spans="1:30" x14ac:dyDescent="0.2">
      <c r="A5154" t="s">
        <v>602</v>
      </c>
      <c r="B5154">
        <v>2021</v>
      </c>
      <c r="C5154" t="s">
        <v>826</v>
      </c>
      <c r="D5154" t="s">
        <v>824</v>
      </c>
      <c r="E5154" t="s">
        <v>48</v>
      </c>
      <c r="F5154" t="s">
        <v>603</v>
      </c>
      <c r="G5154">
        <v>40.78</v>
      </c>
      <c r="H5154">
        <v>-72.78</v>
      </c>
      <c r="J5154" s="2" t="s">
        <v>7</v>
      </c>
      <c r="K5154" t="s">
        <v>144</v>
      </c>
      <c r="L5154" t="s">
        <v>144</v>
      </c>
      <c r="M5154" t="s">
        <v>638</v>
      </c>
      <c r="N5154" t="s">
        <v>86</v>
      </c>
      <c r="O5154" t="s">
        <v>273</v>
      </c>
      <c r="P5154" t="s">
        <v>70</v>
      </c>
      <c r="Q5154">
        <v>14</v>
      </c>
      <c r="R5154" t="s">
        <v>213</v>
      </c>
      <c r="S5154" s="2" t="s">
        <v>7</v>
      </c>
      <c r="T5154">
        <v>4</v>
      </c>
      <c r="U5154">
        <v>7.89</v>
      </c>
      <c r="V5154">
        <v>479</v>
      </c>
      <c r="W5154" t="s">
        <v>28</v>
      </c>
      <c r="X5154">
        <v>-17.77</v>
      </c>
      <c r="Y5154">
        <v>0.82</v>
      </c>
      <c r="AA5154" s="6"/>
      <c r="AB5154" s="6"/>
    </row>
    <row r="5155" spans="1:30" x14ac:dyDescent="0.2">
      <c r="A5155" t="s">
        <v>602</v>
      </c>
      <c r="B5155">
        <v>2021</v>
      </c>
      <c r="C5155" t="s">
        <v>826</v>
      </c>
      <c r="D5155" t="s">
        <v>824</v>
      </c>
      <c r="E5155" t="s">
        <v>48</v>
      </c>
      <c r="F5155" t="s">
        <v>603</v>
      </c>
      <c r="G5155">
        <v>40.78</v>
      </c>
      <c r="H5155">
        <v>-72.78</v>
      </c>
      <c r="J5155" s="2" t="s">
        <v>5</v>
      </c>
      <c r="K5155" t="s">
        <v>144</v>
      </c>
      <c r="L5155" t="s">
        <v>144</v>
      </c>
      <c r="M5155" t="s">
        <v>638</v>
      </c>
      <c r="N5155" t="s">
        <v>86</v>
      </c>
      <c r="O5155" t="s">
        <v>273</v>
      </c>
      <c r="P5155" t="s">
        <v>70</v>
      </c>
      <c r="Q5155">
        <v>14</v>
      </c>
      <c r="R5155" t="s">
        <v>213</v>
      </c>
      <c r="S5155" s="2" t="s">
        <v>9</v>
      </c>
      <c r="T5155">
        <v>4</v>
      </c>
      <c r="U5155">
        <v>7.69</v>
      </c>
      <c r="V5155">
        <v>802</v>
      </c>
      <c r="W5155" t="s">
        <v>28</v>
      </c>
      <c r="X5155">
        <v>-18.649999999999999</v>
      </c>
      <c r="Y5155">
        <v>1.58</v>
      </c>
      <c r="AA5155" s="6"/>
      <c r="AB5155" s="6"/>
    </row>
    <row r="5156" spans="1:30" x14ac:dyDescent="0.2">
      <c r="A5156" t="s">
        <v>602</v>
      </c>
      <c r="B5156">
        <v>2021</v>
      </c>
      <c r="C5156" t="s">
        <v>826</v>
      </c>
      <c r="D5156" t="s">
        <v>824</v>
      </c>
      <c r="E5156" t="s">
        <v>48</v>
      </c>
      <c r="F5156" t="s">
        <v>603</v>
      </c>
      <c r="G5156">
        <v>40.78</v>
      </c>
      <c r="H5156">
        <v>-72.78</v>
      </c>
      <c r="J5156" s="2" t="s">
        <v>5</v>
      </c>
      <c r="K5156" t="s">
        <v>144</v>
      </c>
      <c r="L5156" t="s">
        <v>144</v>
      </c>
      <c r="M5156" t="s">
        <v>638</v>
      </c>
      <c r="N5156" t="s">
        <v>86</v>
      </c>
      <c r="O5156" t="s">
        <v>273</v>
      </c>
      <c r="P5156" t="s">
        <v>70</v>
      </c>
      <c r="Q5156">
        <v>14</v>
      </c>
      <c r="R5156" t="s">
        <v>213</v>
      </c>
      <c r="S5156" s="2" t="s">
        <v>27</v>
      </c>
      <c r="T5156">
        <v>4</v>
      </c>
      <c r="U5156">
        <v>7.5</v>
      </c>
      <c r="V5156">
        <v>1232</v>
      </c>
      <c r="W5156" t="s">
        <v>28</v>
      </c>
      <c r="X5156">
        <v>-21.11</v>
      </c>
      <c r="Y5156">
        <v>1.3</v>
      </c>
      <c r="AA5156" s="6"/>
      <c r="AB5156" s="6"/>
    </row>
    <row r="5157" spans="1:30" x14ac:dyDescent="0.2">
      <c r="A5157" t="s">
        <v>602</v>
      </c>
      <c r="B5157">
        <v>2021</v>
      </c>
      <c r="C5157" t="s">
        <v>826</v>
      </c>
      <c r="D5157" t="s">
        <v>824</v>
      </c>
      <c r="E5157" t="s">
        <v>48</v>
      </c>
      <c r="F5157" t="s">
        <v>603</v>
      </c>
      <c r="G5157">
        <v>40.78</v>
      </c>
      <c r="H5157">
        <v>-72.78</v>
      </c>
      <c r="J5157" s="2" t="s">
        <v>5</v>
      </c>
      <c r="K5157" t="s">
        <v>144</v>
      </c>
      <c r="L5157" t="s">
        <v>144</v>
      </c>
      <c r="M5157" t="s">
        <v>638</v>
      </c>
      <c r="N5157" t="s">
        <v>86</v>
      </c>
      <c r="O5157" t="s">
        <v>273</v>
      </c>
      <c r="P5157" t="s">
        <v>70</v>
      </c>
      <c r="Q5157">
        <v>14</v>
      </c>
      <c r="R5157" t="s">
        <v>213</v>
      </c>
      <c r="S5157" s="2" t="s">
        <v>13</v>
      </c>
      <c r="T5157">
        <v>4</v>
      </c>
      <c r="U5157">
        <v>7.27</v>
      </c>
      <c r="V5157">
        <v>2338</v>
      </c>
      <c r="W5157" t="s">
        <v>28</v>
      </c>
      <c r="X5157">
        <v>-21.73</v>
      </c>
      <c r="Y5157">
        <v>1.4</v>
      </c>
      <c r="AA5157" s="6"/>
      <c r="AB5157" s="6"/>
    </row>
    <row r="5158" spans="1:30" x14ac:dyDescent="0.2">
      <c r="A5158" t="s">
        <v>602</v>
      </c>
      <c r="B5158">
        <v>2021</v>
      </c>
      <c r="C5158" t="s">
        <v>826</v>
      </c>
      <c r="D5158" t="s">
        <v>824</v>
      </c>
      <c r="E5158" t="s">
        <v>48</v>
      </c>
      <c r="F5158" t="s">
        <v>603</v>
      </c>
      <c r="G5158">
        <v>40.78</v>
      </c>
      <c r="H5158">
        <v>-72.78</v>
      </c>
      <c r="J5158" s="2" t="s">
        <v>7</v>
      </c>
      <c r="K5158" t="s">
        <v>144</v>
      </c>
      <c r="L5158" t="s">
        <v>144</v>
      </c>
      <c r="M5158" t="s">
        <v>638</v>
      </c>
      <c r="N5158" t="s">
        <v>85</v>
      </c>
      <c r="O5158" t="s">
        <v>221</v>
      </c>
      <c r="P5158" t="s">
        <v>108</v>
      </c>
      <c r="Q5158">
        <v>7</v>
      </c>
      <c r="R5158" t="s">
        <v>213</v>
      </c>
      <c r="S5158" s="2" t="s">
        <v>7</v>
      </c>
      <c r="T5158">
        <v>4</v>
      </c>
      <c r="U5158">
        <v>7.98</v>
      </c>
      <c r="V5158">
        <v>377</v>
      </c>
      <c r="W5158" t="s">
        <v>28</v>
      </c>
      <c r="X5158">
        <v>0.33</v>
      </c>
      <c r="Y5158">
        <v>0.01</v>
      </c>
      <c r="AA5158" s="6"/>
      <c r="AB5158" s="6"/>
    </row>
    <row r="5159" spans="1:30" x14ac:dyDescent="0.2">
      <c r="A5159" t="s">
        <v>602</v>
      </c>
      <c r="B5159">
        <v>2021</v>
      </c>
      <c r="C5159" t="s">
        <v>826</v>
      </c>
      <c r="D5159" t="s">
        <v>824</v>
      </c>
      <c r="E5159" t="s">
        <v>48</v>
      </c>
      <c r="F5159" t="s">
        <v>603</v>
      </c>
      <c r="G5159">
        <v>40.78</v>
      </c>
      <c r="H5159">
        <v>-72.78</v>
      </c>
      <c r="J5159" s="2" t="s">
        <v>5</v>
      </c>
      <c r="K5159" t="s">
        <v>144</v>
      </c>
      <c r="L5159" t="s">
        <v>144</v>
      </c>
      <c r="M5159" t="s">
        <v>638</v>
      </c>
      <c r="N5159" t="s">
        <v>85</v>
      </c>
      <c r="O5159" t="s">
        <v>221</v>
      </c>
      <c r="P5159" t="s">
        <v>108</v>
      </c>
      <c r="Q5159">
        <v>7</v>
      </c>
      <c r="R5159" t="s">
        <v>213</v>
      </c>
      <c r="S5159" s="2" t="s">
        <v>13</v>
      </c>
      <c r="T5159">
        <v>4</v>
      </c>
      <c r="U5159">
        <v>7.31</v>
      </c>
      <c r="V5159">
        <v>2053</v>
      </c>
      <c r="W5159" t="s">
        <v>28</v>
      </c>
      <c r="X5159">
        <v>0.33</v>
      </c>
      <c r="Y5159">
        <v>0.02</v>
      </c>
      <c r="AA5159" s="6"/>
      <c r="AB5159" s="6"/>
    </row>
    <row r="5160" spans="1:30" x14ac:dyDescent="0.2">
      <c r="A5160" t="s">
        <v>602</v>
      </c>
      <c r="B5160">
        <v>2021</v>
      </c>
      <c r="C5160" t="s">
        <v>826</v>
      </c>
      <c r="D5160" t="s">
        <v>824</v>
      </c>
      <c r="E5160" t="s">
        <v>48</v>
      </c>
      <c r="F5160" t="s">
        <v>603</v>
      </c>
      <c r="G5160">
        <v>40.78</v>
      </c>
      <c r="H5160">
        <v>-72.78</v>
      </c>
      <c r="J5160" s="2" t="s">
        <v>7</v>
      </c>
      <c r="K5160" t="s">
        <v>144</v>
      </c>
      <c r="L5160" t="s">
        <v>144</v>
      </c>
      <c r="M5160" t="s">
        <v>638</v>
      </c>
      <c r="N5160" t="s">
        <v>85</v>
      </c>
      <c r="O5160" t="s">
        <v>221</v>
      </c>
      <c r="P5160" t="s">
        <v>108</v>
      </c>
      <c r="Q5160">
        <v>14</v>
      </c>
      <c r="R5160" t="s">
        <v>213</v>
      </c>
      <c r="S5160" s="2" t="s">
        <v>7</v>
      </c>
      <c r="T5160">
        <v>4</v>
      </c>
      <c r="U5160">
        <v>7.89</v>
      </c>
      <c r="V5160">
        <v>479</v>
      </c>
      <c r="W5160" t="s">
        <v>28</v>
      </c>
      <c r="X5160">
        <v>0.33</v>
      </c>
      <c r="Y5160">
        <v>0.01</v>
      </c>
      <c r="AA5160" s="6"/>
      <c r="AB5160" s="6"/>
    </row>
    <row r="5161" spans="1:30" x14ac:dyDescent="0.2">
      <c r="A5161" t="s">
        <v>602</v>
      </c>
      <c r="B5161">
        <v>2021</v>
      </c>
      <c r="C5161" t="s">
        <v>826</v>
      </c>
      <c r="D5161" t="s">
        <v>824</v>
      </c>
      <c r="E5161" t="s">
        <v>48</v>
      </c>
      <c r="F5161" t="s">
        <v>603</v>
      </c>
      <c r="G5161">
        <v>40.78</v>
      </c>
      <c r="H5161">
        <v>-72.78</v>
      </c>
      <c r="J5161" s="2" t="s">
        <v>5</v>
      </c>
      <c r="K5161" t="s">
        <v>144</v>
      </c>
      <c r="L5161" t="s">
        <v>144</v>
      </c>
      <c r="M5161" t="s">
        <v>638</v>
      </c>
      <c r="N5161" t="s">
        <v>85</v>
      </c>
      <c r="O5161" t="s">
        <v>221</v>
      </c>
      <c r="P5161" t="s">
        <v>108</v>
      </c>
      <c r="Q5161">
        <v>14</v>
      </c>
      <c r="R5161" t="s">
        <v>213</v>
      </c>
      <c r="S5161" s="2" t="s">
        <v>9</v>
      </c>
      <c r="T5161">
        <v>4</v>
      </c>
      <c r="U5161">
        <v>7.69</v>
      </c>
      <c r="V5161">
        <v>802</v>
      </c>
      <c r="W5161" t="s">
        <v>28</v>
      </c>
      <c r="X5161">
        <v>0.33</v>
      </c>
      <c r="Y5161">
        <v>0.02</v>
      </c>
      <c r="AA5161" s="6"/>
      <c r="AB5161" s="6"/>
    </row>
    <row r="5162" spans="1:30" x14ac:dyDescent="0.2">
      <c r="A5162" t="s">
        <v>602</v>
      </c>
      <c r="B5162">
        <v>2021</v>
      </c>
      <c r="C5162" t="s">
        <v>826</v>
      </c>
      <c r="D5162" t="s">
        <v>824</v>
      </c>
      <c r="E5162" t="s">
        <v>48</v>
      </c>
      <c r="F5162" t="s">
        <v>603</v>
      </c>
      <c r="G5162">
        <v>40.78</v>
      </c>
      <c r="H5162">
        <v>-72.78</v>
      </c>
      <c r="J5162" s="2" t="s">
        <v>5</v>
      </c>
      <c r="K5162" t="s">
        <v>144</v>
      </c>
      <c r="L5162" t="s">
        <v>144</v>
      </c>
      <c r="M5162" t="s">
        <v>638</v>
      </c>
      <c r="N5162" t="s">
        <v>85</v>
      </c>
      <c r="O5162" t="s">
        <v>221</v>
      </c>
      <c r="P5162" t="s">
        <v>108</v>
      </c>
      <c r="Q5162">
        <v>14</v>
      </c>
      <c r="R5162" t="s">
        <v>213</v>
      </c>
      <c r="S5162" s="2" t="s">
        <v>27</v>
      </c>
      <c r="T5162">
        <v>4</v>
      </c>
      <c r="U5162">
        <v>7.5</v>
      </c>
      <c r="V5162">
        <v>1232</v>
      </c>
      <c r="W5162" t="s">
        <v>28</v>
      </c>
      <c r="X5162">
        <v>0.33</v>
      </c>
      <c r="Y5162">
        <v>0.02</v>
      </c>
      <c r="AA5162" s="6"/>
      <c r="AB5162" s="6"/>
    </row>
    <row r="5163" spans="1:30" x14ac:dyDescent="0.2">
      <c r="A5163" t="s">
        <v>602</v>
      </c>
      <c r="B5163">
        <v>2021</v>
      </c>
      <c r="C5163" t="s">
        <v>826</v>
      </c>
      <c r="D5163" t="s">
        <v>824</v>
      </c>
      <c r="E5163" t="s">
        <v>48</v>
      </c>
      <c r="F5163" t="s">
        <v>603</v>
      </c>
      <c r="G5163">
        <v>40.78</v>
      </c>
      <c r="H5163">
        <v>-72.78</v>
      </c>
      <c r="J5163" s="2" t="s">
        <v>5</v>
      </c>
      <c r="K5163" t="s">
        <v>144</v>
      </c>
      <c r="L5163" t="s">
        <v>144</v>
      </c>
      <c r="M5163" t="s">
        <v>638</v>
      </c>
      <c r="N5163" t="s">
        <v>85</v>
      </c>
      <c r="O5163" t="s">
        <v>221</v>
      </c>
      <c r="P5163" t="s">
        <v>108</v>
      </c>
      <c r="Q5163">
        <v>14</v>
      </c>
      <c r="R5163" t="s">
        <v>213</v>
      </c>
      <c r="S5163" s="2" t="s">
        <v>13</v>
      </c>
      <c r="T5163">
        <v>4</v>
      </c>
      <c r="U5163">
        <v>7.27</v>
      </c>
      <c r="V5163">
        <v>2338</v>
      </c>
      <c r="W5163" t="s">
        <v>28</v>
      </c>
      <c r="X5163">
        <v>0.34</v>
      </c>
      <c r="Y5163">
        <v>0.01</v>
      </c>
      <c r="AA5163" s="6"/>
      <c r="AB5163" s="6"/>
    </row>
    <row r="5164" spans="1:30" x14ac:dyDescent="0.2">
      <c r="A5164" t="s">
        <v>602</v>
      </c>
      <c r="B5164">
        <v>2021</v>
      </c>
      <c r="C5164" t="s">
        <v>826</v>
      </c>
      <c r="D5164" t="s">
        <v>824</v>
      </c>
      <c r="E5164" t="s">
        <v>48</v>
      </c>
      <c r="F5164" t="s">
        <v>603</v>
      </c>
      <c r="G5164">
        <v>40.78</v>
      </c>
      <c r="H5164">
        <v>-72.78</v>
      </c>
      <c r="J5164" s="2" t="s">
        <v>7</v>
      </c>
      <c r="K5164" t="s">
        <v>144</v>
      </c>
      <c r="L5164" t="s">
        <v>144</v>
      </c>
      <c r="M5164" t="s">
        <v>638</v>
      </c>
      <c r="N5164" t="s">
        <v>85</v>
      </c>
      <c r="O5164" t="s">
        <v>107</v>
      </c>
      <c r="P5164" t="s">
        <v>108</v>
      </c>
      <c r="Q5164">
        <v>7</v>
      </c>
      <c r="R5164" t="s">
        <v>213</v>
      </c>
      <c r="S5164" s="2" t="s">
        <v>7</v>
      </c>
      <c r="T5164">
        <v>4</v>
      </c>
      <c r="U5164">
        <v>7.98</v>
      </c>
      <c r="V5164">
        <v>377</v>
      </c>
      <c r="W5164" t="s">
        <v>28</v>
      </c>
      <c r="X5164">
        <v>1.09E-2</v>
      </c>
      <c r="Y5164">
        <v>6.9999999999999999E-4</v>
      </c>
      <c r="AA5164" s="6"/>
      <c r="AB5164" s="6"/>
    </row>
    <row r="5165" spans="1:30" x14ac:dyDescent="0.2">
      <c r="A5165" t="s">
        <v>602</v>
      </c>
      <c r="B5165">
        <v>2021</v>
      </c>
      <c r="C5165" t="s">
        <v>826</v>
      </c>
      <c r="D5165" t="s">
        <v>824</v>
      </c>
      <c r="E5165" t="s">
        <v>48</v>
      </c>
      <c r="F5165" t="s">
        <v>603</v>
      </c>
      <c r="G5165">
        <v>40.78</v>
      </c>
      <c r="H5165">
        <v>-72.78</v>
      </c>
      <c r="J5165" s="2" t="s">
        <v>5</v>
      </c>
      <c r="K5165" t="s">
        <v>144</v>
      </c>
      <c r="L5165" t="s">
        <v>144</v>
      </c>
      <c r="M5165" t="s">
        <v>638</v>
      </c>
      <c r="N5165" t="s">
        <v>85</v>
      </c>
      <c r="O5165" t="s">
        <v>107</v>
      </c>
      <c r="P5165" t="s">
        <v>108</v>
      </c>
      <c r="Q5165">
        <v>7</v>
      </c>
      <c r="R5165" t="s">
        <v>213</v>
      </c>
      <c r="S5165" s="2" t="s">
        <v>13</v>
      </c>
      <c r="T5165">
        <v>4</v>
      </c>
      <c r="U5165">
        <v>7.31</v>
      </c>
      <c r="V5165">
        <v>2053</v>
      </c>
      <c r="W5165" t="s">
        <v>28</v>
      </c>
      <c r="X5165">
        <v>9.4999999999999998E-3</v>
      </c>
      <c r="Y5165">
        <v>1.1000000000000001E-3</v>
      </c>
      <c r="AA5165" s="6"/>
      <c r="AB5165" s="6"/>
    </row>
    <row r="5166" spans="1:30" x14ac:dyDescent="0.2">
      <c r="A5166" t="s">
        <v>602</v>
      </c>
      <c r="B5166">
        <v>2021</v>
      </c>
      <c r="C5166" t="s">
        <v>826</v>
      </c>
      <c r="D5166" t="s">
        <v>824</v>
      </c>
      <c r="E5166" t="s">
        <v>48</v>
      </c>
      <c r="F5166" t="s">
        <v>603</v>
      </c>
      <c r="G5166">
        <v>40.78</v>
      </c>
      <c r="H5166">
        <v>-72.78</v>
      </c>
      <c r="J5166" s="2" t="s">
        <v>7</v>
      </c>
      <c r="K5166" t="s">
        <v>144</v>
      </c>
      <c r="L5166" t="s">
        <v>144</v>
      </c>
      <c r="M5166" t="s">
        <v>638</v>
      </c>
      <c r="N5166" t="s">
        <v>85</v>
      </c>
      <c r="O5166" t="s">
        <v>107</v>
      </c>
      <c r="P5166" t="s">
        <v>108</v>
      </c>
      <c r="Q5166">
        <v>14</v>
      </c>
      <c r="R5166" t="s">
        <v>213</v>
      </c>
      <c r="S5166" s="2" t="s">
        <v>7</v>
      </c>
      <c r="T5166">
        <v>4</v>
      </c>
      <c r="U5166">
        <v>7.89</v>
      </c>
      <c r="V5166">
        <v>479</v>
      </c>
      <c r="W5166" t="s">
        <v>28</v>
      </c>
      <c r="X5166">
        <v>1.6E-2</v>
      </c>
      <c r="Y5166">
        <v>3.2000000000000002E-3</v>
      </c>
      <c r="AA5166" s="6"/>
      <c r="AB5166" s="6"/>
    </row>
    <row r="5167" spans="1:30" x14ac:dyDescent="0.2">
      <c r="A5167" t="s">
        <v>602</v>
      </c>
      <c r="B5167">
        <v>2021</v>
      </c>
      <c r="C5167" t="s">
        <v>826</v>
      </c>
      <c r="D5167" t="s">
        <v>824</v>
      </c>
      <c r="E5167" t="s">
        <v>48</v>
      </c>
      <c r="F5167" t="s">
        <v>603</v>
      </c>
      <c r="G5167">
        <v>40.78</v>
      </c>
      <c r="H5167">
        <v>-72.78</v>
      </c>
      <c r="J5167" s="2" t="s">
        <v>5</v>
      </c>
      <c r="K5167" t="s">
        <v>144</v>
      </c>
      <c r="L5167" t="s">
        <v>144</v>
      </c>
      <c r="M5167" t="s">
        <v>638</v>
      </c>
      <c r="N5167" t="s">
        <v>85</v>
      </c>
      <c r="O5167" t="s">
        <v>107</v>
      </c>
      <c r="P5167" t="s">
        <v>108</v>
      </c>
      <c r="Q5167">
        <v>14</v>
      </c>
      <c r="R5167" t="s">
        <v>213</v>
      </c>
      <c r="S5167" s="2" t="s">
        <v>9</v>
      </c>
      <c r="T5167">
        <v>4</v>
      </c>
      <c r="U5167">
        <v>7.69</v>
      </c>
      <c r="V5167">
        <v>802</v>
      </c>
      <c r="W5167" t="s">
        <v>28</v>
      </c>
      <c r="X5167">
        <v>1.6E-2</v>
      </c>
      <c r="Y5167">
        <v>3.5999999999999999E-3</v>
      </c>
      <c r="AA5167" s="6"/>
      <c r="AB5167" s="6"/>
    </row>
    <row r="5168" spans="1:30" x14ac:dyDescent="0.2">
      <c r="A5168" t="s">
        <v>602</v>
      </c>
      <c r="B5168">
        <v>2021</v>
      </c>
      <c r="C5168" t="s">
        <v>826</v>
      </c>
      <c r="D5168" t="s">
        <v>824</v>
      </c>
      <c r="E5168" t="s">
        <v>48</v>
      </c>
      <c r="F5168" t="s">
        <v>603</v>
      </c>
      <c r="G5168">
        <v>40.78</v>
      </c>
      <c r="H5168">
        <v>-72.78</v>
      </c>
      <c r="J5168" s="2" t="s">
        <v>5</v>
      </c>
      <c r="K5168" t="s">
        <v>144</v>
      </c>
      <c r="L5168" t="s">
        <v>144</v>
      </c>
      <c r="M5168" t="s">
        <v>638</v>
      </c>
      <c r="N5168" t="s">
        <v>85</v>
      </c>
      <c r="O5168" t="s">
        <v>107</v>
      </c>
      <c r="P5168" t="s">
        <v>108</v>
      </c>
      <c r="Q5168">
        <v>14</v>
      </c>
      <c r="R5168" t="s">
        <v>213</v>
      </c>
      <c r="S5168" s="2" t="s">
        <v>27</v>
      </c>
      <c r="T5168">
        <v>4</v>
      </c>
      <c r="U5168">
        <v>7.5</v>
      </c>
      <c r="V5168">
        <v>1232</v>
      </c>
      <c r="W5168" t="s">
        <v>28</v>
      </c>
      <c r="X5168">
        <v>1.6899999999999998E-2</v>
      </c>
      <c r="Y5168">
        <v>2.2000000000000001E-3</v>
      </c>
      <c r="AA5168" s="6"/>
      <c r="AB5168" s="6"/>
    </row>
    <row r="5169" spans="1:28" x14ac:dyDescent="0.2">
      <c r="A5169" t="s">
        <v>602</v>
      </c>
      <c r="B5169">
        <v>2021</v>
      </c>
      <c r="C5169" t="s">
        <v>826</v>
      </c>
      <c r="D5169" t="s">
        <v>824</v>
      </c>
      <c r="E5169" t="s">
        <v>48</v>
      </c>
      <c r="F5169" t="s">
        <v>603</v>
      </c>
      <c r="G5169">
        <v>40.78</v>
      </c>
      <c r="H5169">
        <v>-72.78</v>
      </c>
      <c r="J5169" s="2" t="s">
        <v>5</v>
      </c>
      <c r="K5169" t="s">
        <v>144</v>
      </c>
      <c r="L5169" t="s">
        <v>144</v>
      </c>
      <c r="M5169" t="s">
        <v>638</v>
      </c>
      <c r="N5169" t="s">
        <v>85</v>
      </c>
      <c r="O5169" t="s">
        <v>107</v>
      </c>
      <c r="P5169" t="s">
        <v>108</v>
      </c>
      <c r="Q5169">
        <v>14</v>
      </c>
      <c r="R5169" t="s">
        <v>213</v>
      </c>
      <c r="S5169" s="2" t="s">
        <v>13</v>
      </c>
      <c r="T5169">
        <v>4</v>
      </c>
      <c r="U5169">
        <v>7.27</v>
      </c>
      <c r="V5169">
        <v>2338</v>
      </c>
      <c r="W5169" t="s">
        <v>28</v>
      </c>
      <c r="X5169">
        <v>1.4800000000000001E-2</v>
      </c>
      <c r="Y5169">
        <v>1.8E-3</v>
      </c>
      <c r="AA5169" s="6"/>
      <c r="AB5169" s="6"/>
    </row>
    <row r="5170" spans="1:28" x14ac:dyDescent="0.2">
      <c r="A5170" t="s">
        <v>602</v>
      </c>
      <c r="B5170">
        <v>2021</v>
      </c>
      <c r="C5170" t="s">
        <v>826</v>
      </c>
      <c r="D5170" t="s">
        <v>824</v>
      </c>
      <c r="E5170" t="s">
        <v>48</v>
      </c>
      <c r="F5170" t="s">
        <v>603</v>
      </c>
      <c r="G5170">
        <v>40.78</v>
      </c>
      <c r="H5170">
        <v>-72.78</v>
      </c>
      <c r="J5170" s="2" t="s">
        <v>7</v>
      </c>
      <c r="K5170" t="s">
        <v>144</v>
      </c>
      <c r="L5170" t="s">
        <v>144</v>
      </c>
      <c r="M5170" t="s">
        <v>638</v>
      </c>
      <c r="N5170" t="s">
        <v>86</v>
      </c>
      <c r="O5170" t="s">
        <v>272</v>
      </c>
      <c r="P5170" t="s">
        <v>604</v>
      </c>
      <c r="Q5170">
        <v>7</v>
      </c>
      <c r="R5170" t="s">
        <v>213</v>
      </c>
      <c r="S5170" s="2" t="s">
        <v>7</v>
      </c>
      <c r="T5170">
        <v>4</v>
      </c>
      <c r="U5170">
        <v>7.98</v>
      </c>
      <c r="V5170">
        <v>377</v>
      </c>
      <c r="W5170" t="s">
        <v>28</v>
      </c>
      <c r="X5170">
        <v>29.6</v>
      </c>
      <c r="Y5170">
        <v>2.4</v>
      </c>
      <c r="AA5170" s="6"/>
      <c r="AB5170" s="6"/>
    </row>
    <row r="5171" spans="1:28" x14ac:dyDescent="0.2">
      <c r="A5171" t="s">
        <v>602</v>
      </c>
      <c r="B5171">
        <v>2021</v>
      </c>
      <c r="C5171" t="s">
        <v>826</v>
      </c>
      <c r="D5171" t="s">
        <v>824</v>
      </c>
      <c r="E5171" t="s">
        <v>48</v>
      </c>
      <c r="F5171" t="s">
        <v>603</v>
      </c>
      <c r="G5171">
        <v>40.78</v>
      </c>
      <c r="H5171">
        <v>-72.78</v>
      </c>
      <c r="J5171" s="2" t="s">
        <v>5</v>
      </c>
      <c r="K5171" t="s">
        <v>144</v>
      </c>
      <c r="L5171" t="s">
        <v>144</v>
      </c>
      <c r="M5171" t="s">
        <v>638</v>
      </c>
      <c r="N5171" t="s">
        <v>86</v>
      </c>
      <c r="O5171" t="s">
        <v>272</v>
      </c>
      <c r="P5171" t="s">
        <v>604</v>
      </c>
      <c r="Q5171">
        <v>7</v>
      </c>
      <c r="R5171" t="s">
        <v>213</v>
      </c>
      <c r="S5171" s="2" t="s">
        <v>13</v>
      </c>
      <c r="T5171">
        <v>4</v>
      </c>
      <c r="U5171">
        <v>7.31</v>
      </c>
      <c r="V5171">
        <v>2053</v>
      </c>
      <c r="W5171" t="s">
        <v>28</v>
      </c>
      <c r="X5171">
        <v>35.200000000000003</v>
      </c>
      <c r="Y5171">
        <v>4.8</v>
      </c>
      <c r="AA5171" s="6"/>
      <c r="AB5171" s="6"/>
    </row>
    <row r="5172" spans="1:28" x14ac:dyDescent="0.2">
      <c r="A5172" t="s">
        <v>602</v>
      </c>
      <c r="B5172">
        <v>2021</v>
      </c>
      <c r="C5172" t="s">
        <v>826</v>
      </c>
      <c r="D5172" t="s">
        <v>824</v>
      </c>
      <c r="E5172" t="s">
        <v>48</v>
      </c>
      <c r="F5172" t="s">
        <v>603</v>
      </c>
      <c r="G5172">
        <v>40.78</v>
      </c>
      <c r="H5172">
        <v>-72.78</v>
      </c>
      <c r="J5172" s="2" t="s">
        <v>7</v>
      </c>
      <c r="K5172" t="s">
        <v>144</v>
      </c>
      <c r="L5172" t="s">
        <v>144</v>
      </c>
      <c r="M5172" t="s">
        <v>638</v>
      </c>
      <c r="N5172" t="s">
        <v>86</v>
      </c>
      <c r="O5172" t="s">
        <v>272</v>
      </c>
      <c r="P5172" t="s">
        <v>604</v>
      </c>
      <c r="Q5172">
        <v>14</v>
      </c>
      <c r="R5172" t="s">
        <v>213</v>
      </c>
      <c r="S5172" s="2" t="s">
        <v>7</v>
      </c>
      <c r="T5172">
        <v>4</v>
      </c>
      <c r="U5172">
        <v>7.89</v>
      </c>
      <c r="V5172">
        <v>479</v>
      </c>
      <c r="W5172" t="s">
        <v>28</v>
      </c>
      <c r="X5172">
        <v>21.4</v>
      </c>
      <c r="Y5172">
        <v>4.4000000000000004</v>
      </c>
      <c r="AA5172" s="6"/>
      <c r="AB5172" s="6"/>
    </row>
    <row r="5173" spans="1:28" x14ac:dyDescent="0.2">
      <c r="A5173" t="s">
        <v>602</v>
      </c>
      <c r="B5173">
        <v>2021</v>
      </c>
      <c r="C5173" t="s">
        <v>826</v>
      </c>
      <c r="D5173" t="s">
        <v>824</v>
      </c>
      <c r="E5173" t="s">
        <v>48</v>
      </c>
      <c r="F5173" t="s">
        <v>603</v>
      </c>
      <c r="G5173">
        <v>40.78</v>
      </c>
      <c r="H5173">
        <v>-72.78</v>
      </c>
      <c r="J5173" s="2" t="s">
        <v>5</v>
      </c>
      <c r="K5173" t="s">
        <v>144</v>
      </c>
      <c r="L5173" t="s">
        <v>144</v>
      </c>
      <c r="M5173" t="s">
        <v>638</v>
      </c>
      <c r="N5173" t="s">
        <v>86</v>
      </c>
      <c r="O5173" t="s">
        <v>272</v>
      </c>
      <c r="P5173" t="s">
        <v>604</v>
      </c>
      <c r="Q5173">
        <v>14</v>
      </c>
      <c r="R5173" t="s">
        <v>213</v>
      </c>
      <c r="S5173" s="2" t="s">
        <v>9</v>
      </c>
      <c r="T5173">
        <v>4</v>
      </c>
      <c r="U5173">
        <v>7.69</v>
      </c>
      <c r="V5173">
        <v>802</v>
      </c>
      <c r="W5173" t="s">
        <v>28</v>
      </c>
      <c r="X5173">
        <v>21.6</v>
      </c>
      <c r="Y5173">
        <v>6.7</v>
      </c>
      <c r="AA5173" s="6"/>
      <c r="AB5173" s="6"/>
    </row>
    <row r="5174" spans="1:28" x14ac:dyDescent="0.2">
      <c r="A5174" t="s">
        <v>602</v>
      </c>
      <c r="B5174">
        <v>2021</v>
      </c>
      <c r="C5174" t="s">
        <v>826</v>
      </c>
      <c r="D5174" t="s">
        <v>824</v>
      </c>
      <c r="E5174" t="s">
        <v>48</v>
      </c>
      <c r="F5174" t="s">
        <v>603</v>
      </c>
      <c r="G5174">
        <v>40.78</v>
      </c>
      <c r="H5174">
        <v>-72.78</v>
      </c>
      <c r="J5174" s="2" t="s">
        <v>5</v>
      </c>
      <c r="K5174" t="s">
        <v>144</v>
      </c>
      <c r="L5174" t="s">
        <v>144</v>
      </c>
      <c r="M5174" t="s">
        <v>638</v>
      </c>
      <c r="N5174" t="s">
        <v>86</v>
      </c>
      <c r="O5174" t="s">
        <v>272</v>
      </c>
      <c r="P5174" t="s">
        <v>604</v>
      </c>
      <c r="Q5174">
        <v>14</v>
      </c>
      <c r="R5174" t="s">
        <v>213</v>
      </c>
      <c r="S5174" s="2" t="s">
        <v>27</v>
      </c>
      <c r="T5174">
        <v>4</v>
      </c>
      <c r="U5174">
        <v>7.5</v>
      </c>
      <c r="V5174">
        <v>1232</v>
      </c>
      <c r="W5174" t="s">
        <v>28</v>
      </c>
      <c r="X5174">
        <v>19.8</v>
      </c>
      <c r="Y5174">
        <v>4</v>
      </c>
      <c r="AA5174" s="6"/>
      <c r="AB5174" s="6"/>
    </row>
    <row r="5175" spans="1:28" x14ac:dyDescent="0.2">
      <c r="A5175" t="s">
        <v>602</v>
      </c>
      <c r="B5175">
        <v>2021</v>
      </c>
      <c r="C5175" t="s">
        <v>826</v>
      </c>
      <c r="D5175" t="s">
        <v>824</v>
      </c>
      <c r="E5175" t="s">
        <v>48</v>
      </c>
      <c r="F5175" t="s">
        <v>603</v>
      </c>
      <c r="G5175">
        <v>40.78</v>
      </c>
      <c r="H5175">
        <v>-72.78</v>
      </c>
      <c r="J5175" s="2" t="s">
        <v>5</v>
      </c>
      <c r="K5175" t="s">
        <v>144</v>
      </c>
      <c r="L5175" t="s">
        <v>144</v>
      </c>
      <c r="M5175" t="s">
        <v>638</v>
      </c>
      <c r="N5175" t="s">
        <v>86</v>
      </c>
      <c r="O5175" t="s">
        <v>272</v>
      </c>
      <c r="P5175" t="s">
        <v>604</v>
      </c>
      <c r="Q5175">
        <v>14</v>
      </c>
      <c r="R5175" t="s">
        <v>213</v>
      </c>
      <c r="S5175" s="2" t="s">
        <v>13</v>
      </c>
      <c r="T5175">
        <v>4</v>
      </c>
      <c r="U5175">
        <v>7.27</v>
      </c>
      <c r="V5175">
        <v>2338</v>
      </c>
      <c r="W5175" t="s">
        <v>28</v>
      </c>
      <c r="X5175">
        <v>22.9</v>
      </c>
      <c r="Y5175">
        <v>3.3</v>
      </c>
      <c r="AA5175" s="6"/>
      <c r="AB5175" s="6"/>
    </row>
    <row r="5176" spans="1:28" x14ac:dyDescent="0.2">
      <c r="A5176" t="s">
        <v>605</v>
      </c>
      <c r="B5176">
        <v>2020</v>
      </c>
      <c r="C5176" t="s">
        <v>816</v>
      </c>
      <c r="D5176" t="s">
        <v>817</v>
      </c>
      <c r="E5176" t="s">
        <v>31</v>
      </c>
      <c r="F5176" t="s">
        <v>411</v>
      </c>
      <c r="G5176">
        <v>78.974999999999994</v>
      </c>
      <c r="H5176">
        <v>11.632999999999999</v>
      </c>
      <c r="I5176" t="s">
        <v>764</v>
      </c>
      <c r="J5176" s="2" t="s">
        <v>7</v>
      </c>
      <c r="K5176" t="s">
        <v>144</v>
      </c>
      <c r="L5176" t="s">
        <v>144</v>
      </c>
      <c r="M5176" t="s">
        <v>26</v>
      </c>
      <c r="N5176" t="s">
        <v>85</v>
      </c>
      <c r="O5176" t="s">
        <v>839</v>
      </c>
      <c r="P5176" t="s">
        <v>606</v>
      </c>
      <c r="Q5176">
        <v>3</v>
      </c>
      <c r="R5176" t="s">
        <v>214</v>
      </c>
      <c r="S5176" s="2" t="s">
        <v>7</v>
      </c>
      <c r="T5176">
        <v>4</v>
      </c>
      <c r="U5176" t="s">
        <v>28</v>
      </c>
      <c r="V5176" t="s">
        <v>28</v>
      </c>
      <c r="W5176">
        <v>15</v>
      </c>
      <c r="X5176">
        <v>1.473E-2</v>
      </c>
      <c r="Y5176">
        <f>0.01954-X5176</f>
        <v>4.8099999999999983E-3</v>
      </c>
      <c r="AA5176" s="6"/>
      <c r="AB5176" s="6"/>
    </row>
    <row r="5177" spans="1:28" x14ac:dyDescent="0.2">
      <c r="A5177" t="s">
        <v>605</v>
      </c>
      <c r="B5177">
        <v>2020</v>
      </c>
      <c r="C5177" t="s">
        <v>816</v>
      </c>
      <c r="D5177" t="s">
        <v>817</v>
      </c>
      <c r="E5177" t="s">
        <v>31</v>
      </c>
      <c r="F5177" t="s">
        <v>411</v>
      </c>
      <c r="G5177">
        <v>78.974999999999994</v>
      </c>
      <c r="H5177">
        <v>11.632999999999999</v>
      </c>
      <c r="I5177" t="s">
        <v>764</v>
      </c>
      <c r="J5177" s="2" t="s">
        <v>7</v>
      </c>
      <c r="K5177" t="s">
        <v>144</v>
      </c>
      <c r="L5177" t="s">
        <v>144</v>
      </c>
      <c r="M5177" t="s">
        <v>26</v>
      </c>
      <c r="N5177" t="s">
        <v>85</v>
      </c>
      <c r="O5177" t="s">
        <v>839</v>
      </c>
      <c r="P5177" t="s">
        <v>606</v>
      </c>
      <c r="Q5177">
        <v>6</v>
      </c>
      <c r="R5177" t="s">
        <v>214</v>
      </c>
      <c r="S5177" s="2" t="s">
        <v>7</v>
      </c>
      <c r="T5177">
        <v>4</v>
      </c>
      <c r="U5177" t="s">
        <v>28</v>
      </c>
      <c r="V5177" t="s">
        <v>28</v>
      </c>
      <c r="W5177">
        <v>15</v>
      </c>
      <c r="X5177">
        <v>1.153E-2</v>
      </c>
      <c r="Y5177">
        <f>0.01548-X5177</f>
        <v>3.9500000000000004E-3</v>
      </c>
      <c r="AA5177" s="6"/>
      <c r="AB5177" s="6"/>
    </row>
    <row r="5178" spans="1:28" x14ac:dyDescent="0.2">
      <c r="A5178" t="s">
        <v>605</v>
      </c>
      <c r="B5178">
        <v>2020</v>
      </c>
      <c r="C5178" t="s">
        <v>816</v>
      </c>
      <c r="D5178" t="s">
        <v>817</v>
      </c>
      <c r="E5178" t="s">
        <v>31</v>
      </c>
      <c r="F5178" t="s">
        <v>411</v>
      </c>
      <c r="G5178">
        <v>78.974999999999994</v>
      </c>
      <c r="H5178">
        <v>11.632999999999999</v>
      </c>
      <c r="I5178" t="s">
        <v>764</v>
      </c>
      <c r="J5178" s="2" t="s">
        <v>7</v>
      </c>
      <c r="K5178" t="s">
        <v>144</v>
      </c>
      <c r="L5178" t="s">
        <v>144</v>
      </c>
      <c r="M5178" t="s">
        <v>26</v>
      </c>
      <c r="N5178" t="s">
        <v>85</v>
      </c>
      <c r="O5178" t="s">
        <v>839</v>
      </c>
      <c r="P5178" t="s">
        <v>606</v>
      </c>
      <c r="Q5178">
        <v>8</v>
      </c>
      <c r="R5178" t="s">
        <v>213</v>
      </c>
      <c r="S5178" s="2" t="s">
        <v>7</v>
      </c>
      <c r="T5178">
        <v>4</v>
      </c>
      <c r="U5178" t="s">
        <v>28</v>
      </c>
      <c r="V5178" t="s">
        <v>28</v>
      </c>
      <c r="W5178">
        <v>15</v>
      </c>
      <c r="X5178">
        <v>9.4999999999999998E-3</v>
      </c>
      <c r="Y5178">
        <f>0.01281-X5178</f>
        <v>3.3100000000000004E-3</v>
      </c>
      <c r="AA5178" s="6"/>
      <c r="AB5178" s="6"/>
    </row>
    <row r="5179" spans="1:28" x14ac:dyDescent="0.2">
      <c r="A5179" t="s">
        <v>605</v>
      </c>
      <c r="B5179">
        <v>2020</v>
      </c>
      <c r="C5179" t="s">
        <v>816</v>
      </c>
      <c r="D5179" t="s">
        <v>817</v>
      </c>
      <c r="E5179" t="s">
        <v>31</v>
      </c>
      <c r="F5179" t="s">
        <v>411</v>
      </c>
      <c r="G5179">
        <v>78.974999999999994</v>
      </c>
      <c r="H5179">
        <v>11.632999999999999</v>
      </c>
      <c r="I5179" t="s">
        <v>764</v>
      </c>
      <c r="J5179" s="2" t="s">
        <v>14</v>
      </c>
      <c r="K5179" t="s">
        <v>144</v>
      </c>
      <c r="L5179" t="s">
        <v>144</v>
      </c>
      <c r="M5179" t="s">
        <v>26</v>
      </c>
      <c r="N5179" t="s">
        <v>85</v>
      </c>
      <c r="O5179" t="s">
        <v>839</v>
      </c>
      <c r="P5179" t="s">
        <v>606</v>
      </c>
      <c r="Q5179">
        <v>3</v>
      </c>
      <c r="R5179" t="s">
        <v>214</v>
      </c>
      <c r="S5179" s="2" t="s">
        <v>9</v>
      </c>
      <c r="T5179">
        <v>4</v>
      </c>
      <c r="U5179" t="s">
        <v>28</v>
      </c>
      <c r="V5179" t="s">
        <v>28</v>
      </c>
      <c r="W5179">
        <v>19</v>
      </c>
      <c r="X5179">
        <v>1.6760000000000001E-2</v>
      </c>
      <c r="Y5179">
        <f>0.01868-X5179</f>
        <v>1.9199999999999981E-3</v>
      </c>
      <c r="AA5179" s="6"/>
      <c r="AB5179" s="6"/>
    </row>
    <row r="5180" spans="1:28" x14ac:dyDescent="0.2">
      <c r="A5180" t="s">
        <v>605</v>
      </c>
      <c r="B5180">
        <v>2020</v>
      </c>
      <c r="C5180" t="s">
        <v>816</v>
      </c>
      <c r="D5180" t="s">
        <v>817</v>
      </c>
      <c r="E5180" t="s">
        <v>31</v>
      </c>
      <c r="F5180" t="s">
        <v>411</v>
      </c>
      <c r="G5180">
        <v>78.974999999999994</v>
      </c>
      <c r="H5180">
        <v>11.632999999999999</v>
      </c>
      <c r="I5180" t="s">
        <v>764</v>
      </c>
      <c r="J5180" s="2" t="s">
        <v>14</v>
      </c>
      <c r="K5180" t="s">
        <v>144</v>
      </c>
      <c r="L5180" t="s">
        <v>144</v>
      </c>
      <c r="M5180" t="s">
        <v>26</v>
      </c>
      <c r="N5180" t="s">
        <v>85</v>
      </c>
      <c r="O5180" t="s">
        <v>839</v>
      </c>
      <c r="P5180" t="s">
        <v>606</v>
      </c>
      <c r="Q5180">
        <v>6</v>
      </c>
      <c r="R5180" t="s">
        <v>214</v>
      </c>
      <c r="S5180" s="2" t="s">
        <v>9</v>
      </c>
      <c r="T5180">
        <v>4</v>
      </c>
      <c r="U5180" t="s">
        <v>28</v>
      </c>
      <c r="V5180" t="s">
        <v>28</v>
      </c>
      <c r="W5180">
        <v>19</v>
      </c>
      <c r="X5180">
        <v>9.0699999999999999E-3</v>
      </c>
      <c r="Y5180">
        <f>0.01313-X5180</f>
        <v>4.0599999999999994E-3</v>
      </c>
      <c r="AA5180" s="6"/>
      <c r="AB5180" s="6"/>
    </row>
    <row r="5181" spans="1:28" x14ac:dyDescent="0.2">
      <c r="A5181" t="s">
        <v>605</v>
      </c>
      <c r="B5181">
        <v>2020</v>
      </c>
      <c r="C5181" t="s">
        <v>816</v>
      </c>
      <c r="D5181" t="s">
        <v>817</v>
      </c>
      <c r="E5181" t="s">
        <v>31</v>
      </c>
      <c r="F5181" t="s">
        <v>411</v>
      </c>
      <c r="G5181">
        <v>78.974999999999994</v>
      </c>
      <c r="H5181">
        <v>11.632999999999999</v>
      </c>
      <c r="I5181" t="s">
        <v>764</v>
      </c>
      <c r="J5181" s="2" t="s">
        <v>14</v>
      </c>
      <c r="K5181" t="s">
        <v>144</v>
      </c>
      <c r="L5181" t="s">
        <v>144</v>
      </c>
      <c r="M5181" t="s">
        <v>26</v>
      </c>
      <c r="N5181" t="s">
        <v>85</v>
      </c>
      <c r="O5181" t="s">
        <v>839</v>
      </c>
      <c r="P5181" t="s">
        <v>606</v>
      </c>
      <c r="Q5181">
        <v>8</v>
      </c>
      <c r="R5181" t="s">
        <v>213</v>
      </c>
      <c r="S5181" s="2" t="s">
        <v>9</v>
      </c>
      <c r="T5181">
        <v>4</v>
      </c>
      <c r="U5181" t="s">
        <v>28</v>
      </c>
      <c r="V5181" t="s">
        <v>28</v>
      </c>
      <c r="W5181">
        <v>19</v>
      </c>
      <c r="X5181">
        <v>6.4099999999999999E-3</v>
      </c>
      <c r="Y5181">
        <f>0.00897-X5181</f>
        <v>2.5600000000000006E-3</v>
      </c>
      <c r="AA5181" s="6"/>
      <c r="AB5181" s="6"/>
    </row>
    <row r="5182" spans="1:28" x14ac:dyDescent="0.2">
      <c r="A5182" t="s">
        <v>605</v>
      </c>
      <c r="B5182">
        <v>2020</v>
      </c>
      <c r="C5182" t="s">
        <v>816</v>
      </c>
      <c r="D5182" t="s">
        <v>817</v>
      </c>
      <c r="E5182" t="s">
        <v>31</v>
      </c>
      <c r="F5182" t="s">
        <v>411</v>
      </c>
      <c r="G5182">
        <v>78.974999999999994</v>
      </c>
      <c r="H5182">
        <v>11.632999999999999</v>
      </c>
      <c r="I5182" t="s">
        <v>764</v>
      </c>
      <c r="J5182" s="2" t="s">
        <v>14</v>
      </c>
      <c r="K5182" t="s">
        <v>144</v>
      </c>
      <c r="L5182" t="s">
        <v>144</v>
      </c>
      <c r="M5182" t="s">
        <v>26</v>
      </c>
      <c r="N5182" t="s">
        <v>85</v>
      </c>
      <c r="O5182" t="s">
        <v>839</v>
      </c>
      <c r="P5182" t="s">
        <v>606</v>
      </c>
      <c r="Q5182">
        <v>3</v>
      </c>
      <c r="R5182" t="s">
        <v>214</v>
      </c>
      <c r="S5182" s="2" t="s">
        <v>27</v>
      </c>
      <c r="T5182">
        <v>4</v>
      </c>
      <c r="U5182" t="s">
        <v>28</v>
      </c>
      <c r="V5182" t="s">
        <v>28</v>
      </c>
      <c r="W5182">
        <v>21</v>
      </c>
      <c r="X5182">
        <v>1.473E-2</v>
      </c>
      <c r="Y5182">
        <f>0.01708-X5182</f>
        <v>2.3500000000000014E-3</v>
      </c>
      <c r="AA5182" s="6"/>
      <c r="AB5182" s="6"/>
    </row>
    <row r="5183" spans="1:28" x14ac:dyDescent="0.2">
      <c r="A5183" t="s">
        <v>605</v>
      </c>
      <c r="B5183">
        <v>2020</v>
      </c>
      <c r="C5183" t="s">
        <v>816</v>
      </c>
      <c r="D5183" t="s">
        <v>817</v>
      </c>
      <c r="E5183" t="s">
        <v>31</v>
      </c>
      <c r="F5183" t="s">
        <v>411</v>
      </c>
      <c r="G5183">
        <v>78.974999999999994</v>
      </c>
      <c r="H5183">
        <v>11.632999999999999</v>
      </c>
      <c r="I5183" t="s">
        <v>764</v>
      </c>
      <c r="J5183" s="2" t="s">
        <v>14</v>
      </c>
      <c r="K5183" t="s">
        <v>144</v>
      </c>
      <c r="L5183" t="s">
        <v>144</v>
      </c>
      <c r="M5183" t="s">
        <v>26</v>
      </c>
      <c r="N5183" t="s">
        <v>85</v>
      </c>
      <c r="O5183" t="s">
        <v>839</v>
      </c>
      <c r="P5183" t="s">
        <v>606</v>
      </c>
      <c r="Q5183">
        <v>6</v>
      </c>
      <c r="R5183" t="s">
        <v>214</v>
      </c>
      <c r="S5183" s="2" t="s">
        <v>27</v>
      </c>
      <c r="T5183">
        <v>4</v>
      </c>
      <c r="U5183" t="s">
        <v>28</v>
      </c>
      <c r="V5183" t="s">
        <v>28</v>
      </c>
      <c r="W5183">
        <v>21</v>
      </c>
      <c r="X5183">
        <v>8.9700000000000005E-3</v>
      </c>
      <c r="Y5183">
        <f>0.01014-X5183</f>
        <v>1.1699999999999992E-3</v>
      </c>
      <c r="AA5183" s="6"/>
      <c r="AB5183" s="6"/>
    </row>
    <row r="5184" spans="1:28" x14ac:dyDescent="0.2">
      <c r="A5184" t="s">
        <v>605</v>
      </c>
      <c r="B5184">
        <v>2020</v>
      </c>
      <c r="C5184" t="s">
        <v>816</v>
      </c>
      <c r="D5184" t="s">
        <v>817</v>
      </c>
      <c r="E5184" t="s">
        <v>31</v>
      </c>
      <c r="F5184" t="s">
        <v>411</v>
      </c>
      <c r="G5184">
        <v>78.974999999999994</v>
      </c>
      <c r="H5184">
        <v>11.632999999999999</v>
      </c>
      <c r="I5184" t="s">
        <v>764</v>
      </c>
      <c r="J5184" s="2" t="s">
        <v>14</v>
      </c>
      <c r="K5184" t="s">
        <v>144</v>
      </c>
      <c r="L5184" t="s">
        <v>144</v>
      </c>
      <c r="M5184" t="s">
        <v>26</v>
      </c>
      <c r="N5184" t="s">
        <v>85</v>
      </c>
      <c r="O5184" t="s">
        <v>839</v>
      </c>
      <c r="P5184" t="s">
        <v>606</v>
      </c>
      <c r="Q5184">
        <v>8</v>
      </c>
      <c r="R5184" t="s">
        <v>213</v>
      </c>
      <c r="S5184" s="2" t="s">
        <v>27</v>
      </c>
      <c r="T5184">
        <v>4</v>
      </c>
      <c r="U5184" t="s">
        <v>28</v>
      </c>
      <c r="V5184" t="s">
        <v>28</v>
      </c>
      <c r="W5184">
        <v>21</v>
      </c>
      <c r="X5184">
        <v>6.1900000000000002E-3</v>
      </c>
      <c r="Y5184">
        <f>0.00715-X5184</f>
        <v>9.5999999999999992E-4</v>
      </c>
      <c r="AA5184" s="6"/>
      <c r="AB5184" s="6"/>
    </row>
    <row r="5185" spans="1:28" x14ac:dyDescent="0.2">
      <c r="A5185" t="s">
        <v>605</v>
      </c>
      <c r="B5185">
        <v>2020</v>
      </c>
      <c r="C5185" t="s">
        <v>816</v>
      </c>
      <c r="D5185" t="s">
        <v>817</v>
      </c>
      <c r="E5185" t="s">
        <v>31</v>
      </c>
      <c r="F5185" t="s">
        <v>411</v>
      </c>
      <c r="G5185">
        <v>78.974999999999994</v>
      </c>
      <c r="H5185">
        <v>11.632999999999999</v>
      </c>
      <c r="I5185" t="s">
        <v>764</v>
      </c>
      <c r="J5185" s="2" t="s">
        <v>14</v>
      </c>
      <c r="K5185" t="s">
        <v>144</v>
      </c>
      <c r="L5185" t="s">
        <v>144</v>
      </c>
      <c r="M5185" t="s">
        <v>26</v>
      </c>
      <c r="N5185" t="s">
        <v>85</v>
      </c>
      <c r="O5185" t="s">
        <v>839</v>
      </c>
      <c r="P5185" t="s">
        <v>606</v>
      </c>
      <c r="Q5185">
        <v>3</v>
      </c>
      <c r="R5185" t="s">
        <v>214</v>
      </c>
      <c r="S5185" s="2" t="s">
        <v>13</v>
      </c>
      <c r="T5185">
        <v>4</v>
      </c>
      <c r="U5185" t="s">
        <v>28</v>
      </c>
      <c r="V5185" t="s">
        <v>28</v>
      </c>
      <c r="W5185">
        <v>23</v>
      </c>
      <c r="X5185">
        <v>1.431E-2</v>
      </c>
      <c r="Y5185">
        <f>0.01804-X5185</f>
        <v>3.7300000000000007E-3</v>
      </c>
      <c r="AA5185" s="6"/>
      <c r="AB5185" s="6"/>
    </row>
    <row r="5186" spans="1:28" x14ac:dyDescent="0.2">
      <c r="A5186" t="s">
        <v>605</v>
      </c>
      <c r="B5186">
        <v>2020</v>
      </c>
      <c r="C5186" t="s">
        <v>816</v>
      </c>
      <c r="D5186" t="s">
        <v>817</v>
      </c>
      <c r="E5186" t="s">
        <v>31</v>
      </c>
      <c r="F5186" t="s">
        <v>411</v>
      </c>
      <c r="G5186">
        <v>78.974999999999994</v>
      </c>
      <c r="H5186">
        <v>11.632999999999999</v>
      </c>
      <c r="I5186" t="s">
        <v>764</v>
      </c>
      <c r="J5186" s="2" t="s">
        <v>14</v>
      </c>
      <c r="K5186" t="s">
        <v>144</v>
      </c>
      <c r="L5186" t="s">
        <v>144</v>
      </c>
      <c r="M5186" t="s">
        <v>26</v>
      </c>
      <c r="N5186" t="s">
        <v>85</v>
      </c>
      <c r="O5186" t="s">
        <v>839</v>
      </c>
      <c r="P5186" t="s">
        <v>606</v>
      </c>
      <c r="Q5186">
        <v>6</v>
      </c>
      <c r="R5186" t="s">
        <v>214</v>
      </c>
      <c r="S5186" s="2" t="s">
        <v>13</v>
      </c>
      <c r="T5186">
        <v>4</v>
      </c>
      <c r="U5186" t="s">
        <v>28</v>
      </c>
      <c r="V5186" t="s">
        <v>28</v>
      </c>
      <c r="W5186">
        <v>23</v>
      </c>
      <c r="X5186">
        <v>7.79E-3</v>
      </c>
      <c r="Y5186">
        <f>0.00961-X5186</f>
        <v>1.8200000000000004E-3</v>
      </c>
      <c r="AA5186" s="6"/>
      <c r="AB5186" s="6"/>
    </row>
    <row r="5187" spans="1:28" x14ac:dyDescent="0.2">
      <c r="A5187" t="s">
        <v>605</v>
      </c>
      <c r="B5187">
        <v>2020</v>
      </c>
      <c r="C5187" t="s">
        <v>816</v>
      </c>
      <c r="D5187" t="s">
        <v>817</v>
      </c>
      <c r="E5187" t="s">
        <v>31</v>
      </c>
      <c r="F5187" t="s">
        <v>411</v>
      </c>
      <c r="G5187">
        <v>78.974999999999994</v>
      </c>
      <c r="H5187">
        <v>11.632999999999999</v>
      </c>
      <c r="I5187" t="s">
        <v>764</v>
      </c>
      <c r="J5187" s="2" t="s">
        <v>14</v>
      </c>
      <c r="K5187" t="s">
        <v>144</v>
      </c>
      <c r="L5187" t="s">
        <v>144</v>
      </c>
      <c r="M5187" t="s">
        <v>26</v>
      </c>
      <c r="N5187" t="s">
        <v>85</v>
      </c>
      <c r="O5187" t="s">
        <v>839</v>
      </c>
      <c r="P5187" t="s">
        <v>606</v>
      </c>
      <c r="Q5187">
        <v>8</v>
      </c>
      <c r="R5187" t="s">
        <v>213</v>
      </c>
      <c r="S5187" s="2" t="s">
        <v>13</v>
      </c>
      <c r="T5187">
        <v>4</v>
      </c>
      <c r="U5187" t="s">
        <v>28</v>
      </c>
      <c r="V5187" t="s">
        <v>28</v>
      </c>
      <c r="W5187">
        <v>23</v>
      </c>
      <c r="X5187">
        <v>8.4999999999999995E-4</v>
      </c>
      <c r="Y5187">
        <f>0.00246-X5187</f>
        <v>1.6099999999999999E-3</v>
      </c>
      <c r="AA5187" s="6"/>
      <c r="AB5187" s="6"/>
    </row>
    <row r="5188" spans="1:28" x14ac:dyDescent="0.2">
      <c r="A5188" t="s">
        <v>605</v>
      </c>
      <c r="B5188">
        <v>2020</v>
      </c>
      <c r="C5188" t="s">
        <v>816</v>
      </c>
      <c r="D5188" t="s">
        <v>817</v>
      </c>
      <c r="E5188" t="s">
        <v>31</v>
      </c>
      <c r="F5188" t="s">
        <v>607</v>
      </c>
      <c r="G5188">
        <v>69.790000000000006</v>
      </c>
      <c r="H5188">
        <v>19.053999999999998</v>
      </c>
      <c r="I5188" t="s">
        <v>766</v>
      </c>
      <c r="J5188" s="2" t="s">
        <v>7</v>
      </c>
      <c r="K5188" t="s">
        <v>144</v>
      </c>
      <c r="L5188" t="s">
        <v>144</v>
      </c>
      <c r="M5188" t="s">
        <v>26</v>
      </c>
      <c r="N5188" t="s">
        <v>85</v>
      </c>
      <c r="O5188" t="s">
        <v>839</v>
      </c>
      <c r="P5188" t="s">
        <v>606</v>
      </c>
      <c r="Q5188">
        <v>3</v>
      </c>
      <c r="R5188" t="s">
        <v>214</v>
      </c>
      <c r="S5188" s="2" t="s">
        <v>7</v>
      </c>
      <c r="T5188">
        <v>4</v>
      </c>
      <c r="U5188" t="s">
        <v>28</v>
      </c>
      <c r="V5188" t="s">
        <v>28</v>
      </c>
      <c r="W5188">
        <v>15</v>
      </c>
      <c r="X5188">
        <v>8.7500000000000008E-3</v>
      </c>
      <c r="Y5188">
        <f>0.011-X5188</f>
        <v>2.2499999999999985E-3</v>
      </c>
      <c r="AA5188" s="6"/>
      <c r="AB5188" s="6"/>
    </row>
    <row r="5189" spans="1:28" x14ac:dyDescent="0.2">
      <c r="A5189" t="s">
        <v>605</v>
      </c>
      <c r="B5189">
        <v>2020</v>
      </c>
      <c r="C5189" t="s">
        <v>816</v>
      </c>
      <c r="D5189" t="s">
        <v>817</v>
      </c>
      <c r="E5189" t="s">
        <v>31</v>
      </c>
      <c r="F5189" t="s">
        <v>607</v>
      </c>
      <c r="G5189">
        <v>69.790000000000006</v>
      </c>
      <c r="H5189">
        <v>19.053999999999998</v>
      </c>
      <c r="I5189" t="s">
        <v>766</v>
      </c>
      <c r="J5189" s="2" t="s">
        <v>7</v>
      </c>
      <c r="K5189" t="s">
        <v>144</v>
      </c>
      <c r="L5189" t="s">
        <v>144</v>
      </c>
      <c r="M5189" t="s">
        <v>26</v>
      </c>
      <c r="N5189" t="s">
        <v>85</v>
      </c>
      <c r="O5189" t="s">
        <v>839</v>
      </c>
      <c r="P5189" t="s">
        <v>606</v>
      </c>
      <c r="Q5189">
        <v>6</v>
      </c>
      <c r="R5189" t="s">
        <v>214</v>
      </c>
      <c r="S5189" s="2" t="s">
        <v>7</v>
      </c>
      <c r="T5189">
        <v>4</v>
      </c>
      <c r="U5189" t="s">
        <v>28</v>
      </c>
      <c r="V5189" t="s">
        <v>28</v>
      </c>
      <c r="W5189">
        <v>15</v>
      </c>
      <c r="X5189">
        <v>8.3300000000000006E-3</v>
      </c>
      <c r="Y5189">
        <f>0.01142-X5189</f>
        <v>3.089999999999999E-3</v>
      </c>
      <c r="AA5189" s="6"/>
      <c r="AB5189" s="6"/>
    </row>
    <row r="5190" spans="1:28" x14ac:dyDescent="0.2">
      <c r="A5190" t="s">
        <v>605</v>
      </c>
      <c r="B5190">
        <v>2020</v>
      </c>
      <c r="C5190" t="s">
        <v>816</v>
      </c>
      <c r="D5190" t="s">
        <v>817</v>
      </c>
      <c r="E5190" t="s">
        <v>31</v>
      </c>
      <c r="F5190" t="s">
        <v>607</v>
      </c>
      <c r="G5190">
        <v>69.790000000000006</v>
      </c>
      <c r="H5190">
        <v>19.053999999999998</v>
      </c>
      <c r="I5190" t="s">
        <v>766</v>
      </c>
      <c r="J5190" s="2" t="s">
        <v>7</v>
      </c>
      <c r="K5190" t="s">
        <v>144</v>
      </c>
      <c r="L5190" t="s">
        <v>144</v>
      </c>
      <c r="M5190" t="s">
        <v>26</v>
      </c>
      <c r="N5190" t="s">
        <v>85</v>
      </c>
      <c r="O5190" t="s">
        <v>839</v>
      </c>
      <c r="P5190" t="s">
        <v>606</v>
      </c>
      <c r="Q5190">
        <v>8</v>
      </c>
      <c r="R5190" t="s">
        <v>213</v>
      </c>
      <c r="S5190" s="2" t="s">
        <v>7</v>
      </c>
      <c r="T5190">
        <v>4</v>
      </c>
      <c r="U5190" t="s">
        <v>28</v>
      </c>
      <c r="V5190" t="s">
        <v>28</v>
      </c>
      <c r="W5190">
        <v>15</v>
      </c>
      <c r="X5190">
        <v>1.2279999999999999E-2</v>
      </c>
      <c r="Y5190">
        <f>0.01537-X5190</f>
        <v>3.0900000000000007E-3</v>
      </c>
      <c r="AA5190" s="6"/>
      <c r="AB5190" s="6"/>
    </row>
    <row r="5191" spans="1:28" x14ac:dyDescent="0.2">
      <c r="A5191" t="s">
        <v>605</v>
      </c>
      <c r="B5191">
        <v>2020</v>
      </c>
      <c r="C5191" t="s">
        <v>816</v>
      </c>
      <c r="D5191" t="s">
        <v>817</v>
      </c>
      <c r="E5191" t="s">
        <v>31</v>
      </c>
      <c r="F5191" t="s">
        <v>607</v>
      </c>
      <c r="G5191">
        <v>69.790000000000006</v>
      </c>
      <c r="H5191">
        <v>19.053999999999998</v>
      </c>
      <c r="I5191" t="s">
        <v>766</v>
      </c>
      <c r="J5191" s="2" t="s">
        <v>14</v>
      </c>
      <c r="K5191" t="s">
        <v>144</v>
      </c>
      <c r="L5191" t="s">
        <v>144</v>
      </c>
      <c r="M5191" t="s">
        <v>26</v>
      </c>
      <c r="N5191" t="s">
        <v>85</v>
      </c>
      <c r="O5191" t="s">
        <v>839</v>
      </c>
      <c r="P5191" t="s">
        <v>606</v>
      </c>
      <c r="Q5191">
        <v>3</v>
      </c>
      <c r="R5191" t="s">
        <v>214</v>
      </c>
      <c r="S5191" s="2" t="s">
        <v>9</v>
      </c>
      <c r="T5191">
        <v>4</v>
      </c>
      <c r="U5191" t="s">
        <v>28</v>
      </c>
      <c r="V5191" t="s">
        <v>28</v>
      </c>
      <c r="W5191">
        <v>19</v>
      </c>
      <c r="X5191">
        <v>8.43E-3</v>
      </c>
      <c r="Y5191">
        <f>0.0094-X5191</f>
        <v>9.7000000000000038E-4</v>
      </c>
      <c r="AA5191" s="6"/>
      <c r="AB5191" s="6"/>
    </row>
    <row r="5192" spans="1:28" x14ac:dyDescent="0.2">
      <c r="A5192" t="s">
        <v>605</v>
      </c>
      <c r="B5192">
        <v>2020</v>
      </c>
      <c r="C5192" t="s">
        <v>816</v>
      </c>
      <c r="D5192" t="s">
        <v>817</v>
      </c>
      <c r="E5192" t="s">
        <v>31</v>
      </c>
      <c r="F5192" t="s">
        <v>607</v>
      </c>
      <c r="G5192">
        <v>69.790000000000006</v>
      </c>
      <c r="H5192">
        <v>19.053999999999998</v>
      </c>
      <c r="I5192" t="s">
        <v>766</v>
      </c>
      <c r="J5192" s="2" t="s">
        <v>14</v>
      </c>
      <c r="K5192" t="s">
        <v>144</v>
      </c>
      <c r="L5192" t="s">
        <v>144</v>
      </c>
      <c r="M5192" t="s">
        <v>26</v>
      </c>
      <c r="N5192" t="s">
        <v>85</v>
      </c>
      <c r="O5192" t="s">
        <v>839</v>
      </c>
      <c r="P5192" t="s">
        <v>606</v>
      </c>
      <c r="Q5192">
        <v>6</v>
      </c>
      <c r="R5192" t="s">
        <v>214</v>
      </c>
      <c r="S5192" s="2" t="s">
        <v>9</v>
      </c>
      <c r="T5192">
        <v>4</v>
      </c>
      <c r="U5192" t="s">
        <v>28</v>
      </c>
      <c r="V5192" t="s">
        <v>28</v>
      </c>
      <c r="W5192">
        <v>19</v>
      </c>
      <c r="X5192">
        <v>2.0300000000000001E-3</v>
      </c>
      <c r="Y5192">
        <f>0.00512-X5192</f>
        <v>3.0900000000000003E-3</v>
      </c>
      <c r="AA5192" s="6"/>
      <c r="AB5192" s="6"/>
    </row>
    <row r="5193" spans="1:28" x14ac:dyDescent="0.2">
      <c r="A5193" t="s">
        <v>605</v>
      </c>
      <c r="B5193">
        <v>2020</v>
      </c>
      <c r="C5193" t="s">
        <v>816</v>
      </c>
      <c r="D5193" t="s">
        <v>817</v>
      </c>
      <c r="E5193" t="s">
        <v>31</v>
      </c>
      <c r="F5193" t="s">
        <v>607</v>
      </c>
      <c r="G5193">
        <v>69.790000000000006</v>
      </c>
      <c r="H5193">
        <v>19.053999999999998</v>
      </c>
      <c r="I5193" t="s">
        <v>766</v>
      </c>
      <c r="J5193" s="2" t="s">
        <v>14</v>
      </c>
      <c r="K5193" t="s">
        <v>144</v>
      </c>
      <c r="L5193" t="s">
        <v>144</v>
      </c>
      <c r="M5193" t="s">
        <v>26</v>
      </c>
      <c r="N5193" t="s">
        <v>85</v>
      </c>
      <c r="O5193" t="s">
        <v>839</v>
      </c>
      <c r="P5193" t="s">
        <v>606</v>
      </c>
      <c r="Q5193">
        <v>8</v>
      </c>
      <c r="R5193" t="s">
        <v>213</v>
      </c>
      <c r="S5193" s="2" t="s">
        <v>9</v>
      </c>
      <c r="T5193">
        <v>4</v>
      </c>
      <c r="U5193" t="s">
        <v>28</v>
      </c>
      <c r="V5193" t="s">
        <v>28</v>
      </c>
      <c r="W5193">
        <v>19</v>
      </c>
      <c r="X5193">
        <v>3.63E-3</v>
      </c>
      <c r="Y5193">
        <f>0.00406-X5193</f>
        <v>4.3000000000000026E-4</v>
      </c>
      <c r="AA5193" s="6"/>
      <c r="AB5193" s="6"/>
    </row>
    <row r="5194" spans="1:28" x14ac:dyDescent="0.2">
      <c r="A5194" t="s">
        <v>605</v>
      </c>
      <c r="B5194">
        <v>2020</v>
      </c>
      <c r="C5194" t="s">
        <v>816</v>
      </c>
      <c r="D5194" t="s">
        <v>817</v>
      </c>
      <c r="E5194" t="s">
        <v>31</v>
      </c>
      <c r="F5194" t="s">
        <v>607</v>
      </c>
      <c r="G5194">
        <v>69.790000000000006</v>
      </c>
      <c r="H5194">
        <v>19.053999999999998</v>
      </c>
      <c r="I5194" t="s">
        <v>766</v>
      </c>
      <c r="J5194" s="2" t="s">
        <v>14</v>
      </c>
      <c r="K5194" t="s">
        <v>144</v>
      </c>
      <c r="L5194" t="s">
        <v>144</v>
      </c>
      <c r="M5194" t="s">
        <v>26</v>
      </c>
      <c r="N5194" t="s">
        <v>85</v>
      </c>
      <c r="O5194" t="s">
        <v>839</v>
      </c>
      <c r="P5194" t="s">
        <v>606</v>
      </c>
      <c r="Q5194">
        <v>3</v>
      </c>
      <c r="R5194" t="s">
        <v>214</v>
      </c>
      <c r="S5194" s="2" t="s">
        <v>27</v>
      </c>
      <c r="T5194">
        <v>4</v>
      </c>
      <c r="U5194" t="s">
        <v>28</v>
      </c>
      <c r="V5194" t="s">
        <v>28</v>
      </c>
      <c r="W5194">
        <v>21</v>
      </c>
      <c r="X5194">
        <v>1.089E-2</v>
      </c>
      <c r="Y5194">
        <f>0.01441-X5194</f>
        <v>3.5199999999999988E-3</v>
      </c>
      <c r="AA5194" s="6"/>
      <c r="AB5194" s="6"/>
    </row>
    <row r="5195" spans="1:28" x14ac:dyDescent="0.2">
      <c r="A5195" t="s">
        <v>605</v>
      </c>
      <c r="B5195">
        <v>2020</v>
      </c>
      <c r="C5195" t="s">
        <v>816</v>
      </c>
      <c r="D5195" t="s">
        <v>817</v>
      </c>
      <c r="E5195" t="s">
        <v>31</v>
      </c>
      <c r="F5195" t="s">
        <v>607</v>
      </c>
      <c r="G5195">
        <v>69.790000000000006</v>
      </c>
      <c r="H5195">
        <v>19.053999999999998</v>
      </c>
      <c r="I5195" t="s">
        <v>766</v>
      </c>
      <c r="J5195" s="2" t="s">
        <v>14</v>
      </c>
      <c r="K5195" t="s">
        <v>144</v>
      </c>
      <c r="L5195" t="s">
        <v>144</v>
      </c>
      <c r="M5195" t="s">
        <v>26</v>
      </c>
      <c r="N5195" t="s">
        <v>85</v>
      </c>
      <c r="O5195" t="s">
        <v>839</v>
      </c>
      <c r="P5195" t="s">
        <v>606</v>
      </c>
      <c r="Q5195">
        <v>6</v>
      </c>
      <c r="R5195" t="s">
        <v>214</v>
      </c>
      <c r="S5195" s="2" t="s">
        <v>27</v>
      </c>
      <c r="T5195">
        <v>4</v>
      </c>
      <c r="U5195" t="s">
        <v>28</v>
      </c>
      <c r="V5195" t="s">
        <v>28</v>
      </c>
      <c r="W5195">
        <v>21</v>
      </c>
      <c r="X5195">
        <v>3.2000000000000002E-3</v>
      </c>
      <c r="Y5195">
        <f>0.00534-X5195</f>
        <v>2.14E-3</v>
      </c>
      <c r="AA5195" s="6"/>
      <c r="AB5195" s="6"/>
    </row>
    <row r="5196" spans="1:28" x14ac:dyDescent="0.2">
      <c r="A5196" t="s">
        <v>605</v>
      </c>
      <c r="B5196">
        <v>2020</v>
      </c>
      <c r="C5196" t="s">
        <v>816</v>
      </c>
      <c r="D5196" t="s">
        <v>817</v>
      </c>
      <c r="E5196" t="s">
        <v>31</v>
      </c>
      <c r="F5196" t="s">
        <v>607</v>
      </c>
      <c r="G5196">
        <v>69.790000000000006</v>
      </c>
      <c r="H5196">
        <v>19.053999999999998</v>
      </c>
      <c r="I5196" t="s">
        <v>766</v>
      </c>
      <c r="J5196" s="2" t="s">
        <v>14</v>
      </c>
      <c r="K5196" t="s">
        <v>144</v>
      </c>
      <c r="L5196" t="s">
        <v>144</v>
      </c>
      <c r="M5196" t="s">
        <v>26</v>
      </c>
      <c r="N5196" t="s">
        <v>85</v>
      </c>
      <c r="O5196" t="s">
        <v>839</v>
      </c>
      <c r="P5196" t="s">
        <v>606</v>
      </c>
      <c r="Q5196">
        <v>8</v>
      </c>
      <c r="R5196" t="s">
        <v>213</v>
      </c>
      <c r="S5196" s="2" t="s">
        <v>27</v>
      </c>
      <c r="T5196">
        <v>4</v>
      </c>
      <c r="U5196" t="s">
        <v>28</v>
      </c>
      <c r="V5196" t="s">
        <v>28</v>
      </c>
      <c r="W5196">
        <v>21</v>
      </c>
      <c r="X5196">
        <v>2.8800000000000002E-3</v>
      </c>
      <c r="Y5196">
        <f>0.00427-X5196</f>
        <v>1.3900000000000002E-3</v>
      </c>
      <c r="AA5196" s="6"/>
      <c r="AB5196" s="6"/>
    </row>
    <row r="5197" spans="1:28" x14ac:dyDescent="0.2">
      <c r="A5197" t="s">
        <v>605</v>
      </c>
      <c r="B5197">
        <v>2020</v>
      </c>
      <c r="C5197" t="s">
        <v>816</v>
      </c>
      <c r="D5197" t="s">
        <v>817</v>
      </c>
      <c r="E5197" t="s">
        <v>31</v>
      </c>
      <c r="F5197" t="s">
        <v>607</v>
      </c>
      <c r="G5197">
        <v>69.790000000000006</v>
      </c>
      <c r="H5197">
        <v>19.053999999999998</v>
      </c>
      <c r="I5197" t="s">
        <v>766</v>
      </c>
      <c r="J5197" s="2" t="s">
        <v>14</v>
      </c>
      <c r="K5197" t="s">
        <v>144</v>
      </c>
      <c r="L5197" t="s">
        <v>144</v>
      </c>
      <c r="M5197" t="s">
        <v>26</v>
      </c>
      <c r="N5197" t="s">
        <v>85</v>
      </c>
      <c r="O5197" t="s">
        <v>839</v>
      </c>
      <c r="P5197" t="s">
        <v>606</v>
      </c>
      <c r="Q5197">
        <v>3</v>
      </c>
      <c r="R5197" t="s">
        <v>214</v>
      </c>
      <c r="S5197" s="2" t="s">
        <v>13</v>
      </c>
      <c r="T5197">
        <v>4</v>
      </c>
      <c r="U5197" t="s">
        <v>28</v>
      </c>
      <c r="V5197" t="s">
        <v>28</v>
      </c>
      <c r="W5197">
        <v>23</v>
      </c>
      <c r="X5197">
        <v>9.0699999999999999E-3</v>
      </c>
      <c r="Y5197">
        <f>0.01356-X5197</f>
        <v>4.4899999999999992E-3</v>
      </c>
      <c r="AA5197" s="6"/>
      <c r="AB5197" s="6"/>
    </row>
    <row r="5198" spans="1:28" x14ac:dyDescent="0.2">
      <c r="A5198" t="s">
        <v>605</v>
      </c>
      <c r="B5198">
        <v>2020</v>
      </c>
      <c r="C5198" t="s">
        <v>816</v>
      </c>
      <c r="D5198" t="s">
        <v>817</v>
      </c>
      <c r="E5198" t="s">
        <v>31</v>
      </c>
      <c r="F5198" t="s">
        <v>607</v>
      </c>
      <c r="G5198">
        <v>69.790000000000006</v>
      </c>
      <c r="H5198">
        <v>19.053999999999998</v>
      </c>
      <c r="I5198" t="s">
        <v>766</v>
      </c>
      <c r="J5198" s="2" t="s">
        <v>14</v>
      </c>
      <c r="K5198" t="s">
        <v>144</v>
      </c>
      <c r="L5198" t="s">
        <v>144</v>
      </c>
      <c r="M5198" t="s">
        <v>26</v>
      </c>
      <c r="N5198" t="s">
        <v>85</v>
      </c>
      <c r="O5198" t="s">
        <v>839</v>
      </c>
      <c r="P5198" t="s">
        <v>606</v>
      </c>
      <c r="Q5198">
        <v>6</v>
      </c>
      <c r="R5198" t="s">
        <v>214</v>
      </c>
      <c r="S5198" s="2" t="s">
        <v>13</v>
      </c>
      <c r="T5198">
        <v>4</v>
      </c>
      <c r="U5198" t="s">
        <v>28</v>
      </c>
      <c r="V5198" t="s">
        <v>28</v>
      </c>
      <c r="W5198">
        <v>23</v>
      </c>
      <c r="X5198">
        <v>5.3400000000000001E-3</v>
      </c>
      <c r="Y5198">
        <f>0.00822-X5198</f>
        <v>2.8799999999999997E-3</v>
      </c>
      <c r="AA5198" s="6"/>
      <c r="AB5198" s="6"/>
    </row>
    <row r="5199" spans="1:28" x14ac:dyDescent="0.2">
      <c r="A5199" t="s">
        <v>605</v>
      </c>
      <c r="B5199">
        <v>2020</v>
      </c>
      <c r="C5199" t="s">
        <v>816</v>
      </c>
      <c r="D5199" t="s">
        <v>817</v>
      </c>
      <c r="E5199" t="s">
        <v>31</v>
      </c>
      <c r="F5199" t="s">
        <v>607</v>
      </c>
      <c r="G5199">
        <v>69.790000000000006</v>
      </c>
      <c r="H5199">
        <v>19.053999999999998</v>
      </c>
      <c r="I5199" t="s">
        <v>766</v>
      </c>
      <c r="J5199" s="2" t="s">
        <v>14</v>
      </c>
      <c r="K5199" t="s">
        <v>144</v>
      </c>
      <c r="L5199" t="s">
        <v>144</v>
      </c>
      <c r="M5199" t="s">
        <v>26</v>
      </c>
      <c r="N5199" t="s">
        <v>85</v>
      </c>
      <c r="O5199" t="s">
        <v>839</v>
      </c>
      <c r="P5199" t="s">
        <v>606</v>
      </c>
      <c r="Q5199">
        <v>8</v>
      </c>
      <c r="R5199" t="s">
        <v>213</v>
      </c>
      <c r="S5199" s="2" t="s">
        <v>13</v>
      </c>
      <c r="T5199">
        <v>4</v>
      </c>
      <c r="U5199" t="s">
        <v>28</v>
      </c>
      <c r="V5199" t="s">
        <v>28</v>
      </c>
      <c r="W5199">
        <v>23</v>
      </c>
      <c r="X5199">
        <v>3.0999999999999999E-3</v>
      </c>
      <c r="Y5199">
        <f>0.00395-X5199</f>
        <v>8.5000000000000049E-4</v>
      </c>
      <c r="AA5199" s="6"/>
      <c r="AB5199" s="6"/>
    </row>
    <row r="5200" spans="1:28" x14ac:dyDescent="0.2">
      <c r="A5200" t="s">
        <v>605</v>
      </c>
      <c r="B5200">
        <v>2020</v>
      </c>
      <c r="C5200" t="s">
        <v>816</v>
      </c>
      <c r="D5200" t="s">
        <v>817</v>
      </c>
      <c r="E5200" t="s">
        <v>31</v>
      </c>
      <c r="F5200" t="s">
        <v>307</v>
      </c>
      <c r="G5200">
        <v>54.177999999999997</v>
      </c>
      <c r="H5200">
        <v>7.8929999999999998</v>
      </c>
      <c r="I5200" t="s">
        <v>766</v>
      </c>
      <c r="J5200" s="2" t="s">
        <v>7</v>
      </c>
      <c r="K5200" t="s">
        <v>144</v>
      </c>
      <c r="L5200" t="s">
        <v>144</v>
      </c>
      <c r="M5200" t="s">
        <v>26</v>
      </c>
      <c r="N5200" t="s">
        <v>85</v>
      </c>
      <c r="O5200" t="s">
        <v>839</v>
      </c>
      <c r="P5200" t="s">
        <v>606</v>
      </c>
      <c r="Q5200">
        <v>3</v>
      </c>
      <c r="R5200" t="s">
        <v>214</v>
      </c>
      <c r="S5200" s="2" t="s">
        <v>7</v>
      </c>
      <c r="T5200">
        <v>4</v>
      </c>
      <c r="U5200" t="s">
        <v>28</v>
      </c>
      <c r="V5200" t="s">
        <v>28</v>
      </c>
      <c r="W5200">
        <v>15</v>
      </c>
      <c r="X5200">
        <v>3.0589999999999999E-2</v>
      </c>
      <c r="Y5200">
        <f>0.03872-X5200</f>
        <v>8.1299999999999983E-3</v>
      </c>
      <c r="AA5200" s="6"/>
      <c r="AB5200" s="6"/>
    </row>
    <row r="5201" spans="1:28" x14ac:dyDescent="0.2">
      <c r="A5201" t="s">
        <v>605</v>
      </c>
      <c r="B5201">
        <v>2020</v>
      </c>
      <c r="C5201" t="s">
        <v>816</v>
      </c>
      <c r="D5201" t="s">
        <v>817</v>
      </c>
      <c r="E5201" t="s">
        <v>31</v>
      </c>
      <c r="F5201" t="s">
        <v>307</v>
      </c>
      <c r="G5201">
        <v>54.177999999999997</v>
      </c>
      <c r="H5201">
        <v>7.8929999999999998</v>
      </c>
      <c r="I5201" t="s">
        <v>766</v>
      </c>
      <c r="J5201" s="2" t="s">
        <v>7</v>
      </c>
      <c r="K5201" t="s">
        <v>144</v>
      </c>
      <c r="L5201" t="s">
        <v>144</v>
      </c>
      <c r="M5201" t="s">
        <v>26</v>
      </c>
      <c r="N5201" t="s">
        <v>85</v>
      </c>
      <c r="O5201" t="s">
        <v>839</v>
      </c>
      <c r="P5201" t="s">
        <v>606</v>
      </c>
      <c r="Q5201">
        <v>6</v>
      </c>
      <c r="R5201" t="s">
        <v>214</v>
      </c>
      <c r="S5201" s="2" t="s">
        <v>7</v>
      </c>
      <c r="T5201">
        <v>4</v>
      </c>
      <c r="U5201" t="s">
        <v>28</v>
      </c>
      <c r="V5201" t="s">
        <v>28</v>
      </c>
      <c r="W5201">
        <v>15</v>
      </c>
      <c r="X5201">
        <v>3.1759999999999997E-2</v>
      </c>
      <c r="Y5201">
        <f>0.03936-X5201</f>
        <v>7.6000000000000026E-3</v>
      </c>
      <c r="AA5201" s="6"/>
      <c r="AB5201" s="6"/>
    </row>
    <row r="5202" spans="1:28" x14ac:dyDescent="0.2">
      <c r="A5202" t="s">
        <v>605</v>
      </c>
      <c r="B5202">
        <v>2020</v>
      </c>
      <c r="C5202" t="s">
        <v>816</v>
      </c>
      <c r="D5202" t="s">
        <v>817</v>
      </c>
      <c r="E5202" t="s">
        <v>31</v>
      </c>
      <c r="F5202" t="s">
        <v>307</v>
      </c>
      <c r="G5202">
        <v>54.177999999999997</v>
      </c>
      <c r="H5202">
        <v>7.8929999999999998</v>
      </c>
      <c r="I5202" t="s">
        <v>766</v>
      </c>
      <c r="J5202" s="2" t="s">
        <v>7</v>
      </c>
      <c r="K5202" t="s">
        <v>144</v>
      </c>
      <c r="L5202" t="s">
        <v>144</v>
      </c>
      <c r="M5202" t="s">
        <v>26</v>
      </c>
      <c r="N5202" t="s">
        <v>85</v>
      </c>
      <c r="O5202" t="s">
        <v>839</v>
      </c>
      <c r="P5202" t="s">
        <v>606</v>
      </c>
      <c r="Q5202">
        <v>8</v>
      </c>
      <c r="R5202" t="s">
        <v>213</v>
      </c>
      <c r="S5202" s="2" t="s">
        <v>7</v>
      </c>
      <c r="T5202">
        <v>4</v>
      </c>
      <c r="U5202" t="s">
        <v>28</v>
      </c>
      <c r="V5202" t="s">
        <v>28</v>
      </c>
      <c r="W5202">
        <v>15</v>
      </c>
      <c r="X5202">
        <v>2.8340000000000001E-2</v>
      </c>
      <c r="Y5202">
        <f>0.03594-X5202</f>
        <v>7.5999999999999991E-3</v>
      </c>
      <c r="AA5202" s="6"/>
      <c r="AB5202" s="6"/>
    </row>
    <row r="5203" spans="1:28" x14ac:dyDescent="0.2">
      <c r="A5203" t="s">
        <v>605</v>
      </c>
      <c r="B5203">
        <v>2020</v>
      </c>
      <c r="C5203" t="s">
        <v>816</v>
      </c>
      <c r="D5203" t="s">
        <v>817</v>
      </c>
      <c r="E5203" t="s">
        <v>31</v>
      </c>
      <c r="F5203" t="s">
        <v>307</v>
      </c>
      <c r="G5203">
        <v>54.177999999999997</v>
      </c>
      <c r="H5203">
        <v>7.8929999999999998</v>
      </c>
      <c r="I5203" t="s">
        <v>766</v>
      </c>
      <c r="J5203" s="2" t="s">
        <v>14</v>
      </c>
      <c r="K5203" t="s">
        <v>144</v>
      </c>
      <c r="L5203" t="s">
        <v>144</v>
      </c>
      <c r="M5203" t="s">
        <v>26</v>
      </c>
      <c r="N5203" t="s">
        <v>85</v>
      </c>
      <c r="O5203" t="s">
        <v>839</v>
      </c>
      <c r="P5203" t="s">
        <v>606</v>
      </c>
      <c r="Q5203">
        <v>3</v>
      </c>
      <c r="R5203" t="s">
        <v>214</v>
      </c>
      <c r="S5203" s="2" t="s">
        <v>9</v>
      </c>
      <c r="T5203">
        <v>4</v>
      </c>
      <c r="U5203" t="s">
        <v>28</v>
      </c>
      <c r="V5203" t="s">
        <v>28</v>
      </c>
      <c r="W5203">
        <v>19</v>
      </c>
      <c r="X5203">
        <v>2.086E-2</v>
      </c>
      <c r="Y5203">
        <f>0.02791-X5203</f>
        <v>7.0500000000000007E-3</v>
      </c>
      <c r="AA5203" s="6"/>
      <c r="AB5203" s="6"/>
    </row>
    <row r="5204" spans="1:28" x14ac:dyDescent="0.2">
      <c r="A5204" t="s">
        <v>605</v>
      </c>
      <c r="B5204">
        <v>2020</v>
      </c>
      <c r="C5204" t="s">
        <v>816</v>
      </c>
      <c r="D5204" t="s">
        <v>817</v>
      </c>
      <c r="E5204" t="s">
        <v>31</v>
      </c>
      <c r="F5204" t="s">
        <v>307</v>
      </c>
      <c r="G5204">
        <v>54.177999999999997</v>
      </c>
      <c r="H5204">
        <v>7.8929999999999998</v>
      </c>
      <c r="I5204" t="s">
        <v>766</v>
      </c>
      <c r="J5204" s="2" t="s">
        <v>14</v>
      </c>
      <c r="K5204" t="s">
        <v>144</v>
      </c>
      <c r="L5204" t="s">
        <v>144</v>
      </c>
      <c r="M5204" t="s">
        <v>26</v>
      </c>
      <c r="N5204" t="s">
        <v>85</v>
      </c>
      <c r="O5204" t="s">
        <v>839</v>
      </c>
      <c r="P5204" t="s">
        <v>606</v>
      </c>
      <c r="Q5204">
        <v>6</v>
      </c>
      <c r="R5204" t="s">
        <v>214</v>
      </c>
      <c r="S5204" s="2" t="s">
        <v>9</v>
      </c>
      <c r="T5204">
        <v>4</v>
      </c>
      <c r="U5204" t="s">
        <v>28</v>
      </c>
      <c r="V5204" t="s">
        <v>28</v>
      </c>
      <c r="W5204">
        <v>19</v>
      </c>
      <c r="X5204">
        <v>1.6469999999999999E-2</v>
      </c>
      <c r="Y5204">
        <f>0.02428-X5204</f>
        <v>7.810000000000001E-3</v>
      </c>
      <c r="AA5204" s="6"/>
      <c r="AB5204" s="6"/>
    </row>
    <row r="5205" spans="1:28" x14ac:dyDescent="0.2">
      <c r="A5205" t="s">
        <v>605</v>
      </c>
      <c r="B5205">
        <v>2020</v>
      </c>
      <c r="C5205" t="s">
        <v>816</v>
      </c>
      <c r="D5205" t="s">
        <v>817</v>
      </c>
      <c r="E5205" t="s">
        <v>31</v>
      </c>
      <c r="F5205" t="s">
        <v>307</v>
      </c>
      <c r="G5205">
        <v>54.177999999999997</v>
      </c>
      <c r="H5205">
        <v>7.8929999999999998</v>
      </c>
      <c r="I5205" t="s">
        <v>766</v>
      </c>
      <c r="J5205" s="2" t="s">
        <v>14</v>
      </c>
      <c r="K5205" t="s">
        <v>144</v>
      </c>
      <c r="L5205" t="s">
        <v>144</v>
      </c>
      <c r="M5205" t="s">
        <v>26</v>
      </c>
      <c r="N5205" t="s">
        <v>85</v>
      </c>
      <c r="O5205" t="s">
        <v>839</v>
      </c>
      <c r="P5205" t="s">
        <v>606</v>
      </c>
      <c r="Q5205">
        <v>8</v>
      </c>
      <c r="R5205" t="s">
        <v>213</v>
      </c>
      <c r="S5205" s="2" t="s">
        <v>9</v>
      </c>
      <c r="T5205">
        <v>4</v>
      </c>
      <c r="U5205" t="s">
        <v>28</v>
      </c>
      <c r="V5205" t="s">
        <v>28</v>
      </c>
      <c r="W5205">
        <v>19</v>
      </c>
      <c r="X5205">
        <v>1.316E-2</v>
      </c>
      <c r="Y5205">
        <f>0.01872-X5205</f>
        <v>5.5600000000000007E-3</v>
      </c>
      <c r="AA5205" s="6"/>
      <c r="AB5205" s="6"/>
    </row>
    <row r="5206" spans="1:28" x14ac:dyDescent="0.2">
      <c r="A5206" t="s">
        <v>605</v>
      </c>
      <c r="B5206">
        <v>2020</v>
      </c>
      <c r="C5206" t="s">
        <v>816</v>
      </c>
      <c r="D5206" t="s">
        <v>817</v>
      </c>
      <c r="E5206" t="s">
        <v>31</v>
      </c>
      <c r="F5206" t="s">
        <v>307</v>
      </c>
      <c r="G5206">
        <v>54.177999999999997</v>
      </c>
      <c r="H5206">
        <v>7.8929999999999998</v>
      </c>
      <c r="I5206" t="s">
        <v>766</v>
      </c>
      <c r="J5206" s="2" t="s">
        <v>14</v>
      </c>
      <c r="K5206" t="s">
        <v>144</v>
      </c>
      <c r="L5206" t="s">
        <v>144</v>
      </c>
      <c r="M5206" t="s">
        <v>26</v>
      </c>
      <c r="N5206" t="s">
        <v>85</v>
      </c>
      <c r="O5206" t="s">
        <v>839</v>
      </c>
      <c r="P5206" t="s">
        <v>606</v>
      </c>
      <c r="Q5206">
        <v>3</v>
      </c>
      <c r="R5206" t="s">
        <v>214</v>
      </c>
      <c r="S5206" s="2" t="s">
        <v>27</v>
      </c>
      <c r="T5206">
        <v>4</v>
      </c>
      <c r="U5206" t="s">
        <v>28</v>
      </c>
      <c r="V5206" t="s">
        <v>28</v>
      </c>
      <c r="W5206">
        <v>21</v>
      </c>
      <c r="X5206">
        <v>2.171E-2</v>
      </c>
      <c r="Y5206">
        <f>0.02684-X5206</f>
        <v>5.1299999999999991E-3</v>
      </c>
      <c r="AA5206" s="6"/>
      <c r="AB5206" s="6"/>
    </row>
    <row r="5207" spans="1:28" x14ac:dyDescent="0.2">
      <c r="A5207" t="s">
        <v>605</v>
      </c>
      <c r="B5207">
        <v>2020</v>
      </c>
      <c r="C5207" t="s">
        <v>816</v>
      </c>
      <c r="D5207" t="s">
        <v>817</v>
      </c>
      <c r="E5207" t="s">
        <v>31</v>
      </c>
      <c r="F5207" t="s">
        <v>307</v>
      </c>
      <c r="G5207">
        <v>54.177999999999997</v>
      </c>
      <c r="H5207">
        <v>7.8929999999999998</v>
      </c>
      <c r="I5207" t="s">
        <v>766</v>
      </c>
      <c r="J5207" s="2" t="s">
        <v>14</v>
      </c>
      <c r="K5207" t="s">
        <v>144</v>
      </c>
      <c r="L5207" t="s">
        <v>144</v>
      </c>
      <c r="M5207" t="s">
        <v>26</v>
      </c>
      <c r="N5207" t="s">
        <v>85</v>
      </c>
      <c r="O5207" t="s">
        <v>839</v>
      </c>
      <c r="P5207" t="s">
        <v>606</v>
      </c>
      <c r="Q5207">
        <v>6</v>
      </c>
      <c r="R5207" t="s">
        <v>214</v>
      </c>
      <c r="S5207" s="2" t="s">
        <v>27</v>
      </c>
      <c r="T5207">
        <v>4</v>
      </c>
      <c r="U5207" t="s">
        <v>28</v>
      </c>
      <c r="V5207" t="s">
        <v>28</v>
      </c>
      <c r="W5207">
        <v>21</v>
      </c>
      <c r="X5207">
        <v>9.41E-3</v>
      </c>
      <c r="Y5207">
        <f>0.01337-X5207</f>
        <v>3.96E-3</v>
      </c>
      <c r="AA5207" s="6"/>
      <c r="AB5207" s="6"/>
    </row>
    <row r="5208" spans="1:28" x14ac:dyDescent="0.2">
      <c r="A5208" t="s">
        <v>605</v>
      </c>
      <c r="B5208">
        <v>2020</v>
      </c>
      <c r="C5208" t="s">
        <v>816</v>
      </c>
      <c r="D5208" t="s">
        <v>817</v>
      </c>
      <c r="E5208" t="s">
        <v>31</v>
      </c>
      <c r="F5208" t="s">
        <v>307</v>
      </c>
      <c r="G5208">
        <v>54.177999999999997</v>
      </c>
      <c r="H5208">
        <v>7.8929999999999998</v>
      </c>
      <c r="I5208" t="s">
        <v>766</v>
      </c>
      <c r="J5208" s="2" t="s">
        <v>14</v>
      </c>
      <c r="K5208" t="s">
        <v>144</v>
      </c>
      <c r="L5208" t="s">
        <v>144</v>
      </c>
      <c r="M5208" t="s">
        <v>26</v>
      </c>
      <c r="N5208" t="s">
        <v>85</v>
      </c>
      <c r="O5208" t="s">
        <v>839</v>
      </c>
      <c r="P5208" t="s">
        <v>606</v>
      </c>
      <c r="Q5208">
        <v>8</v>
      </c>
      <c r="R5208" t="s">
        <v>213</v>
      </c>
      <c r="S5208" s="2" t="s">
        <v>27</v>
      </c>
      <c r="T5208">
        <v>4</v>
      </c>
      <c r="U5208" t="s">
        <v>28</v>
      </c>
      <c r="V5208" t="s">
        <v>28</v>
      </c>
      <c r="W5208">
        <v>21</v>
      </c>
      <c r="X5208">
        <v>5.13E-3</v>
      </c>
      <c r="Y5208">
        <f>0.00759-X5208</f>
        <v>2.4600000000000004E-3</v>
      </c>
      <c r="AA5208" s="6"/>
      <c r="AB5208" s="6"/>
    </row>
    <row r="5209" spans="1:28" x14ac:dyDescent="0.2">
      <c r="A5209" t="s">
        <v>605</v>
      </c>
      <c r="B5209">
        <v>2020</v>
      </c>
      <c r="C5209" t="s">
        <v>816</v>
      </c>
      <c r="D5209" t="s">
        <v>817</v>
      </c>
      <c r="E5209" t="s">
        <v>31</v>
      </c>
      <c r="F5209" t="s">
        <v>307</v>
      </c>
      <c r="G5209">
        <v>54.177999999999997</v>
      </c>
      <c r="H5209">
        <v>7.8929999999999998</v>
      </c>
      <c r="I5209" t="s">
        <v>766</v>
      </c>
      <c r="J5209" s="2" t="s">
        <v>14</v>
      </c>
      <c r="K5209" t="s">
        <v>144</v>
      </c>
      <c r="L5209" t="s">
        <v>144</v>
      </c>
      <c r="M5209" t="s">
        <v>26</v>
      </c>
      <c r="N5209" t="s">
        <v>85</v>
      </c>
      <c r="O5209" t="s">
        <v>839</v>
      </c>
      <c r="P5209" t="s">
        <v>606</v>
      </c>
      <c r="Q5209">
        <v>3</v>
      </c>
      <c r="R5209" t="s">
        <v>214</v>
      </c>
      <c r="S5209" s="2" t="s">
        <v>13</v>
      </c>
      <c r="T5209">
        <v>4</v>
      </c>
      <c r="U5209" t="s">
        <v>28</v>
      </c>
      <c r="V5209" t="s">
        <v>28</v>
      </c>
      <c r="W5209">
        <v>23</v>
      </c>
      <c r="X5209">
        <v>2.2249999999999999E-2</v>
      </c>
      <c r="Y5209">
        <f>0.02706-X5209</f>
        <v>4.8100000000000018E-3</v>
      </c>
      <c r="AA5209" s="6"/>
      <c r="AB5209" s="6"/>
    </row>
    <row r="5210" spans="1:28" x14ac:dyDescent="0.2">
      <c r="A5210" t="s">
        <v>605</v>
      </c>
      <c r="B5210">
        <v>2020</v>
      </c>
      <c r="C5210" t="s">
        <v>816</v>
      </c>
      <c r="D5210" t="s">
        <v>817</v>
      </c>
      <c r="E5210" t="s">
        <v>31</v>
      </c>
      <c r="F5210" t="s">
        <v>307</v>
      </c>
      <c r="G5210">
        <v>54.177999999999997</v>
      </c>
      <c r="H5210">
        <v>7.8929999999999998</v>
      </c>
      <c r="I5210" t="s">
        <v>766</v>
      </c>
      <c r="J5210" s="2" t="s">
        <v>14</v>
      </c>
      <c r="K5210" t="s">
        <v>144</v>
      </c>
      <c r="L5210" t="s">
        <v>144</v>
      </c>
      <c r="M5210" t="s">
        <v>26</v>
      </c>
      <c r="N5210" t="s">
        <v>85</v>
      </c>
      <c r="O5210" t="s">
        <v>839</v>
      </c>
      <c r="P5210" t="s">
        <v>606</v>
      </c>
      <c r="Q5210">
        <v>6</v>
      </c>
      <c r="R5210" t="s">
        <v>214</v>
      </c>
      <c r="S5210" s="2" t="s">
        <v>13</v>
      </c>
      <c r="T5210">
        <v>4</v>
      </c>
      <c r="U5210" t="s">
        <v>28</v>
      </c>
      <c r="V5210" t="s">
        <v>28</v>
      </c>
      <c r="W5210">
        <v>23</v>
      </c>
      <c r="X5210">
        <v>8.6599999999999993E-3</v>
      </c>
      <c r="Y5210">
        <f>0.00941-X5210</f>
        <v>7.5000000000000067E-4</v>
      </c>
      <c r="AA5210" s="6"/>
      <c r="AB5210" s="6"/>
    </row>
    <row r="5211" spans="1:28" x14ac:dyDescent="0.2">
      <c r="A5211" t="s">
        <v>605</v>
      </c>
      <c r="B5211">
        <v>2020</v>
      </c>
      <c r="C5211" t="s">
        <v>816</v>
      </c>
      <c r="D5211" t="s">
        <v>817</v>
      </c>
      <c r="E5211" t="s">
        <v>31</v>
      </c>
      <c r="F5211" t="s">
        <v>307</v>
      </c>
      <c r="G5211">
        <v>54.177999999999997</v>
      </c>
      <c r="H5211">
        <v>7.8929999999999998</v>
      </c>
      <c r="I5211" t="s">
        <v>766</v>
      </c>
      <c r="J5211" s="2" t="s">
        <v>14</v>
      </c>
      <c r="K5211" t="s">
        <v>144</v>
      </c>
      <c r="L5211" t="s">
        <v>144</v>
      </c>
      <c r="M5211" t="s">
        <v>26</v>
      </c>
      <c r="N5211" t="s">
        <v>85</v>
      </c>
      <c r="O5211" t="s">
        <v>839</v>
      </c>
      <c r="P5211" t="s">
        <v>606</v>
      </c>
      <c r="Q5211">
        <v>8</v>
      </c>
      <c r="R5211" t="s">
        <v>213</v>
      </c>
      <c r="S5211" s="2" t="s">
        <v>13</v>
      </c>
      <c r="T5211">
        <v>4</v>
      </c>
      <c r="U5211" t="s">
        <v>28</v>
      </c>
      <c r="V5211" t="s">
        <v>28</v>
      </c>
      <c r="W5211">
        <v>23</v>
      </c>
      <c r="X5211">
        <v>4.2999999999999999E-4</v>
      </c>
      <c r="Y5211">
        <f>0.00193-X5211</f>
        <v>1.5E-3</v>
      </c>
      <c r="AA5211" s="6"/>
      <c r="AB5211" s="6"/>
    </row>
    <row r="5212" spans="1:28" x14ac:dyDescent="0.2">
      <c r="A5212" t="s">
        <v>605</v>
      </c>
      <c r="B5212">
        <v>2020</v>
      </c>
      <c r="C5212" t="s">
        <v>816</v>
      </c>
      <c r="D5212" t="s">
        <v>817</v>
      </c>
      <c r="E5212" t="s">
        <v>31</v>
      </c>
      <c r="F5212" t="s">
        <v>283</v>
      </c>
      <c r="G5212">
        <v>48.726999999999997</v>
      </c>
      <c r="H5212">
        <v>-4.0049999999999999</v>
      </c>
      <c r="I5212" t="s">
        <v>765</v>
      </c>
      <c r="J5212" s="2" t="s">
        <v>7</v>
      </c>
      <c r="K5212" t="s">
        <v>144</v>
      </c>
      <c r="L5212" t="s">
        <v>144</v>
      </c>
      <c r="M5212" t="s">
        <v>26</v>
      </c>
      <c r="N5212" t="s">
        <v>85</v>
      </c>
      <c r="O5212" t="s">
        <v>839</v>
      </c>
      <c r="P5212" t="s">
        <v>606</v>
      </c>
      <c r="Q5212">
        <v>3</v>
      </c>
      <c r="R5212" t="s">
        <v>214</v>
      </c>
      <c r="S5212" s="2" t="s">
        <v>7</v>
      </c>
      <c r="T5212">
        <v>4</v>
      </c>
      <c r="U5212" t="s">
        <v>28</v>
      </c>
      <c r="V5212" t="s">
        <v>28</v>
      </c>
      <c r="W5212">
        <v>15</v>
      </c>
      <c r="X5212">
        <v>4.052E-2</v>
      </c>
      <c r="Y5212">
        <f>0.04809-X5212</f>
        <v>7.5700000000000003E-3</v>
      </c>
      <c r="AA5212" s="6"/>
      <c r="AB5212" s="6"/>
    </row>
    <row r="5213" spans="1:28" x14ac:dyDescent="0.2">
      <c r="A5213" t="s">
        <v>605</v>
      </c>
      <c r="B5213">
        <v>2020</v>
      </c>
      <c r="C5213" t="s">
        <v>816</v>
      </c>
      <c r="D5213" t="s">
        <v>817</v>
      </c>
      <c r="E5213" t="s">
        <v>31</v>
      </c>
      <c r="F5213" t="s">
        <v>283</v>
      </c>
      <c r="G5213">
        <v>48.726999999999997</v>
      </c>
      <c r="H5213">
        <v>-4.0049999999999999</v>
      </c>
      <c r="I5213" t="s">
        <v>765</v>
      </c>
      <c r="J5213" s="2" t="s">
        <v>7</v>
      </c>
      <c r="K5213" t="s">
        <v>144</v>
      </c>
      <c r="L5213" t="s">
        <v>144</v>
      </c>
      <c r="M5213" t="s">
        <v>26</v>
      </c>
      <c r="N5213" t="s">
        <v>85</v>
      </c>
      <c r="O5213" t="s">
        <v>839</v>
      </c>
      <c r="P5213" t="s">
        <v>606</v>
      </c>
      <c r="Q5213">
        <v>6</v>
      </c>
      <c r="R5213" t="s">
        <v>214</v>
      </c>
      <c r="S5213" s="2" t="s">
        <v>7</v>
      </c>
      <c r="T5213">
        <v>4</v>
      </c>
      <c r="U5213" t="s">
        <v>28</v>
      </c>
      <c r="V5213" t="s">
        <v>28</v>
      </c>
      <c r="W5213">
        <v>15</v>
      </c>
      <c r="X5213">
        <v>4.7309999999999998E-2</v>
      </c>
      <c r="Y5213">
        <f>0.05187-X5213</f>
        <v>4.5600000000000016E-3</v>
      </c>
      <c r="AA5213" s="6"/>
      <c r="AB5213" s="6"/>
    </row>
    <row r="5214" spans="1:28" x14ac:dyDescent="0.2">
      <c r="A5214" t="s">
        <v>605</v>
      </c>
      <c r="B5214">
        <v>2020</v>
      </c>
      <c r="C5214" t="s">
        <v>816</v>
      </c>
      <c r="D5214" t="s">
        <v>817</v>
      </c>
      <c r="E5214" t="s">
        <v>31</v>
      </c>
      <c r="F5214" t="s">
        <v>283</v>
      </c>
      <c r="G5214">
        <v>48.726999999999997</v>
      </c>
      <c r="H5214">
        <v>-4.0049999999999999</v>
      </c>
      <c r="I5214" t="s">
        <v>765</v>
      </c>
      <c r="J5214" s="2" t="s">
        <v>7</v>
      </c>
      <c r="K5214" t="s">
        <v>144</v>
      </c>
      <c r="L5214" t="s">
        <v>144</v>
      </c>
      <c r="M5214" t="s">
        <v>26</v>
      </c>
      <c r="N5214" t="s">
        <v>85</v>
      </c>
      <c r="O5214" t="s">
        <v>839</v>
      </c>
      <c r="P5214" t="s">
        <v>606</v>
      </c>
      <c r="Q5214">
        <v>8</v>
      </c>
      <c r="R5214" t="s">
        <v>213</v>
      </c>
      <c r="S5214" s="2" t="s">
        <v>7</v>
      </c>
      <c r="T5214">
        <v>4</v>
      </c>
      <c r="U5214" t="s">
        <v>28</v>
      </c>
      <c r="V5214" t="s">
        <v>28</v>
      </c>
      <c r="W5214">
        <v>15</v>
      </c>
      <c r="X5214">
        <v>4.931E-2</v>
      </c>
      <c r="Y5214">
        <f>0.05466-X5214</f>
        <v>5.3500000000000006E-3</v>
      </c>
      <c r="AA5214" s="6"/>
      <c r="AB5214" s="6"/>
    </row>
    <row r="5215" spans="1:28" x14ac:dyDescent="0.2">
      <c r="A5215" t="s">
        <v>605</v>
      </c>
      <c r="B5215">
        <v>2020</v>
      </c>
      <c r="C5215" t="s">
        <v>816</v>
      </c>
      <c r="D5215" t="s">
        <v>817</v>
      </c>
      <c r="E5215" t="s">
        <v>31</v>
      </c>
      <c r="F5215" t="s">
        <v>283</v>
      </c>
      <c r="G5215">
        <v>48.726999999999997</v>
      </c>
      <c r="H5215">
        <v>-4.0049999999999999</v>
      </c>
      <c r="I5215" t="s">
        <v>765</v>
      </c>
      <c r="J5215" s="2" t="s">
        <v>14</v>
      </c>
      <c r="K5215" t="s">
        <v>144</v>
      </c>
      <c r="L5215" t="s">
        <v>144</v>
      </c>
      <c r="M5215" t="s">
        <v>26</v>
      </c>
      <c r="N5215" t="s">
        <v>85</v>
      </c>
      <c r="O5215" t="s">
        <v>839</v>
      </c>
      <c r="P5215" t="s">
        <v>606</v>
      </c>
      <c r="Q5215">
        <v>3</v>
      </c>
      <c r="R5215" t="s">
        <v>214</v>
      </c>
      <c r="S5215" s="2" t="s">
        <v>9</v>
      </c>
      <c r="T5215">
        <v>4</v>
      </c>
      <c r="U5215" t="s">
        <v>28</v>
      </c>
      <c r="V5215" t="s">
        <v>28</v>
      </c>
      <c r="W5215">
        <v>19</v>
      </c>
      <c r="X5215">
        <v>3.3619999999999997E-2</v>
      </c>
      <c r="Y5215">
        <f>0.04208-X5215</f>
        <v>8.4600000000000022E-3</v>
      </c>
      <c r="AA5215" s="6"/>
      <c r="AB5215" s="6"/>
    </row>
    <row r="5216" spans="1:28" x14ac:dyDescent="0.2">
      <c r="A5216" t="s">
        <v>605</v>
      </c>
      <c r="B5216">
        <v>2020</v>
      </c>
      <c r="C5216" t="s">
        <v>816</v>
      </c>
      <c r="D5216" t="s">
        <v>817</v>
      </c>
      <c r="E5216" t="s">
        <v>31</v>
      </c>
      <c r="F5216" t="s">
        <v>283</v>
      </c>
      <c r="G5216">
        <v>48.726999999999997</v>
      </c>
      <c r="H5216">
        <v>-4.0049999999999999</v>
      </c>
      <c r="I5216" t="s">
        <v>765</v>
      </c>
      <c r="J5216" s="2" t="s">
        <v>14</v>
      </c>
      <c r="K5216" t="s">
        <v>144</v>
      </c>
      <c r="L5216" t="s">
        <v>144</v>
      </c>
      <c r="M5216" t="s">
        <v>26</v>
      </c>
      <c r="N5216" t="s">
        <v>85</v>
      </c>
      <c r="O5216" t="s">
        <v>839</v>
      </c>
      <c r="P5216" t="s">
        <v>606</v>
      </c>
      <c r="Q5216">
        <v>6</v>
      </c>
      <c r="R5216" t="s">
        <v>214</v>
      </c>
      <c r="S5216" s="2" t="s">
        <v>9</v>
      </c>
      <c r="T5216">
        <v>4</v>
      </c>
      <c r="U5216" t="s">
        <v>28</v>
      </c>
      <c r="V5216" t="s">
        <v>28</v>
      </c>
      <c r="W5216">
        <v>19</v>
      </c>
      <c r="X5216">
        <v>2.5270000000000001E-2</v>
      </c>
      <c r="Y5216">
        <f>0.02994-X5216</f>
        <v>4.6700000000000005E-3</v>
      </c>
      <c r="AA5216" s="6"/>
      <c r="AB5216" s="6"/>
    </row>
    <row r="5217" spans="1:28" x14ac:dyDescent="0.2">
      <c r="A5217" t="s">
        <v>605</v>
      </c>
      <c r="B5217">
        <v>2020</v>
      </c>
      <c r="C5217" t="s">
        <v>816</v>
      </c>
      <c r="D5217" t="s">
        <v>817</v>
      </c>
      <c r="E5217" t="s">
        <v>31</v>
      </c>
      <c r="F5217" t="s">
        <v>283</v>
      </c>
      <c r="G5217">
        <v>48.726999999999997</v>
      </c>
      <c r="H5217">
        <v>-4.0049999999999999</v>
      </c>
      <c r="I5217" t="s">
        <v>765</v>
      </c>
      <c r="J5217" s="2" t="s">
        <v>14</v>
      </c>
      <c r="K5217" t="s">
        <v>144</v>
      </c>
      <c r="L5217" t="s">
        <v>144</v>
      </c>
      <c r="M5217" t="s">
        <v>26</v>
      </c>
      <c r="N5217" t="s">
        <v>85</v>
      </c>
      <c r="O5217" t="s">
        <v>839</v>
      </c>
      <c r="P5217" t="s">
        <v>606</v>
      </c>
      <c r="Q5217">
        <v>8</v>
      </c>
      <c r="R5217" t="s">
        <v>213</v>
      </c>
      <c r="S5217" s="2" t="s">
        <v>9</v>
      </c>
      <c r="T5217">
        <v>4</v>
      </c>
      <c r="U5217" t="s">
        <v>28</v>
      </c>
      <c r="V5217" t="s">
        <v>28</v>
      </c>
      <c r="W5217">
        <v>19</v>
      </c>
      <c r="X5217">
        <v>2.571E-2</v>
      </c>
      <c r="Y5217">
        <f>0.03117-X5217</f>
        <v>5.4599999999999996E-3</v>
      </c>
      <c r="AA5217" s="6"/>
      <c r="AB5217" s="6"/>
    </row>
    <row r="5218" spans="1:28" x14ac:dyDescent="0.2">
      <c r="A5218" t="s">
        <v>605</v>
      </c>
      <c r="B5218">
        <v>2020</v>
      </c>
      <c r="C5218" t="s">
        <v>816</v>
      </c>
      <c r="D5218" t="s">
        <v>817</v>
      </c>
      <c r="E5218" t="s">
        <v>31</v>
      </c>
      <c r="F5218" t="s">
        <v>283</v>
      </c>
      <c r="G5218">
        <v>48.726999999999997</v>
      </c>
      <c r="H5218">
        <v>-4.0049999999999999</v>
      </c>
      <c r="I5218" t="s">
        <v>765</v>
      </c>
      <c r="J5218" s="2" t="s">
        <v>14</v>
      </c>
      <c r="K5218" t="s">
        <v>144</v>
      </c>
      <c r="L5218" t="s">
        <v>144</v>
      </c>
      <c r="M5218" t="s">
        <v>26</v>
      </c>
      <c r="N5218" t="s">
        <v>85</v>
      </c>
      <c r="O5218" t="s">
        <v>839</v>
      </c>
      <c r="P5218" t="s">
        <v>606</v>
      </c>
      <c r="Q5218">
        <v>3</v>
      </c>
      <c r="R5218" t="s">
        <v>214</v>
      </c>
      <c r="S5218" s="2" t="s">
        <v>27</v>
      </c>
      <c r="T5218">
        <v>4</v>
      </c>
      <c r="U5218" t="s">
        <v>28</v>
      </c>
      <c r="V5218" t="s">
        <v>28</v>
      </c>
      <c r="W5218">
        <v>21</v>
      </c>
      <c r="X5218">
        <v>3.2500000000000001E-2</v>
      </c>
      <c r="Y5218">
        <f>0.04096-X5218</f>
        <v>8.4600000000000022E-3</v>
      </c>
      <c r="AA5218" s="6"/>
      <c r="AB5218" s="6"/>
    </row>
    <row r="5219" spans="1:28" x14ac:dyDescent="0.2">
      <c r="A5219" t="s">
        <v>605</v>
      </c>
      <c r="B5219">
        <v>2020</v>
      </c>
      <c r="C5219" t="s">
        <v>816</v>
      </c>
      <c r="D5219" t="s">
        <v>817</v>
      </c>
      <c r="E5219" t="s">
        <v>31</v>
      </c>
      <c r="F5219" t="s">
        <v>283</v>
      </c>
      <c r="G5219">
        <v>48.726999999999997</v>
      </c>
      <c r="H5219">
        <v>-4.0049999999999999</v>
      </c>
      <c r="I5219" t="s">
        <v>765</v>
      </c>
      <c r="J5219" s="2" t="s">
        <v>14</v>
      </c>
      <c r="K5219" t="s">
        <v>144</v>
      </c>
      <c r="L5219" t="s">
        <v>144</v>
      </c>
      <c r="M5219" t="s">
        <v>26</v>
      </c>
      <c r="N5219" t="s">
        <v>85</v>
      </c>
      <c r="O5219" t="s">
        <v>839</v>
      </c>
      <c r="P5219" t="s">
        <v>606</v>
      </c>
      <c r="Q5219">
        <v>6</v>
      </c>
      <c r="R5219" t="s">
        <v>214</v>
      </c>
      <c r="S5219" s="2" t="s">
        <v>27</v>
      </c>
      <c r="T5219">
        <v>4</v>
      </c>
      <c r="U5219" t="s">
        <v>28</v>
      </c>
      <c r="V5219" t="s">
        <v>28</v>
      </c>
      <c r="W5219">
        <v>21</v>
      </c>
      <c r="X5219">
        <v>1.4250000000000001E-2</v>
      </c>
      <c r="Y5219">
        <f>0.01625-X5219</f>
        <v>2E-3</v>
      </c>
      <c r="AA5219" s="6"/>
      <c r="AB5219" s="6"/>
    </row>
    <row r="5220" spans="1:28" x14ac:dyDescent="0.2">
      <c r="A5220" t="s">
        <v>605</v>
      </c>
      <c r="B5220">
        <v>2020</v>
      </c>
      <c r="C5220" t="s">
        <v>816</v>
      </c>
      <c r="D5220" t="s">
        <v>817</v>
      </c>
      <c r="E5220" t="s">
        <v>31</v>
      </c>
      <c r="F5220" t="s">
        <v>283</v>
      </c>
      <c r="G5220">
        <v>48.726999999999997</v>
      </c>
      <c r="H5220">
        <v>-4.0049999999999999</v>
      </c>
      <c r="I5220" t="s">
        <v>765</v>
      </c>
      <c r="J5220" s="2" t="s">
        <v>14</v>
      </c>
      <c r="K5220" t="s">
        <v>144</v>
      </c>
      <c r="L5220" t="s">
        <v>144</v>
      </c>
      <c r="M5220" t="s">
        <v>26</v>
      </c>
      <c r="N5220" t="s">
        <v>85</v>
      </c>
      <c r="O5220" t="s">
        <v>839</v>
      </c>
      <c r="P5220" t="s">
        <v>606</v>
      </c>
      <c r="Q5220">
        <v>8</v>
      </c>
      <c r="R5220" t="s">
        <v>213</v>
      </c>
      <c r="S5220" s="2" t="s">
        <v>27</v>
      </c>
      <c r="T5220">
        <v>4</v>
      </c>
      <c r="U5220" t="s">
        <v>28</v>
      </c>
      <c r="V5220" t="s">
        <v>28</v>
      </c>
      <c r="W5220">
        <v>21</v>
      </c>
      <c r="X5220">
        <v>1.158E-2</v>
      </c>
      <c r="Y5220">
        <f>0.01302-X5220</f>
        <v>1.4400000000000003E-3</v>
      </c>
      <c r="AA5220" s="6"/>
      <c r="AB5220" s="6"/>
    </row>
    <row r="5221" spans="1:28" x14ac:dyDescent="0.2">
      <c r="A5221" t="s">
        <v>605</v>
      </c>
      <c r="B5221">
        <v>2020</v>
      </c>
      <c r="C5221" t="s">
        <v>816</v>
      </c>
      <c r="D5221" t="s">
        <v>817</v>
      </c>
      <c r="E5221" t="s">
        <v>31</v>
      </c>
      <c r="F5221" t="s">
        <v>283</v>
      </c>
      <c r="G5221">
        <v>48.726999999999997</v>
      </c>
      <c r="H5221">
        <v>-4.0049999999999999</v>
      </c>
      <c r="I5221" t="s">
        <v>765</v>
      </c>
      <c r="J5221" s="2" t="s">
        <v>14</v>
      </c>
      <c r="K5221" t="s">
        <v>144</v>
      </c>
      <c r="L5221" t="s">
        <v>144</v>
      </c>
      <c r="M5221" t="s">
        <v>26</v>
      </c>
      <c r="N5221" t="s">
        <v>85</v>
      </c>
      <c r="O5221" t="s">
        <v>839</v>
      </c>
      <c r="P5221" t="s">
        <v>606</v>
      </c>
      <c r="Q5221">
        <v>3</v>
      </c>
      <c r="R5221" t="s">
        <v>214</v>
      </c>
      <c r="S5221" s="2" t="s">
        <v>13</v>
      </c>
      <c r="T5221">
        <v>4</v>
      </c>
      <c r="U5221" t="s">
        <v>28</v>
      </c>
      <c r="V5221" t="s">
        <v>28</v>
      </c>
      <c r="W5221">
        <v>23</v>
      </c>
      <c r="X5221">
        <v>3.7289999999999997E-2</v>
      </c>
      <c r="Y5221">
        <f>0.04475-X5221</f>
        <v>7.4600000000000014E-3</v>
      </c>
      <c r="AA5221" s="6"/>
      <c r="AB5221" s="6"/>
    </row>
    <row r="5222" spans="1:28" x14ac:dyDescent="0.2">
      <c r="A5222" t="s">
        <v>605</v>
      </c>
      <c r="B5222">
        <v>2020</v>
      </c>
      <c r="C5222" t="s">
        <v>816</v>
      </c>
      <c r="D5222" t="s">
        <v>817</v>
      </c>
      <c r="E5222" t="s">
        <v>31</v>
      </c>
      <c r="F5222" t="s">
        <v>283</v>
      </c>
      <c r="G5222">
        <v>48.726999999999997</v>
      </c>
      <c r="H5222">
        <v>-4.0049999999999999</v>
      </c>
      <c r="I5222" t="s">
        <v>765</v>
      </c>
      <c r="J5222" s="2" t="s">
        <v>14</v>
      </c>
      <c r="K5222" t="s">
        <v>144</v>
      </c>
      <c r="L5222" t="s">
        <v>144</v>
      </c>
      <c r="M5222" t="s">
        <v>26</v>
      </c>
      <c r="N5222" t="s">
        <v>85</v>
      </c>
      <c r="O5222" t="s">
        <v>839</v>
      </c>
      <c r="P5222" t="s">
        <v>606</v>
      </c>
      <c r="Q5222">
        <v>6</v>
      </c>
      <c r="R5222" t="s">
        <v>214</v>
      </c>
      <c r="S5222" s="2" t="s">
        <v>13</v>
      </c>
      <c r="T5222">
        <v>4</v>
      </c>
      <c r="U5222" t="s">
        <v>28</v>
      </c>
      <c r="V5222" t="s">
        <v>28</v>
      </c>
      <c r="W5222">
        <v>23</v>
      </c>
      <c r="X5222">
        <v>1.436E-2</v>
      </c>
      <c r="Y5222">
        <f>0.0167-X5222</f>
        <v>2.3400000000000001E-3</v>
      </c>
      <c r="AA5222" s="6"/>
      <c r="AB5222" s="6"/>
    </row>
    <row r="5223" spans="1:28" x14ac:dyDescent="0.2">
      <c r="A5223" t="s">
        <v>605</v>
      </c>
      <c r="B5223">
        <v>2020</v>
      </c>
      <c r="C5223" t="s">
        <v>816</v>
      </c>
      <c r="D5223" t="s">
        <v>817</v>
      </c>
      <c r="E5223" t="s">
        <v>31</v>
      </c>
      <c r="F5223" t="s">
        <v>283</v>
      </c>
      <c r="G5223">
        <v>48.726999999999997</v>
      </c>
      <c r="H5223">
        <v>-4.0049999999999999</v>
      </c>
      <c r="I5223" t="s">
        <v>765</v>
      </c>
      <c r="J5223" s="2" t="s">
        <v>14</v>
      </c>
      <c r="K5223" t="s">
        <v>144</v>
      </c>
      <c r="L5223" t="s">
        <v>144</v>
      </c>
      <c r="M5223" t="s">
        <v>26</v>
      </c>
      <c r="N5223" t="s">
        <v>85</v>
      </c>
      <c r="O5223" t="s">
        <v>839</v>
      </c>
      <c r="P5223" t="s">
        <v>606</v>
      </c>
      <c r="Q5223">
        <v>8</v>
      </c>
      <c r="R5223" t="s">
        <v>213</v>
      </c>
      <c r="S5223" s="2" t="s">
        <v>13</v>
      </c>
      <c r="T5223">
        <v>4</v>
      </c>
      <c r="U5223" t="s">
        <v>28</v>
      </c>
      <c r="V5223" t="s">
        <v>28</v>
      </c>
      <c r="W5223">
        <v>23</v>
      </c>
      <c r="X5223">
        <v>6.2300000000000003E-3</v>
      </c>
      <c r="Y5223">
        <f>0.00991-X5223</f>
        <v>3.6800000000000001E-3</v>
      </c>
      <c r="AA5223" s="6"/>
      <c r="AB5223" s="6"/>
    </row>
    <row r="5224" spans="1:28" x14ac:dyDescent="0.2">
      <c r="A5224" t="s">
        <v>605</v>
      </c>
      <c r="B5224">
        <v>2020</v>
      </c>
      <c r="C5224" t="s">
        <v>816</v>
      </c>
      <c r="D5224" t="s">
        <v>817</v>
      </c>
      <c r="E5224" t="s">
        <v>31</v>
      </c>
      <c r="F5224" t="s">
        <v>608</v>
      </c>
      <c r="G5224">
        <v>47.47</v>
      </c>
      <c r="H5224">
        <v>-3.0910000000000002</v>
      </c>
      <c r="I5224" t="s">
        <v>765</v>
      </c>
      <c r="J5224" s="2" t="s">
        <v>7</v>
      </c>
      <c r="K5224" t="s">
        <v>144</v>
      </c>
      <c r="L5224" t="s">
        <v>144</v>
      </c>
      <c r="M5224" t="s">
        <v>26</v>
      </c>
      <c r="N5224" t="s">
        <v>85</v>
      </c>
      <c r="O5224" t="s">
        <v>839</v>
      </c>
      <c r="P5224" t="s">
        <v>606</v>
      </c>
      <c r="Q5224">
        <v>3</v>
      </c>
      <c r="R5224" t="s">
        <v>214</v>
      </c>
      <c r="S5224" s="2" t="s">
        <v>7</v>
      </c>
      <c r="T5224">
        <v>4</v>
      </c>
      <c r="U5224" t="s">
        <v>28</v>
      </c>
      <c r="V5224" t="s">
        <v>28</v>
      </c>
      <c r="W5224">
        <v>15</v>
      </c>
      <c r="X5224">
        <v>3.3790000000000001E-2</v>
      </c>
      <c r="Y5224">
        <f>0.03959-X5224</f>
        <v>5.7999999999999996E-3</v>
      </c>
      <c r="AA5224" s="6"/>
      <c r="AB5224" s="6"/>
    </row>
    <row r="5225" spans="1:28" x14ac:dyDescent="0.2">
      <c r="A5225" t="s">
        <v>605</v>
      </c>
      <c r="B5225">
        <v>2020</v>
      </c>
      <c r="C5225" t="s">
        <v>816</v>
      </c>
      <c r="D5225" t="s">
        <v>817</v>
      </c>
      <c r="E5225" t="s">
        <v>31</v>
      </c>
      <c r="F5225" t="s">
        <v>608</v>
      </c>
      <c r="G5225">
        <v>47.47</v>
      </c>
      <c r="H5225">
        <v>-3.0910000000000002</v>
      </c>
      <c r="I5225" t="s">
        <v>765</v>
      </c>
      <c r="J5225" s="2" t="s">
        <v>7</v>
      </c>
      <c r="K5225" t="s">
        <v>144</v>
      </c>
      <c r="L5225" t="s">
        <v>144</v>
      </c>
      <c r="M5225" t="s">
        <v>26</v>
      </c>
      <c r="N5225" t="s">
        <v>85</v>
      </c>
      <c r="O5225" t="s">
        <v>839</v>
      </c>
      <c r="P5225" t="s">
        <v>606</v>
      </c>
      <c r="Q5225">
        <v>6</v>
      </c>
      <c r="R5225" t="s">
        <v>214</v>
      </c>
      <c r="S5225" s="2" t="s">
        <v>7</v>
      </c>
      <c r="T5225">
        <v>4</v>
      </c>
      <c r="U5225" t="s">
        <v>28</v>
      </c>
      <c r="V5225" t="s">
        <v>28</v>
      </c>
      <c r="W5225">
        <v>15</v>
      </c>
      <c r="X5225">
        <v>3.8359999999999998E-2</v>
      </c>
      <c r="Y5225">
        <f>0.04729-X5225</f>
        <v>8.9300000000000004E-3</v>
      </c>
      <c r="AA5225" s="6"/>
      <c r="AB5225" s="6"/>
    </row>
    <row r="5226" spans="1:28" x14ac:dyDescent="0.2">
      <c r="A5226" t="s">
        <v>605</v>
      </c>
      <c r="B5226">
        <v>2020</v>
      </c>
      <c r="C5226" t="s">
        <v>816</v>
      </c>
      <c r="D5226" t="s">
        <v>817</v>
      </c>
      <c r="E5226" t="s">
        <v>31</v>
      </c>
      <c r="F5226" t="s">
        <v>608</v>
      </c>
      <c r="G5226">
        <v>47.47</v>
      </c>
      <c r="H5226">
        <v>-3.0910000000000002</v>
      </c>
      <c r="I5226" t="s">
        <v>765</v>
      </c>
      <c r="J5226" s="2" t="s">
        <v>7</v>
      </c>
      <c r="K5226" t="s">
        <v>144</v>
      </c>
      <c r="L5226" t="s">
        <v>144</v>
      </c>
      <c r="M5226" t="s">
        <v>26</v>
      </c>
      <c r="N5226" t="s">
        <v>85</v>
      </c>
      <c r="O5226" t="s">
        <v>839</v>
      </c>
      <c r="P5226" t="s">
        <v>606</v>
      </c>
      <c r="Q5226">
        <v>8</v>
      </c>
      <c r="R5226" t="s">
        <v>213</v>
      </c>
      <c r="S5226" s="2" t="s">
        <v>7</v>
      </c>
      <c r="T5226">
        <v>4</v>
      </c>
      <c r="U5226" t="s">
        <v>28</v>
      </c>
      <c r="V5226" t="s">
        <v>28</v>
      </c>
      <c r="W5226">
        <v>15</v>
      </c>
      <c r="X5226">
        <v>4.0370000000000003E-2</v>
      </c>
      <c r="Y5226">
        <f>0.04773-X5226</f>
        <v>7.3599999999999985E-3</v>
      </c>
      <c r="AA5226" s="6"/>
      <c r="AB5226" s="6"/>
    </row>
    <row r="5227" spans="1:28" x14ac:dyDescent="0.2">
      <c r="A5227" t="s">
        <v>605</v>
      </c>
      <c r="B5227">
        <v>2020</v>
      </c>
      <c r="C5227" t="s">
        <v>816</v>
      </c>
      <c r="D5227" t="s">
        <v>817</v>
      </c>
      <c r="E5227" t="s">
        <v>31</v>
      </c>
      <c r="F5227" t="s">
        <v>608</v>
      </c>
      <c r="G5227">
        <v>47.47</v>
      </c>
      <c r="H5227">
        <v>-3.0910000000000002</v>
      </c>
      <c r="I5227" t="s">
        <v>765</v>
      </c>
      <c r="J5227" s="2" t="s">
        <v>14</v>
      </c>
      <c r="K5227" t="s">
        <v>144</v>
      </c>
      <c r="L5227" t="s">
        <v>144</v>
      </c>
      <c r="M5227" t="s">
        <v>26</v>
      </c>
      <c r="N5227" t="s">
        <v>85</v>
      </c>
      <c r="O5227" t="s">
        <v>839</v>
      </c>
      <c r="P5227" t="s">
        <v>606</v>
      </c>
      <c r="Q5227">
        <v>3</v>
      </c>
      <c r="R5227" t="s">
        <v>214</v>
      </c>
      <c r="S5227" s="2" t="s">
        <v>9</v>
      </c>
      <c r="T5227">
        <v>4</v>
      </c>
      <c r="U5227" t="s">
        <v>28</v>
      </c>
      <c r="V5227" t="s">
        <v>28</v>
      </c>
      <c r="W5227">
        <v>19</v>
      </c>
      <c r="X5227">
        <v>3.703E-2</v>
      </c>
      <c r="Y5227">
        <f>0.04327-X5227</f>
        <v>6.2400000000000025E-3</v>
      </c>
      <c r="AA5227" s="6"/>
      <c r="AB5227" s="6"/>
    </row>
    <row r="5228" spans="1:28" x14ac:dyDescent="0.2">
      <c r="A5228" t="s">
        <v>605</v>
      </c>
      <c r="B5228">
        <v>2020</v>
      </c>
      <c r="C5228" t="s">
        <v>816</v>
      </c>
      <c r="D5228" t="s">
        <v>817</v>
      </c>
      <c r="E5228" t="s">
        <v>31</v>
      </c>
      <c r="F5228" t="s">
        <v>608</v>
      </c>
      <c r="G5228">
        <v>47.47</v>
      </c>
      <c r="H5228">
        <v>-3.0910000000000002</v>
      </c>
      <c r="I5228" t="s">
        <v>765</v>
      </c>
      <c r="J5228" s="2" t="s">
        <v>14</v>
      </c>
      <c r="K5228" t="s">
        <v>144</v>
      </c>
      <c r="L5228" t="s">
        <v>144</v>
      </c>
      <c r="M5228" t="s">
        <v>26</v>
      </c>
      <c r="N5228" t="s">
        <v>85</v>
      </c>
      <c r="O5228" t="s">
        <v>839</v>
      </c>
      <c r="P5228" t="s">
        <v>606</v>
      </c>
      <c r="Q5228">
        <v>6</v>
      </c>
      <c r="R5228" t="s">
        <v>214</v>
      </c>
      <c r="S5228" s="2" t="s">
        <v>9</v>
      </c>
      <c r="T5228">
        <v>4</v>
      </c>
      <c r="U5228" t="s">
        <v>28</v>
      </c>
      <c r="V5228" t="s">
        <v>28</v>
      </c>
      <c r="W5228">
        <v>19</v>
      </c>
      <c r="X5228">
        <v>2.342E-2</v>
      </c>
      <c r="Y5228">
        <f>0.03245-X5228</f>
        <v>9.0299999999999998E-3</v>
      </c>
      <c r="AA5228" s="6"/>
      <c r="AB5228" s="6"/>
    </row>
    <row r="5229" spans="1:28" x14ac:dyDescent="0.2">
      <c r="A5229" t="s">
        <v>605</v>
      </c>
      <c r="B5229">
        <v>2020</v>
      </c>
      <c r="C5229" t="s">
        <v>816</v>
      </c>
      <c r="D5229" t="s">
        <v>817</v>
      </c>
      <c r="E5229" t="s">
        <v>31</v>
      </c>
      <c r="F5229" t="s">
        <v>608</v>
      </c>
      <c r="G5229">
        <v>47.47</v>
      </c>
      <c r="H5229">
        <v>-3.0910000000000002</v>
      </c>
      <c r="I5229" t="s">
        <v>765</v>
      </c>
      <c r="J5229" s="2" t="s">
        <v>14</v>
      </c>
      <c r="K5229" t="s">
        <v>144</v>
      </c>
      <c r="L5229" t="s">
        <v>144</v>
      </c>
      <c r="M5229" t="s">
        <v>26</v>
      </c>
      <c r="N5229" t="s">
        <v>85</v>
      </c>
      <c r="O5229" t="s">
        <v>839</v>
      </c>
      <c r="P5229" t="s">
        <v>606</v>
      </c>
      <c r="Q5229">
        <v>8</v>
      </c>
      <c r="R5229" t="s">
        <v>213</v>
      </c>
      <c r="S5229" s="2" t="s">
        <v>9</v>
      </c>
      <c r="T5229">
        <v>4</v>
      </c>
      <c r="U5229" t="s">
        <v>28</v>
      </c>
      <c r="V5229" t="s">
        <v>28</v>
      </c>
      <c r="W5229">
        <v>19</v>
      </c>
      <c r="X5229">
        <v>2.4979999999999999E-2</v>
      </c>
      <c r="Y5229">
        <f>0.03022-X5229</f>
        <v>5.2400000000000016E-3</v>
      </c>
      <c r="AA5229" s="6"/>
      <c r="AB5229" s="6"/>
    </row>
    <row r="5230" spans="1:28" x14ac:dyDescent="0.2">
      <c r="A5230" t="s">
        <v>605</v>
      </c>
      <c r="B5230">
        <v>2020</v>
      </c>
      <c r="C5230" t="s">
        <v>816</v>
      </c>
      <c r="D5230" t="s">
        <v>817</v>
      </c>
      <c r="E5230" t="s">
        <v>31</v>
      </c>
      <c r="F5230" t="s">
        <v>608</v>
      </c>
      <c r="G5230">
        <v>47.47</v>
      </c>
      <c r="H5230">
        <v>-3.0910000000000002</v>
      </c>
      <c r="I5230" t="s">
        <v>765</v>
      </c>
      <c r="J5230" s="2" t="s">
        <v>14</v>
      </c>
      <c r="K5230" t="s">
        <v>144</v>
      </c>
      <c r="L5230" t="s">
        <v>144</v>
      </c>
      <c r="M5230" t="s">
        <v>26</v>
      </c>
      <c r="N5230" t="s">
        <v>85</v>
      </c>
      <c r="O5230" t="s">
        <v>839</v>
      </c>
      <c r="P5230" t="s">
        <v>606</v>
      </c>
      <c r="Q5230">
        <v>3</v>
      </c>
      <c r="R5230" t="s">
        <v>214</v>
      </c>
      <c r="S5230" s="2" t="s">
        <v>27</v>
      </c>
      <c r="T5230">
        <v>4</v>
      </c>
      <c r="U5230" t="s">
        <v>28</v>
      </c>
      <c r="V5230" t="s">
        <v>28</v>
      </c>
      <c r="W5230">
        <v>21</v>
      </c>
      <c r="X5230">
        <v>3.6130000000000002E-2</v>
      </c>
      <c r="Y5230">
        <f>0.04071-X5230</f>
        <v>4.5800000000000007E-3</v>
      </c>
      <c r="AA5230" s="6"/>
      <c r="AB5230" s="6"/>
    </row>
    <row r="5231" spans="1:28" x14ac:dyDescent="0.2">
      <c r="A5231" t="s">
        <v>605</v>
      </c>
      <c r="B5231">
        <v>2020</v>
      </c>
      <c r="C5231" t="s">
        <v>816</v>
      </c>
      <c r="D5231" t="s">
        <v>817</v>
      </c>
      <c r="E5231" t="s">
        <v>31</v>
      </c>
      <c r="F5231" t="s">
        <v>608</v>
      </c>
      <c r="G5231">
        <v>47.47</v>
      </c>
      <c r="H5231">
        <v>-3.0910000000000002</v>
      </c>
      <c r="I5231" t="s">
        <v>765</v>
      </c>
      <c r="J5231" s="2" t="s">
        <v>14</v>
      </c>
      <c r="K5231" t="s">
        <v>144</v>
      </c>
      <c r="L5231" t="s">
        <v>144</v>
      </c>
      <c r="M5231" t="s">
        <v>26</v>
      </c>
      <c r="N5231" t="s">
        <v>85</v>
      </c>
      <c r="O5231" t="s">
        <v>839</v>
      </c>
      <c r="P5231" t="s">
        <v>606</v>
      </c>
      <c r="Q5231">
        <v>6</v>
      </c>
      <c r="R5231" t="s">
        <v>214</v>
      </c>
      <c r="S5231" s="2" t="s">
        <v>27</v>
      </c>
      <c r="T5231">
        <v>4</v>
      </c>
      <c r="U5231" t="s">
        <v>28</v>
      </c>
      <c r="V5231" t="s">
        <v>28</v>
      </c>
      <c r="W5231">
        <v>21</v>
      </c>
      <c r="X5231">
        <v>1.1599999999999999E-2</v>
      </c>
      <c r="Y5231">
        <f>0.01327-X5231</f>
        <v>1.6700000000000013E-3</v>
      </c>
      <c r="AA5231" s="6"/>
      <c r="AB5231" s="6"/>
    </row>
    <row r="5232" spans="1:28" x14ac:dyDescent="0.2">
      <c r="A5232" t="s">
        <v>605</v>
      </c>
      <c r="B5232">
        <v>2020</v>
      </c>
      <c r="C5232" t="s">
        <v>816</v>
      </c>
      <c r="D5232" t="s">
        <v>817</v>
      </c>
      <c r="E5232" t="s">
        <v>31</v>
      </c>
      <c r="F5232" t="s">
        <v>608</v>
      </c>
      <c r="G5232">
        <v>47.47</v>
      </c>
      <c r="H5232">
        <v>-3.0910000000000002</v>
      </c>
      <c r="I5232" t="s">
        <v>765</v>
      </c>
      <c r="J5232" s="2" t="s">
        <v>14</v>
      </c>
      <c r="K5232" t="s">
        <v>144</v>
      </c>
      <c r="L5232" t="s">
        <v>144</v>
      </c>
      <c r="M5232" t="s">
        <v>26</v>
      </c>
      <c r="N5232" t="s">
        <v>85</v>
      </c>
      <c r="O5232" t="s">
        <v>839</v>
      </c>
      <c r="P5232" t="s">
        <v>606</v>
      </c>
      <c r="Q5232">
        <v>8</v>
      </c>
      <c r="R5232" t="s">
        <v>213</v>
      </c>
      <c r="S5232" s="2" t="s">
        <v>27</v>
      </c>
      <c r="T5232">
        <v>4</v>
      </c>
      <c r="U5232" t="s">
        <v>28</v>
      </c>
      <c r="V5232" t="s">
        <v>28</v>
      </c>
      <c r="W5232">
        <v>21</v>
      </c>
      <c r="X5232">
        <v>1.082E-2</v>
      </c>
      <c r="Y5232">
        <f>0.01394-X5232</f>
        <v>3.1199999999999995E-3</v>
      </c>
      <c r="AA5232" s="6"/>
      <c r="AB5232" s="6"/>
    </row>
    <row r="5233" spans="1:28" x14ac:dyDescent="0.2">
      <c r="A5233" t="s">
        <v>605</v>
      </c>
      <c r="B5233">
        <v>2020</v>
      </c>
      <c r="C5233" t="s">
        <v>816</v>
      </c>
      <c r="D5233" t="s">
        <v>817</v>
      </c>
      <c r="E5233" t="s">
        <v>31</v>
      </c>
      <c r="F5233" t="s">
        <v>608</v>
      </c>
      <c r="G5233">
        <v>47.47</v>
      </c>
      <c r="H5233">
        <v>-3.0910000000000002</v>
      </c>
      <c r="I5233" t="s">
        <v>765</v>
      </c>
      <c r="J5233" s="2" t="s">
        <v>14</v>
      </c>
      <c r="K5233" t="s">
        <v>144</v>
      </c>
      <c r="L5233" t="s">
        <v>144</v>
      </c>
      <c r="M5233" t="s">
        <v>26</v>
      </c>
      <c r="N5233" t="s">
        <v>85</v>
      </c>
      <c r="O5233" t="s">
        <v>839</v>
      </c>
      <c r="P5233" t="s">
        <v>606</v>
      </c>
      <c r="Q5233">
        <v>3</v>
      </c>
      <c r="R5233" t="s">
        <v>214</v>
      </c>
      <c r="S5233" s="2" t="s">
        <v>13</v>
      </c>
      <c r="T5233">
        <v>4</v>
      </c>
      <c r="U5233" t="s">
        <v>28</v>
      </c>
      <c r="V5233" t="s">
        <v>28</v>
      </c>
      <c r="W5233">
        <v>23</v>
      </c>
      <c r="X5233">
        <v>3.4799999999999998E-2</v>
      </c>
      <c r="Y5233">
        <f>0.04472-X5233</f>
        <v>9.9200000000000052E-3</v>
      </c>
      <c r="AA5233" s="6"/>
      <c r="AB5233" s="6"/>
    </row>
    <row r="5234" spans="1:28" x14ac:dyDescent="0.2">
      <c r="A5234" t="s">
        <v>605</v>
      </c>
      <c r="B5234">
        <v>2020</v>
      </c>
      <c r="C5234" t="s">
        <v>816</v>
      </c>
      <c r="D5234" t="s">
        <v>817</v>
      </c>
      <c r="E5234" t="s">
        <v>31</v>
      </c>
      <c r="F5234" t="s">
        <v>608</v>
      </c>
      <c r="G5234">
        <v>47.47</v>
      </c>
      <c r="H5234">
        <v>-3.0910000000000002</v>
      </c>
      <c r="I5234" t="s">
        <v>765</v>
      </c>
      <c r="J5234" s="2" t="s">
        <v>14</v>
      </c>
      <c r="K5234" t="s">
        <v>144</v>
      </c>
      <c r="L5234" t="s">
        <v>144</v>
      </c>
      <c r="M5234" t="s">
        <v>26</v>
      </c>
      <c r="N5234" t="s">
        <v>85</v>
      </c>
      <c r="O5234" t="s">
        <v>839</v>
      </c>
      <c r="P5234" t="s">
        <v>606</v>
      </c>
      <c r="Q5234">
        <v>6</v>
      </c>
      <c r="R5234" t="s">
        <v>214</v>
      </c>
      <c r="S5234" s="2" t="s">
        <v>13</v>
      </c>
      <c r="T5234">
        <v>4</v>
      </c>
      <c r="U5234" t="s">
        <v>28</v>
      </c>
      <c r="V5234" t="s">
        <v>28</v>
      </c>
      <c r="W5234">
        <v>23</v>
      </c>
      <c r="X5234">
        <v>1.193E-2</v>
      </c>
      <c r="Y5234">
        <f>0.0145-X5234</f>
        <v>2.5700000000000011E-3</v>
      </c>
      <c r="AA5234" s="6"/>
      <c r="AB5234" s="6"/>
    </row>
    <row r="5235" spans="1:28" x14ac:dyDescent="0.2">
      <c r="A5235" t="s">
        <v>605</v>
      </c>
      <c r="B5235">
        <v>2020</v>
      </c>
      <c r="C5235" t="s">
        <v>816</v>
      </c>
      <c r="D5235" t="s">
        <v>817</v>
      </c>
      <c r="E5235" t="s">
        <v>31</v>
      </c>
      <c r="F5235" t="s">
        <v>608</v>
      </c>
      <c r="G5235">
        <v>47.47</v>
      </c>
      <c r="H5235">
        <v>-3.0910000000000002</v>
      </c>
      <c r="I5235" t="s">
        <v>765</v>
      </c>
      <c r="J5235" s="2" t="s">
        <v>14</v>
      </c>
      <c r="K5235" t="s">
        <v>144</v>
      </c>
      <c r="L5235" t="s">
        <v>144</v>
      </c>
      <c r="M5235" t="s">
        <v>26</v>
      </c>
      <c r="N5235" t="s">
        <v>85</v>
      </c>
      <c r="O5235" t="s">
        <v>839</v>
      </c>
      <c r="P5235" t="s">
        <v>606</v>
      </c>
      <c r="Q5235">
        <v>8</v>
      </c>
      <c r="R5235" t="s">
        <v>213</v>
      </c>
      <c r="S5235" s="2" t="s">
        <v>13</v>
      </c>
      <c r="T5235">
        <v>4</v>
      </c>
      <c r="U5235" t="s">
        <v>28</v>
      </c>
      <c r="V5235" t="s">
        <v>28</v>
      </c>
      <c r="W5235">
        <v>23</v>
      </c>
      <c r="X5235">
        <v>4.3499999999999997E-3</v>
      </c>
      <c r="Y5235">
        <f>0.00591-X5235</f>
        <v>1.5600000000000006E-3</v>
      </c>
      <c r="AA5235" s="6"/>
      <c r="AB5235" s="6"/>
    </row>
    <row r="5236" spans="1:28" x14ac:dyDescent="0.2">
      <c r="A5236" t="s">
        <v>605</v>
      </c>
      <c r="B5236">
        <v>2020</v>
      </c>
      <c r="C5236" t="s">
        <v>816</v>
      </c>
      <c r="D5236" t="s">
        <v>817</v>
      </c>
      <c r="E5236" t="s">
        <v>31</v>
      </c>
      <c r="F5236" t="s">
        <v>307</v>
      </c>
      <c r="G5236">
        <v>54.177999999999997</v>
      </c>
      <c r="H5236">
        <v>7.8929999999999998</v>
      </c>
      <c r="I5236" t="s">
        <v>766</v>
      </c>
      <c r="J5236" s="2" t="s">
        <v>7</v>
      </c>
      <c r="K5236" t="s">
        <v>144</v>
      </c>
      <c r="L5236" t="s">
        <v>144</v>
      </c>
      <c r="M5236" t="s">
        <v>726</v>
      </c>
      <c r="N5236" t="s">
        <v>85</v>
      </c>
      <c r="O5236" t="s">
        <v>84</v>
      </c>
      <c r="Q5236">
        <v>3</v>
      </c>
      <c r="R5236" t="s">
        <v>214</v>
      </c>
      <c r="S5236" s="2" t="s">
        <v>7</v>
      </c>
      <c r="T5236">
        <v>5</v>
      </c>
      <c r="U5236" t="s">
        <v>28</v>
      </c>
      <c r="V5236" t="s">
        <v>28</v>
      </c>
      <c r="W5236">
        <v>15</v>
      </c>
      <c r="X5236">
        <v>0.7631</v>
      </c>
      <c r="Y5236">
        <v>6.4362256019982163E-3</v>
      </c>
      <c r="AA5236" s="6"/>
      <c r="AB5236" s="6"/>
    </row>
    <row r="5237" spans="1:28" x14ac:dyDescent="0.2">
      <c r="A5237" t="s">
        <v>605</v>
      </c>
      <c r="B5237">
        <v>2020</v>
      </c>
      <c r="C5237" t="s">
        <v>816</v>
      </c>
      <c r="D5237" t="s">
        <v>817</v>
      </c>
      <c r="E5237" t="s">
        <v>31</v>
      </c>
      <c r="F5237" t="s">
        <v>307</v>
      </c>
      <c r="G5237">
        <v>54.177999999999997</v>
      </c>
      <c r="H5237">
        <v>7.8929999999999998</v>
      </c>
      <c r="I5237" t="s">
        <v>766</v>
      </c>
      <c r="J5237" s="2" t="s">
        <v>14</v>
      </c>
      <c r="K5237" t="s">
        <v>144</v>
      </c>
      <c r="L5237" t="s">
        <v>144</v>
      </c>
      <c r="M5237" t="s">
        <v>726</v>
      </c>
      <c r="N5237" t="s">
        <v>85</v>
      </c>
      <c r="O5237" t="s">
        <v>84</v>
      </c>
      <c r="Q5237">
        <v>3</v>
      </c>
      <c r="R5237" t="s">
        <v>214</v>
      </c>
      <c r="S5237" s="2" t="s">
        <v>9</v>
      </c>
      <c r="T5237">
        <v>5</v>
      </c>
      <c r="U5237" t="s">
        <v>28</v>
      </c>
      <c r="V5237" t="s">
        <v>28</v>
      </c>
      <c r="W5237">
        <v>19</v>
      </c>
      <c r="X5237">
        <v>0.76910000000000001</v>
      </c>
      <c r="Y5237">
        <v>3.7316216314050668E-3</v>
      </c>
      <c r="AA5237" s="6"/>
      <c r="AB5237" s="6"/>
    </row>
    <row r="5238" spans="1:28" x14ac:dyDescent="0.2">
      <c r="A5238" t="s">
        <v>605</v>
      </c>
      <c r="B5238">
        <v>2020</v>
      </c>
      <c r="C5238" t="s">
        <v>816</v>
      </c>
      <c r="D5238" t="s">
        <v>817</v>
      </c>
      <c r="E5238" t="s">
        <v>31</v>
      </c>
      <c r="F5238" t="s">
        <v>307</v>
      </c>
      <c r="G5238">
        <v>54.177999999999997</v>
      </c>
      <c r="H5238">
        <v>7.8929999999999998</v>
      </c>
      <c r="I5238" t="s">
        <v>766</v>
      </c>
      <c r="J5238" s="2" t="s">
        <v>14</v>
      </c>
      <c r="K5238" t="s">
        <v>144</v>
      </c>
      <c r="L5238" t="s">
        <v>144</v>
      </c>
      <c r="M5238" t="s">
        <v>726</v>
      </c>
      <c r="N5238" t="s">
        <v>85</v>
      </c>
      <c r="O5238" t="s">
        <v>84</v>
      </c>
      <c r="Q5238">
        <v>3</v>
      </c>
      <c r="R5238" t="s">
        <v>214</v>
      </c>
      <c r="S5238" s="2" t="s">
        <v>27</v>
      </c>
      <c r="T5238">
        <v>5</v>
      </c>
      <c r="U5238" t="s">
        <v>28</v>
      </c>
      <c r="V5238" t="s">
        <v>28</v>
      </c>
      <c r="W5238">
        <v>21</v>
      </c>
      <c r="X5238">
        <v>0.75780000000000003</v>
      </c>
      <c r="Y5238">
        <v>7.111610225535539E-3</v>
      </c>
      <c r="AA5238" s="6"/>
      <c r="AB5238" s="6"/>
    </row>
    <row r="5239" spans="1:28" x14ac:dyDescent="0.2">
      <c r="A5239" t="s">
        <v>605</v>
      </c>
      <c r="B5239">
        <v>2020</v>
      </c>
      <c r="C5239" t="s">
        <v>816</v>
      </c>
      <c r="D5239" t="s">
        <v>817</v>
      </c>
      <c r="E5239" t="s">
        <v>31</v>
      </c>
      <c r="F5239" t="s">
        <v>307</v>
      </c>
      <c r="G5239">
        <v>54.177999999999997</v>
      </c>
      <c r="H5239">
        <v>7.8929999999999998</v>
      </c>
      <c r="I5239" t="s">
        <v>766</v>
      </c>
      <c r="J5239" s="2" t="s">
        <v>14</v>
      </c>
      <c r="K5239" t="s">
        <v>144</v>
      </c>
      <c r="L5239" t="s">
        <v>144</v>
      </c>
      <c r="M5239" t="s">
        <v>726</v>
      </c>
      <c r="N5239" t="s">
        <v>85</v>
      </c>
      <c r="O5239" t="s">
        <v>84</v>
      </c>
      <c r="Q5239">
        <v>3</v>
      </c>
      <c r="R5239" t="s">
        <v>214</v>
      </c>
      <c r="S5239" s="2" t="s">
        <v>13</v>
      </c>
      <c r="T5239">
        <v>5</v>
      </c>
      <c r="U5239" t="s">
        <v>28</v>
      </c>
      <c r="V5239" t="s">
        <v>28</v>
      </c>
      <c r="W5239">
        <v>23</v>
      </c>
      <c r="X5239">
        <v>0.7611</v>
      </c>
      <c r="Y5239">
        <v>5.1283525619757863E-3</v>
      </c>
      <c r="AA5239" s="6"/>
      <c r="AB5239" s="6"/>
    </row>
    <row r="5240" spans="1:28" x14ac:dyDescent="0.2">
      <c r="A5240" t="s">
        <v>605</v>
      </c>
      <c r="B5240">
        <v>2020</v>
      </c>
      <c r="C5240" t="s">
        <v>816</v>
      </c>
      <c r="D5240" t="s">
        <v>817</v>
      </c>
      <c r="E5240" t="s">
        <v>31</v>
      </c>
      <c r="F5240" t="s">
        <v>608</v>
      </c>
      <c r="G5240">
        <v>47.47</v>
      </c>
      <c r="H5240">
        <v>-3.0910000000000002</v>
      </c>
      <c r="I5240" t="s">
        <v>765</v>
      </c>
      <c r="J5240" s="2" t="s">
        <v>7</v>
      </c>
      <c r="K5240" t="s">
        <v>144</v>
      </c>
      <c r="L5240" t="s">
        <v>144</v>
      </c>
      <c r="M5240" t="s">
        <v>726</v>
      </c>
      <c r="N5240" t="s">
        <v>85</v>
      </c>
      <c r="O5240" t="s">
        <v>84</v>
      </c>
      <c r="Q5240">
        <v>3</v>
      </c>
      <c r="R5240" t="s">
        <v>214</v>
      </c>
      <c r="S5240" s="2" t="s">
        <v>7</v>
      </c>
      <c r="T5240">
        <v>5</v>
      </c>
      <c r="U5240" t="s">
        <v>28</v>
      </c>
      <c r="V5240" t="s">
        <v>28</v>
      </c>
      <c r="W5240">
        <v>15</v>
      </c>
      <c r="X5240">
        <v>0.75180000000000002</v>
      </c>
      <c r="Y5240">
        <v>1.0341663309161156E-2</v>
      </c>
      <c r="AA5240" s="6"/>
      <c r="AB5240" s="6"/>
    </row>
    <row r="5241" spans="1:28" x14ac:dyDescent="0.2">
      <c r="A5241" t="s">
        <v>605</v>
      </c>
      <c r="B5241">
        <v>2020</v>
      </c>
      <c r="C5241" t="s">
        <v>816</v>
      </c>
      <c r="D5241" t="s">
        <v>817</v>
      </c>
      <c r="E5241" t="s">
        <v>31</v>
      </c>
      <c r="F5241" t="s">
        <v>608</v>
      </c>
      <c r="G5241">
        <v>47.47</v>
      </c>
      <c r="H5241">
        <v>-3.0910000000000002</v>
      </c>
      <c r="I5241" t="s">
        <v>765</v>
      </c>
      <c r="J5241" s="2" t="s">
        <v>14</v>
      </c>
      <c r="K5241" t="s">
        <v>144</v>
      </c>
      <c r="L5241" t="s">
        <v>144</v>
      </c>
      <c r="M5241" t="s">
        <v>726</v>
      </c>
      <c r="N5241" t="s">
        <v>85</v>
      </c>
      <c r="O5241" t="s">
        <v>84</v>
      </c>
      <c r="Q5241">
        <v>3</v>
      </c>
      <c r="R5241" t="s">
        <v>214</v>
      </c>
      <c r="S5241" s="2" t="s">
        <v>9</v>
      </c>
      <c r="T5241">
        <v>5</v>
      </c>
      <c r="U5241" t="s">
        <v>28</v>
      </c>
      <c r="V5241" t="s">
        <v>28</v>
      </c>
      <c r="W5241">
        <v>19</v>
      </c>
      <c r="X5241">
        <v>0.73909999999999998</v>
      </c>
      <c r="Y5241">
        <v>6.3678881899753908E-3</v>
      </c>
      <c r="AA5241" s="6"/>
      <c r="AB5241" s="6"/>
    </row>
    <row r="5242" spans="1:28" x14ac:dyDescent="0.2">
      <c r="A5242" t="s">
        <v>605</v>
      </c>
      <c r="B5242">
        <v>2020</v>
      </c>
      <c r="C5242" t="s">
        <v>816</v>
      </c>
      <c r="D5242" t="s">
        <v>817</v>
      </c>
      <c r="E5242" t="s">
        <v>31</v>
      </c>
      <c r="F5242" t="s">
        <v>608</v>
      </c>
      <c r="G5242">
        <v>47.47</v>
      </c>
      <c r="H5242">
        <v>-3.0910000000000002</v>
      </c>
      <c r="I5242" t="s">
        <v>765</v>
      </c>
      <c r="J5242" s="2" t="s">
        <v>14</v>
      </c>
      <c r="K5242" t="s">
        <v>144</v>
      </c>
      <c r="L5242" t="s">
        <v>144</v>
      </c>
      <c r="M5242" t="s">
        <v>726</v>
      </c>
      <c r="N5242" t="s">
        <v>85</v>
      </c>
      <c r="O5242" t="s">
        <v>84</v>
      </c>
      <c r="Q5242">
        <v>3</v>
      </c>
      <c r="R5242" t="s">
        <v>214</v>
      </c>
      <c r="S5242" s="2" t="s">
        <v>27</v>
      </c>
      <c r="T5242">
        <v>5</v>
      </c>
      <c r="U5242" t="s">
        <v>28</v>
      </c>
      <c r="V5242" t="s">
        <v>28</v>
      </c>
      <c r="W5242">
        <v>21</v>
      </c>
      <c r="X5242">
        <v>0.73989999999999989</v>
      </c>
      <c r="Y5242">
        <v>2.422911471763144E-2</v>
      </c>
      <c r="AA5242" s="6"/>
      <c r="AB5242" s="6"/>
    </row>
    <row r="5243" spans="1:28" x14ac:dyDescent="0.2">
      <c r="A5243" t="s">
        <v>605</v>
      </c>
      <c r="B5243">
        <v>2020</v>
      </c>
      <c r="C5243" t="s">
        <v>816</v>
      </c>
      <c r="D5243" t="s">
        <v>817</v>
      </c>
      <c r="E5243" t="s">
        <v>31</v>
      </c>
      <c r="F5243" t="s">
        <v>608</v>
      </c>
      <c r="G5243">
        <v>47.47</v>
      </c>
      <c r="H5243">
        <v>-3.0910000000000002</v>
      </c>
      <c r="I5243" t="s">
        <v>765</v>
      </c>
      <c r="J5243" s="2" t="s">
        <v>14</v>
      </c>
      <c r="K5243" t="s">
        <v>144</v>
      </c>
      <c r="L5243" t="s">
        <v>144</v>
      </c>
      <c r="M5243" t="s">
        <v>726</v>
      </c>
      <c r="N5243" t="s">
        <v>85</v>
      </c>
      <c r="O5243" t="s">
        <v>84</v>
      </c>
      <c r="Q5243">
        <v>3</v>
      </c>
      <c r="R5243" t="s">
        <v>214</v>
      </c>
      <c r="S5243" s="2" t="s">
        <v>13</v>
      </c>
      <c r="T5243">
        <v>5</v>
      </c>
      <c r="U5243" t="s">
        <v>28</v>
      </c>
      <c r="V5243" t="s">
        <v>28</v>
      </c>
      <c r="W5243">
        <v>23</v>
      </c>
      <c r="X5243">
        <v>0.73970000000000002</v>
      </c>
      <c r="Y5243">
        <v>1.0127931674340259E-2</v>
      </c>
      <c r="AA5243" s="6"/>
      <c r="AB5243" s="6"/>
    </row>
    <row r="5244" spans="1:28" x14ac:dyDescent="0.2">
      <c r="A5244" t="s">
        <v>605</v>
      </c>
      <c r="B5244">
        <v>2020</v>
      </c>
      <c r="C5244" t="s">
        <v>816</v>
      </c>
      <c r="D5244" t="s">
        <v>817</v>
      </c>
      <c r="E5244" t="s">
        <v>31</v>
      </c>
      <c r="F5244" t="s">
        <v>283</v>
      </c>
      <c r="G5244">
        <v>48.726999999999997</v>
      </c>
      <c r="H5244">
        <v>-4.0049999999999999</v>
      </c>
      <c r="I5244" t="s">
        <v>765</v>
      </c>
      <c r="J5244" s="2" t="s">
        <v>7</v>
      </c>
      <c r="K5244" t="s">
        <v>144</v>
      </c>
      <c r="L5244" t="s">
        <v>144</v>
      </c>
      <c r="M5244" t="s">
        <v>726</v>
      </c>
      <c r="N5244" t="s">
        <v>85</v>
      </c>
      <c r="O5244" t="s">
        <v>84</v>
      </c>
      <c r="Q5244">
        <v>3</v>
      </c>
      <c r="R5244" t="s">
        <v>214</v>
      </c>
      <c r="S5244" s="2" t="s">
        <v>7</v>
      </c>
      <c r="T5244">
        <v>5</v>
      </c>
      <c r="U5244" t="s">
        <v>28</v>
      </c>
      <c r="V5244" t="s">
        <v>28</v>
      </c>
      <c r="W5244">
        <v>15</v>
      </c>
      <c r="X5244">
        <v>0.747</v>
      </c>
      <c r="Y5244">
        <v>4.1382363393192307E-3</v>
      </c>
      <c r="AA5244" s="6"/>
      <c r="AB5244" s="6"/>
    </row>
    <row r="5245" spans="1:28" x14ac:dyDescent="0.2">
      <c r="A5245" t="s">
        <v>605</v>
      </c>
      <c r="B5245">
        <v>2020</v>
      </c>
      <c r="C5245" t="s">
        <v>816</v>
      </c>
      <c r="D5245" t="s">
        <v>817</v>
      </c>
      <c r="E5245" t="s">
        <v>31</v>
      </c>
      <c r="F5245" t="s">
        <v>283</v>
      </c>
      <c r="G5245">
        <v>48.726999999999997</v>
      </c>
      <c r="H5245">
        <v>-4.0049999999999999</v>
      </c>
      <c r="I5245" t="s">
        <v>765</v>
      </c>
      <c r="J5245" s="2" t="s">
        <v>14</v>
      </c>
      <c r="K5245" t="s">
        <v>144</v>
      </c>
      <c r="L5245" t="s">
        <v>144</v>
      </c>
      <c r="M5245" t="s">
        <v>726</v>
      </c>
      <c r="N5245" t="s">
        <v>85</v>
      </c>
      <c r="O5245" t="s">
        <v>84</v>
      </c>
      <c r="Q5245">
        <v>3</v>
      </c>
      <c r="R5245" t="s">
        <v>214</v>
      </c>
      <c r="S5245" s="2" t="s">
        <v>9</v>
      </c>
      <c r="T5245">
        <v>5</v>
      </c>
      <c r="U5245" t="s">
        <v>28</v>
      </c>
      <c r="V5245" t="s">
        <v>28</v>
      </c>
      <c r="W5245">
        <v>19</v>
      </c>
      <c r="X5245">
        <v>0.73849999999999993</v>
      </c>
      <c r="Y5245">
        <v>1.026523258382211E-2</v>
      </c>
      <c r="AA5245" s="6"/>
      <c r="AB5245" s="6"/>
    </row>
    <row r="5246" spans="1:28" x14ac:dyDescent="0.2">
      <c r="A5246" t="s">
        <v>605</v>
      </c>
      <c r="B5246">
        <v>2020</v>
      </c>
      <c r="C5246" t="s">
        <v>816</v>
      </c>
      <c r="D5246" t="s">
        <v>817</v>
      </c>
      <c r="E5246" t="s">
        <v>31</v>
      </c>
      <c r="F5246" t="s">
        <v>283</v>
      </c>
      <c r="G5246">
        <v>48.726999999999997</v>
      </c>
      <c r="H5246">
        <v>-4.0049999999999999</v>
      </c>
      <c r="I5246" t="s">
        <v>765</v>
      </c>
      <c r="J5246" s="2" t="s">
        <v>14</v>
      </c>
      <c r="K5246" t="s">
        <v>144</v>
      </c>
      <c r="L5246" t="s">
        <v>144</v>
      </c>
      <c r="M5246" t="s">
        <v>726</v>
      </c>
      <c r="N5246" t="s">
        <v>85</v>
      </c>
      <c r="O5246" t="s">
        <v>84</v>
      </c>
      <c r="Q5246">
        <v>3</v>
      </c>
      <c r="R5246" t="s">
        <v>214</v>
      </c>
      <c r="S5246" s="2" t="s">
        <v>27</v>
      </c>
      <c r="T5246">
        <v>5</v>
      </c>
      <c r="U5246" t="s">
        <v>28</v>
      </c>
      <c r="V5246" t="s">
        <v>28</v>
      </c>
      <c r="W5246">
        <v>21</v>
      </c>
      <c r="X5246">
        <v>0.74419999999999997</v>
      </c>
      <c r="Y5246">
        <v>7.9419770838333788E-3</v>
      </c>
      <c r="AA5246" s="6"/>
      <c r="AB5246" s="6"/>
    </row>
    <row r="5247" spans="1:28" x14ac:dyDescent="0.2">
      <c r="A5247" t="s">
        <v>605</v>
      </c>
      <c r="B5247">
        <v>2020</v>
      </c>
      <c r="C5247" t="s">
        <v>816</v>
      </c>
      <c r="D5247" t="s">
        <v>817</v>
      </c>
      <c r="E5247" t="s">
        <v>31</v>
      </c>
      <c r="F5247" t="s">
        <v>283</v>
      </c>
      <c r="G5247">
        <v>48.726999999999997</v>
      </c>
      <c r="H5247">
        <v>-4.0049999999999999</v>
      </c>
      <c r="I5247" t="s">
        <v>765</v>
      </c>
      <c r="J5247" s="2" t="s">
        <v>14</v>
      </c>
      <c r="K5247" t="s">
        <v>144</v>
      </c>
      <c r="L5247" t="s">
        <v>144</v>
      </c>
      <c r="M5247" t="s">
        <v>726</v>
      </c>
      <c r="N5247" t="s">
        <v>85</v>
      </c>
      <c r="O5247" t="s">
        <v>84</v>
      </c>
      <c r="Q5247">
        <v>3</v>
      </c>
      <c r="R5247" t="s">
        <v>214</v>
      </c>
      <c r="S5247" s="2" t="s">
        <v>13</v>
      </c>
      <c r="T5247">
        <v>5</v>
      </c>
      <c r="U5247" t="s">
        <v>28</v>
      </c>
      <c r="V5247" t="s">
        <v>28</v>
      </c>
      <c r="W5247">
        <v>23</v>
      </c>
      <c r="X5247">
        <v>0.74780000000000002</v>
      </c>
      <c r="Y5247">
        <v>8.2810023547953519E-3</v>
      </c>
      <c r="AA5247" s="6"/>
      <c r="AB5247" s="6"/>
    </row>
    <row r="5248" spans="1:28" x14ac:dyDescent="0.2">
      <c r="A5248" t="s">
        <v>605</v>
      </c>
      <c r="B5248">
        <v>2020</v>
      </c>
      <c r="C5248" t="s">
        <v>816</v>
      </c>
      <c r="D5248" t="s">
        <v>817</v>
      </c>
      <c r="E5248" t="s">
        <v>31</v>
      </c>
      <c r="F5248" t="s">
        <v>411</v>
      </c>
      <c r="G5248">
        <v>78.974999999999994</v>
      </c>
      <c r="H5248">
        <v>11.632999999999999</v>
      </c>
      <c r="I5248" t="s">
        <v>764</v>
      </c>
      <c r="J5248" s="2" t="s">
        <v>7</v>
      </c>
      <c r="K5248" t="s">
        <v>144</v>
      </c>
      <c r="L5248" t="s">
        <v>144</v>
      </c>
      <c r="M5248" t="s">
        <v>726</v>
      </c>
      <c r="N5248" t="s">
        <v>85</v>
      </c>
      <c r="O5248" t="s">
        <v>84</v>
      </c>
      <c r="Q5248">
        <v>3</v>
      </c>
      <c r="R5248" t="s">
        <v>214</v>
      </c>
      <c r="S5248" s="2" t="s">
        <v>7</v>
      </c>
      <c r="T5248">
        <v>4</v>
      </c>
      <c r="U5248" t="s">
        <v>28</v>
      </c>
      <c r="V5248" t="s">
        <v>28</v>
      </c>
      <c r="W5248">
        <v>15</v>
      </c>
      <c r="X5248">
        <v>0.76009999999999989</v>
      </c>
      <c r="Y5248">
        <v>8.7278290542449708E-3</v>
      </c>
      <c r="AA5248" s="6"/>
      <c r="AB5248" s="6"/>
    </row>
    <row r="5249" spans="1:28" x14ac:dyDescent="0.2">
      <c r="A5249" t="s">
        <v>605</v>
      </c>
      <c r="B5249">
        <v>2020</v>
      </c>
      <c r="C5249" t="s">
        <v>816</v>
      </c>
      <c r="D5249" t="s">
        <v>817</v>
      </c>
      <c r="E5249" t="s">
        <v>31</v>
      </c>
      <c r="F5249" t="s">
        <v>411</v>
      </c>
      <c r="G5249">
        <v>78.974999999999994</v>
      </c>
      <c r="H5249">
        <v>11.632999999999999</v>
      </c>
      <c r="I5249" t="s">
        <v>764</v>
      </c>
      <c r="J5249" s="2" t="s">
        <v>14</v>
      </c>
      <c r="K5249" t="s">
        <v>144</v>
      </c>
      <c r="L5249" t="s">
        <v>144</v>
      </c>
      <c r="M5249" t="s">
        <v>726</v>
      </c>
      <c r="N5249" t="s">
        <v>85</v>
      </c>
      <c r="O5249" t="s">
        <v>84</v>
      </c>
      <c r="Q5249">
        <v>3</v>
      </c>
      <c r="R5249" t="s">
        <v>214</v>
      </c>
      <c r="S5249" s="2" t="s">
        <v>9</v>
      </c>
      <c r="T5249">
        <v>4</v>
      </c>
      <c r="U5249" t="s">
        <v>28</v>
      </c>
      <c r="V5249" t="s">
        <v>28</v>
      </c>
      <c r="W5249">
        <v>19</v>
      </c>
      <c r="X5249">
        <v>0.77869999999999995</v>
      </c>
      <c r="Y5249">
        <v>3.8503246616568097E-3</v>
      </c>
      <c r="AA5249" s="6"/>
      <c r="AB5249" s="6"/>
    </row>
    <row r="5250" spans="1:28" x14ac:dyDescent="0.2">
      <c r="A5250" t="s">
        <v>605</v>
      </c>
      <c r="B5250">
        <v>2020</v>
      </c>
      <c r="C5250" t="s">
        <v>816</v>
      </c>
      <c r="D5250" t="s">
        <v>817</v>
      </c>
      <c r="E5250" t="s">
        <v>31</v>
      </c>
      <c r="F5250" t="s">
        <v>411</v>
      </c>
      <c r="G5250">
        <v>78.974999999999994</v>
      </c>
      <c r="H5250">
        <v>11.632999999999999</v>
      </c>
      <c r="I5250" t="s">
        <v>764</v>
      </c>
      <c r="J5250" s="2" t="s">
        <v>14</v>
      </c>
      <c r="K5250" t="s">
        <v>144</v>
      </c>
      <c r="L5250" t="s">
        <v>144</v>
      </c>
      <c r="M5250" t="s">
        <v>726</v>
      </c>
      <c r="N5250" t="s">
        <v>85</v>
      </c>
      <c r="O5250" t="s">
        <v>84</v>
      </c>
      <c r="Q5250">
        <v>3</v>
      </c>
      <c r="R5250" t="s">
        <v>214</v>
      </c>
      <c r="S5250" s="2" t="s">
        <v>27</v>
      </c>
      <c r="T5250">
        <v>4</v>
      </c>
      <c r="U5250" t="s">
        <v>28</v>
      </c>
      <c r="V5250" t="s">
        <v>28</v>
      </c>
      <c r="W5250">
        <v>21</v>
      </c>
      <c r="X5250">
        <v>0.74980000000000013</v>
      </c>
      <c r="Y5250">
        <v>1.3170041761505442E-2</v>
      </c>
      <c r="AA5250" s="6"/>
      <c r="AB5250" s="6"/>
    </row>
    <row r="5251" spans="1:28" x14ac:dyDescent="0.2">
      <c r="A5251" t="s">
        <v>605</v>
      </c>
      <c r="B5251">
        <v>2020</v>
      </c>
      <c r="C5251" t="s">
        <v>816</v>
      </c>
      <c r="D5251" t="s">
        <v>817</v>
      </c>
      <c r="E5251" t="s">
        <v>31</v>
      </c>
      <c r="F5251" t="s">
        <v>411</v>
      </c>
      <c r="G5251">
        <v>78.974999999999994</v>
      </c>
      <c r="H5251">
        <v>11.632999999999999</v>
      </c>
      <c r="I5251" t="s">
        <v>764</v>
      </c>
      <c r="J5251" s="2" t="s">
        <v>14</v>
      </c>
      <c r="K5251" t="s">
        <v>144</v>
      </c>
      <c r="L5251" t="s">
        <v>144</v>
      </c>
      <c r="M5251" t="s">
        <v>726</v>
      </c>
      <c r="N5251" t="s">
        <v>85</v>
      </c>
      <c r="O5251" t="s">
        <v>84</v>
      </c>
      <c r="Q5251">
        <v>3</v>
      </c>
      <c r="R5251" t="s">
        <v>214</v>
      </c>
      <c r="S5251" s="2" t="s">
        <v>13</v>
      </c>
      <c r="T5251">
        <v>4</v>
      </c>
      <c r="U5251" t="s">
        <v>28</v>
      </c>
      <c r="V5251" t="s">
        <v>28</v>
      </c>
      <c r="W5251">
        <v>23</v>
      </c>
      <c r="X5251">
        <v>0.7249000000000001</v>
      </c>
      <c r="Y5251">
        <v>3.6662992240131566E-2</v>
      </c>
      <c r="AA5251" s="6"/>
      <c r="AB5251" s="6"/>
    </row>
    <row r="5252" spans="1:28" x14ac:dyDescent="0.2">
      <c r="A5252" t="s">
        <v>605</v>
      </c>
      <c r="B5252">
        <v>2020</v>
      </c>
      <c r="C5252" t="s">
        <v>816</v>
      </c>
      <c r="D5252" t="s">
        <v>817</v>
      </c>
      <c r="E5252" t="s">
        <v>31</v>
      </c>
      <c r="F5252" t="s">
        <v>607</v>
      </c>
      <c r="G5252">
        <v>69.790000000000006</v>
      </c>
      <c r="H5252">
        <v>19.053999999999998</v>
      </c>
      <c r="I5252" t="s">
        <v>766</v>
      </c>
      <c r="J5252" s="2" t="s">
        <v>7</v>
      </c>
      <c r="K5252" t="s">
        <v>144</v>
      </c>
      <c r="L5252" t="s">
        <v>144</v>
      </c>
      <c r="M5252" t="s">
        <v>726</v>
      </c>
      <c r="N5252" t="s">
        <v>85</v>
      </c>
      <c r="O5252" t="s">
        <v>84</v>
      </c>
      <c r="Q5252">
        <v>3</v>
      </c>
      <c r="R5252" t="s">
        <v>214</v>
      </c>
      <c r="S5252" s="2" t="s">
        <v>7</v>
      </c>
      <c r="T5252">
        <v>5</v>
      </c>
      <c r="U5252" t="s">
        <v>28</v>
      </c>
      <c r="V5252" t="s">
        <v>28</v>
      </c>
      <c r="W5252">
        <v>15</v>
      </c>
      <c r="X5252">
        <v>0.76990000000000003</v>
      </c>
      <c r="Y5252">
        <v>6.9408212770524242E-3</v>
      </c>
      <c r="AA5252" s="6"/>
      <c r="AB5252" s="6"/>
    </row>
    <row r="5253" spans="1:28" x14ac:dyDescent="0.2">
      <c r="A5253" t="s">
        <v>605</v>
      </c>
      <c r="B5253">
        <v>2020</v>
      </c>
      <c r="C5253" t="s">
        <v>816</v>
      </c>
      <c r="D5253" t="s">
        <v>817</v>
      </c>
      <c r="E5253" t="s">
        <v>31</v>
      </c>
      <c r="F5253" t="s">
        <v>607</v>
      </c>
      <c r="G5253">
        <v>69.790000000000006</v>
      </c>
      <c r="H5253">
        <v>19.053999999999998</v>
      </c>
      <c r="I5253" t="s">
        <v>766</v>
      </c>
      <c r="J5253" s="2" t="s">
        <v>14</v>
      </c>
      <c r="K5253" t="s">
        <v>144</v>
      </c>
      <c r="L5253" t="s">
        <v>144</v>
      </c>
      <c r="M5253" t="s">
        <v>726</v>
      </c>
      <c r="N5253" t="s">
        <v>85</v>
      </c>
      <c r="O5253" t="s">
        <v>84</v>
      </c>
      <c r="Q5253">
        <v>3</v>
      </c>
      <c r="R5253" t="s">
        <v>214</v>
      </c>
      <c r="S5253" s="2" t="s">
        <v>9</v>
      </c>
      <c r="T5253">
        <v>5</v>
      </c>
      <c r="U5253" t="s">
        <v>28</v>
      </c>
      <c r="V5253" t="s">
        <v>28</v>
      </c>
      <c r="W5253">
        <v>19</v>
      </c>
      <c r="X5253">
        <v>0.76889999999999992</v>
      </c>
      <c r="Y5253">
        <v>2.9453352950257728E-3</v>
      </c>
      <c r="AA5253" s="6"/>
      <c r="AB5253" s="6"/>
    </row>
    <row r="5254" spans="1:28" x14ac:dyDescent="0.2">
      <c r="A5254" t="s">
        <v>605</v>
      </c>
      <c r="B5254">
        <v>2020</v>
      </c>
      <c r="C5254" t="s">
        <v>816</v>
      </c>
      <c r="D5254" t="s">
        <v>817</v>
      </c>
      <c r="E5254" t="s">
        <v>31</v>
      </c>
      <c r="F5254" t="s">
        <v>607</v>
      </c>
      <c r="G5254">
        <v>69.790000000000006</v>
      </c>
      <c r="H5254">
        <v>19.053999999999998</v>
      </c>
      <c r="I5254" t="s">
        <v>766</v>
      </c>
      <c r="J5254" s="2" t="s">
        <v>14</v>
      </c>
      <c r="K5254" t="s">
        <v>144</v>
      </c>
      <c r="L5254" t="s">
        <v>144</v>
      </c>
      <c r="M5254" t="s">
        <v>726</v>
      </c>
      <c r="N5254" t="s">
        <v>85</v>
      </c>
      <c r="O5254" t="s">
        <v>84</v>
      </c>
      <c r="Q5254">
        <v>3</v>
      </c>
      <c r="R5254" t="s">
        <v>214</v>
      </c>
      <c r="S5254" s="2" t="s">
        <v>27</v>
      </c>
      <c r="T5254">
        <v>5</v>
      </c>
      <c r="U5254" t="s">
        <v>28</v>
      </c>
      <c r="V5254" t="s">
        <v>28</v>
      </c>
      <c r="W5254">
        <v>21</v>
      </c>
      <c r="X5254">
        <v>0.7661</v>
      </c>
      <c r="Y5254">
        <v>9.2154761135887324E-3</v>
      </c>
      <c r="AA5254" s="6"/>
      <c r="AB5254" s="6"/>
    </row>
    <row r="5255" spans="1:28" x14ac:dyDescent="0.2">
      <c r="A5255" t="s">
        <v>605</v>
      </c>
      <c r="B5255">
        <v>2020</v>
      </c>
      <c r="C5255" t="s">
        <v>816</v>
      </c>
      <c r="D5255" t="s">
        <v>817</v>
      </c>
      <c r="E5255" t="s">
        <v>31</v>
      </c>
      <c r="F5255" t="s">
        <v>607</v>
      </c>
      <c r="G5255">
        <v>69.790000000000006</v>
      </c>
      <c r="H5255">
        <v>19.053999999999998</v>
      </c>
      <c r="I5255" t="s">
        <v>766</v>
      </c>
      <c r="J5255" s="2" t="s">
        <v>14</v>
      </c>
      <c r="K5255" t="s">
        <v>144</v>
      </c>
      <c r="L5255" t="s">
        <v>144</v>
      </c>
      <c r="M5255" t="s">
        <v>726</v>
      </c>
      <c r="N5255" t="s">
        <v>85</v>
      </c>
      <c r="O5255" t="s">
        <v>84</v>
      </c>
      <c r="Q5255">
        <v>3</v>
      </c>
      <c r="R5255" t="s">
        <v>214</v>
      </c>
      <c r="S5255" s="2" t="s">
        <v>13</v>
      </c>
      <c r="T5255">
        <v>5</v>
      </c>
      <c r="U5255" t="s">
        <v>28</v>
      </c>
      <c r="V5255" t="s">
        <v>28</v>
      </c>
      <c r="W5255">
        <v>23</v>
      </c>
      <c r="X5255">
        <v>0.77079999999999993</v>
      </c>
      <c r="Y5255">
        <v>4.2219663665332375E-3</v>
      </c>
      <c r="AA5255" s="6"/>
      <c r="AB5255" s="6"/>
    </row>
    <row r="5256" spans="1:28" x14ac:dyDescent="0.2">
      <c r="A5256" t="s">
        <v>605</v>
      </c>
      <c r="B5256">
        <v>2020</v>
      </c>
      <c r="C5256" t="s">
        <v>816</v>
      </c>
      <c r="D5256" t="s">
        <v>817</v>
      </c>
      <c r="E5256" t="s">
        <v>31</v>
      </c>
      <c r="F5256" t="s">
        <v>307</v>
      </c>
      <c r="G5256">
        <v>54.177999999999997</v>
      </c>
      <c r="H5256">
        <v>7.8929999999999998</v>
      </c>
      <c r="I5256" t="s">
        <v>766</v>
      </c>
      <c r="J5256" s="2" t="s">
        <v>7</v>
      </c>
      <c r="K5256" t="s">
        <v>144</v>
      </c>
      <c r="L5256" t="s">
        <v>144</v>
      </c>
      <c r="M5256" t="s">
        <v>726</v>
      </c>
      <c r="N5256" t="s">
        <v>85</v>
      </c>
      <c r="O5256" t="s">
        <v>84</v>
      </c>
      <c r="Q5256">
        <v>6</v>
      </c>
      <c r="R5256" t="s">
        <v>214</v>
      </c>
      <c r="S5256" s="2" t="s">
        <v>7</v>
      </c>
      <c r="T5256">
        <v>5</v>
      </c>
      <c r="U5256" t="s">
        <v>28</v>
      </c>
      <c r="V5256" t="s">
        <v>28</v>
      </c>
      <c r="W5256">
        <v>15</v>
      </c>
      <c r="X5256">
        <v>0.77090000000000003</v>
      </c>
      <c r="Y5256">
        <v>4.4916589362902042E-3</v>
      </c>
      <c r="AA5256" s="6"/>
      <c r="AB5256" s="6"/>
    </row>
    <row r="5257" spans="1:28" x14ac:dyDescent="0.2">
      <c r="A5257" t="s">
        <v>605</v>
      </c>
      <c r="B5257">
        <v>2020</v>
      </c>
      <c r="C5257" t="s">
        <v>816</v>
      </c>
      <c r="D5257" t="s">
        <v>817</v>
      </c>
      <c r="E5257" t="s">
        <v>31</v>
      </c>
      <c r="F5257" t="s">
        <v>307</v>
      </c>
      <c r="G5257">
        <v>54.177999999999997</v>
      </c>
      <c r="H5257">
        <v>7.8929999999999998</v>
      </c>
      <c r="I5257" t="s">
        <v>766</v>
      </c>
      <c r="J5257" s="2" t="s">
        <v>14</v>
      </c>
      <c r="K5257" t="s">
        <v>144</v>
      </c>
      <c r="L5257" t="s">
        <v>144</v>
      </c>
      <c r="M5257" t="s">
        <v>726</v>
      </c>
      <c r="N5257" t="s">
        <v>85</v>
      </c>
      <c r="O5257" t="s">
        <v>84</v>
      </c>
      <c r="Q5257">
        <v>6</v>
      </c>
      <c r="R5257" t="s">
        <v>214</v>
      </c>
      <c r="S5257" s="2" t="s">
        <v>9</v>
      </c>
      <c r="T5257">
        <v>5</v>
      </c>
      <c r="U5257" t="s">
        <v>28</v>
      </c>
      <c r="V5257" t="s">
        <v>28</v>
      </c>
      <c r="W5257">
        <v>19</v>
      </c>
      <c r="X5257">
        <v>0.77399999999999991</v>
      </c>
      <c r="Y5257">
        <v>4.0000000000020002E-3</v>
      </c>
      <c r="AA5257" s="6"/>
      <c r="AB5257" s="6"/>
    </row>
    <row r="5258" spans="1:28" x14ac:dyDescent="0.2">
      <c r="A5258" t="s">
        <v>605</v>
      </c>
      <c r="B5258">
        <v>2020</v>
      </c>
      <c r="C5258" t="s">
        <v>816</v>
      </c>
      <c r="D5258" t="s">
        <v>817</v>
      </c>
      <c r="E5258" t="s">
        <v>31</v>
      </c>
      <c r="F5258" t="s">
        <v>307</v>
      </c>
      <c r="G5258">
        <v>54.177999999999997</v>
      </c>
      <c r="H5258">
        <v>7.8929999999999998</v>
      </c>
      <c r="I5258" t="s">
        <v>766</v>
      </c>
      <c r="J5258" s="2" t="s">
        <v>14</v>
      </c>
      <c r="K5258" t="s">
        <v>144</v>
      </c>
      <c r="L5258" t="s">
        <v>144</v>
      </c>
      <c r="M5258" t="s">
        <v>726</v>
      </c>
      <c r="N5258" t="s">
        <v>85</v>
      </c>
      <c r="O5258" t="s">
        <v>84</v>
      </c>
      <c r="Q5258">
        <v>6</v>
      </c>
      <c r="R5258" t="s">
        <v>214</v>
      </c>
      <c r="S5258" s="2" t="s">
        <v>27</v>
      </c>
      <c r="T5258">
        <v>5</v>
      </c>
      <c r="U5258" t="s">
        <v>28</v>
      </c>
      <c r="V5258" t="s">
        <v>28</v>
      </c>
      <c r="W5258">
        <v>21</v>
      </c>
      <c r="X5258">
        <v>0.76269999999999993</v>
      </c>
      <c r="Y5258">
        <v>5.215361924162598E-3</v>
      </c>
      <c r="AA5258" s="6"/>
      <c r="AB5258" s="6"/>
    </row>
    <row r="5259" spans="1:28" x14ac:dyDescent="0.2">
      <c r="A5259" t="s">
        <v>605</v>
      </c>
      <c r="B5259">
        <v>2020</v>
      </c>
      <c r="C5259" t="s">
        <v>816</v>
      </c>
      <c r="D5259" t="s">
        <v>817</v>
      </c>
      <c r="E5259" t="s">
        <v>31</v>
      </c>
      <c r="F5259" t="s">
        <v>307</v>
      </c>
      <c r="G5259">
        <v>54.177999999999997</v>
      </c>
      <c r="H5259">
        <v>7.8929999999999998</v>
      </c>
      <c r="I5259" t="s">
        <v>766</v>
      </c>
      <c r="J5259" s="2" t="s">
        <v>14</v>
      </c>
      <c r="K5259" t="s">
        <v>144</v>
      </c>
      <c r="L5259" t="s">
        <v>144</v>
      </c>
      <c r="M5259" t="s">
        <v>726</v>
      </c>
      <c r="N5259" t="s">
        <v>85</v>
      </c>
      <c r="O5259" t="s">
        <v>84</v>
      </c>
      <c r="Q5259">
        <v>6</v>
      </c>
      <c r="R5259" t="s">
        <v>214</v>
      </c>
      <c r="S5259" s="2" t="s">
        <v>13</v>
      </c>
      <c r="T5259">
        <v>5</v>
      </c>
      <c r="U5259" t="s">
        <v>28</v>
      </c>
      <c r="V5259" t="s">
        <v>28</v>
      </c>
      <c r="W5259">
        <v>23</v>
      </c>
      <c r="X5259">
        <v>0.75390000000000001</v>
      </c>
      <c r="Y5259">
        <v>3.0495901363755177E-3</v>
      </c>
      <c r="AA5259" s="6"/>
      <c r="AB5259" s="6"/>
    </row>
    <row r="5260" spans="1:28" x14ac:dyDescent="0.2">
      <c r="A5260" t="s">
        <v>605</v>
      </c>
      <c r="B5260">
        <v>2020</v>
      </c>
      <c r="C5260" t="s">
        <v>816</v>
      </c>
      <c r="D5260" t="s">
        <v>817</v>
      </c>
      <c r="E5260" t="s">
        <v>31</v>
      </c>
      <c r="F5260" t="s">
        <v>608</v>
      </c>
      <c r="G5260">
        <v>47.47</v>
      </c>
      <c r="H5260">
        <v>-3.0910000000000002</v>
      </c>
      <c r="I5260" t="s">
        <v>765</v>
      </c>
      <c r="J5260" s="2" t="s">
        <v>7</v>
      </c>
      <c r="K5260" t="s">
        <v>144</v>
      </c>
      <c r="L5260" t="s">
        <v>144</v>
      </c>
      <c r="M5260" t="s">
        <v>726</v>
      </c>
      <c r="N5260" t="s">
        <v>85</v>
      </c>
      <c r="O5260" t="s">
        <v>84</v>
      </c>
      <c r="Q5260">
        <v>6</v>
      </c>
      <c r="R5260" t="s">
        <v>214</v>
      </c>
      <c r="S5260" s="2" t="s">
        <v>7</v>
      </c>
      <c r="T5260">
        <v>5</v>
      </c>
      <c r="U5260" t="s">
        <v>28</v>
      </c>
      <c r="V5260" t="s">
        <v>28</v>
      </c>
      <c r="W5260">
        <v>15</v>
      </c>
      <c r="X5260">
        <v>0.75029999999999997</v>
      </c>
      <c r="Y5260">
        <v>6.9874888193213677E-3</v>
      </c>
      <c r="AA5260" s="6"/>
      <c r="AB5260" s="6"/>
    </row>
    <row r="5261" spans="1:28" x14ac:dyDescent="0.2">
      <c r="A5261" t="s">
        <v>605</v>
      </c>
      <c r="B5261">
        <v>2020</v>
      </c>
      <c r="C5261" t="s">
        <v>816</v>
      </c>
      <c r="D5261" t="s">
        <v>817</v>
      </c>
      <c r="E5261" t="s">
        <v>31</v>
      </c>
      <c r="F5261" t="s">
        <v>608</v>
      </c>
      <c r="G5261">
        <v>47.47</v>
      </c>
      <c r="H5261">
        <v>-3.0910000000000002</v>
      </c>
      <c r="I5261" t="s">
        <v>765</v>
      </c>
      <c r="J5261" s="2" t="s">
        <v>14</v>
      </c>
      <c r="K5261" t="s">
        <v>144</v>
      </c>
      <c r="L5261" t="s">
        <v>144</v>
      </c>
      <c r="M5261" t="s">
        <v>726</v>
      </c>
      <c r="N5261" t="s">
        <v>85</v>
      </c>
      <c r="O5261" t="s">
        <v>84</v>
      </c>
      <c r="Q5261">
        <v>6</v>
      </c>
      <c r="R5261" t="s">
        <v>214</v>
      </c>
      <c r="S5261" s="2" t="s">
        <v>9</v>
      </c>
      <c r="T5261">
        <v>5</v>
      </c>
      <c r="U5261" t="s">
        <v>28</v>
      </c>
      <c r="V5261" t="s">
        <v>28</v>
      </c>
      <c r="W5261">
        <v>19</v>
      </c>
      <c r="X5261">
        <v>0.75219999999999998</v>
      </c>
      <c r="Y5261">
        <v>7.1815736437135713E-3</v>
      </c>
      <c r="AA5261" s="6"/>
      <c r="AB5261" s="6"/>
    </row>
    <row r="5262" spans="1:28" x14ac:dyDescent="0.2">
      <c r="A5262" t="s">
        <v>605</v>
      </c>
      <c r="B5262">
        <v>2020</v>
      </c>
      <c r="C5262" t="s">
        <v>816</v>
      </c>
      <c r="D5262" t="s">
        <v>817</v>
      </c>
      <c r="E5262" t="s">
        <v>31</v>
      </c>
      <c r="F5262" t="s">
        <v>608</v>
      </c>
      <c r="G5262">
        <v>47.47</v>
      </c>
      <c r="H5262">
        <v>-3.0910000000000002</v>
      </c>
      <c r="I5262" t="s">
        <v>765</v>
      </c>
      <c r="J5262" s="2" t="s">
        <v>14</v>
      </c>
      <c r="K5262" t="s">
        <v>144</v>
      </c>
      <c r="L5262" t="s">
        <v>144</v>
      </c>
      <c r="M5262" t="s">
        <v>726</v>
      </c>
      <c r="N5262" t="s">
        <v>85</v>
      </c>
      <c r="O5262" t="s">
        <v>84</v>
      </c>
      <c r="Q5262">
        <v>6</v>
      </c>
      <c r="R5262" t="s">
        <v>214</v>
      </c>
      <c r="S5262" s="2" t="s">
        <v>27</v>
      </c>
      <c r="T5262">
        <v>5</v>
      </c>
      <c r="U5262" t="s">
        <v>28</v>
      </c>
      <c r="V5262" t="s">
        <v>28</v>
      </c>
      <c r="W5262">
        <v>21</v>
      </c>
      <c r="X5262">
        <v>0.75239999999999996</v>
      </c>
      <c r="Y5262">
        <v>1.3822083779235042E-2</v>
      </c>
      <c r="AA5262" s="6"/>
      <c r="AB5262" s="6"/>
    </row>
    <row r="5263" spans="1:28" x14ac:dyDescent="0.2">
      <c r="A5263" t="s">
        <v>605</v>
      </c>
      <c r="B5263">
        <v>2020</v>
      </c>
      <c r="C5263" t="s">
        <v>816</v>
      </c>
      <c r="D5263" t="s">
        <v>817</v>
      </c>
      <c r="E5263" t="s">
        <v>31</v>
      </c>
      <c r="F5263" t="s">
        <v>608</v>
      </c>
      <c r="G5263">
        <v>47.47</v>
      </c>
      <c r="H5263">
        <v>-3.0910000000000002</v>
      </c>
      <c r="I5263" t="s">
        <v>765</v>
      </c>
      <c r="J5263" s="2" t="s">
        <v>14</v>
      </c>
      <c r="K5263" t="s">
        <v>144</v>
      </c>
      <c r="L5263" t="s">
        <v>144</v>
      </c>
      <c r="M5263" t="s">
        <v>726</v>
      </c>
      <c r="N5263" t="s">
        <v>85</v>
      </c>
      <c r="O5263" t="s">
        <v>84</v>
      </c>
      <c r="Q5263">
        <v>6</v>
      </c>
      <c r="R5263" t="s">
        <v>214</v>
      </c>
      <c r="S5263" s="2" t="s">
        <v>13</v>
      </c>
      <c r="T5263">
        <v>5</v>
      </c>
      <c r="U5263" t="s">
        <v>28</v>
      </c>
      <c r="V5263" t="s">
        <v>28</v>
      </c>
      <c r="W5263">
        <v>23</v>
      </c>
      <c r="X5263">
        <v>0.72370000000000001</v>
      </c>
      <c r="Y5263">
        <v>1.0952168735003117E-2</v>
      </c>
      <c r="AA5263" s="6"/>
      <c r="AB5263" s="6"/>
    </row>
    <row r="5264" spans="1:28" x14ac:dyDescent="0.2">
      <c r="A5264" t="s">
        <v>605</v>
      </c>
      <c r="B5264">
        <v>2020</v>
      </c>
      <c r="C5264" t="s">
        <v>816</v>
      </c>
      <c r="D5264" t="s">
        <v>817</v>
      </c>
      <c r="E5264" t="s">
        <v>31</v>
      </c>
      <c r="F5264" t="s">
        <v>283</v>
      </c>
      <c r="G5264">
        <v>48.726999999999997</v>
      </c>
      <c r="H5264">
        <v>-4.0049999999999999</v>
      </c>
      <c r="I5264" t="s">
        <v>765</v>
      </c>
      <c r="J5264" s="2" t="s">
        <v>7</v>
      </c>
      <c r="K5264" t="s">
        <v>144</v>
      </c>
      <c r="L5264" t="s">
        <v>144</v>
      </c>
      <c r="M5264" t="s">
        <v>726</v>
      </c>
      <c r="N5264" t="s">
        <v>85</v>
      </c>
      <c r="O5264" t="s">
        <v>84</v>
      </c>
      <c r="Q5264">
        <v>6</v>
      </c>
      <c r="R5264" t="s">
        <v>214</v>
      </c>
      <c r="S5264" s="2" t="s">
        <v>7</v>
      </c>
      <c r="T5264">
        <v>5</v>
      </c>
      <c r="U5264" t="s">
        <v>28</v>
      </c>
      <c r="V5264" t="s">
        <v>28</v>
      </c>
      <c r="W5264">
        <v>15</v>
      </c>
      <c r="X5264">
        <v>0.75770000000000004</v>
      </c>
      <c r="Y5264">
        <v>7.2680809021387549E-3</v>
      </c>
      <c r="AA5264" s="6"/>
      <c r="AB5264" s="6"/>
    </row>
    <row r="5265" spans="1:28" x14ac:dyDescent="0.2">
      <c r="A5265" t="s">
        <v>605</v>
      </c>
      <c r="B5265">
        <v>2020</v>
      </c>
      <c r="C5265" t="s">
        <v>816</v>
      </c>
      <c r="D5265" t="s">
        <v>817</v>
      </c>
      <c r="E5265" t="s">
        <v>31</v>
      </c>
      <c r="F5265" t="s">
        <v>283</v>
      </c>
      <c r="G5265">
        <v>48.726999999999997</v>
      </c>
      <c r="H5265">
        <v>-4.0049999999999999</v>
      </c>
      <c r="I5265" t="s">
        <v>765</v>
      </c>
      <c r="J5265" s="2" t="s">
        <v>14</v>
      </c>
      <c r="K5265" t="s">
        <v>144</v>
      </c>
      <c r="L5265" t="s">
        <v>144</v>
      </c>
      <c r="M5265" t="s">
        <v>726</v>
      </c>
      <c r="N5265" t="s">
        <v>85</v>
      </c>
      <c r="O5265" t="s">
        <v>84</v>
      </c>
      <c r="Q5265">
        <v>6</v>
      </c>
      <c r="R5265" t="s">
        <v>214</v>
      </c>
      <c r="S5265" s="2" t="s">
        <v>9</v>
      </c>
      <c r="T5265">
        <v>5</v>
      </c>
      <c r="U5265" t="s">
        <v>28</v>
      </c>
      <c r="V5265" t="s">
        <v>28</v>
      </c>
      <c r="W5265">
        <v>19</v>
      </c>
      <c r="X5265">
        <v>0.75160000000000005</v>
      </c>
      <c r="Y5265">
        <v>8.3096329642177898E-3</v>
      </c>
      <c r="AA5265" s="6"/>
      <c r="AB5265" s="6"/>
    </row>
    <row r="5266" spans="1:28" x14ac:dyDescent="0.2">
      <c r="A5266" t="s">
        <v>605</v>
      </c>
      <c r="B5266">
        <v>2020</v>
      </c>
      <c r="C5266" t="s">
        <v>816</v>
      </c>
      <c r="D5266" t="s">
        <v>817</v>
      </c>
      <c r="E5266" t="s">
        <v>31</v>
      </c>
      <c r="F5266" t="s">
        <v>283</v>
      </c>
      <c r="G5266">
        <v>48.726999999999997</v>
      </c>
      <c r="H5266">
        <v>-4.0049999999999999</v>
      </c>
      <c r="I5266" t="s">
        <v>765</v>
      </c>
      <c r="J5266" s="2" t="s">
        <v>14</v>
      </c>
      <c r="K5266" t="s">
        <v>144</v>
      </c>
      <c r="L5266" t="s">
        <v>144</v>
      </c>
      <c r="M5266" t="s">
        <v>726</v>
      </c>
      <c r="N5266" t="s">
        <v>85</v>
      </c>
      <c r="O5266" t="s">
        <v>84</v>
      </c>
      <c r="Q5266">
        <v>6</v>
      </c>
      <c r="R5266" t="s">
        <v>214</v>
      </c>
      <c r="S5266" s="2" t="s">
        <v>27</v>
      </c>
      <c r="T5266">
        <v>5</v>
      </c>
      <c r="U5266" t="s">
        <v>28</v>
      </c>
      <c r="V5266" t="s">
        <v>28</v>
      </c>
      <c r="W5266">
        <v>21</v>
      </c>
      <c r="X5266">
        <v>0.74980000000000002</v>
      </c>
      <c r="Y5266">
        <v>7.4548641838717887E-3</v>
      </c>
      <c r="AA5266" s="6"/>
      <c r="AB5266" s="6"/>
    </row>
    <row r="5267" spans="1:28" x14ac:dyDescent="0.2">
      <c r="A5267" t="s">
        <v>605</v>
      </c>
      <c r="B5267">
        <v>2020</v>
      </c>
      <c r="C5267" t="s">
        <v>816</v>
      </c>
      <c r="D5267" t="s">
        <v>817</v>
      </c>
      <c r="E5267" t="s">
        <v>31</v>
      </c>
      <c r="F5267" t="s">
        <v>283</v>
      </c>
      <c r="G5267">
        <v>48.726999999999997</v>
      </c>
      <c r="H5267">
        <v>-4.0049999999999999</v>
      </c>
      <c r="I5267" t="s">
        <v>765</v>
      </c>
      <c r="J5267" s="2" t="s">
        <v>14</v>
      </c>
      <c r="K5267" t="s">
        <v>144</v>
      </c>
      <c r="L5267" t="s">
        <v>144</v>
      </c>
      <c r="M5267" t="s">
        <v>726</v>
      </c>
      <c r="N5267" t="s">
        <v>85</v>
      </c>
      <c r="O5267" t="s">
        <v>84</v>
      </c>
      <c r="Q5267">
        <v>6</v>
      </c>
      <c r="R5267" t="s">
        <v>214</v>
      </c>
      <c r="S5267" s="2" t="s">
        <v>13</v>
      </c>
      <c r="T5267">
        <v>5</v>
      </c>
      <c r="U5267" t="s">
        <v>28</v>
      </c>
      <c r="V5267" t="s">
        <v>28</v>
      </c>
      <c r="W5267">
        <v>23</v>
      </c>
      <c r="X5267">
        <v>0.72859999999999991</v>
      </c>
      <c r="Y5267">
        <v>9.4034568111916999E-3</v>
      </c>
      <c r="AA5267" s="6"/>
      <c r="AB5267" s="6"/>
    </row>
    <row r="5268" spans="1:28" x14ac:dyDescent="0.2">
      <c r="A5268" t="s">
        <v>605</v>
      </c>
      <c r="B5268">
        <v>2020</v>
      </c>
      <c r="C5268" t="s">
        <v>816</v>
      </c>
      <c r="D5268" t="s">
        <v>817</v>
      </c>
      <c r="E5268" t="s">
        <v>31</v>
      </c>
      <c r="F5268" t="s">
        <v>411</v>
      </c>
      <c r="G5268">
        <v>78.974999999999994</v>
      </c>
      <c r="H5268">
        <v>11.632999999999999</v>
      </c>
      <c r="I5268" t="s">
        <v>764</v>
      </c>
      <c r="J5268" s="2" t="s">
        <v>7</v>
      </c>
      <c r="K5268" t="s">
        <v>144</v>
      </c>
      <c r="L5268" t="s">
        <v>144</v>
      </c>
      <c r="M5268" t="s">
        <v>726</v>
      </c>
      <c r="N5268" t="s">
        <v>85</v>
      </c>
      <c r="O5268" t="s">
        <v>84</v>
      </c>
      <c r="Q5268">
        <v>6</v>
      </c>
      <c r="R5268" t="s">
        <v>214</v>
      </c>
      <c r="S5268" s="2" t="s">
        <v>7</v>
      </c>
      <c r="T5268">
        <v>4</v>
      </c>
      <c r="U5268" t="s">
        <v>28</v>
      </c>
      <c r="V5268" t="s">
        <v>28</v>
      </c>
      <c r="W5268">
        <v>15</v>
      </c>
      <c r="X5268">
        <v>0.76850000000000007</v>
      </c>
      <c r="Y5268">
        <v>1.0971554128738525E-2</v>
      </c>
      <c r="AA5268" s="6"/>
      <c r="AB5268" s="6"/>
    </row>
    <row r="5269" spans="1:28" x14ac:dyDescent="0.2">
      <c r="A5269" t="s">
        <v>605</v>
      </c>
      <c r="B5269">
        <v>2020</v>
      </c>
      <c r="C5269" t="s">
        <v>816</v>
      </c>
      <c r="D5269" t="s">
        <v>817</v>
      </c>
      <c r="E5269" t="s">
        <v>31</v>
      </c>
      <c r="F5269" t="s">
        <v>411</v>
      </c>
      <c r="G5269">
        <v>78.974999999999994</v>
      </c>
      <c r="H5269">
        <v>11.632999999999999</v>
      </c>
      <c r="I5269" t="s">
        <v>764</v>
      </c>
      <c r="J5269" s="2" t="s">
        <v>14</v>
      </c>
      <c r="K5269" t="s">
        <v>144</v>
      </c>
      <c r="L5269" t="s">
        <v>144</v>
      </c>
      <c r="M5269" t="s">
        <v>726</v>
      </c>
      <c r="N5269" t="s">
        <v>85</v>
      </c>
      <c r="O5269" t="s">
        <v>84</v>
      </c>
      <c r="Q5269">
        <v>6</v>
      </c>
      <c r="R5269" t="s">
        <v>214</v>
      </c>
      <c r="S5269" s="2" t="s">
        <v>9</v>
      </c>
      <c r="T5269">
        <v>4</v>
      </c>
      <c r="U5269" t="s">
        <v>28</v>
      </c>
      <c r="V5269" t="s">
        <v>28</v>
      </c>
      <c r="W5269">
        <v>19</v>
      </c>
      <c r="X5269">
        <v>0.77310000000000001</v>
      </c>
      <c r="Y5269">
        <v>6.5802735505424365E-3</v>
      </c>
      <c r="AA5269" s="6"/>
      <c r="AB5269" s="6"/>
    </row>
    <row r="5270" spans="1:28" x14ac:dyDescent="0.2">
      <c r="A5270" t="s">
        <v>605</v>
      </c>
      <c r="B5270">
        <v>2020</v>
      </c>
      <c r="C5270" t="s">
        <v>816</v>
      </c>
      <c r="D5270" t="s">
        <v>817</v>
      </c>
      <c r="E5270" t="s">
        <v>31</v>
      </c>
      <c r="F5270" t="s">
        <v>411</v>
      </c>
      <c r="G5270">
        <v>78.974999999999994</v>
      </c>
      <c r="H5270">
        <v>11.632999999999999</v>
      </c>
      <c r="I5270" t="s">
        <v>764</v>
      </c>
      <c r="J5270" s="2" t="s">
        <v>14</v>
      </c>
      <c r="K5270" t="s">
        <v>144</v>
      </c>
      <c r="L5270" t="s">
        <v>144</v>
      </c>
      <c r="M5270" t="s">
        <v>726</v>
      </c>
      <c r="N5270" t="s">
        <v>85</v>
      </c>
      <c r="O5270" t="s">
        <v>84</v>
      </c>
      <c r="Q5270">
        <v>6</v>
      </c>
      <c r="R5270" t="s">
        <v>214</v>
      </c>
      <c r="S5270" s="2" t="s">
        <v>27</v>
      </c>
      <c r="T5270">
        <v>4</v>
      </c>
      <c r="U5270" t="s">
        <v>28</v>
      </c>
      <c r="V5270" t="s">
        <v>28</v>
      </c>
      <c r="W5270">
        <v>21</v>
      </c>
      <c r="X5270">
        <v>0.752</v>
      </c>
      <c r="Y5270">
        <v>1.2961481396813636E-2</v>
      </c>
      <c r="AA5270" s="6"/>
      <c r="AB5270" s="6"/>
    </row>
    <row r="5271" spans="1:28" x14ac:dyDescent="0.2">
      <c r="A5271" t="s">
        <v>605</v>
      </c>
      <c r="B5271">
        <v>2020</v>
      </c>
      <c r="C5271" t="s">
        <v>816</v>
      </c>
      <c r="D5271" t="s">
        <v>817</v>
      </c>
      <c r="E5271" t="s">
        <v>31</v>
      </c>
      <c r="F5271" t="s">
        <v>411</v>
      </c>
      <c r="G5271">
        <v>78.974999999999994</v>
      </c>
      <c r="H5271">
        <v>11.632999999999999</v>
      </c>
      <c r="I5271" t="s">
        <v>764</v>
      </c>
      <c r="J5271" s="2" t="s">
        <v>14</v>
      </c>
      <c r="K5271" t="s">
        <v>144</v>
      </c>
      <c r="L5271" t="s">
        <v>144</v>
      </c>
      <c r="M5271" t="s">
        <v>726</v>
      </c>
      <c r="N5271" t="s">
        <v>85</v>
      </c>
      <c r="O5271" t="s">
        <v>84</v>
      </c>
      <c r="Q5271">
        <v>6</v>
      </c>
      <c r="R5271" t="s">
        <v>214</v>
      </c>
      <c r="S5271" s="2" t="s">
        <v>13</v>
      </c>
      <c r="T5271">
        <v>4</v>
      </c>
      <c r="U5271" t="s">
        <v>28</v>
      </c>
      <c r="V5271" t="s">
        <v>28</v>
      </c>
      <c r="W5271">
        <v>23</v>
      </c>
      <c r="X5271">
        <v>0.62149999999999994</v>
      </c>
      <c r="Y5271">
        <v>1.8821530224718722E-2</v>
      </c>
      <c r="AA5271" s="6"/>
      <c r="AB5271" s="6"/>
    </row>
    <row r="5272" spans="1:28" x14ac:dyDescent="0.2">
      <c r="A5272" t="s">
        <v>605</v>
      </c>
      <c r="B5272">
        <v>2020</v>
      </c>
      <c r="C5272" t="s">
        <v>816</v>
      </c>
      <c r="D5272" t="s">
        <v>817</v>
      </c>
      <c r="E5272" t="s">
        <v>31</v>
      </c>
      <c r="F5272" t="s">
        <v>607</v>
      </c>
      <c r="G5272">
        <v>69.790000000000006</v>
      </c>
      <c r="H5272">
        <v>19.053999999999998</v>
      </c>
      <c r="I5272" t="s">
        <v>766</v>
      </c>
      <c r="J5272" s="2" t="s">
        <v>7</v>
      </c>
      <c r="K5272" t="s">
        <v>144</v>
      </c>
      <c r="L5272" t="s">
        <v>144</v>
      </c>
      <c r="M5272" t="s">
        <v>726</v>
      </c>
      <c r="N5272" t="s">
        <v>85</v>
      </c>
      <c r="O5272" t="s">
        <v>84</v>
      </c>
      <c r="Q5272">
        <v>6</v>
      </c>
      <c r="R5272" t="s">
        <v>214</v>
      </c>
      <c r="S5272" s="2" t="s">
        <v>7</v>
      </c>
      <c r="T5272">
        <v>5</v>
      </c>
      <c r="U5272" t="s">
        <v>28</v>
      </c>
      <c r="V5272" t="s">
        <v>28</v>
      </c>
      <c r="W5272">
        <v>15</v>
      </c>
      <c r="X5272">
        <v>0.77780000000000005</v>
      </c>
      <c r="Y5272">
        <v>3.0943496893326198E-3</v>
      </c>
      <c r="AA5272" s="6"/>
      <c r="AB5272" s="6"/>
    </row>
    <row r="5273" spans="1:28" x14ac:dyDescent="0.2">
      <c r="A5273" t="s">
        <v>605</v>
      </c>
      <c r="B5273">
        <v>2020</v>
      </c>
      <c r="C5273" t="s">
        <v>816</v>
      </c>
      <c r="D5273" t="s">
        <v>817</v>
      </c>
      <c r="E5273" t="s">
        <v>31</v>
      </c>
      <c r="F5273" t="s">
        <v>607</v>
      </c>
      <c r="G5273">
        <v>69.790000000000006</v>
      </c>
      <c r="H5273">
        <v>19.053999999999998</v>
      </c>
      <c r="I5273" t="s">
        <v>766</v>
      </c>
      <c r="J5273" s="2" t="s">
        <v>14</v>
      </c>
      <c r="K5273" t="s">
        <v>144</v>
      </c>
      <c r="L5273" t="s">
        <v>144</v>
      </c>
      <c r="M5273" t="s">
        <v>726</v>
      </c>
      <c r="N5273" t="s">
        <v>85</v>
      </c>
      <c r="O5273" t="s">
        <v>84</v>
      </c>
      <c r="Q5273">
        <v>6</v>
      </c>
      <c r="R5273" t="s">
        <v>214</v>
      </c>
      <c r="S5273" s="2" t="s">
        <v>9</v>
      </c>
      <c r="T5273">
        <v>5</v>
      </c>
      <c r="U5273" t="s">
        <v>28</v>
      </c>
      <c r="V5273" t="s">
        <v>28</v>
      </c>
      <c r="W5273">
        <v>19</v>
      </c>
      <c r="X5273">
        <v>0.77259999999999995</v>
      </c>
      <c r="Y5273">
        <v>3.5601966238016343E-3</v>
      </c>
      <c r="AA5273" s="6"/>
      <c r="AB5273" s="6"/>
    </row>
    <row r="5274" spans="1:28" x14ac:dyDescent="0.2">
      <c r="A5274" t="s">
        <v>605</v>
      </c>
      <c r="B5274">
        <v>2020</v>
      </c>
      <c r="C5274" t="s">
        <v>816</v>
      </c>
      <c r="D5274" t="s">
        <v>817</v>
      </c>
      <c r="E5274" t="s">
        <v>31</v>
      </c>
      <c r="F5274" t="s">
        <v>607</v>
      </c>
      <c r="G5274">
        <v>69.790000000000006</v>
      </c>
      <c r="H5274">
        <v>19.053999999999998</v>
      </c>
      <c r="I5274" t="s">
        <v>766</v>
      </c>
      <c r="J5274" s="2" t="s">
        <v>14</v>
      </c>
      <c r="K5274" t="s">
        <v>144</v>
      </c>
      <c r="L5274" t="s">
        <v>144</v>
      </c>
      <c r="M5274" t="s">
        <v>726</v>
      </c>
      <c r="N5274" t="s">
        <v>85</v>
      </c>
      <c r="O5274" t="s">
        <v>84</v>
      </c>
      <c r="Q5274">
        <v>6</v>
      </c>
      <c r="R5274" t="s">
        <v>214</v>
      </c>
      <c r="S5274" s="2" t="s">
        <v>27</v>
      </c>
      <c r="T5274">
        <v>5</v>
      </c>
      <c r="U5274" t="s">
        <v>28</v>
      </c>
      <c r="V5274" t="s">
        <v>28</v>
      </c>
      <c r="W5274">
        <v>21</v>
      </c>
      <c r="X5274">
        <v>0.77040000000000008</v>
      </c>
      <c r="Y5274">
        <v>7.8533432371106927E-3</v>
      </c>
      <c r="AA5274" s="6"/>
      <c r="AB5274" s="6"/>
    </row>
    <row r="5275" spans="1:28" x14ac:dyDescent="0.2">
      <c r="A5275" t="s">
        <v>605</v>
      </c>
      <c r="B5275">
        <v>2020</v>
      </c>
      <c r="C5275" t="s">
        <v>816</v>
      </c>
      <c r="D5275" t="s">
        <v>817</v>
      </c>
      <c r="E5275" t="s">
        <v>31</v>
      </c>
      <c r="F5275" t="s">
        <v>607</v>
      </c>
      <c r="G5275">
        <v>69.790000000000006</v>
      </c>
      <c r="H5275">
        <v>19.053999999999998</v>
      </c>
      <c r="I5275" t="s">
        <v>766</v>
      </c>
      <c r="J5275" s="2" t="s">
        <v>14</v>
      </c>
      <c r="K5275" t="s">
        <v>144</v>
      </c>
      <c r="L5275" t="s">
        <v>144</v>
      </c>
      <c r="M5275" t="s">
        <v>726</v>
      </c>
      <c r="N5275" t="s">
        <v>85</v>
      </c>
      <c r="O5275" t="s">
        <v>84</v>
      </c>
      <c r="Q5275">
        <v>6</v>
      </c>
      <c r="R5275" t="s">
        <v>214</v>
      </c>
      <c r="S5275" s="2" t="s">
        <v>13</v>
      </c>
      <c r="T5275">
        <v>5</v>
      </c>
      <c r="U5275" t="s">
        <v>28</v>
      </c>
      <c r="V5275" t="s">
        <v>28</v>
      </c>
      <c r="W5275">
        <v>23</v>
      </c>
      <c r="X5275">
        <v>0.73050000000000004</v>
      </c>
      <c r="Y5275">
        <v>1.7947841095799291E-2</v>
      </c>
      <c r="AA5275" s="6"/>
      <c r="AB5275" s="6"/>
    </row>
    <row r="5276" spans="1:28" x14ac:dyDescent="0.2">
      <c r="A5276" t="s">
        <v>605</v>
      </c>
      <c r="B5276">
        <v>2020</v>
      </c>
      <c r="C5276" t="s">
        <v>816</v>
      </c>
      <c r="D5276" t="s">
        <v>817</v>
      </c>
      <c r="E5276" t="s">
        <v>31</v>
      </c>
      <c r="F5276" t="s">
        <v>307</v>
      </c>
      <c r="G5276">
        <v>54.177999999999997</v>
      </c>
      <c r="H5276">
        <v>7.8929999999999998</v>
      </c>
      <c r="I5276" t="s">
        <v>766</v>
      </c>
      <c r="J5276" s="2" t="s">
        <v>7</v>
      </c>
      <c r="K5276" t="s">
        <v>144</v>
      </c>
      <c r="L5276" t="s">
        <v>144</v>
      </c>
      <c r="M5276" t="s">
        <v>726</v>
      </c>
      <c r="N5276" t="s">
        <v>85</v>
      </c>
      <c r="O5276" t="s">
        <v>84</v>
      </c>
      <c r="Q5276">
        <v>8</v>
      </c>
      <c r="R5276" t="s">
        <v>213</v>
      </c>
      <c r="S5276" s="2" t="s">
        <v>7</v>
      </c>
      <c r="T5276">
        <v>5</v>
      </c>
      <c r="U5276" t="s">
        <v>28</v>
      </c>
      <c r="V5276" t="s">
        <v>28</v>
      </c>
      <c r="W5276">
        <v>15</v>
      </c>
      <c r="X5276">
        <v>0.76439999999999997</v>
      </c>
      <c r="Y5276">
        <v>1.4262713626793598E-2</v>
      </c>
      <c r="AA5276" s="6"/>
      <c r="AB5276" s="6"/>
    </row>
    <row r="5277" spans="1:28" x14ac:dyDescent="0.2">
      <c r="A5277" t="s">
        <v>605</v>
      </c>
      <c r="B5277">
        <v>2020</v>
      </c>
      <c r="C5277" t="s">
        <v>816</v>
      </c>
      <c r="D5277" t="s">
        <v>817</v>
      </c>
      <c r="E5277" t="s">
        <v>31</v>
      </c>
      <c r="F5277" t="s">
        <v>307</v>
      </c>
      <c r="G5277">
        <v>54.177999999999997</v>
      </c>
      <c r="H5277">
        <v>7.8929999999999998</v>
      </c>
      <c r="I5277" t="s">
        <v>766</v>
      </c>
      <c r="J5277" s="2" t="s">
        <v>14</v>
      </c>
      <c r="K5277" t="s">
        <v>144</v>
      </c>
      <c r="L5277" t="s">
        <v>144</v>
      </c>
      <c r="M5277" t="s">
        <v>726</v>
      </c>
      <c r="N5277" t="s">
        <v>85</v>
      </c>
      <c r="O5277" t="s">
        <v>84</v>
      </c>
      <c r="Q5277">
        <v>8</v>
      </c>
      <c r="R5277" t="s">
        <v>213</v>
      </c>
      <c r="S5277" s="2" t="s">
        <v>9</v>
      </c>
      <c r="T5277">
        <v>5</v>
      </c>
      <c r="U5277" t="s">
        <v>28</v>
      </c>
      <c r="V5277" t="s">
        <v>28</v>
      </c>
      <c r="W5277">
        <v>19</v>
      </c>
      <c r="X5277">
        <v>0.77239999999999998</v>
      </c>
      <c r="Y5277">
        <v>4.5607017004012668E-3</v>
      </c>
      <c r="AA5277" s="6"/>
      <c r="AB5277" s="6"/>
    </row>
    <row r="5278" spans="1:28" x14ac:dyDescent="0.2">
      <c r="A5278" t="s">
        <v>605</v>
      </c>
      <c r="B5278">
        <v>2020</v>
      </c>
      <c r="C5278" t="s">
        <v>816</v>
      </c>
      <c r="D5278" t="s">
        <v>817</v>
      </c>
      <c r="E5278" t="s">
        <v>31</v>
      </c>
      <c r="F5278" t="s">
        <v>307</v>
      </c>
      <c r="G5278">
        <v>54.177999999999997</v>
      </c>
      <c r="H5278">
        <v>7.8929999999999998</v>
      </c>
      <c r="I5278" t="s">
        <v>766</v>
      </c>
      <c r="J5278" s="2" t="s">
        <v>14</v>
      </c>
      <c r="K5278" t="s">
        <v>144</v>
      </c>
      <c r="L5278" t="s">
        <v>144</v>
      </c>
      <c r="M5278" t="s">
        <v>726</v>
      </c>
      <c r="N5278" t="s">
        <v>85</v>
      </c>
      <c r="O5278" t="s">
        <v>84</v>
      </c>
      <c r="Q5278">
        <v>8</v>
      </c>
      <c r="R5278" t="s">
        <v>213</v>
      </c>
      <c r="S5278" s="2" t="s">
        <v>27</v>
      </c>
      <c r="T5278">
        <v>5</v>
      </c>
      <c r="U5278" t="s">
        <v>28</v>
      </c>
      <c r="V5278" t="s">
        <v>28</v>
      </c>
      <c r="W5278">
        <v>21</v>
      </c>
      <c r="X5278">
        <v>0.76249999999999996</v>
      </c>
      <c r="Y5278">
        <v>7.7862057512081816E-3</v>
      </c>
      <c r="AA5278" s="6"/>
      <c r="AB5278" s="6"/>
    </row>
    <row r="5279" spans="1:28" x14ac:dyDescent="0.2">
      <c r="A5279" t="s">
        <v>605</v>
      </c>
      <c r="B5279">
        <v>2020</v>
      </c>
      <c r="C5279" t="s">
        <v>816</v>
      </c>
      <c r="D5279" t="s">
        <v>817</v>
      </c>
      <c r="E5279" t="s">
        <v>31</v>
      </c>
      <c r="F5279" t="s">
        <v>307</v>
      </c>
      <c r="G5279">
        <v>54.177999999999997</v>
      </c>
      <c r="H5279">
        <v>7.8929999999999998</v>
      </c>
      <c r="I5279" t="s">
        <v>766</v>
      </c>
      <c r="J5279" s="2" t="s">
        <v>14</v>
      </c>
      <c r="K5279" t="s">
        <v>144</v>
      </c>
      <c r="L5279" t="s">
        <v>144</v>
      </c>
      <c r="M5279" t="s">
        <v>726</v>
      </c>
      <c r="N5279" t="s">
        <v>85</v>
      </c>
      <c r="O5279" t="s">
        <v>84</v>
      </c>
      <c r="Q5279">
        <v>8</v>
      </c>
      <c r="R5279" t="s">
        <v>213</v>
      </c>
      <c r="S5279" s="2" t="s">
        <v>13</v>
      </c>
      <c r="T5279">
        <v>5</v>
      </c>
      <c r="U5279" t="s">
        <v>28</v>
      </c>
      <c r="V5279" t="s">
        <v>28</v>
      </c>
      <c r="W5279">
        <v>23</v>
      </c>
      <c r="X5279">
        <v>0.73820000000000008</v>
      </c>
      <c r="Y5279">
        <v>6.36985086166671E-3</v>
      </c>
      <c r="AA5279" s="6"/>
      <c r="AB5279" s="6"/>
    </row>
    <row r="5280" spans="1:28" x14ac:dyDescent="0.2">
      <c r="A5280" t="s">
        <v>605</v>
      </c>
      <c r="B5280">
        <v>2020</v>
      </c>
      <c r="C5280" t="s">
        <v>816</v>
      </c>
      <c r="D5280" t="s">
        <v>817</v>
      </c>
      <c r="E5280" t="s">
        <v>31</v>
      </c>
      <c r="F5280" t="s">
        <v>608</v>
      </c>
      <c r="G5280">
        <v>47.47</v>
      </c>
      <c r="H5280">
        <v>-3.0910000000000002</v>
      </c>
      <c r="I5280" t="s">
        <v>765</v>
      </c>
      <c r="J5280" s="2" t="s">
        <v>7</v>
      </c>
      <c r="K5280" t="s">
        <v>144</v>
      </c>
      <c r="L5280" t="s">
        <v>144</v>
      </c>
      <c r="M5280" t="s">
        <v>726</v>
      </c>
      <c r="N5280" t="s">
        <v>85</v>
      </c>
      <c r="O5280" t="s">
        <v>84</v>
      </c>
      <c r="Q5280">
        <v>8</v>
      </c>
      <c r="R5280" t="s">
        <v>213</v>
      </c>
      <c r="S5280" s="2" t="s">
        <v>7</v>
      </c>
      <c r="T5280">
        <v>5</v>
      </c>
      <c r="U5280" t="s">
        <v>28</v>
      </c>
      <c r="V5280" t="s">
        <v>28</v>
      </c>
      <c r="W5280">
        <v>15</v>
      </c>
      <c r="X5280">
        <v>0.76460000000000006</v>
      </c>
      <c r="Y5280">
        <v>2.0968428648798429E-2</v>
      </c>
      <c r="AA5280" s="6"/>
      <c r="AB5280" s="6"/>
    </row>
    <row r="5281" spans="1:28" x14ac:dyDescent="0.2">
      <c r="A5281" t="s">
        <v>605</v>
      </c>
      <c r="B5281">
        <v>2020</v>
      </c>
      <c r="C5281" t="s">
        <v>816</v>
      </c>
      <c r="D5281" t="s">
        <v>817</v>
      </c>
      <c r="E5281" t="s">
        <v>31</v>
      </c>
      <c r="F5281" t="s">
        <v>608</v>
      </c>
      <c r="G5281">
        <v>47.47</v>
      </c>
      <c r="H5281">
        <v>-3.0910000000000002</v>
      </c>
      <c r="I5281" t="s">
        <v>765</v>
      </c>
      <c r="J5281" s="2" t="s">
        <v>14</v>
      </c>
      <c r="K5281" t="s">
        <v>144</v>
      </c>
      <c r="L5281" t="s">
        <v>144</v>
      </c>
      <c r="M5281" t="s">
        <v>726</v>
      </c>
      <c r="N5281" t="s">
        <v>85</v>
      </c>
      <c r="O5281" t="s">
        <v>84</v>
      </c>
      <c r="Q5281">
        <v>8</v>
      </c>
      <c r="R5281" t="s">
        <v>213</v>
      </c>
      <c r="S5281" s="2" t="s">
        <v>9</v>
      </c>
      <c r="T5281">
        <v>5</v>
      </c>
      <c r="U5281" t="s">
        <v>28</v>
      </c>
      <c r="V5281" t="s">
        <v>28</v>
      </c>
      <c r="W5281">
        <v>19</v>
      </c>
      <c r="X5281">
        <v>0.75739999999999996</v>
      </c>
      <c r="Y5281">
        <v>9.889388252057138E-3</v>
      </c>
      <c r="AA5281" s="6"/>
      <c r="AB5281" s="6"/>
    </row>
    <row r="5282" spans="1:28" x14ac:dyDescent="0.2">
      <c r="A5282" t="s">
        <v>605</v>
      </c>
      <c r="B5282">
        <v>2020</v>
      </c>
      <c r="C5282" t="s">
        <v>816</v>
      </c>
      <c r="D5282" t="s">
        <v>817</v>
      </c>
      <c r="E5282" t="s">
        <v>31</v>
      </c>
      <c r="F5282" t="s">
        <v>608</v>
      </c>
      <c r="G5282">
        <v>47.47</v>
      </c>
      <c r="H5282">
        <v>-3.0910000000000002</v>
      </c>
      <c r="I5282" t="s">
        <v>765</v>
      </c>
      <c r="J5282" s="2" t="s">
        <v>14</v>
      </c>
      <c r="K5282" t="s">
        <v>144</v>
      </c>
      <c r="L5282" t="s">
        <v>144</v>
      </c>
      <c r="M5282" t="s">
        <v>726</v>
      </c>
      <c r="N5282" t="s">
        <v>85</v>
      </c>
      <c r="O5282" t="s">
        <v>84</v>
      </c>
      <c r="Q5282">
        <v>8</v>
      </c>
      <c r="R5282" t="s">
        <v>213</v>
      </c>
      <c r="S5282" s="2" t="s">
        <v>27</v>
      </c>
      <c r="T5282">
        <v>5</v>
      </c>
      <c r="U5282" t="s">
        <v>28</v>
      </c>
      <c r="V5282" t="s">
        <v>28</v>
      </c>
      <c r="W5282">
        <v>21</v>
      </c>
      <c r="X5282">
        <v>0.73709999999999998</v>
      </c>
      <c r="Y5282">
        <v>2.1611339616044729E-2</v>
      </c>
      <c r="AA5282" s="6"/>
      <c r="AB5282" s="6"/>
    </row>
    <row r="5283" spans="1:28" x14ac:dyDescent="0.2">
      <c r="A5283" t="s">
        <v>605</v>
      </c>
      <c r="B5283">
        <v>2020</v>
      </c>
      <c r="C5283" t="s">
        <v>816</v>
      </c>
      <c r="D5283" t="s">
        <v>817</v>
      </c>
      <c r="E5283" t="s">
        <v>31</v>
      </c>
      <c r="F5283" t="s">
        <v>608</v>
      </c>
      <c r="G5283">
        <v>47.47</v>
      </c>
      <c r="H5283">
        <v>-3.0910000000000002</v>
      </c>
      <c r="I5283" t="s">
        <v>765</v>
      </c>
      <c r="J5283" s="2" t="s">
        <v>14</v>
      </c>
      <c r="K5283" t="s">
        <v>144</v>
      </c>
      <c r="L5283" t="s">
        <v>144</v>
      </c>
      <c r="M5283" t="s">
        <v>726</v>
      </c>
      <c r="N5283" t="s">
        <v>85</v>
      </c>
      <c r="O5283" t="s">
        <v>84</v>
      </c>
      <c r="Q5283">
        <v>8</v>
      </c>
      <c r="R5283" t="s">
        <v>213</v>
      </c>
      <c r="S5283" s="2" t="s">
        <v>13</v>
      </c>
      <c r="T5283">
        <v>5</v>
      </c>
      <c r="U5283" t="s">
        <v>28</v>
      </c>
      <c r="V5283" t="s">
        <v>28</v>
      </c>
      <c r="W5283">
        <v>23</v>
      </c>
      <c r="X5283">
        <v>0.66499999999999992</v>
      </c>
      <c r="Y5283">
        <v>4.8789086894510551E-2</v>
      </c>
      <c r="AA5283" s="6"/>
      <c r="AB5283" s="6"/>
    </row>
    <row r="5284" spans="1:28" x14ac:dyDescent="0.2">
      <c r="A5284" t="s">
        <v>605</v>
      </c>
      <c r="B5284">
        <v>2020</v>
      </c>
      <c r="C5284" t="s">
        <v>816</v>
      </c>
      <c r="D5284" t="s">
        <v>817</v>
      </c>
      <c r="E5284" t="s">
        <v>31</v>
      </c>
      <c r="F5284" t="s">
        <v>283</v>
      </c>
      <c r="G5284">
        <v>48.726999999999997</v>
      </c>
      <c r="H5284">
        <v>-4.0049999999999999</v>
      </c>
      <c r="I5284" t="s">
        <v>765</v>
      </c>
      <c r="J5284" s="2" t="s">
        <v>7</v>
      </c>
      <c r="K5284" t="s">
        <v>144</v>
      </c>
      <c r="L5284" t="s">
        <v>144</v>
      </c>
      <c r="M5284" t="s">
        <v>726</v>
      </c>
      <c r="N5284" t="s">
        <v>85</v>
      </c>
      <c r="O5284" t="s">
        <v>84</v>
      </c>
      <c r="Q5284">
        <v>8</v>
      </c>
      <c r="R5284" t="s">
        <v>213</v>
      </c>
      <c r="S5284" s="2" t="s">
        <v>7</v>
      </c>
      <c r="T5284">
        <v>5</v>
      </c>
      <c r="U5284" t="s">
        <v>28</v>
      </c>
      <c r="V5284" t="s">
        <v>28</v>
      </c>
      <c r="W5284">
        <v>15</v>
      </c>
      <c r="X5284">
        <v>0.76279999999999992</v>
      </c>
      <c r="Y5284">
        <v>8.8147603484132423E-3</v>
      </c>
      <c r="AA5284" s="6"/>
      <c r="AB5284" s="6"/>
    </row>
    <row r="5285" spans="1:28" x14ac:dyDescent="0.2">
      <c r="A5285" t="s">
        <v>605</v>
      </c>
      <c r="B5285">
        <v>2020</v>
      </c>
      <c r="C5285" t="s">
        <v>816</v>
      </c>
      <c r="D5285" t="s">
        <v>817</v>
      </c>
      <c r="E5285" t="s">
        <v>31</v>
      </c>
      <c r="F5285" t="s">
        <v>283</v>
      </c>
      <c r="G5285">
        <v>48.726999999999997</v>
      </c>
      <c r="H5285">
        <v>-4.0049999999999999</v>
      </c>
      <c r="I5285" t="s">
        <v>765</v>
      </c>
      <c r="J5285" s="2" t="s">
        <v>14</v>
      </c>
      <c r="K5285" t="s">
        <v>144</v>
      </c>
      <c r="L5285" t="s">
        <v>144</v>
      </c>
      <c r="M5285" t="s">
        <v>726</v>
      </c>
      <c r="N5285" t="s">
        <v>85</v>
      </c>
      <c r="O5285" t="s">
        <v>84</v>
      </c>
      <c r="Q5285">
        <v>8</v>
      </c>
      <c r="R5285" t="s">
        <v>213</v>
      </c>
      <c r="S5285" s="2" t="s">
        <v>9</v>
      </c>
      <c r="T5285">
        <v>5</v>
      </c>
      <c r="U5285" t="s">
        <v>28</v>
      </c>
      <c r="V5285" t="s">
        <v>28</v>
      </c>
      <c r="W5285">
        <v>19</v>
      </c>
      <c r="X5285">
        <v>0.75779999999999981</v>
      </c>
      <c r="Y5285">
        <v>6.9245938509310337E-3</v>
      </c>
      <c r="AA5285" s="6"/>
      <c r="AB5285" s="6"/>
    </row>
    <row r="5286" spans="1:28" x14ac:dyDescent="0.2">
      <c r="A5286" t="s">
        <v>605</v>
      </c>
      <c r="B5286">
        <v>2020</v>
      </c>
      <c r="C5286" t="s">
        <v>816</v>
      </c>
      <c r="D5286" t="s">
        <v>817</v>
      </c>
      <c r="E5286" t="s">
        <v>31</v>
      </c>
      <c r="F5286" t="s">
        <v>283</v>
      </c>
      <c r="G5286">
        <v>48.726999999999997</v>
      </c>
      <c r="H5286">
        <v>-4.0049999999999999</v>
      </c>
      <c r="I5286" t="s">
        <v>765</v>
      </c>
      <c r="J5286" s="2" t="s">
        <v>14</v>
      </c>
      <c r="K5286" t="s">
        <v>144</v>
      </c>
      <c r="L5286" t="s">
        <v>144</v>
      </c>
      <c r="M5286" t="s">
        <v>726</v>
      </c>
      <c r="N5286" t="s">
        <v>85</v>
      </c>
      <c r="O5286" t="s">
        <v>84</v>
      </c>
      <c r="Q5286">
        <v>8</v>
      </c>
      <c r="R5286" t="s">
        <v>213</v>
      </c>
      <c r="S5286" s="2" t="s">
        <v>27</v>
      </c>
      <c r="T5286">
        <v>5</v>
      </c>
      <c r="U5286" t="s">
        <v>28</v>
      </c>
      <c r="V5286" t="s">
        <v>28</v>
      </c>
      <c r="W5286">
        <v>21</v>
      </c>
      <c r="X5286">
        <v>0.7468999999999999</v>
      </c>
      <c r="Y5286">
        <v>2.8809720581901067E-3</v>
      </c>
      <c r="AA5286" s="6"/>
      <c r="AB5286" s="6"/>
    </row>
    <row r="5287" spans="1:28" x14ac:dyDescent="0.2">
      <c r="A5287" t="s">
        <v>605</v>
      </c>
      <c r="B5287">
        <v>2020</v>
      </c>
      <c r="C5287" t="s">
        <v>816</v>
      </c>
      <c r="D5287" t="s">
        <v>817</v>
      </c>
      <c r="E5287" t="s">
        <v>31</v>
      </c>
      <c r="F5287" t="s">
        <v>283</v>
      </c>
      <c r="G5287">
        <v>48.726999999999997</v>
      </c>
      <c r="H5287">
        <v>-4.0049999999999999</v>
      </c>
      <c r="I5287" t="s">
        <v>765</v>
      </c>
      <c r="J5287" s="2" t="s">
        <v>14</v>
      </c>
      <c r="K5287" t="s">
        <v>144</v>
      </c>
      <c r="L5287" t="s">
        <v>144</v>
      </c>
      <c r="M5287" t="s">
        <v>726</v>
      </c>
      <c r="N5287" t="s">
        <v>85</v>
      </c>
      <c r="O5287" t="s">
        <v>84</v>
      </c>
      <c r="Q5287">
        <v>8</v>
      </c>
      <c r="R5287" t="s">
        <v>213</v>
      </c>
      <c r="S5287" s="2" t="s">
        <v>13</v>
      </c>
      <c r="T5287">
        <v>5</v>
      </c>
      <c r="U5287" t="s">
        <v>28</v>
      </c>
      <c r="V5287" t="s">
        <v>28</v>
      </c>
      <c r="W5287">
        <v>23</v>
      </c>
      <c r="X5287">
        <v>0.67659999999999998</v>
      </c>
      <c r="Y5287">
        <v>1.9207420441068199E-2</v>
      </c>
      <c r="AA5287" s="6"/>
      <c r="AB5287" s="6"/>
    </row>
    <row r="5288" spans="1:28" x14ac:dyDescent="0.2">
      <c r="A5288" t="s">
        <v>605</v>
      </c>
      <c r="B5288">
        <v>2020</v>
      </c>
      <c r="C5288" t="s">
        <v>816</v>
      </c>
      <c r="D5288" t="s">
        <v>817</v>
      </c>
      <c r="E5288" t="s">
        <v>31</v>
      </c>
      <c r="F5288" t="s">
        <v>411</v>
      </c>
      <c r="G5288">
        <v>78.974999999999994</v>
      </c>
      <c r="H5288">
        <v>11.632999999999999</v>
      </c>
      <c r="I5288" t="s">
        <v>764</v>
      </c>
      <c r="J5288" s="2" t="s">
        <v>7</v>
      </c>
      <c r="K5288" t="s">
        <v>144</v>
      </c>
      <c r="L5288" t="s">
        <v>144</v>
      </c>
      <c r="M5288" t="s">
        <v>726</v>
      </c>
      <c r="N5288" t="s">
        <v>85</v>
      </c>
      <c r="O5288" t="s">
        <v>84</v>
      </c>
      <c r="Q5288">
        <v>8</v>
      </c>
      <c r="R5288" t="s">
        <v>213</v>
      </c>
      <c r="S5288" s="2" t="s">
        <v>7</v>
      </c>
      <c r="T5288">
        <v>4</v>
      </c>
      <c r="U5288" t="s">
        <v>28</v>
      </c>
      <c r="V5288" t="s">
        <v>28</v>
      </c>
      <c r="W5288">
        <v>15</v>
      </c>
      <c r="X5288">
        <v>0.77129999999999999</v>
      </c>
      <c r="Y5288">
        <v>6.3501968473388447E-3</v>
      </c>
      <c r="AA5288" s="6"/>
      <c r="AB5288" s="6"/>
    </row>
    <row r="5289" spans="1:28" x14ac:dyDescent="0.2">
      <c r="A5289" t="s">
        <v>605</v>
      </c>
      <c r="B5289">
        <v>2020</v>
      </c>
      <c r="C5289" t="s">
        <v>816</v>
      </c>
      <c r="D5289" t="s">
        <v>817</v>
      </c>
      <c r="E5289" t="s">
        <v>31</v>
      </c>
      <c r="F5289" t="s">
        <v>411</v>
      </c>
      <c r="G5289">
        <v>78.974999999999994</v>
      </c>
      <c r="H5289">
        <v>11.632999999999999</v>
      </c>
      <c r="I5289" t="s">
        <v>764</v>
      </c>
      <c r="J5289" s="2" t="s">
        <v>14</v>
      </c>
      <c r="K5289" t="s">
        <v>144</v>
      </c>
      <c r="L5289" t="s">
        <v>144</v>
      </c>
      <c r="M5289" t="s">
        <v>726</v>
      </c>
      <c r="N5289" t="s">
        <v>85</v>
      </c>
      <c r="O5289" t="s">
        <v>84</v>
      </c>
      <c r="Q5289">
        <v>8</v>
      </c>
      <c r="R5289" t="s">
        <v>213</v>
      </c>
      <c r="S5289" s="2" t="s">
        <v>9</v>
      </c>
      <c r="T5289">
        <v>4</v>
      </c>
      <c r="U5289" t="s">
        <v>28</v>
      </c>
      <c r="V5289" t="s">
        <v>28</v>
      </c>
      <c r="W5289">
        <v>19</v>
      </c>
      <c r="X5289">
        <v>0.77379999999999993</v>
      </c>
      <c r="Y5289">
        <v>8.1363382427241948E-3</v>
      </c>
      <c r="AA5289" s="6"/>
      <c r="AB5289" s="6"/>
    </row>
    <row r="5290" spans="1:28" x14ac:dyDescent="0.2">
      <c r="A5290" t="s">
        <v>605</v>
      </c>
      <c r="B5290">
        <v>2020</v>
      </c>
      <c r="C5290" t="s">
        <v>816</v>
      </c>
      <c r="D5290" t="s">
        <v>817</v>
      </c>
      <c r="E5290" t="s">
        <v>31</v>
      </c>
      <c r="F5290" t="s">
        <v>411</v>
      </c>
      <c r="G5290">
        <v>78.974999999999994</v>
      </c>
      <c r="H5290">
        <v>11.632999999999999</v>
      </c>
      <c r="I5290" t="s">
        <v>764</v>
      </c>
      <c r="J5290" s="2" t="s">
        <v>14</v>
      </c>
      <c r="K5290" t="s">
        <v>144</v>
      </c>
      <c r="L5290" t="s">
        <v>144</v>
      </c>
      <c r="M5290" t="s">
        <v>726</v>
      </c>
      <c r="N5290" t="s">
        <v>85</v>
      </c>
      <c r="O5290" t="s">
        <v>84</v>
      </c>
      <c r="Q5290">
        <v>8</v>
      </c>
      <c r="R5290" t="s">
        <v>213</v>
      </c>
      <c r="S5290" s="2" t="s">
        <v>27</v>
      </c>
      <c r="T5290">
        <v>4</v>
      </c>
      <c r="U5290" t="s">
        <v>28</v>
      </c>
      <c r="V5290" t="s">
        <v>28</v>
      </c>
      <c r="W5290">
        <v>21</v>
      </c>
      <c r="X5290">
        <v>0.68620000000000003</v>
      </c>
      <c r="Y5290">
        <v>3.7728636338993128E-2</v>
      </c>
      <c r="AA5290" s="6"/>
      <c r="AB5290" s="6"/>
    </row>
    <row r="5291" spans="1:28" x14ac:dyDescent="0.2">
      <c r="A5291" t="s">
        <v>605</v>
      </c>
      <c r="B5291">
        <v>2020</v>
      </c>
      <c r="C5291" t="s">
        <v>816</v>
      </c>
      <c r="D5291" t="s">
        <v>817</v>
      </c>
      <c r="E5291" t="s">
        <v>31</v>
      </c>
      <c r="F5291" t="s">
        <v>411</v>
      </c>
      <c r="G5291">
        <v>78.974999999999994</v>
      </c>
      <c r="H5291">
        <v>11.632999999999999</v>
      </c>
      <c r="I5291" t="s">
        <v>764</v>
      </c>
      <c r="J5291" s="2" t="s">
        <v>14</v>
      </c>
      <c r="K5291" t="s">
        <v>144</v>
      </c>
      <c r="L5291" t="s">
        <v>144</v>
      </c>
      <c r="M5291" t="s">
        <v>726</v>
      </c>
      <c r="N5291" t="s">
        <v>85</v>
      </c>
      <c r="O5291" t="s">
        <v>84</v>
      </c>
      <c r="Q5291">
        <v>8</v>
      </c>
      <c r="R5291" t="s">
        <v>213</v>
      </c>
      <c r="S5291" s="2" t="s">
        <v>13</v>
      </c>
      <c r="T5291">
        <v>4</v>
      </c>
      <c r="U5291" t="s">
        <v>28</v>
      </c>
      <c r="V5291" t="s">
        <v>28</v>
      </c>
      <c r="W5291">
        <v>23</v>
      </c>
      <c r="X5291">
        <v>0.58140000000000003</v>
      </c>
      <c r="Y5291">
        <v>6.0482848808567094E-2</v>
      </c>
      <c r="AA5291" s="6"/>
      <c r="AB5291" s="6"/>
    </row>
    <row r="5292" spans="1:28" x14ac:dyDescent="0.2">
      <c r="A5292" t="s">
        <v>605</v>
      </c>
      <c r="B5292">
        <v>2020</v>
      </c>
      <c r="C5292" t="s">
        <v>816</v>
      </c>
      <c r="D5292" t="s">
        <v>817</v>
      </c>
      <c r="E5292" t="s">
        <v>31</v>
      </c>
      <c r="F5292" t="s">
        <v>607</v>
      </c>
      <c r="G5292">
        <v>69.790000000000006</v>
      </c>
      <c r="H5292">
        <v>19.053999999999998</v>
      </c>
      <c r="I5292" t="s">
        <v>766</v>
      </c>
      <c r="J5292" s="2" t="s">
        <v>7</v>
      </c>
      <c r="K5292" t="s">
        <v>144</v>
      </c>
      <c r="L5292" t="s">
        <v>144</v>
      </c>
      <c r="M5292" t="s">
        <v>726</v>
      </c>
      <c r="N5292" t="s">
        <v>85</v>
      </c>
      <c r="O5292" t="s">
        <v>84</v>
      </c>
      <c r="Q5292">
        <v>8</v>
      </c>
      <c r="R5292" t="s">
        <v>213</v>
      </c>
      <c r="S5292" s="2" t="s">
        <v>7</v>
      </c>
      <c r="T5292">
        <v>5</v>
      </c>
      <c r="U5292" t="s">
        <v>28</v>
      </c>
      <c r="V5292" t="s">
        <v>28</v>
      </c>
      <c r="W5292">
        <v>15</v>
      </c>
      <c r="X5292">
        <v>0.77080000000000004</v>
      </c>
      <c r="Y5292">
        <v>5.5520266569826157E-3</v>
      </c>
      <c r="AA5292" s="6"/>
      <c r="AB5292" s="6"/>
    </row>
    <row r="5293" spans="1:28" x14ac:dyDescent="0.2">
      <c r="A5293" t="s">
        <v>605</v>
      </c>
      <c r="B5293">
        <v>2020</v>
      </c>
      <c r="C5293" t="s">
        <v>816</v>
      </c>
      <c r="D5293" t="s">
        <v>817</v>
      </c>
      <c r="E5293" t="s">
        <v>31</v>
      </c>
      <c r="F5293" t="s">
        <v>607</v>
      </c>
      <c r="G5293">
        <v>69.790000000000006</v>
      </c>
      <c r="H5293">
        <v>19.053999999999998</v>
      </c>
      <c r="I5293" t="s">
        <v>766</v>
      </c>
      <c r="J5293" s="2" t="s">
        <v>14</v>
      </c>
      <c r="K5293" t="s">
        <v>144</v>
      </c>
      <c r="L5293" t="s">
        <v>144</v>
      </c>
      <c r="M5293" t="s">
        <v>726</v>
      </c>
      <c r="N5293" t="s">
        <v>85</v>
      </c>
      <c r="O5293" t="s">
        <v>84</v>
      </c>
      <c r="Q5293">
        <v>8</v>
      </c>
      <c r="R5293" t="s">
        <v>213</v>
      </c>
      <c r="S5293" s="2" t="s">
        <v>9</v>
      </c>
      <c r="T5293">
        <v>5</v>
      </c>
      <c r="U5293" t="s">
        <v>28</v>
      </c>
      <c r="V5293" t="s">
        <v>28</v>
      </c>
      <c r="W5293">
        <v>19</v>
      </c>
      <c r="X5293">
        <v>0.76879999999999993</v>
      </c>
      <c r="Y5293">
        <v>9.0457172186609851E-3</v>
      </c>
      <c r="AA5293" s="6"/>
      <c r="AB5293" s="6"/>
    </row>
    <row r="5294" spans="1:28" x14ac:dyDescent="0.2">
      <c r="A5294" t="s">
        <v>605</v>
      </c>
      <c r="B5294">
        <v>2020</v>
      </c>
      <c r="C5294" t="s">
        <v>816</v>
      </c>
      <c r="D5294" t="s">
        <v>817</v>
      </c>
      <c r="E5294" t="s">
        <v>31</v>
      </c>
      <c r="F5294" t="s">
        <v>607</v>
      </c>
      <c r="G5294">
        <v>69.790000000000006</v>
      </c>
      <c r="H5294">
        <v>19.053999999999998</v>
      </c>
      <c r="I5294" t="s">
        <v>766</v>
      </c>
      <c r="J5294" s="2" t="s">
        <v>14</v>
      </c>
      <c r="K5294" t="s">
        <v>144</v>
      </c>
      <c r="L5294" t="s">
        <v>144</v>
      </c>
      <c r="M5294" t="s">
        <v>726</v>
      </c>
      <c r="N5294" t="s">
        <v>85</v>
      </c>
      <c r="O5294" t="s">
        <v>84</v>
      </c>
      <c r="Q5294">
        <v>8</v>
      </c>
      <c r="R5294" t="s">
        <v>213</v>
      </c>
      <c r="S5294" s="2" t="s">
        <v>27</v>
      </c>
      <c r="T5294">
        <v>5</v>
      </c>
      <c r="U5294" t="s">
        <v>28</v>
      </c>
      <c r="V5294" t="s">
        <v>28</v>
      </c>
      <c r="W5294">
        <v>21</v>
      </c>
      <c r="X5294">
        <v>0.75339999999999985</v>
      </c>
      <c r="Y5294">
        <v>1.8253081931558446E-2</v>
      </c>
      <c r="AA5294" s="6"/>
      <c r="AB5294" s="6"/>
    </row>
    <row r="5295" spans="1:28" x14ac:dyDescent="0.2">
      <c r="A5295" t="s">
        <v>605</v>
      </c>
      <c r="B5295">
        <v>2020</v>
      </c>
      <c r="C5295" t="s">
        <v>816</v>
      </c>
      <c r="D5295" t="s">
        <v>817</v>
      </c>
      <c r="E5295" t="s">
        <v>31</v>
      </c>
      <c r="F5295" t="s">
        <v>607</v>
      </c>
      <c r="G5295">
        <v>69.790000000000006</v>
      </c>
      <c r="H5295">
        <v>19.053999999999998</v>
      </c>
      <c r="I5295" t="s">
        <v>766</v>
      </c>
      <c r="J5295" s="2" t="s">
        <v>14</v>
      </c>
      <c r="K5295" t="s">
        <v>144</v>
      </c>
      <c r="L5295" t="s">
        <v>144</v>
      </c>
      <c r="M5295" t="s">
        <v>726</v>
      </c>
      <c r="N5295" t="s">
        <v>85</v>
      </c>
      <c r="O5295" t="s">
        <v>84</v>
      </c>
      <c r="Q5295">
        <v>8</v>
      </c>
      <c r="R5295" t="s">
        <v>213</v>
      </c>
      <c r="S5295" s="2" t="s">
        <v>13</v>
      </c>
      <c r="T5295">
        <v>5</v>
      </c>
      <c r="U5295" t="s">
        <v>28</v>
      </c>
      <c r="V5295" t="s">
        <v>28</v>
      </c>
      <c r="W5295">
        <v>23</v>
      </c>
      <c r="X5295">
        <v>0.67869999999999997</v>
      </c>
      <c r="Y5295">
        <v>4.1950268175542538E-2</v>
      </c>
      <c r="AA5295" s="6"/>
      <c r="AB5295" s="6"/>
    </row>
    <row r="5296" spans="1:28" x14ac:dyDescent="0.2">
      <c r="A5296" t="s">
        <v>605</v>
      </c>
      <c r="B5296">
        <v>2020</v>
      </c>
      <c r="C5296" t="s">
        <v>816</v>
      </c>
      <c r="D5296" t="s">
        <v>817</v>
      </c>
      <c r="E5296" t="s">
        <v>31</v>
      </c>
      <c r="F5296" t="s">
        <v>307</v>
      </c>
      <c r="G5296">
        <v>54.177999999999997</v>
      </c>
      <c r="H5296">
        <v>7.8929999999999998</v>
      </c>
      <c r="I5296" t="s">
        <v>766</v>
      </c>
      <c r="J5296" s="2" t="s">
        <v>7</v>
      </c>
      <c r="K5296" t="s">
        <v>144</v>
      </c>
      <c r="L5296" t="s">
        <v>144</v>
      </c>
      <c r="M5296" t="s">
        <v>638</v>
      </c>
      <c r="N5296" t="s">
        <v>85</v>
      </c>
      <c r="O5296" t="s">
        <v>221</v>
      </c>
      <c r="P5296" t="s">
        <v>609</v>
      </c>
      <c r="Q5296">
        <v>8</v>
      </c>
      <c r="R5296" t="s">
        <v>213</v>
      </c>
      <c r="S5296" s="2" t="s">
        <v>7</v>
      </c>
      <c r="T5296">
        <v>5</v>
      </c>
      <c r="U5296" t="s">
        <v>28</v>
      </c>
      <c r="V5296" t="s">
        <v>28</v>
      </c>
      <c r="W5296">
        <v>15</v>
      </c>
      <c r="X5296">
        <v>25.804777938000001</v>
      </c>
      <c r="Y5296">
        <v>1.0237265154808668</v>
      </c>
      <c r="AA5296" s="6"/>
      <c r="AB5296" s="6"/>
    </row>
    <row r="5297" spans="1:28" x14ac:dyDescent="0.2">
      <c r="A5297" t="s">
        <v>605</v>
      </c>
      <c r="B5297">
        <v>2020</v>
      </c>
      <c r="C5297" t="s">
        <v>816</v>
      </c>
      <c r="D5297" t="s">
        <v>817</v>
      </c>
      <c r="E5297" t="s">
        <v>31</v>
      </c>
      <c r="F5297" t="s">
        <v>307</v>
      </c>
      <c r="G5297">
        <v>54.177999999999997</v>
      </c>
      <c r="H5297">
        <v>7.8929999999999998</v>
      </c>
      <c r="I5297" t="s">
        <v>766</v>
      </c>
      <c r="J5297" s="2" t="s">
        <v>14</v>
      </c>
      <c r="K5297" t="s">
        <v>144</v>
      </c>
      <c r="L5297" t="s">
        <v>144</v>
      </c>
      <c r="M5297" t="s">
        <v>638</v>
      </c>
      <c r="N5297" t="s">
        <v>85</v>
      </c>
      <c r="O5297" t="s">
        <v>221</v>
      </c>
      <c r="P5297" t="s">
        <v>609</v>
      </c>
      <c r="Q5297">
        <v>8</v>
      </c>
      <c r="R5297" t="s">
        <v>213</v>
      </c>
      <c r="S5297" s="2" t="s">
        <v>9</v>
      </c>
      <c r="T5297">
        <v>5</v>
      </c>
      <c r="U5297" t="s">
        <v>28</v>
      </c>
      <c r="V5297" t="s">
        <v>28</v>
      </c>
      <c r="W5297">
        <v>19</v>
      </c>
      <c r="X5297">
        <v>26.223258450000003</v>
      </c>
      <c r="Y5297">
        <v>0.61881213274792335</v>
      </c>
      <c r="AA5297" s="6"/>
      <c r="AB5297" s="6"/>
    </row>
    <row r="5298" spans="1:28" x14ac:dyDescent="0.2">
      <c r="A5298" t="s">
        <v>605</v>
      </c>
      <c r="B5298">
        <v>2020</v>
      </c>
      <c r="C5298" t="s">
        <v>816</v>
      </c>
      <c r="D5298" t="s">
        <v>817</v>
      </c>
      <c r="E5298" t="s">
        <v>31</v>
      </c>
      <c r="F5298" t="s">
        <v>307</v>
      </c>
      <c r="G5298">
        <v>54.177999999999997</v>
      </c>
      <c r="H5298">
        <v>7.8929999999999998</v>
      </c>
      <c r="I5298" t="s">
        <v>766</v>
      </c>
      <c r="J5298" s="2" t="s">
        <v>14</v>
      </c>
      <c r="K5298" t="s">
        <v>144</v>
      </c>
      <c r="L5298" t="s">
        <v>144</v>
      </c>
      <c r="M5298" t="s">
        <v>638</v>
      </c>
      <c r="N5298" t="s">
        <v>85</v>
      </c>
      <c r="O5298" t="s">
        <v>221</v>
      </c>
      <c r="P5298" t="s">
        <v>609</v>
      </c>
      <c r="Q5298">
        <v>8</v>
      </c>
      <c r="R5298" t="s">
        <v>213</v>
      </c>
      <c r="S5298" s="2" t="s">
        <v>27</v>
      </c>
      <c r="T5298">
        <v>5</v>
      </c>
      <c r="U5298" t="s">
        <v>28</v>
      </c>
      <c r="V5298" t="s">
        <v>28</v>
      </c>
      <c r="W5298">
        <v>21</v>
      </c>
      <c r="X5298">
        <v>26.471217262</v>
      </c>
      <c r="Y5298">
        <v>0.90032217646488932</v>
      </c>
      <c r="AA5298" s="6"/>
      <c r="AB5298" s="6"/>
    </row>
    <row r="5299" spans="1:28" x14ac:dyDescent="0.2">
      <c r="A5299" t="s">
        <v>605</v>
      </c>
      <c r="B5299">
        <v>2020</v>
      </c>
      <c r="C5299" t="s">
        <v>816</v>
      </c>
      <c r="D5299" t="s">
        <v>817</v>
      </c>
      <c r="E5299" t="s">
        <v>31</v>
      </c>
      <c r="F5299" t="s">
        <v>307</v>
      </c>
      <c r="G5299">
        <v>54.177999999999997</v>
      </c>
      <c r="H5299">
        <v>7.8929999999999998</v>
      </c>
      <c r="I5299" t="s">
        <v>766</v>
      </c>
      <c r="J5299" s="2" t="s">
        <v>14</v>
      </c>
      <c r="K5299" t="s">
        <v>144</v>
      </c>
      <c r="L5299" t="s">
        <v>144</v>
      </c>
      <c r="M5299" t="s">
        <v>638</v>
      </c>
      <c r="N5299" t="s">
        <v>85</v>
      </c>
      <c r="O5299" t="s">
        <v>221</v>
      </c>
      <c r="P5299" t="s">
        <v>609</v>
      </c>
      <c r="Q5299">
        <v>8</v>
      </c>
      <c r="R5299" t="s">
        <v>213</v>
      </c>
      <c r="S5299" s="2" t="s">
        <v>13</v>
      </c>
      <c r="T5299">
        <v>5</v>
      </c>
      <c r="U5299" t="s">
        <v>28</v>
      </c>
      <c r="V5299" t="s">
        <v>28</v>
      </c>
      <c r="W5299">
        <v>23</v>
      </c>
      <c r="X5299">
        <v>26.643009295999995</v>
      </c>
      <c r="Y5299">
        <v>0.76180018667744376</v>
      </c>
      <c r="AA5299" s="6"/>
      <c r="AB5299" s="6"/>
    </row>
    <row r="5300" spans="1:28" x14ac:dyDescent="0.2">
      <c r="A5300" t="s">
        <v>605</v>
      </c>
      <c r="B5300">
        <v>2020</v>
      </c>
      <c r="C5300" t="s">
        <v>816</v>
      </c>
      <c r="D5300" t="s">
        <v>817</v>
      </c>
      <c r="E5300" t="s">
        <v>31</v>
      </c>
      <c r="F5300" t="s">
        <v>608</v>
      </c>
      <c r="G5300">
        <v>47.47</v>
      </c>
      <c r="H5300">
        <v>-3.0910000000000002</v>
      </c>
      <c r="I5300" t="s">
        <v>765</v>
      </c>
      <c r="J5300" s="2" t="s">
        <v>7</v>
      </c>
      <c r="K5300" t="s">
        <v>144</v>
      </c>
      <c r="L5300" t="s">
        <v>144</v>
      </c>
      <c r="M5300" t="s">
        <v>638</v>
      </c>
      <c r="N5300" t="s">
        <v>85</v>
      </c>
      <c r="O5300" t="s">
        <v>221</v>
      </c>
      <c r="P5300" t="s">
        <v>609</v>
      </c>
      <c r="Q5300">
        <v>8</v>
      </c>
      <c r="R5300" t="s">
        <v>213</v>
      </c>
      <c r="S5300" s="2" t="s">
        <v>7</v>
      </c>
      <c r="T5300">
        <v>4</v>
      </c>
      <c r="U5300" t="s">
        <v>28</v>
      </c>
      <c r="V5300" t="s">
        <v>28</v>
      </c>
      <c r="W5300">
        <v>15</v>
      </c>
      <c r="X5300">
        <v>23.601715601999999</v>
      </c>
      <c r="Y5300">
        <v>0.6188995346139633</v>
      </c>
      <c r="AA5300" s="6"/>
      <c r="AB5300" s="6"/>
    </row>
    <row r="5301" spans="1:28" x14ac:dyDescent="0.2">
      <c r="A5301" t="s">
        <v>605</v>
      </c>
      <c r="B5301">
        <v>2020</v>
      </c>
      <c r="C5301" t="s">
        <v>816</v>
      </c>
      <c r="D5301" t="s">
        <v>817</v>
      </c>
      <c r="E5301" t="s">
        <v>31</v>
      </c>
      <c r="F5301" t="s">
        <v>608</v>
      </c>
      <c r="G5301">
        <v>47.47</v>
      </c>
      <c r="H5301">
        <v>-3.0910000000000002</v>
      </c>
      <c r="I5301" t="s">
        <v>765</v>
      </c>
      <c r="J5301" s="2" t="s">
        <v>14</v>
      </c>
      <c r="K5301" t="s">
        <v>144</v>
      </c>
      <c r="L5301" t="s">
        <v>144</v>
      </c>
      <c r="M5301" t="s">
        <v>638</v>
      </c>
      <c r="N5301" t="s">
        <v>85</v>
      </c>
      <c r="O5301" t="s">
        <v>221</v>
      </c>
      <c r="P5301" t="s">
        <v>609</v>
      </c>
      <c r="Q5301">
        <v>8</v>
      </c>
      <c r="R5301" t="s">
        <v>213</v>
      </c>
      <c r="S5301" s="2" t="s">
        <v>9</v>
      </c>
      <c r="T5301">
        <v>4</v>
      </c>
      <c r="U5301" t="s">
        <v>28</v>
      </c>
      <c r="V5301" t="s">
        <v>28</v>
      </c>
      <c r="W5301">
        <v>19</v>
      </c>
      <c r="X5301">
        <v>23.992910850000001</v>
      </c>
      <c r="Y5301">
        <v>0.54619166223887361</v>
      </c>
      <c r="AA5301" s="6"/>
      <c r="AB5301" s="6"/>
    </row>
    <row r="5302" spans="1:28" x14ac:dyDescent="0.2">
      <c r="A5302" t="s">
        <v>605</v>
      </c>
      <c r="B5302">
        <v>2020</v>
      </c>
      <c r="C5302" t="s">
        <v>816</v>
      </c>
      <c r="D5302" t="s">
        <v>817</v>
      </c>
      <c r="E5302" t="s">
        <v>31</v>
      </c>
      <c r="F5302" t="s">
        <v>608</v>
      </c>
      <c r="G5302">
        <v>47.47</v>
      </c>
      <c r="H5302">
        <v>-3.0910000000000002</v>
      </c>
      <c r="I5302" t="s">
        <v>765</v>
      </c>
      <c r="J5302" s="2" t="s">
        <v>14</v>
      </c>
      <c r="K5302" t="s">
        <v>144</v>
      </c>
      <c r="L5302" t="s">
        <v>144</v>
      </c>
      <c r="M5302" t="s">
        <v>638</v>
      </c>
      <c r="N5302" t="s">
        <v>85</v>
      </c>
      <c r="O5302" t="s">
        <v>221</v>
      </c>
      <c r="P5302" t="s">
        <v>609</v>
      </c>
      <c r="Q5302">
        <v>8</v>
      </c>
      <c r="R5302" t="s">
        <v>213</v>
      </c>
      <c r="S5302" s="2" t="s">
        <v>27</v>
      </c>
      <c r="T5302">
        <v>4</v>
      </c>
      <c r="U5302" t="s">
        <v>28</v>
      </c>
      <c r="V5302" t="s">
        <v>28</v>
      </c>
      <c r="W5302">
        <v>21</v>
      </c>
      <c r="X5302">
        <v>24.410020621999998</v>
      </c>
      <c r="Y5302">
        <v>1.2686805681461923</v>
      </c>
      <c r="AA5302" s="6"/>
      <c r="AB5302" s="6"/>
    </row>
    <row r="5303" spans="1:28" x14ac:dyDescent="0.2">
      <c r="A5303" t="s">
        <v>605</v>
      </c>
      <c r="B5303">
        <v>2020</v>
      </c>
      <c r="C5303" t="s">
        <v>816</v>
      </c>
      <c r="D5303" t="s">
        <v>817</v>
      </c>
      <c r="E5303" t="s">
        <v>31</v>
      </c>
      <c r="F5303" t="s">
        <v>608</v>
      </c>
      <c r="G5303">
        <v>47.47</v>
      </c>
      <c r="H5303">
        <v>-3.0910000000000002</v>
      </c>
      <c r="I5303" t="s">
        <v>765</v>
      </c>
      <c r="J5303" s="2" t="s">
        <v>14</v>
      </c>
      <c r="K5303" t="s">
        <v>144</v>
      </c>
      <c r="L5303" t="s">
        <v>144</v>
      </c>
      <c r="M5303" t="s">
        <v>638</v>
      </c>
      <c r="N5303" t="s">
        <v>85</v>
      </c>
      <c r="O5303" t="s">
        <v>221</v>
      </c>
      <c r="P5303" t="s">
        <v>609</v>
      </c>
      <c r="Q5303">
        <v>8</v>
      </c>
      <c r="R5303" t="s">
        <v>213</v>
      </c>
      <c r="S5303" s="2" t="s">
        <v>13</v>
      </c>
      <c r="T5303">
        <v>4</v>
      </c>
      <c r="U5303" t="s">
        <v>28</v>
      </c>
      <c r="V5303" t="s">
        <v>28</v>
      </c>
      <c r="W5303">
        <v>23</v>
      </c>
      <c r="X5303">
        <v>24.679636842000001</v>
      </c>
      <c r="Y5303">
        <v>0.21410425691503732</v>
      </c>
      <c r="AA5303" s="6"/>
      <c r="AB5303" s="6"/>
    </row>
    <row r="5304" spans="1:28" x14ac:dyDescent="0.2">
      <c r="A5304" t="s">
        <v>605</v>
      </c>
      <c r="B5304">
        <v>2020</v>
      </c>
      <c r="C5304" t="s">
        <v>816</v>
      </c>
      <c r="D5304" t="s">
        <v>817</v>
      </c>
      <c r="E5304" t="s">
        <v>31</v>
      </c>
      <c r="F5304" t="s">
        <v>283</v>
      </c>
      <c r="G5304">
        <v>48.726999999999997</v>
      </c>
      <c r="H5304">
        <v>-4.0049999999999999</v>
      </c>
      <c r="I5304" t="s">
        <v>765</v>
      </c>
      <c r="J5304" s="2" t="s">
        <v>7</v>
      </c>
      <c r="K5304" t="s">
        <v>144</v>
      </c>
      <c r="L5304" t="s">
        <v>144</v>
      </c>
      <c r="M5304" t="s">
        <v>638</v>
      </c>
      <c r="N5304" t="s">
        <v>85</v>
      </c>
      <c r="O5304" t="s">
        <v>221</v>
      </c>
      <c r="P5304" t="s">
        <v>609</v>
      </c>
      <c r="Q5304">
        <v>8</v>
      </c>
      <c r="R5304" t="s">
        <v>213</v>
      </c>
      <c r="S5304" s="2" t="s">
        <v>7</v>
      </c>
      <c r="T5304">
        <v>5</v>
      </c>
      <c r="U5304" t="s">
        <v>28</v>
      </c>
      <c r="V5304" t="s">
        <v>28</v>
      </c>
      <c r="W5304">
        <v>15</v>
      </c>
      <c r="X5304">
        <v>23.560164579999999</v>
      </c>
      <c r="Y5304">
        <v>0.1088612489965583</v>
      </c>
      <c r="AA5304" s="6"/>
      <c r="AB5304" s="6"/>
    </row>
    <row r="5305" spans="1:28" x14ac:dyDescent="0.2">
      <c r="A5305" t="s">
        <v>605</v>
      </c>
      <c r="B5305">
        <v>2020</v>
      </c>
      <c r="C5305" t="s">
        <v>816</v>
      </c>
      <c r="D5305" t="s">
        <v>817</v>
      </c>
      <c r="E5305" t="s">
        <v>31</v>
      </c>
      <c r="F5305" t="s">
        <v>283</v>
      </c>
      <c r="G5305">
        <v>48.726999999999997</v>
      </c>
      <c r="H5305">
        <v>-4.0049999999999999</v>
      </c>
      <c r="I5305" t="s">
        <v>765</v>
      </c>
      <c r="J5305" s="2" t="s">
        <v>14</v>
      </c>
      <c r="K5305" t="s">
        <v>144</v>
      </c>
      <c r="L5305" t="s">
        <v>144</v>
      </c>
      <c r="M5305" t="s">
        <v>638</v>
      </c>
      <c r="N5305" t="s">
        <v>85</v>
      </c>
      <c r="O5305" t="s">
        <v>221</v>
      </c>
      <c r="P5305" t="s">
        <v>609</v>
      </c>
      <c r="Q5305">
        <v>8</v>
      </c>
      <c r="R5305" t="s">
        <v>213</v>
      </c>
      <c r="S5305" s="2" t="s">
        <v>9</v>
      </c>
      <c r="T5305">
        <v>5</v>
      </c>
      <c r="U5305" t="s">
        <v>28</v>
      </c>
      <c r="V5305" t="s">
        <v>28</v>
      </c>
      <c r="W5305">
        <v>19</v>
      </c>
      <c r="X5305">
        <v>24.840481929999999</v>
      </c>
      <c r="Y5305">
        <v>2.0142564691861087</v>
      </c>
      <c r="AA5305" s="6"/>
      <c r="AB5305" s="6"/>
    </row>
    <row r="5306" spans="1:28" x14ac:dyDescent="0.2">
      <c r="A5306" t="s">
        <v>605</v>
      </c>
      <c r="B5306">
        <v>2020</v>
      </c>
      <c r="C5306" t="s">
        <v>816</v>
      </c>
      <c r="D5306" t="s">
        <v>817</v>
      </c>
      <c r="E5306" t="s">
        <v>31</v>
      </c>
      <c r="F5306" t="s">
        <v>283</v>
      </c>
      <c r="G5306">
        <v>48.726999999999997</v>
      </c>
      <c r="H5306">
        <v>-4.0049999999999999</v>
      </c>
      <c r="I5306" t="s">
        <v>765</v>
      </c>
      <c r="J5306" s="2" t="s">
        <v>14</v>
      </c>
      <c r="K5306" t="s">
        <v>144</v>
      </c>
      <c r="L5306" t="s">
        <v>144</v>
      </c>
      <c r="M5306" t="s">
        <v>638</v>
      </c>
      <c r="N5306" t="s">
        <v>85</v>
      </c>
      <c r="O5306" t="s">
        <v>221</v>
      </c>
      <c r="P5306" t="s">
        <v>609</v>
      </c>
      <c r="Q5306">
        <v>8</v>
      </c>
      <c r="R5306" t="s">
        <v>213</v>
      </c>
      <c r="S5306" s="2" t="s">
        <v>27</v>
      </c>
      <c r="T5306">
        <v>5</v>
      </c>
      <c r="U5306" t="s">
        <v>28</v>
      </c>
      <c r="V5306" t="s">
        <v>28</v>
      </c>
      <c r="W5306">
        <v>21</v>
      </c>
      <c r="X5306">
        <v>24.354504102</v>
      </c>
      <c r="Y5306">
        <v>0.37647947549199412</v>
      </c>
      <c r="AA5306" s="6"/>
      <c r="AB5306" s="6"/>
    </row>
    <row r="5307" spans="1:28" x14ac:dyDescent="0.2">
      <c r="A5307" t="s">
        <v>605</v>
      </c>
      <c r="B5307">
        <v>2020</v>
      </c>
      <c r="C5307" t="s">
        <v>816</v>
      </c>
      <c r="D5307" t="s">
        <v>817</v>
      </c>
      <c r="E5307" t="s">
        <v>31</v>
      </c>
      <c r="F5307" t="s">
        <v>283</v>
      </c>
      <c r="G5307">
        <v>48.726999999999997</v>
      </c>
      <c r="H5307">
        <v>-4.0049999999999999</v>
      </c>
      <c r="I5307" t="s">
        <v>765</v>
      </c>
      <c r="J5307" s="2" t="s">
        <v>14</v>
      </c>
      <c r="K5307" t="s">
        <v>144</v>
      </c>
      <c r="L5307" t="s">
        <v>144</v>
      </c>
      <c r="M5307" t="s">
        <v>638</v>
      </c>
      <c r="N5307" t="s">
        <v>85</v>
      </c>
      <c r="O5307" t="s">
        <v>221</v>
      </c>
      <c r="P5307" t="s">
        <v>609</v>
      </c>
      <c r="Q5307">
        <v>8</v>
      </c>
      <c r="R5307" t="s">
        <v>213</v>
      </c>
      <c r="S5307" s="2" t="s">
        <v>13</v>
      </c>
      <c r="T5307">
        <v>5</v>
      </c>
      <c r="U5307" t="s">
        <v>28</v>
      </c>
      <c r="V5307" t="s">
        <v>28</v>
      </c>
      <c r="W5307">
        <v>23</v>
      </c>
      <c r="X5307">
        <v>23.107675606000001</v>
      </c>
      <c r="Y5307">
        <v>0.71729932871136726</v>
      </c>
      <c r="AA5307" s="6"/>
      <c r="AB5307" s="6"/>
    </row>
    <row r="5308" spans="1:28" x14ac:dyDescent="0.2">
      <c r="A5308" t="s">
        <v>605</v>
      </c>
      <c r="B5308">
        <v>2020</v>
      </c>
      <c r="C5308" t="s">
        <v>816</v>
      </c>
      <c r="D5308" t="s">
        <v>817</v>
      </c>
      <c r="E5308" t="s">
        <v>31</v>
      </c>
      <c r="F5308" t="s">
        <v>607</v>
      </c>
      <c r="G5308">
        <v>69.790000000000006</v>
      </c>
      <c r="H5308">
        <v>19.053999999999998</v>
      </c>
      <c r="I5308" t="s">
        <v>766</v>
      </c>
      <c r="J5308" s="2" t="s">
        <v>7</v>
      </c>
      <c r="K5308" t="s">
        <v>144</v>
      </c>
      <c r="L5308" t="s">
        <v>144</v>
      </c>
      <c r="M5308" t="s">
        <v>638</v>
      </c>
      <c r="N5308" t="s">
        <v>85</v>
      </c>
      <c r="O5308" t="s">
        <v>221</v>
      </c>
      <c r="P5308" t="s">
        <v>609</v>
      </c>
      <c r="Q5308">
        <v>8</v>
      </c>
      <c r="R5308" t="s">
        <v>213</v>
      </c>
      <c r="S5308" s="2" t="s">
        <v>7</v>
      </c>
      <c r="T5308">
        <v>5</v>
      </c>
      <c r="U5308" t="s">
        <v>28</v>
      </c>
      <c r="V5308" t="s">
        <v>28</v>
      </c>
      <c r="W5308">
        <v>15</v>
      </c>
      <c r="X5308">
        <v>25.8631715</v>
      </c>
      <c r="Y5308">
        <v>0.44472522716551999</v>
      </c>
      <c r="AA5308" s="6"/>
      <c r="AB5308" s="6"/>
    </row>
    <row r="5309" spans="1:28" x14ac:dyDescent="0.2">
      <c r="A5309" t="s">
        <v>605</v>
      </c>
      <c r="B5309">
        <v>2020</v>
      </c>
      <c r="C5309" t="s">
        <v>816</v>
      </c>
      <c r="D5309" t="s">
        <v>817</v>
      </c>
      <c r="E5309" t="s">
        <v>31</v>
      </c>
      <c r="F5309" t="s">
        <v>607</v>
      </c>
      <c r="G5309">
        <v>69.790000000000006</v>
      </c>
      <c r="H5309">
        <v>19.053999999999998</v>
      </c>
      <c r="I5309" t="s">
        <v>766</v>
      </c>
      <c r="J5309" s="2" t="s">
        <v>14</v>
      </c>
      <c r="K5309" t="s">
        <v>144</v>
      </c>
      <c r="L5309" t="s">
        <v>144</v>
      </c>
      <c r="M5309" t="s">
        <v>638</v>
      </c>
      <c r="N5309" t="s">
        <v>85</v>
      </c>
      <c r="O5309" t="s">
        <v>221</v>
      </c>
      <c r="P5309" t="s">
        <v>609</v>
      </c>
      <c r="Q5309">
        <v>8</v>
      </c>
      <c r="R5309" t="s">
        <v>213</v>
      </c>
      <c r="S5309" s="2" t="s">
        <v>9</v>
      </c>
      <c r="T5309">
        <v>5</v>
      </c>
      <c r="U5309" t="s">
        <v>28</v>
      </c>
      <c r="V5309" t="s">
        <v>28</v>
      </c>
      <c r="W5309">
        <v>19</v>
      </c>
      <c r="X5309">
        <v>26.048366637999997</v>
      </c>
      <c r="Y5309">
        <v>0.71652498064794623</v>
      </c>
      <c r="AA5309" s="6"/>
      <c r="AB5309" s="6"/>
    </row>
    <row r="5310" spans="1:28" x14ac:dyDescent="0.2">
      <c r="A5310" t="s">
        <v>605</v>
      </c>
      <c r="B5310">
        <v>2020</v>
      </c>
      <c r="C5310" t="s">
        <v>816</v>
      </c>
      <c r="D5310" t="s">
        <v>817</v>
      </c>
      <c r="E5310" t="s">
        <v>31</v>
      </c>
      <c r="F5310" t="s">
        <v>607</v>
      </c>
      <c r="G5310">
        <v>69.790000000000006</v>
      </c>
      <c r="H5310">
        <v>19.053999999999998</v>
      </c>
      <c r="I5310" t="s">
        <v>766</v>
      </c>
      <c r="J5310" s="2" t="s">
        <v>14</v>
      </c>
      <c r="K5310" t="s">
        <v>144</v>
      </c>
      <c r="L5310" t="s">
        <v>144</v>
      </c>
      <c r="M5310" t="s">
        <v>638</v>
      </c>
      <c r="N5310" t="s">
        <v>85</v>
      </c>
      <c r="O5310" t="s">
        <v>221</v>
      </c>
      <c r="P5310" t="s">
        <v>609</v>
      </c>
      <c r="Q5310">
        <v>8</v>
      </c>
      <c r="R5310" t="s">
        <v>213</v>
      </c>
      <c r="S5310" s="2" t="s">
        <v>27</v>
      </c>
      <c r="T5310">
        <v>5</v>
      </c>
      <c r="U5310" t="s">
        <v>28</v>
      </c>
      <c r="V5310" t="s">
        <v>28</v>
      </c>
      <c r="W5310">
        <v>21</v>
      </c>
      <c r="X5310">
        <v>26.122231034000002</v>
      </c>
      <c r="Y5310">
        <v>0.54863637614689609</v>
      </c>
      <c r="AA5310" s="6"/>
      <c r="AB5310" s="6"/>
    </row>
    <row r="5311" spans="1:28" x14ac:dyDescent="0.2">
      <c r="A5311" t="s">
        <v>605</v>
      </c>
      <c r="B5311">
        <v>2020</v>
      </c>
      <c r="C5311" t="s">
        <v>816</v>
      </c>
      <c r="D5311" t="s">
        <v>817</v>
      </c>
      <c r="E5311" t="s">
        <v>31</v>
      </c>
      <c r="F5311" t="s">
        <v>607</v>
      </c>
      <c r="G5311">
        <v>69.790000000000006</v>
      </c>
      <c r="H5311">
        <v>19.053999999999998</v>
      </c>
      <c r="I5311" t="s">
        <v>766</v>
      </c>
      <c r="J5311" s="2" t="s">
        <v>14</v>
      </c>
      <c r="K5311" t="s">
        <v>144</v>
      </c>
      <c r="L5311" t="s">
        <v>144</v>
      </c>
      <c r="M5311" t="s">
        <v>638</v>
      </c>
      <c r="N5311" t="s">
        <v>85</v>
      </c>
      <c r="O5311" t="s">
        <v>221</v>
      </c>
      <c r="P5311" t="s">
        <v>609</v>
      </c>
      <c r="Q5311">
        <v>8</v>
      </c>
      <c r="R5311" t="s">
        <v>213</v>
      </c>
      <c r="S5311" s="2" t="s">
        <v>13</v>
      </c>
      <c r="T5311">
        <v>5</v>
      </c>
      <c r="U5311" t="s">
        <v>28</v>
      </c>
      <c r="V5311" t="s">
        <v>28</v>
      </c>
      <c r="W5311">
        <v>23</v>
      </c>
      <c r="X5311">
        <v>26.047449334</v>
      </c>
      <c r="Y5311">
        <v>0.39797574375571543</v>
      </c>
      <c r="AA5311" s="6"/>
      <c r="AB5311" s="6"/>
    </row>
    <row r="5312" spans="1:28" x14ac:dyDescent="0.2">
      <c r="A5312" t="s">
        <v>605</v>
      </c>
      <c r="B5312">
        <v>2020</v>
      </c>
      <c r="C5312" t="s">
        <v>816</v>
      </c>
      <c r="D5312" t="s">
        <v>817</v>
      </c>
      <c r="E5312" t="s">
        <v>31</v>
      </c>
      <c r="F5312" t="s">
        <v>307</v>
      </c>
      <c r="G5312">
        <v>54.177999999999997</v>
      </c>
      <c r="H5312">
        <v>7.8929999999999998</v>
      </c>
      <c r="I5312" t="s">
        <v>766</v>
      </c>
      <c r="J5312" s="2" t="s">
        <v>7</v>
      </c>
      <c r="K5312" t="s">
        <v>144</v>
      </c>
      <c r="L5312" t="s">
        <v>144</v>
      </c>
      <c r="M5312" t="s">
        <v>638</v>
      </c>
      <c r="N5312" t="s">
        <v>85</v>
      </c>
      <c r="O5312" t="s">
        <v>107</v>
      </c>
      <c r="P5312" t="s">
        <v>609</v>
      </c>
      <c r="Q5312">
        <v>8</v>
      </c>
      <c r="R5312" t="s">
        <v>213</v>
      </c>
      <c r="S5312" s="2" t="s">
        <v>7</v>
      </c>
      <c r="T5312">
        <v>5</v>
      </c>
      <c r="U5312" t="s">
        <v>28</v>
      </c>
      <c r="V5312" t="s">
        <v>28</v>
      </c>
      <c r="W5312">
        <v>15</v>
      </c>
      <c r="X5312">
        <v>1.0198712893999999</v>
      </c>
      <c r="Y5312">
        <v>4.0702769975084679E-2</v>
      </c>
      <c r="AA5312" s="6"/>
      <c r="AB5312" s="6"/>
    </row>
    <row r="5313" spans="1:28" x14ac:dyDescent="0.2">
      <c r="A5313" t="s">
        <v>605</v>
      </c>
      <c r="B5313">
        <v>2020</v>
      </c>
      <c r="C5313" t="s">
        <v>816</v>
      </c>
      <c r="D5313" t="s">
        <v>817</v>
      </c>
      <c r="E5313" t="s">
        <v>31</v>
      </c>
      <c r="F5313" t="s">
        <v>307</v>
      </c>
      <c r="G5313">
        <v>54.177999999999997</v>
      </c>
      <c r="H5313">
        <v>7.8929999999999998</v>
      </c>
      <c r="I5313" t="s">
        <v>766</v>
      </c>
      <c r="J5313" s="2" t="s">
        <v>14</v>
      </c>
      <c r="K5313" t="s">
        <v>144</v>
      </c>
      <c r="L5313" t="s">
        <v>144</v>
      </c>
      <c r="M5313" t="s">
        <v>638</v>
      </c>
      <c r="N5313" t="s">
        <v>85</v>
      </c>
      <c r="O5313" t="s">
        <v>107</v>
      </c>
      <c r="P5313" t="s">
        <v>609</v>
      </c>
      <c r="Q5313">
        <v>8</v>
      </c>
      <c r="R5313" t="s">
        <v>213</v>
      </c>
      <c r="S5313" s="2" t="s">
        <v>9</v>
      </c>
      <c r="T5313">
        <v>5</v>
      </c>
      <c r="U5313" t="s">
        <v>28</v>
      </c>
      <c r="V5313" t="s">
        <v>28</v>
      </c>
      <c r="W5313">
        <v>19</v>
      </c>
      <c r="X5313">
        <v>1.148951896</v>
      </c>
      <c r="Y5313">
        <v>2.7838768890295535E-2</v>
      </c>
      <c r="AA5313" s="6"/>
      <c r="AB5313" s="6"/>
    </row>
    <row r="5314" spans="1:28" x14ac:dyDescent="0.2">
      <c r="A5314" t="s">
        <v>605</v>
      </c>
      <c r="B5314">
        <v>2020</v>
      </c>
      <c r="C5314" t="s">
        <v>816</v>
      </c>
      <c r="D5314" t="s">
        <v>817</v>
      </c>
      <c r="E5314" t="s">
        <v>31</v>
      </c>
      <c r="F5314" t="s">
        <v>307</v>
      </c>
      <c r="G5314">
        <v>54.177999999999997</v>
      </c>
      <c r="H5314">
        <v>7.8929999999999998</v>
      </c>
      <c r="I5314" t="s">
        <v>766</v>
      </c>
      <c r="J5314" s="2" t="s">
        <v>14</v>
      </c>
      <c r="K5314" t="s">
        <v>144</v>
      </c>
      <c r="L5314" t="s">
        <v>144</v>
      </c>
      <c r="M5314" t="s">
        <v>638</v>
      </c>
      <c r="N5314" t="s">
        <v>85</v>
      </c>
      <c r="O5314" t="s">
        <v>107</v>
      </c>
      <c r="P5314" t="s">
        <v>609</v>
      </c>
      <c r="Q5314">
        <v>8</v>
      </c>
      <c r="R5314" t="s">
        <v>213</v>
      </c>
      <c r="S5314" s="2" t="s">
        <v>27</v>
      </c>
      <c r="T5314">
        <v>5</v>
      </c>
      <c r="U5314" t="s">
        <v>28</v>
      </c>
      <c r="V5314" t="s">
        <v>28</v>
      </c>
      <c r="W5314">
        <v>21</v>
      </c>
      <c r="X5314">
        <v>1.1312878232000001</v>
      </c>
      <c r="Y5314">
        <v>3.8739275555048538E-2</v>
      </c>
      <c r="AA5314" s="6"/>
      <c r="AB5314" s="6"/>
    </row>
    <row r="5315" spans="1:28" x14ac:dyDescent="0.2">
      <c r="A5315" t="s">
        <v>605</v>
      </c>
      <c r="B5315">
        <v>2020</v>
      </c>
      <c r="C5315" t="s">
        <v>816</v>
      </c>
      <c r="D5315" t="s">
        <v>817</v>
      </c>
      <c r="E5315" t="s">
        <v>31</v>
      </c>
      <c r="F5315" t="s">
        <v>307</v>
      </c>
      <c r="G5315">
        <v>54.177999999999997</v>
      </c>
      <c r="H5315">
        <v>7.8929999999999998</v>
      </c>
      <c r="I5315" t="s">
        <v>766</v>
      </c>
      <c r="J5315" s="2" t="s">
        <v>14</v>
      </c>
      <c r="K5315" t="s">
        <v>144</v>
      </c>
      <c r="L5315" t="s">
        <v>144</v>
      </c>
      <c r="M5315" t="s">
        <v>638</v>
      </c>
      <c r="N5315" t="s">
        <v>85</v>
      </c>
      <c r="O5315" t="s">
        <v>107</v>
      </c>
      <c r="P5315" t="s">
        <v>609</v>
      </c>
      <c r="Q5315">
        <v>8</v>
      </c>
      <c r="R5315" t="s">
        <v>213</v>
      </c>
      <c r="S5315" s="2" t="s">
        <v>13</v>
      </c>
      <c r="T5315">
        <v>5</v>
      </c>
      <c r="U5315" t="s">
        <v>28</v>
      </c>
      <c r="V5315" t="s">
        <v>28</v>
      </c>
      <c r="W5315">
        <v>23</v>
      </c>
      <c r="X5315">
        <v>1.1148821927999999</v>
      </c>
      <c r="Y5315">
        <v>4.033049296548815E-2</v>
      </c>
      <c r="AA5315" s="6"/>
      <c r="AB5315" s="6"/>
    </row>
    <row r="5316" spans="1:28" x14ac:dyDescent="0.2">
      <c r="A5316" t="s">
        <v>605</v>
      </c>
      <c r="B5316">
        <v>2020</v>
      </c>
      <c r="C5316" t="s">
        <v>816</v>
      </c>
      <c r="D5316" t="s">
        <v>817</v>
      </c>
      <c r="E5316" t="s">
        <v>31</v>
      </c>
      <c r="F5316" t="s">
        <v>608</v>
      </c>
      <c r="G5316">
        <v>47.47</v>
      </c>
      <c r="H5316">
        <v>-3.0910000000000002</v>
      </c>
      <c r="I5316" t="s">
        <v>765</v>
      </c>
      <c r="J5316" s="2" t="s">
        <v>7</v>
      </c>
      <c r="K5316" t="s">
        <v>144</v>
      </c>
      <c r="L5316" t="s">
        <v>144</v>
      </c>
      <c r="M5316" t="s">
        <v>638</v>
      </c>
      <c r="N5316" t="s">
        <v>85</v>
      </c>
      <c r="O5316" t="s">
        <v>107</v>
      </c>
      <c r="P5316" t="s">
        <v>609</v>
      </c>
      <c r="Q5316">
        <v>8</v>
      </c>
      <c r="R5316" t="s">
        <v>213</v>
      </c>
      <c r="S5316" s="2" t="s">
        <v>7</v>
      </c>
      <c r="T5316">
        <v>4</v>
      </c>
      <c r="U5316" t="s">
        <v>28</v>
      </c>
      <c r="V5316" t="s">
        <v>28</v>
      </c>
      <c r="W5316">
        <v>15</v>
      </c>
      <c r="X5316">
        <v>1.1450184945999999</v>
      </c>
      <c r="Y5316">
        <v>5.5127736624459439E-2</v>
      </c>
      <c r="AA5316" s="6"/>
      <c r="AB5316" s="6"/>
    </row>
    <row r="5317" spans="1:28" x14ac:dyDescent="0.2">
      <c r="A5317" t="s">
        <v>605</v>
      </c>
      <c r="B5317">
        <v>2020</v>
      </c>
      <c r="C5317" t="s">
        <v>816</v>
      </c>
      <c r="D5317" t="s">
        <v>817</v>
      </c>
      <c r="E5317" t="s">
        <v>31</v>
      </c>
      <c r="F5317" t="s">
        <v>608</v>
      </c>
      <c r="G5317">
        <v>47.47</v>
      </c>
      <c r="H5317">
        <v>-3.0910000000000002</v>
      </c>
      <c r="I5317" t="s">
        <v>765</v>
      </c>
      <c r="J5317" s="2" t="s">
        <v>14</v>
      </c>
      <c r="K5317" t="s">
        <v>144</v>
      </c>
      <c r="L5317" t="s">
        <v>144</v>
      </c>
      <c r="M5317" t="s">
        <v>638</v>
      </c>
      <c r="N5317" t="s">
        <v>85</v>
      </c>
      <c r="O5317" t="s">
        <v>107</v>
      </c>
      <c r="P5317" t="s">
        <v>609</v>
      </c>
      <c r="Q5317">
        <v>8</v>
      </c>
      <c r="R5317" t="s">
        <v>213</v>
      </c>
      <c r="S5317" s="2" t="s">
        <v>9</v>
      </c>
      <c r="T5317">
        <v>4</v>
      </c>
      <c r="U5317" t="s">
        <v>28</v>
      </c>
      <c r="V5317" t="s">
        <v>28</v>
      </c>
      <c r="W5317">
        <v>19</v>
      </c>
      <c r="X5317">
        <v>1.0435156164000001</v>
      </c>
      <c r="Y5317">
        <v>4.841662096963209E-2</v>
      </c>
      <c r="AA5317" s="6"/>
      <c r="AB5317" s="6"/>
    </row>
    <row r="5318" spans="1:28" x14ac:dyDescent="0.2">
      <c r="A5318" t="s">
        <v>605</v>
      </c>
      <c r="B5318">
        <v>2020</v>
      </c>
      <c r="C5318" t="s">
        <v>816</v>
      </c>
      <c r="D5318" t="s">
        <v>817</v>
      </c>
      <c r="E5318" t="s">
        <v>31</v>
      </c>
      <c r="F5318" t="s">
        <v>608</v>
      </c>
      <c r="G5318">
        <v>47.47</v>
      </c>
      <c r="H5318">
        <v>-3.0910000000000002</v>
      </c>
      <c r="I5318" t="s">
        <v>765</v>
      </c>
      <c r="J5318" s="2" t="s">
        <v>14</v>
      </c>
      <c r="K5318" t="s">
        <v>144</v>
      </c>
      <c r="L5318" t="s">
        <v>144</v>
      </c>
      <c r="M5318" t="s">
        <v>638</v>
      </c>
      <c r="N5318" t="s">
        <v>85</v>
      </c>
      <c r="O5318" t="s">
        <v>107</v>
      </c>
      <c r="P5318" t="s">
        <v>609</v>
      </c>
      <c r="Q5318">
        <v>8</v>
      </c>
      <c r="R5318" t="s">
        <v>213</v>
      </c>
      <c r="S5318" s="2" t="s">
        <v>27</v>
      </c>
      <c r="T5318">
        <v>4</v>
      </c>
      <c r="U5318" t="s">
        <v>28</v>
      </c>
      <c r="V5318" t="s">
        <v>28</v>
      </c>
      <c r="W5318">
        <v>21</v>
      </c>
      <c r="X5318">
        <v>0.95978955999999993</v>
      </c>
      <c r="Y5318">
        <v>0.12613208305248544</v>
      </c>
      <c r="AA5318" s="6"/>
      <c r="AB5318" s="6"/>
    </row>
    <row r="5319" spans="1:28" x14ac:dyDescent="0.2">
      <c r="A5319" t="s">
        <v>605</v>
      </c>
      <c r="B5319">
        <v>2020</v>
      </c>
      <c r="C5319" t="s">
        <v>816</v>
      </c>
      <c r="D5319" t="s">
        <v>817</v>
      </c>
      <c r="E5319" t="s">
        <v>31</v>
      </c>
      <c r="F5319" t="s">
        <v>608</v>
      </c>
      <c r="G5319">
        <v>47.47</v>
      </c>
      <c r="H5319">
        <v>-3.0910000000000002</v>
      </c>
      <c r="I5319" t="s">
        <v>765</v>
      </c>
      <c r="J5319" s="2" t="s">
        <v>14</v>
      </c>
      <c r="K5319" t="s">
        <v>144</v>
      </c>
      <c r="L5319" t="s">
        <v>144</v>
      </c>
      <c r="M5319" t="s">
        <v>638</v>
      </c>
      <c r="N5319" t="s">
        <v>85</v>
      </c>
      <c r="O5319" t="s">
        <v>107</v>
      </c>
      <c r="P5319" t="s">
        <v>609</v>
      </c>
      <c r="Q5319">
        <v>8</v>
      </c>
      <c r="R5319" t="s">
        <v>213</v>
      </c>
      <c r="S5319" s="2" t="s">
        <v>13</v>
      </c>
      <c r="T5319">
        <v>4</v>
      </c>
      <c r="U5319" t="s">
        <v>28</v>
      </c>
      <c r="V5319" t="s">
        <v>28</v>
      </c>
      <c r="W5319">
        <v>23</v>
      </c>
      <c r="X5319">
        <v>0.96236579439999992</v>
      </c>
      <c r="Y5319">
        <v>4.9459049740413173E-2</v>
      </c>
      <c r="AA5319" s="6"/>
      <c r="AB5319" s="6"/>
    </row>
    <row r="5320" spans="1:28" x14ac:dyDescent="0.2">
      <c r="A5320" t="s">
        <v>605</v>
      </c>
      <c r="B5320">
        <v>2020</v>
      </c>
      <c r="C5320" t="s">
        <v>816</v>
      </c>
      <c r="D5320" t="s">
        <v>817</v>
      </c>
      <c r="E5320" t="s">
        <v>31</v>
      </c>
      <c r="F5320" t="s">
        <v>283</v>
      </c>
      <c r="G5320">
        <v>48.726999999999997</v>
      </c>
      <c r="H5320">
        <v>-4.0049999999999999</v>
      </c>
      <c r="I5320" t="s">
        <v>765</v>
      </c>
      <c r="J5320" s="2" t="s">
        <v>7</v>
      </c>
      <c r="K5320" t="s">
        <v>144</v>
      </c>
      <c r="L5320" t="s">
        <v>144</v>
      </c>
      <c r="M5320" t="s">
        <v>638</v>
      </c>
      <c r="N5320" t="s">
        <v>85</v>
      </c>
      <c r="O5320" t="s">
        <v>107</v>
      </c>
      <c r="P5320" t="s">
        <v>609</v>
      </c>
      <c r="Q5320">
        <v>8</v>
      </c>
      <c r="R5320" t="s">
        <v>213</v>
      </c>
      <c r="S5320" s="2" t="s">
        <v>7</v>
      </c>
      <c r="T5320">
        <v>5</v>
      </c>
      <c r="U5320" t="s">
        <v>28</v>
      </c>
      <c r="V5320" t="s">
        <v>28</v>
      </c>
      <c r="W5320">
        <v>15</v>
      </c>
      <c r="X5320">
        <v>1.0641974458000001</v>
      </c>
      <c r="Y5320">
        <v>8.3511080175310663E-3</v>
      </c>
      <c r="AA5320" s="6"/>
      <c r="AB5320" s="6"/>
    </row>
    <row r="5321" spans="1:28" x14ac:dyDescent="0.2">
      <c r="A5321" t="s">
        <v>605</v>
      </c>
      <c r="B5321">
        <v>2020</v>
      </c>
      <c r="C5321" t="s">
        <v>816</v>
      </c>
      <c r="D5321" t="s">
        <v>817</v>
      </c>
      <c r="E5321" t="s">
        <v>31</v>
      </c>
      <c r="F5321" t="s">
        <v>283</v>
      </c>
      <c r="G5321">
        <v>48.726999999999997</v>
      </c>
      <c r="H5321">
        <v>-4.0049999999999999</v>
      </c>
      <c r="I5321" t="s">
        <v>765</v>
      </c>
      <c r="J5321" s="2" t="s">
        <v>14</v>
      </c>
      <c r="K5321" t="s">
        <v>144</v>
      </c>
      <c r="L5321" t="s">
        <v>144</v>
      </c>
      <c r="M5321" t="s">
        <v>638</v>
      </c>
      <c r="N5321" t="s">
        <v>85</v>
      </c>
      <c r="O5321" t="s">
        <v>107</v>
      </c>
      <c r="P5321" t="s">
        <v>609</v>
      </c>
      <c r="Q5321">
        <v>8</v>
      </c>
      <c r="R5321" t="s">
        <v>213</v>
      </c>
      <c r="S5321" s="2" t="s">
        <v>9</v>
      </c>
      <c r="T5321">
        <v>5</v>
      </c>
      <c r="U5321" t="s">
        <v>28</v>
      </c>
      <c r="V5321" t="s">
        <v>28</v>
      </c>
      <c r="W5321">
        <v>19</v>
      </c>
      <c r="X5321">
        <v>0.99875504060000009</v>
      </c>
      <c r="Y5321">
        <v>7.8871630296729153E-2</v>
      </c>
      <c r="AA5321" s="6"/>
      <c r="AB5321" s="6"/>
    </row>
    <row r="5322" spans="1:28" x14ac:dyDescent="0.2">
      <c r="A5322" t="s">
        <v>605</v>
      </c>
      <c r="B5322">
        <v>2020</v>
      </c>
      <c r="C5322" t="s">
        <v>816</v>
      </c>
      <c r="D5322" t="s">
        <v>817</v>
      </c>
      <c r="E5322" t="s">
        <v>31</v>
      </c>
      <c r="F5322" t="s">
        <v>283</v>
      </c>
      <c r="G5322">
        <v>48.726999999999997</v>
      </c>
      <c r="H5322">
        <v>-4.0049999999999999</v>
      </c>
      <c r="I5322" t="s">
        <v>765</v>
      </c>
      <c r="J5322" s="2" t="s">
        <v>14</v>
      </c>
      <c r="K5322" t="s">
        <v>144</v>
      </c>
      <c r="L5322" t="s">
        <v>144</v>
      </c>
      <c r="M5322" t="s">
        <v>638</v>
      </c>
      <c r="N5322" t="s">
        <v>85</v>
      </c>
      <c r="O5322" t="s">
        <v>107</v>
      </c>
      <c r="P5322" t="s">
        <v>609</v>
      </c>
      <c r="Q5322">
        <v>8</v>
      </c>
      <c r="R5322" t="s">
        <v>213</v>
      </c>
      <c r="S5322" s="2" t="s">
        <v>27</v>
      </c>
      <c r="T5322">
        <v>5</v>
      </c>
      <c r="U5322" t="s">
        <v>28</v>
      </c>
      <c r="V5322" t="s">
        <v>28</v>
      </c>
      <c r="W5322">
        <v>21</v>
      </c>
      <c r="X5322">
        <v>0.94444737540000001</v>
      </c>
      <c r="Y5322">
        <v>4.5263767204165736E-2</v>
      </c>
      <c r="AA5322" s="6"/>
      <c r="AB5322" s="6"/>
    </row>
    <row r="5323" spans="1:28" x14ac:dyDescent="0.2">
      <c r="A5323" t="s">
        <v>605</v>
      </c>
      <c r="B5323">
        <v>2020</v>
      </c>
      <c r="C5323" t="s">
        <v>816</v>
      </c>
      <c r="D5323" t="s">
        <v>817</v>
      </c>
      <c r="E5323" t="s">
        <v>31</v>
      </c>
      <c r="F5323" t="s">
        <v>283</v>
      </c>
      <c r="G5323">
        <v>48.726999999999997</v>
      </c>
      <c r="H5323">
        <v>-4.0049999999999999</v>
      </c>
      <c r="I5323" t="s">
        <v>765</v>
      </c>
      <c r="J5323" s="2" t="s">
        <v>14</v>
      </c>
      <c r="K5323" t="s">
        <v>144</v>
      </c>
      <c r="L5323" t="s">
        <v>144</v>
      </c>
      <c r="M5323" t="s">
        <v>638</v>
      </c>
      <c r="N5323" t="s">
        <v>85</v>
      </c>
      <c r="O5323" t="s">
        <v>107</v>
      </c>
      <c r="P5323" t="s">
        <v>609</v>
      </c>
      <c r="Q5323">
        <v>8</v>
      </c>
      <c r="R5323" t="s">
        <v>213</v>
      </c>
      <c r="S5323" s="2" t="s">
        <v>13</v>
      </c>
      <c r="T5323">
        <v>5</v>
      </c>
      <c r="U5323" t="s">
        <v>28</v>
      </c>
      <c r="V5323" t="s">
        <v>28</v>
      </c>
      <c r="W5323">
        <v>23</v>
      </c>
      <c r="X5323">
        <v>0.86033196479999996</v>
      </c>
      <c r="Y5323">
        <v>7.9194588163646967E-2</v>
      </c>
      <c r="AA5323" s="6"/>
      <c r="AB5323" s="6"/>
    </row>
    <row r="5324" spans="1:28" x14ac:dyDescent="0.2">
      <c r="A5324" t="s">
        <v>605</v>
      </c>
      <c r="B5324">
        <v>2020</v>
      </c>
      <c r="C5324" t="s">
        <v>816</v>
      </c>
      <c r="D5324" t="s">
        <v>817</v>
      </c>
      <c r="E5324" t="s">
        <v>31</v>
      </c>
      <c r="F5324" t="s">
        <v>607</v>
      </c>
      <c r="G5324">
        <v>69.790000000000006</v>
      </c>
      <c r="H5324">
        <v>19.053999999999998</v>
      </c>
      <c r="I5324" t="s">
        <v>766</v>
      </c>
      <c r="J5324" s="2" t="s">
        <v>7</v>
      </c>
      <c r="K5324" t="s">
        <v>144</v>
      </c>
      <c r="L5324" t="s">
        <v>144</v>
      </c>
      <c r="M5324" t="s">
        <v>638</v>
      </c>
      <c r="N5324" t="s">
        <v>85</v>
      </c>
      <c r="O5324" t="s">
        <v>107</v>
      </c>
      <c r="P5324" t="s">
        <v>609</v>
      </c>
      <c r="Q5324">
        <v>8</v>
      </c>
      <c r="R5324" t="s">
        <v>213</v>
      </c>
      <c r="S5324" s="2" t="s">
        <v>7</v>
      </c>
      <c r="T5324">
        <v>5</v>
      </c>
      <c r="U5324" t="s">
        <v>28</v>
      </c>
      <c r="V5324" t="s">
        <v>28</v>
      </c>
      <c r="W5324">
        <v>15</v>
      </c>
      <c r="X5324">
        <v>1.1512162694000001</v>
      </c>
      <c r="Y5324">
        <v>4.8636676082053687E-2</v>
      </c>
      <c r="AA5324" s="6"/>
      <c r="AB5324" s="6"/>
    </row>
    <row r="5325" spans="1:28" x14ac:dyDescent="0.2">
      <c r="A5325" t="s">
        <v>605</v>
      </c>
      <c r="B5325">
        <v>2020</v>
      </c>
      <c r="C5325" t="s">
        <v>816</v>
      </c>
      <c r="D5325" t="s">
        <v>817</v>
      </c>
      <c r="E5325" t="s">
        <v>31</v>
      </c>
      <c r="F5325" t="s">
        <v>607</v>
      </c>
      <c r="G5325">
        <v>69.790000000000006</v>
      </c>
      <c r="H5325">
        <v>19.053999999999998</v>
      </c>
      <c r="I5325" t="s">
        <v>766</v>
      </c>
      <c r="J5325" s="2" t="s">
        <v>14</v>
      </c>
      <c r="K5325" t="s">
        <v>144</v>
      </c>
      <c r="L5325" t="s">
        <v>144</v>
      </c>
      <c r="M5325" t="s">
        <v>638</v>
      </c>
      <c r="N5325" t="s">
        <v>85</v>
      </c>
      <c r="O5325" t="s">
        <v>107</v>
      </c>
      <c r="P5325" t="s">
        <v>609</v>
      </c>
      <c r="Q5325">
        <v>8</v>
      </c>
      <c r="R5325" t="s">
        <v>213</v>
      </c>
      <c r="S5325" s="2" t="s">
        <v>9</v>
      </c>
      <c r="T5325">
        <v>5</v>
      </c>
      <c r="U5325" t="s">
        <v>28</v>
      </c>
      <c r="V5325" t="s">
        <v>28</v>
      </c>
      <c r="W5325">
        <v>19</v>
      </c>
      <c r="X5325">
        <v>1.1520802054000001</v>
      </c>
      <c r="Y5325">
        <v>4.0373375935761881E-2</v>
      </c>
      <c r="AA5325" s="6"/>
      <c r="AB5325" s="6"/>
    </row>
    <row r="5326" spans="1:28" x14ac:dyDescent="0.2">
      <c r="A5326" t="s">
        <v>605</v>
      </c>
      <c r="B5326">
        <v>2020</v>
      </c>
      <c r="C5326" t="s">
        <v>816</v>
      </c>
      <c r="D5326" t="s">
        <v>817</v>
      </c>
      <c r="E5326" t="s">
        <v>31</v>
      </c>
      <c r="F5326" t="s">
        <v>607</v>
      </c>
      <c r="G5326">
        <v>69.790000000000006</v>
      </c>
      <c r="H5326">
        <v>19.053999999999998</v>
      </c>
      <c r="I5326" t="s">
        <v>766</v>
      </c>
      <c r="J5326" s="2" t="s">
        <v>14</v>
      </c>
      <c r="K5326" t="s">
        <v>144</v>
      </c>
      <c r="L5326" t="s">
        <v>144</v>
      </c>
      <c r="M5326" t="s">
        <v>638</v>
      </c>
      <c r="N5326" t="s">
        <v>85</v>
      </c>
      <c r="O5326" t="s">
        <v>107</v>
      </c>
      <c r="P5326" t="s">
        <v>609</v>
      </c>
      <c r="Q5326">
        <v>8</v>
      </c>
      <c r="R5326" t="s">
        <v>213</v>
      </c>
      <c r="S5326" s="2" t="s">
        <v>27</v>
      </c>
      <c r="T5326">
        <v>5</v>
      </c>
      <c r="U5326" t="s">
        <v>28</v>
      </c>
      <c r="V5326" t="s">
        <v>28</v>
      </c>
      <c r="W5326">
        <v>21</v>
      </c>
      <c r="X5326">
        <v>1.1127880181999998</v>
      </c>
      <c r="Y5326">
        <v>6.6421719537542473E-2</v>
      </c>
      <c r="AA5326" s="6"/>
      <c r="AB5326" s="6"/>
    </row>
    <row r="5327" spans="1:28" x14ac:dyDescent="0.2">
      <c r="A5327" t="s">
        <v>605</v>
      </c>
      <c r="B5327">
        <v>2020</v>
      </c>
      <c r="C5327" t="s">
        <v>816</v>
      </c>
      <c r="D5327" t="s">
        <v>817</v>
      </c>
      <c r="E5327" t="s">
        <v>31</v>
      </c>
      <c r="F5327" t="s">
        <v>607</v>
      </c>
      <c r="G5327">
        <v>69.790000000000006</v>
      </c>
      <c r="H5327">
        <v>19.053999999999998</v>
      </c>
      <c r="I5327" t="s">
        <v>766</v>
      </c>
      <c r="J5327" s="2" t="s">
        <v>14</v>
      </c>
      <c r="K5327" t="s">
        <v>144</v>
      </c>
      <c r="L5327" t="s">
        <v>144</v>
      </c>
      <c r="M5327" t="s">
        <v>638</v>
      </c>
      <c r="N5327" t="s">
        <v>85</v>
      </c>
      <c r="O5327" t="s">
        <v>107</v>
      </c>
      <c r="P5327" t="s">
        <v>609</v>
      </c>
      <c r="Q5327">
        <v>8</v>
      </c>
      <c r="R5327" t="s">
        <v>213</v>
      </c>
      <c r="S5327" s="2" t="s">
        <v>13</v>
      </c>
      <c r="T5327">
        <v>5</v>
      </c>
      <c r="U5327" t="s">
        <v>28</v>
      </c>
      <c r="V5327" t="s">
        <v>28</v>
      </c>
      <c r="W5327">
        <v>23</v>
      </c>
      <c r="X5327">
        <v>1.1203018404</v>
      </c>
      <c r="Y5327">
        <v>2.1593458745995407E-2</v>
      </c>
      <c r="AA5327" s="6"/>
      <c r="AB5327" s="6"/>
    </row>
    <row r="5328" spans="1:28" x14ac:dyDescent="0.2">
      <c r="A5328" t="s">
        <v>605</v>
      </c>
      <c r="B5328">
        <v>2020</v>
      </c>
      <c r="C5328" t="s">
        <v>816</v>
      </c>
      <c r="D5328" t="s">
        <v>817</v>
      </c>
      <c r="E5328" t="s">
        <v>31</v>
      </c>
      <c r="F5328" t="s">
        <v>307</v>
      </c>
      <c r="G5328">
        <v>54.177999999999997</v>
      </c>
      <c r="H5328">
        <v>7.8929999999999998</v>
      </c>
      <c r="I5328" t="s">
        <v>766</v>
      </c>
      <c r="J5328" s="2" t="s">
        <v>7</v>
      </c>
      <c r="K5328" t="s">
        <v>144</v>
      </c>
      <c r="L5328" t="s">
        <v>144</v>
      </c>
      <c r="M5328" t="s">
        <v>638</v>
      </c>
      <c r="N5328" t="s">
        <v>86</v>
      </c>
      <c r="O5328" t="s">
        <v>272</v>
      </c>
      <c r="Q5328">
        <v>8</v>
      </c>
      <c r="R5328" t="s">
        <v>213</v>
      </c>
      <c r="S5328" s="2" t="s">
        <v>7</v>
      </c>
      <c r="T5328">
        <v>5</v>
      </c>
      <c r="U5328" t="s">
        <v>28</v>
      </c>
      <c r="V5328" t="s">
        <v>28</v>
      </c>
      <c r="W5328">
        <v>15</v>
      </c>
      <c r="X5328">
        <v>25.353063021999997</v>
      </c>
      <c r="Y5328">
        <v>1.7630476378458524</v>
      </c>
      <c r="AA5328" s="6"/>
      <c r="AB5328" s="6"/>
    </row>
    <row r="5329" spans="1:28" x14ac:dyDescent="0.2">
      <c r="A5329" t="s">
        <v>605</v>
      </c>
      <c r="B5329">
        <v>2020</v>
      </c>
      <c r="C5329" t="s">
        <v>816</v>
      </c>
      <c r="D5329" t="s">
        <v>817</v>
      </c>
      <c r="E5329" t="s">
        <v>31</v>
      </c>
      <c r="F5329" t="s">
        <v>307</v>
      </c>
      <c r="G5329">
        <v>54.177999999999997</v>
      </c>
      <c r="H5329">
        <v>7.8929999999999998</v>
      </c>
      <c r="I5329" t="s">
        <v>766</v>
      </c>
      <c r="J5329" s="2" t="s">
        <v>14</v>
      </c>
      <c r="K5329" t="s">
        <v>144</v>
      </c>
      <c r="L5329" t="s">
        <v>144</v>
      </c>
      <c r="M5329" t="s">
        <v>638</v>
      </c>
      <c r="N5329" t="s">
        <v>86</v>
      </c>
      <c r="O5329" t="s">
        <v>272</v>
      </c>
      <c r="Q5329">
        <v>8</v>
      </c>
      <c r="R5329" t="s">
        <v>213</v>
      </c>
      <c r="S5329" s="2" t="s">
        <v>9</v>
      </c>
      <c r="T5329">
        <v>5</v>
      </c>
      <c r="U5329" t="s">
        <v>28</v>
      </c>
      <c r="V5329" t="s">
        <v>28</v>
      </c>
      <c r="W5329">
        <v>19</v>
      </c>
      <c r="X5329">
        <v>22.843112652000002</v>
      </c>
      <c r="Y5329">
        <v>1.0372742582534655</v>
      </c>
      <c r="AA5329" s="6"/>
      <c r="AB5329" s="6"/>
    </row>
    <row r="5330" spans="1:28" x14ac:dyDescent="0.2">
      <c r="A5330" t="s">
        <v>605</v>
      </c>
      <c r="B5330">
        <v>2020</v>
      </c>
      <c r="C5330" t="s">
        <v>816</v>
      </c>
      <c r="D5330" t="s">
        <v>817</v>
      </c>
      <c r="E5330" t="s">
        <v>31</v>
      </c>
      <c r="F5330" t="s">
        <v>307</v>
      </c>
      <c r="G5330">
        <v>54.177999999999997</v>
      </c>
      <c r="H5330">
        <v>7.8929999999999998</v>
      </c>
      <c r="I5330" t="s">
        <v>766</v>
      </c>
      <c r="J5330" s="2" t="s">
        <v>14</v>
      </c>
      <c r="K5330" t="s">
        <v>144</v>
      </c>
      <c r="L5330" t="s">
        <v>144</v>
      </c>
      <c r="M5330" t="s">
        <v>638</v>
      </c>
      <c r="N5330" t="s">
        <v>86</v>
      </c>
      <c r="O5330" t="s">
        <v>272</v>
      </c>
      <c r="Q5330">
        <v>8</v>
      </c>
      <c r="R5330" t="s">
        <v>213</v>
      </c>
      <c r="S5330" s="2" t="s">
        <v>27</v>
      </c>
      <c r="T5330">
        <v>5</v>
      </c>
      <c r="U5330" t="s">
        <v>28</v>
      </c>
      <c r="V5330" t="s">
        <v>28</v>
      </c>
      <c r="W5330">
        <v>21</v>
      </c>
      <c r="X5330">
        <v>23.431396569999997</v>
      </c>
      <c r="Y5330">
        <v>1.3633388503045991</v>
      </c>
      <c r="AA5330" s="6"/>
      <c r="AB5330" s="6"/>
    </row>
    <row r="5331" spans="1:28" x14ac:dyDescent="0.2">
      <c r="A5331" t="s">
        <v>605</v>
      </c>
      <c r="B5331">
        <v>2020</v>
      </c>
      <c r="C5331" t="s">
        <v>816</v>
      </c>
      <c r="D5331" t="s">
        <v>817</v>
      </c>
      <c r="E5331" t="s">
        <v>31</v>
      </c>
      <c r="F5331" t="s">
        <v>307</v>
      </c>
      <c r="G5331">
        <v>54.177999999999997</v>
      </c>
      <c r="H5331">
        <v>7.8929999999999998</v>
      </c>
      <c r="I5331" t="s">
        <v>766</v>
      </c>
      <c r="J5331" s="2" t="s">
        <v>14</v>
      </c>
      <c r="K5331" t="s">
        <v>144</v>
      </c>
      <c r="L5331" t="s">
        <v>144</v>
      </c>
      <c r="M5331" t="s">
        <v>638</v>
      </c>
      <c r="N5331" t="s">
        <v>86</v>
      </c>
      <c r="O5331" t="s">
        <v>272</v>
      </c>
      <c r="Q5331">
        <v>8</v>
      </c>
      <c r="R5331" t="s">
        <v>213</v>
      </c>
      <c r="S5331" s="2" t="s">
        <v>13</v>
      </c>
      <c r="T5331">
        <v>5</v>
      </c>
      <c r="U5331" t="s">
        <v>28</v>
      </c>
      <c r="V5331" t="s">
        <v>28</v>
      </c>
      <c r="W5331">
        <v>23</v>
      </c>
      <c r="X5331">
        <v>23.936845301999998</v>
      </c>
      <c r="Y5331">
        <v>1.4374596359852438</v>
      </c>
      <c r="AA5331" s="6"/>
      <c r="AB5331" s="6"/>
    </row>
    <row r="5332" spans="1:28" x14ac:dyDescent="0.2">
      <c r="A5332" t="s">
        <v>605</v>
      </c>
      <c r="B5332">
        <v>2020</v>
      </c>
      <c r="C5332" t="s">
        <v>816</v>
      </c>
      <c r="D5332" t="s">
        <v>817</v>
      </c>
      <c r="E5332" t="s">
        <v>31</v>
      </c>
      <c r="F5332" t="s">
        <v>608</v>
      </c>
      <c r="G5332">
        <v>47.47</v>
      </c>
      <c r="H5332">
        <v>-3.0910000000000002</v>
      </c>
      <c r="I5332" t="s">
        <v>765</v>
      </c>
      <c r="J5332" s="2" t="s">
        <v>7</v>
      </c>
      <c r="K5332" t="s">
        <v>144</v>
      </c>
      <c r="L5332" t="s">
        <v>144</v>
      </c>
      <c r="M5332" t="s">
        <v>638</v>
      </c>
      <c r="N5332" t="s">
        <v>86</v>
      </c>
      <c r="O5332" t="s">
        <v>272</v>
      </c>
      <c r="Q5332">
        <v>8</v>
      </c>
      <c r="R5332" t="s">
        <v>213</v>
      </c>
      <c r="S5332" s="2" t="s">
        <v>7</v>
      </c>
      <c r="T5332">
        <v>4</v>
      </c>
      <c r="U5332" t="s">
        <v>28</v>
      </c>
      <c r="V5332" t="s">
        <v>28</v>
      </c>
      <c r="W5332">
        <v>15</v>
      </c>
      <c r="X5332">
        <v>20.652210636</v>
      </c>
      <c r="Y5332">
        <v>1.1831252376642922</v>
      </c>
      <c r="AA5332" s="6"/>
      <c r="AB5332" s="6"/>
    </row>
    <row r="5333" spans="1:28" x14ac:dyDescent="0.2">
      <c r="A5333" t="s">
        <v>605</v>
      </c>
      <c r="B5333">
        <v>2020</v>
      </c>
      <c r="C5333" t="s">
        <v>816</v>
      </c>
      <c r="D5333" t="s">
        <v>817</v>
      </c>
      <c r="E5333" t="s">
        <v>31</v>
      </c>
      <c r="F5333" t="s">
        <v>608</v>
      </c>
      <c r="G5333">
        <v>47.47</v>
      </c>
      <c r="H5333">
        <v>-3.0910000000000002</v>
      </c>
      <c r="I5333" t="s">
        <v>765</v>
      </c>
      <c r="J5333" s="2" t="s">
        <v>14</v>
      </c>
      <c r="K5333" t="s">
        <v>144</v>
      </c>
      <c r="L5333" t="s">
        <v>144</v>
      </c>
      <c r="M5333" t="s">
        <v>638</v>
      </c>
      <c r="N5333" t="s">
        <v>86</v>
      </c>
      <c r="O5333" t="s">
        <v>272</v>
      </c>
      <c r="Q5333">
        <v>8</v>
      </c>
      <c r="R5333" t="s">
        <v>213</v>
      </c>
      <c r="S5333" s="2" t="s">
        <v>9</v>
      </c>
      <c r="T5333">
        <v>4</v>
      </c>
      <c r="U5333" t="s">
        <v>28</v>
      </c>
      <c r="V5333" t="s">
        <v>28</v>
      </c>
      <c r="W5333">
        <v>19</v>
      </c>
      <c r="X5333">
        <v>23.027189664000002</v>
      </c>
      <c r="Y5333">
        <v>1.0543222330664144</v>
      </c>
      <c r="AA5333" s="6"/>
      <c r="AB5333" s="6"/>
    </row>
    <row r="5334" spans="1:28" x14ac:dyDescent="0.2">
      <c r="A5334" t="s">
        <v>605</v>
      </c>
      <c r="B5334">
        <v>2020</v>
      </c>
      <c r="C5334" t="s">
        <v>816</v>
      </c>
      <c r="D5334" t="s">
        <v>817</v>
      </c>
      <c r="E5334" t="s">
        <v>31</v>
      </c>
      <c r="F5334" t="s">
        <v>608</v>
      </c>
      <c r="G5334">
        <v>47.47</v>
      </c>
      <c r="H5334">
        <v>-3.0910000000000002</v>
      </c>
      <c r="I5334" t="s">
        <v>765</v>
      </c>
      <c r="J5334" s="2" t="s">
        <v>14</v>
      </c>
      <c r="K5334" t="s">
        <v>144</v>
      </c>
      <c r="L5334" t="s">
        <v>144</v>
      </c>
      <c r="M5334" t="s">
        <v>638</v>
      </c>
      <c r="N5334" t="s">
        <v>86</v>
      </c>
      <c r="O5334" t="s">
        <v>272</v>
      </c>
      <c r="Q5334">
        <v>8</v>
      </c>
      <c r="R5334" t="s">
        <v>213</v>
      </c>
      <c r="S5334" s="2" t="s">
        <v>27</v>
      </c>
      <c r="T5334">
        <v>4</v>
      </c>
      <c r="U5334" t="s">
        <v>28</v>
      </c>
      <c r="V5334" t="s">
        <v>28</v>
      </c>
      <c r="W5334">
        <v>21</v>
      </c>
      <c r="X5334">
        <v>25.700873560000002</v>
      </c>
      <c r="Y5334">
        <v>2.6722127179019814</v>
      </c>
      <c r="AA5334" s="6"/>
      <c r="AB5334" s="6"/>
    </row>
    <row r="5335" spans="1:28" x14ac:dyDescent="0.2">
      <c r="A5335" t="s">
        <v>605</v>
      </c>
      <c r="B5335">
        <v>2020</v>
      </c>
      <c r="C5335" t="s">
        <v>816</v>
      </c>
      <c r="D5335" t="s">
        <v>817</v>
      </c>
      <c r="E5335" t="s">
        <v>31</v>
      </c>
      <c r="F5335" t="s">
        <v>608</v>
      </c>
      <c r="G5335">
        <v>47.47</v>
      </c>
      <c r="H5335">
        <v>-3.0910000000000002</v>
      </c>
      <c r="I5335" t="s">
        <v>765</v>
      </c>
      <c r="J5335" s="2" t="s">
        <v>14</v>
      </c>
      <c r="K5335" t="s">
        <v>144</v>
      </c>
      <c r="L5335" t="s">
        <v>144</v>
      </c>
      <c r="M5335" t="s">
        <v>638</v>
      </c>
      <c r="N5335" t="s">
        <v>86</v>
      </c>
      <c r="O5335" t="s">
        <v>272</v>
      </c>
      <c r="Q5335">
        <v>8</v>
      </c>
      <c r="R5335" t="s">
        <v>213</v>
      </c>
      <c r="S5335" s="2" t="s">
        <v>13</v>
      </c>
      <c r="T5335">
        <v>4</v>
      </c>
      <c r="U5335" t="s">
        <v>28</v>
      </c>
      <c r="V5335" t="s">
        <v>28</v>
      </c>
      <c r="W5335">
        <v>23</v>
      </c>
      <c r="X5335">
        <v>25.697345117999998</v>
      </c>
      <c r="Y5335">
        <v>1.3052377518699896</v>
      </c>
      <c r="AA5335" s="6"/>
      <c r="AB5335" s="6"/>
    </row>
    <row r="5336" spans="1:28" x14ac:dyDescent="0.2">
      <c r="A5336" t="s">
        <v>605</v>
      </c>
      <c r="B5336">
        <v>2020</v>
      </c>
      <c r="C5336" t="s">
        <v>816</v>
      </c>
      <c r="D5336" t="s">
        <v>817</v>
      </c>
      <c r="E5336" t="s">
        <v>31</v>
      </c>
      <c r="F5336" t="s">
        <v>283</v>
      </c>
      <c r="G5336">
        <v>48.726999999999997</v>
      </c>
      <c r="H5336">
        <v>-4.0049999999999999</v>
      </c>
      <c r="I5336" t="s">
        <v>765</v>
      </c>
      <c r="J5336" s="2" t="s">
        <v>7</v>
      </c>
      <c r="K5336" t="s">
        <v>144</v>
      </c>
      <c r="L5336" t="s">
        <v>144</v>
      </c>
      <c r="M5336" t="s">
        <v>638</v>
      </c>
      <c r="N5336" t="s">
        <v>86</v>
      </c>
      <c r="O5336" t="s">
        <v>272</v>
      </c>
      <c r="Q5336">
        <v>8</v>
      </c>
      <c r="R5336" t="s">
        <v>213</v>
      </c>
      <c r="S5336" s="2" t="s">
        <v>7</v>
      </c>
      <c r="T5336">
        <v>5</v>
      </c>
      <c r="U5336" t="s">
        <v>28</v>
      </c>
      <c r="V5336" t="s">
        <v>28</v>
      </c>
      <c r="W5336">
        <v>15</v>
      </c>
      <c r="X5336">
        <v>22.140229159999997</v>
      </c>
      <c r="Y5336">
        <v>0.23113589465477299</v>
      </c>
      <c r="AA5336" s="6"/>
      <c r="AB5336" s="6"/>
    </row>
    <row r="5337" spans="1:28" x14ac:dyDescent="0.2">
      <c r="A5337" t="s">
        <v>605</v>
      </c>
      <c r="B5337">
        <v>2020</v>
      </c>
      <c r="C5337" t="s">
        <v>816</v>
      </c>
      <c r="D5337" t="s">
        <v>817</v>
      </c>
      <c r="E5337" t="s">
        <v>31</v>
      </c>
      <c r="F5337" t="s">
        <v>283</v>
      </c>
      <c r="G5337">
        <v>48.726999999999997</v>
      </c>
      <c r="H5337">
        <v>-4.0049999999999999</v>
      </c>
      <c r="I5337" t="s">
        <v>765</v>
      </c>
      <c r="J5337" s="2" t="s">
        <v>14</v>
      </c>
      <c r="K5337" t="s">
        <v>144</v>
      </c>
      <c r="L5337" t="s">
        <v>144</v>
      </c>
      <c r="M5337" t="s">
        <v>638</v>
      </c>
      <c r="N5337" t="s">
        <v>86</v>
      </c>
      <c r="O5337" t="s">
        <v>272</v>
      </c>
      <c r="Q5337">
        <v>8</v>
      </c>
      <c r="R5337" t="s">
        <v>213</v>
      </c>
      <c r="S5337" s="2" t="s">
        <v>9</v>
      </c>
      <c r="T5337">
        <v>5</v>
      </c>
      <c r="U5337" t="s">
        <v>28</v>
      </c>
      <c r="V5337" t="s">
        <v>28</v>
      </c>
      <c r="W5337">
        <v>19</v>
      </c>
      <c r="X5337">
        <v>24.940119956</v>
      </c>
      <c r="Y5337">
        <v>2.2014551471846553</v>
      </c>
      <c r="AA5337" s="6"/>
      <c r="AB5337" s="6"/>
    </row>
    <row r="5338" spans="1:28" x14ac:dyDescent="0.2">
      <c r="A5338" t="s">
        <v>605</v>
      </c>
      <c r="B5338">
        <v>2020</v>
      </c>
      <c r="C5338" t="s">
        <v>816</v>
      </c>
      <c r="D5338" t="s">
        <v>817</v>
      </c>
      <c r="E5338" t="s">
        <v>31</v>
      </c>
      <c r="F5338" t="s">
        <v>283</v>
      </c>
      <c r="G5338">
        <v>48.726999999999997</v>
      </c>
      <c r="H5338">
        <v>-4.0049999999999999</v>
      </c>
      <c r="I5338" t="s">
        <v>765</v>
      </c>
      <c r="J5338" s="2" t="s">
        <v>14</v>
      </c>
      <c r="K5338" t="s">
        <v>144</v>
      </c>
      <c r="L5338" t="s">
        <v>144</v>
      </c>
      <c r="M5338" t="s">
        <v>638</v>
      </c>
      <c r="N5338" t="s">
        <v>86</v>
      </c>
      <c r="O5338" t="s">
        <v>272</v>
      </c>
      <c r="Q5338">
        <v>8</v>
      </c>
      <c r="R5338" t="s">
        <v>213</v>
      </c>
      <c r="S5338" s="2" t="s">
        <v>27</v>
      </c>
      <c r="T5338">
        <v>5</v>
      </c>
      <c r="U5338" t="s">
        <v>28</v>
      </c>
      <c r="V5338" t="s">
        <v>28</v>
      </c>
      <c r="W5338">
        <v>21</v>
      </c>
      <c r="X5338">
        <v>25.846812340000003</v>
      </c>
      <c r="Y5338">
        <v>1.5919032280937044</v>
      </c>
      <c r="AA5338" s="6"/>
      <c r="AB5338" s="6"/>
    </row>
    <row r="5339" spans="1:28" x14ac:dyDescent="0.2">
      <c r="A5339" t="s">
        <v>605</v>
      </c>
      <c r="B5339">
        <v>2020</v>
      </c>
      <c r="C5339" t="s">
        <v>816</v>
      </c>
      <c r="D5339" t="s">
        <v>817</v>
      </c>
      <c r="E5339" t="s">
        <v>31</v>
      </c>
      <c r="F5339" t="s">
        <v>283</v>
      </c>
      <c r="G5339">
        <v>48.726999999999997</v>
      </c>
      <c r="H5339">
        <v>-4.0049999999999999</v>
      </c>
      <c r="I5339" t="s">
        <v>765</v>
      </c>
      <c r="J5339" s="2" t="s">
        <v>14</v>
      </c>
      <c r="K5339" t="s">
        <v>144</v>
      </c>
      <c r="L5339" t="s">
        <v>144</v>
      </c>
      <c r="M5339" t="s">
        <v>638</v>
      </c>
      <c r="N5339" t="s">
        <v>86</v>
      </c>
      <c r="O5339" t="s">
        <v>272</v>
      </c>
      <c r="Q5339">
        <v>8</v>
      </c>
      <c r="R5339" t="s">
        <v>213</v>
      </c>
      <c r="S5339" s="2" t="s">
        <v>13</v>
      </c>
      <c r="T5339">
        <v>5</v>
      </c>
      <c r="U5339" t="s">
        <v>28</v>
      </c>
      <c r="V5339" t="s">
        <v>28</v>
      </c>
      <c r="W5339">
        <v>23</v>
      </c>
      <c r="X5339">
        <v>26.986409909999999</v>
      </c>
      <c r="Y5339">
        <v>1.7798145248270156</v>
      </c>
      <c r="AA5339" s="6"/>
      <c r="AB5339" s="6"/>
    </row>
    <row r="5340" spans="1:28" x14ac:dyDescent="0.2">
      <c r="A5340" t="s">
        <v>605</v>
      </c>
      <c r="B5340">
        <v>2020</v>
      </c>
      <c r="C5340" t="s">
        <v>816</v>
      </c>
      <c r="D5340" t="s">
        <v>817</v>
      </c>
      <c r="E5340" t="s">
        <v>31</v>
      </c>
      <c r="F5340" t="s">
        <v>607</v>
      </c>
      <c r="G5340">
        <v>69.790000000000006</v>
      </c>
      <c r="H5340">
        <v>19.053999999999998</v>
      </c>
      <c r="I5340" t="s">
        <v>766</v>
      </c>
      <c r="J5340" s="2" t="s">
        <v>7</v>
      </c>
      <c r="K5340" t="s">
        <v>144</v>
      </c>
      <c r="L5340" t="s">
        <v>144</v>
      </c>
      <c r="M5340" t="s">
        <v>638</v>
      </c>
      <c r="N5340" t="s">
        <v>86</v>
      </c>
      <c r="O5340" t="s">
        <v>272</v>
      </c>
      <c r="Q5340">
        <v>8</v>
      </c>
      <c r="R5340" t="s">
        <v>213</v>
      </c>
      <c r="S5340" s="2" t="s">
        <v>7</v>
      </c>
      <c r="T5340">
        <v>5</v>
      </c>
      <c r="U5340" t="s">
        <v>28</v>
      </c>
      <c r="V5340" t="s">
        <v>28</v>
      </c>
      <c r="W5340">
        <v>15</v>
      </c>
      <c r="X5340">
        <v>22.505263547999999</v>
      </c>
      <c r="Y5340">
        <v>1.1971227166417786</v>
      </c>
      <c r="AA5340" s="6"/>
      <c r="AB5340" s="6"/>
    </row>
    <row r="5341" spans="1:28" x14ac:dyDescent="0.2">
      <c r="A5341" t="s">
        <v>605</v>
      </c>
      <c r="B5341">
        <v>2020</v>
      </c>
      <c r="C5341" t="s">
        <v>816</v>
      </c>
      <c r="D5341" t="s">
        <v>817</v>
      </c>
      <c r="E5341" t="s">
        <v>31</v>
      </c>
      <c r="F5341" t="s">
        <v>607</v>
      </c>
      <c r="G5341">
        <v>69.790000000000006</v>
      </c>
      <c r="H5341">
        <v>19.053999999999998</v>
      </c>
      <c r="I5341" t="s">
        <v>766</v>
      </c>
      <c r="J5341" s="2" t="s">
        <v>14</v>
      </c>
      <c r="K5341" t="s">
        <v>144</v>
      </c>
      <c r="L5341" t="s">
        <v>144</v>
      </c>
      <c r="M5341" t="s">
        <v>638</v>
      </c>
      <c r="N5341" t="s">
        <v>86</v>
      </c>
      <c r="O5341" t="s">
        <v>272</v>
      </c>
      <c r="Q5341">
        <v>8</v>
      </c>
      <c r="R5341" t="s">
        <v>213</v>
      </c>
      <c r="S5341" s="2" t="s">
        <v>9</v>
      </c>
      <c r="T5341">
        <v>5</v>
      </c>
      <c r="U5341" t="s">
        <v>28</v>
      </c>
      <c r="V5341" t="s">
        <v>28</v>
      </c>
      <c r="W5341">
        <v>19</v>
      </c>
      <c r="X5341">
        <v>22.623611340000004</v>
      </c>
      <c r="Y5341">
        <v>0.74388635775497802</v>
      </c>
      <c r="AA5341" s="6"/>
      <c r="AB5341" s="6"/>
    </row>
    <row r="5342" spans="1:28" x14ac:dyDescent="0.2">
      <c r="A5342" t="s">
        <v>605</v>
      </c>
      <c r="B5342">
        <v>2020</v>
      </c>
      <c r="C5342" t="s">
        <v>816</v>
      </c>
      <c r="D5342" t="s">
        <v>817</v>
      </c>
      <c r="E5342" t="s">
        <v>31</v>
      </c>
      <c r="F5342" t="s">
        <v>607</v>
      </c>
      <c r="G5342">
        <v>69.790000000000006</v>
      </c>
      <c r="H5342">
        <v>19.053999999999998</v>
      </c>
      <c r="I5342" t="s">
        <v>766</v>
      </c>
      <c r="J5342" s="2" t="s">
        <v>14</v>
      </c>
      <c r="K5342" t="s">
        <v>144</v>
      </c>
      <c r="L5342" t="s">
        <v>144</v>
      </c>
      <c r="M5342" t="s">
        <v>638</v>
      </c>
      <c r="N5342" t="s">
        <v>86</v>
      </c>
      <c r="O5342" t="s">
        <v>272</v>
      </c>
      <c r="Q5342">
        <v>8</v>
      </c>
      <c r="R5342" t="s">
        <v>213</v>
      </c>
      <c r="S5342" s="2" t="s">
        <v>27</v>
      </c>
      <c r="T5342">
        <v>5</v>
      </c>
      <c r="U5342" t="s">
        <v>28</v>
      </c>
      <c r="V5342" t="s">
        <v>28</v>
      </c>
      <c r="W5342">
        <v>21</v>
      </c>
      <c r="X5342">
        <v>23.550101578</v>
      </c>
      <c r="Y5342">
        <v>1.6360692264172207</v>
      </c>
      <c r="AA5342" s="6"/>
      <c r="AB5342" s="6"/>
    </row>
    <row r="5343" spans="1:28" x14ac:dyDescent="0.2">
      <c r="A5343" t="s">
        <v>605</v>
      </c>
      <c r="B5343">
        <v>2020</v>
      </c>
      <c r="C5343" t="s">
        <v>816</v>
      </c>
      <c r="D5343" t="s">
        <v>817</v>
      </c>
      <c r="E5343" t="s">
        <v>31</v>
      </c>
      <c r="F5343" t="s">
        <v>607</v>
      </c>
      <c r="G5343">
        <v>69.790000000000006</v>
      </c>
      <c r="H5343">
        <v>19.053999999999998</v>
      </c>
      <c r="I5343" t="s">
        <v>766</v>
      </c>
      <c r="J5343" s="2" t="s">
        <v>14</v>
      </c>
      <c r="K5343" t="s">
        <v>144</v>
      </c>
      <c r="L5343" t="s">
        <v>144</v>
      </c>
      <c r="M5343" t="s">
        <v>638</v>
      </c>
      <c r="N5343" t="s">
        <v>86</v>
      </c>
      <c r="O5343" t="s">
        <v>272</v>
      </c>
      <c r="Q5343">
        <v>8</v>
      </c>
      <c r="R5343" t="s">
        <v>213</v>
      </c>
      <c r="S5343" s="2" t="s">
        <v>13</v>
      </c>
      <c r="T5343">
        <v>5</v>
      </c>
      <c r="U5343" t="s">
        <v>28</v>
      </c>
      <c r="V5343" t="s">
        <v>28</v>
      </c>
      <c r="W5343">
        <v>23</v>
      </c>
      <c r="X5343">
        <v>23.258719379999995</v>
      </c>
      <c r="Y5343">
        <v>0.64256713091037487</v>
      </c>
      <c r="AA5343" s="6"/>
      <c r="AB5343" s="6"/>
    </row>
    <row r="5344" spans="1:28" x14ac:dyDescent="0.2">
      <c r="A5344" t="s">
        <v>605</v>
      </c>
      <c r="B5344">
        <v>2020</v>
      </c>
      <c r="C5344" t="s">
        <v>816</v>
      </c>
      <c r="D5344" t="s">
        <v>817</v>
      </c>
      <c r="E5344" t="s">
        <v>31</v>
      </c>
      <c r="F5344" t="s">
        <v>307</v>
      </c>
      <c r="G5344">
        <v>54.177999999999997</v>
      </c>
      <c r="H5344">
        <v>7.8929999999999998</v>
      </c>
      <c r="I5344" t="s">
        <v>766</v>
      </c>
      <c r="J5344" s="2" t="s">
        <v>7</v>
      </c>
      <c r="K5344" t="s">
        <v>144</v>
      </c>
      <c r="L5344" t="s">
        <v>144</v>
      </c>
      <c r="M5344" t="s">
        <v>638</v>
      </c>
      <c r="N5344" t="s">
        <v>86</v>
      </c>
      <c r="O5344" t="s">
        <v>249</v>
      </c>
      <c r="P5344" t="s">
        <v>609</v>
      </c>
      <c r="Q5344">
        <v>8</v>
      </c>
      <c r="R5344" t="s">
        <v>213</v>
      </c>
      <c r="S5344" s="2" t="s">
        <v>7</v>
      </c>
      <c r="T5344">
        <v>5</v>
      </c>
      <c r="U5344" t="s">
        <v>28</v>
      </c>
      <c r="V5344" t="s">
        <v>28</v>
      </c>
      <c r="W5344">
        <v>15</v>
      </c>
      <c r="X5344">
        <v>0.55661136119999999</v>
      </c>
      <c r="Y5344">
        <v>0.10388953317211831</v>
      </c>
      <c r="AA5344" s="6"/>
      <c r="AB5344" s="6"/>
    </row>
    <row r="5345" spans="1:28" x14ac:dyDescent="0.2">
      <c r="A5345" t="s">
        <v>605</v>
      </c>
      <c r="B5345">
        <v>2020</v>
      </c>
      <c r="C5345" t="s">
        <v>816</v>
      </c>
      <c r="D5345" t="s">
        <v>817</v>
      </c>
      <c r="E5345" t="s">
        <v>31</v>
      </c>
      <c r="F5345" t="s">
        <v>307</v>
      </c>
      <c r="G5345">
        <v>54.177999999999997</v>
      </c>
      <c r="H5345">
        <v>7.8929999999999998</v>
      </c>
      <c r="I5345" t="s">
        <v>766</v>
      </c>
      <c r="J5345" s="2" t="s">
        <v>14</v>
      </c>
      <c r="K5345" t="s">
        <v>144</v>
      </c>
      <c r="L5345" t="s">
        <v>144</v>
      </c>
      <c r="M5345" t="s">
        <v>638</v>
      </c>
      <c r="N5345" t="s">
        <v>86</v>
      </c>
      <c r="O5345" t="s">
        <v>249</v>
      </c>
      <c r="P5345" t="s">
        <v>609</v>
      </c>
      <c r="Q5345">
        <v>8</v>
      </c>
      <c r="R5345" t="s">
        <v>213</v>
      </c>
      <c r="S5345" s="2" t="s">
        <v>9</v>
      </c>
      <c r="T5345">
        <v>5</v>
      </c>
      <c r="U5345" t="s">
        <v>28</v>
      </c>
      <c r="V5345" t="s">
        <v>28</v>
      </c>
      <c r="W5345">
        <v>19</v>
      </c>
      <c r="X5345">
        <v>0.60205280719999998</v>
      </c>
      <c r="Y5345">
        <v>5.7521404339806778E-2</v>
      </c>
      <c r="AA5345" s="6"/>
      <c r="AB5345" s="6"/>
    </row>
    <row r="5346" spans="1:28" x14ac:dyDescent="0.2">
      <c r="A5346" t="s">
        <v>605</v>
      </c>
      <c r="B5346">
        <v>2020</v>
      </c>
      <c r="C5346" t="s">
        <v>816</v>
      </c>
      <c r="D5346" t="s">
        <v>817</v>
      </c>
      <c r="E5346" t="s">
        <v>31</v>
      </c>
      <c r="F5346" t="s">
        <v>307</v>
      </c>
      <c r="G5346">
        <v>54.177999999999997</v>
      </c>
      <c r="H5346">
        <v>7.8929999999999998</v>
      </c>
      <c r="I5346" t="s">
        <v>766</v>
      </c>
      <c r="J5346" s="2" t="s">
        <v>14</v>
      </c>
      <c r="K5346" t="s">
        <v>144</v>
      </c>
      <c r="L5346" t="s">
        <v>144</v>
      </c>
      <c r="M5346" t="s">
        <v>638</v>
      </c>
      <c r="N5346" t="s">
        <v>86</v>
      </c>
      <c r="O5346" t="s">
        <v>249</v>
      </c>
      <c r="P5346" t="s">
        <v>609</v>
      </c>
      <c r="Q5346">
        <v>8</v>
      </c>
      <c r="R5346" t="s">
        <v>213</v>
      </c>
      <c r="S5346" s="2" t="s">
        <v>27</v>
      </c>
      <c r="T5346">
        <v>5</v>
      </c>
      <c r="U5346" t="s">
        <v>28</v>
      </c>
      <c r="V5346" t="s">
        <v>28</v>
      </c>
      <c r="W5346">
        <v>21</v>
      </c>
      <c r="X5346">
        <v>0.65984829819999991</v>
      </c>
      <c r="Y5346">
        <v>0.11623776765327012</v>
      </c>
      <c r="AA5346" s="6"/>
      <c r="AB5346" s="6"/>
    </row>
    <row r="5347" spans="1:28" x14ac:dyDescent="0.2">
      <c r="A5347" t="s">
        <v>605</v>
      </c>
      <c r="B5347">
        <v>2020</v>
      </c>
      <c r="C5347" t="s">
        <v>816</v>
      </c>
      <c r="D5347" t="s">
        <v>817</v>
      </c>
      <c r="E5347" t="s">
        <v>31</v>
      </c>
      <c r="F5347" t="s">
        <v>307</v>
      </c>
      <c r="G5347">
        <v>54.177999999999997</v>
      </c>
      <c r="H5347">
        <v>7.8929999999999998</v>
      </c>
      <c r="I5347" t="s">
        <v>766</v>
      </c>
      <c r="J5347" s="2" t="s">
        <v>14</v>
      </c>
      <c r="K5347" t="s">
        <v>144</v>
      </c>
      <c r="L5347" t="s">
        <v>144</v>
      </c>
      <c r="M5347" t="s">
        <v>638</v>
      </c>
      <c r="N5347" t="s">
        <v>86</v>
      </c>
      <c r="O5347" t="s">
        <v>249</v>
      </c>
      <c r="P5347" t="s">
        <v>609</v>
      </c>
      <c r="Q5347">
        <v>8</v>
      </c>
      <c r="R5347" t="s">
        <v>213</v>
      </c>
      <c r="S5347" s="2" t="s">
        <v>13</v>
      </c>
      <c r="T5347">
        <v>5</v>
      </c>
      <c r="U5347" t="s">
        <v>28</v>
      </c>
      <c r="V5347" t="s">
        <v>28</v>
      </c>
      <c r="W5347">
        <v>23</v>
      </c>
      <c r="X5347">
        <v>0.73118743099999994</v>
      </c>
      <c r="Y5347">
        <v>0.14748745022541618</v>
      </c>
      <c r="AA5347" s="6"/>
      <c r="AB5347" s="6"/>
    </row>
    <row r="5348" spans="1:28" x14ac:dyDescent="0.2">
      <c r="A5348" t="s">
        <v>605</v>
      </c>
      <c r="B5348">
        <v>2020</v>
      </c>
      <c r="C5348" t="s">
        <v>816</v>
      </c>
      <c r="D5348" t="s">
        <v>817</v>
      </c>
      <c r="E5348" t="s">
        <v>31</v>
      </c>
      <c r="F5348" t="s">
        <v>608</v>
      </c>
      <c r="G5348">
        <v>47.47</v>
      </c>
      <c r="H5348">
        <v>-3.0910000000000002</v>
      </c>
      <c r="I5348" t="s">
        <v>765</v>
      </c>
      <c r="J5348" s="2" t="s">
        <v>7</v>
      </c>
      <c r="K5348" t="s">
        <v>144</v>
      </c>
      <c r="L5348" t="s">
        <v>144</v>
      </c>
      <c r="M5348" t="s">
        <v>638</v>
      </c>
      <c r="N5348" t="s">
        <v>86</v>
      </c>
      <c r="O5348" t="s">
        <v>249</v>
      </c>
      <c r="P5348" t="s">
        <v>609</v>
      </c>
      <c r="Q5348">
        <v>8</v>
      </c>
      <c r="R5348" t="s">
        <v>213</v>
      </c>
      <c r="S5348" s="2" t="s">
        <v>7</v>
      </c>
      <c r="T5348">
        <v>4</v>
      </c>
      <c r="U5348" t="s">
        <v>28</v>
      </c>
      <c r="V5348" t="s">
        <v>28</v>
      </c>
      <c r="W5348">
        <v>15</v>
      </c>
      <c r="X5348">
        <v>0.5500838092</v>
      </c>
      <c r="Y5348">
        <v>0.12995603711247586</v>
      </c>
      <c r="AA5348" s="6"/>
      <c r="AB5348" s="6"/>
    </row>
    <row r="5349" spans="1:28" x14ac:dyDescent="0.2">
      <c r="A5349" t="s">
        <v>605</v>
      </c>
      <c r="B5349">
        <v>2020</v>
      </c>
      <c r="C5349" t="s">
        <v>816</v>
      </c>
      <c r="D5349" t="s">
        <v>817</v>
      </c>
      <c r="E5349" t="s">
        <v>31</v>
      </c>
      <c r="F5349" t="s">
        <v>608</v>
      </c>
      <c r="G5349">
        <v>47.47</v>
      </c>
      <c r="H5349">
        <v>-3.0910000000000002</v>
      </c>
      <c r="I5349" t="s">
        <v>765</v>
      </c>
      <c r="J5349" s="2" t="s">
        <v>14</v>
      </c>
      <c r="K5349" t="s">
        <v>144</v>
      </c>
      <c r="L5349" t="s">
        <v>144</v>
      </c>
      <c r="M5349" t="s">
        <v>638</v>
      </c>
      <c r="N5349" t="s">
        <v>86</v>
      </c>
      <c r="O5349" t="s">
        <v>249</v>
      </c>
      <c r="P5349" t="s">
        <v>609</v>
      </c>
      <c r="Q5349">
        <v>8</v>
      </c>
      <c r="R5349" t="s">
        <v>213</v>
      </c>
      <c r="S5349" s="2" t="s">
        <v>9</v>
      </c>
      <c r="T5349">
        <v>4</v>
      </c>
      <c r="U5349" t="s">
        <v>28</v>
      </c>
      <c r="V5349" t="s">
        <v>28</v>
      </c>
      <c r="W5349">
        <v>19</v>
      </c>
      <c r="X5349">
        <v>0.53668766020000003</v>
      </c>
      <c r="Y5349">
        <v>3.0668460362325942E-2</v>
      </c>
      <c r="AA5349" s="6"/>
      <c r="AB5349" s="6"/>
    </row>
    <row r="5350" spans="1:28" x14ac:dyDescent="0.2">
      <c r="A5350" t="s">
        <v>605</v>
      </c>
      <c r="B5350">
        <v>2020</v>
      </c>
      <c r="C5350" t="s">
        <v>816</v>
      </c>
      <c r="D5350" t="s">
        <v>817</v>
      </c>
      <c r="E5350" t="s">
        <v>31</v>
      </c>
      <c r="F5350" t="s">
        <v>608</v>
      </c>
      <c r="G5350">
        <v>47.47</v>
      </c>
      <c r="H5350">
        <v>-3.0910000000000002</v>
      </c>
      <c r="I5350" t="s">
        <v>765</v>
      </c>
      <c r="J5350" s="2" t="s">
        <v>14</v>
      </c>
      <c r="K5350" t="s">
        <v>144</v>
      </c>
      <c r="L5350" t="s">
        <v>144</v>
      </c>
      <c r="M5350" t="s">
        <v>638</v>
      </c>
      <c r="N5350" t="s">
        <v>86</v>
      </c>
      <c r="O5350" t="s">
        <v>249</v>
      </c>
      <c r="P5350" t="s">
        <v>609</v>
      </c>
      <c r="Q5350">
        <v>8</v>
      </c>
      <c r="R5350" t="s">
        <v>213</v>
      </c>
      <c r="S5350" s="2" t="s">
        <v>27</v>
      </c>
      <c r="T5350">
        <v>4</v>
      </c>
      <c r="U5350" t="s">
        <v>28</v>
      </c>
      <c r="V5350" t="s">
        <v>28</v>
      </c>
      <c r="W5350">
        <v>21</v>
      </c>
      <c r="X5350">
        <v>0.7212067942</v>
      </c>
      <c r="Y5350">
        <v>9.1417072729532492E-2</v>
      </c>
      <c r="AA5350" s="6"/>
      <c r="AB5350" s="6"/>
    </row>
    <row r="5351" spans="1:28" x14ac:dyDescent="0.2">
      <c r="A5351" t="s">
        <v>605</v>
      </c>
      <c r="B5351">
        <v>2020</v>
      </c>
      <c r="C5351" t="s">
        <v>816</v>
      </c>
      <c r="D5351" t="s">
        <v>817</v>
      </c>
      <c r="E5351" t="s">
        <v>31</v>
      </c>
      <c r="F5351" t="s">
        <v>608</v>
      </c>
      <c r="G5351">
        <v>47.47</v>
      </c>
      <c r="H5351">
        <v>-3.0910000000000002</v>
      </c>
      <c r="I5351" t="s">
        <v>765</v>
      </c>
      <c r="J5351" s="2" t="s">
        <v>14</v>
      </c>
      <c r="K5351" t="s">
        <v>144</v>
      </c>
      <c r="L5351" t="s">
        <v>144</v>
      </c>
      <c r="M5351" t="s">
        <v>638</v>
      </c>
      <c r="N5351" t="s">
        <v>86</v>
      </c>
      <c r="O5351" t="s">
        <v>249</v>
      </c>
      <c r="P5351" t="s">
        <v>609</v>
      </c>
      <c r="Q5351">
        <v>8</v>
      </c>
      <c r="R5351" t="s">
        <v>213</v>
      </c>
      <c r="S5351" s="2" t="s">
        <v>13</v>
      </c>
      <c r="T5351">
        <v>4</v>
      </c>
      <c r="U5351" t="s">
        <v>28</v>
      </c>
      <c r="V5351" t="s">
        <v>28</v>
      </c>
      <c r="W5351">
        <v>23</v>
      </c>
      <c r="X5351">
        <v>0.66312017360000008</v>
      </c>
      <c r="Y5351">
        <v>0.10996145443451666</v>
      </c>
      <c r="AA5351" s="6"/>
      <c r="AB5351" s="6"/>
    </row>
    <row r="5352" spans="1:28" x14ac:dyDescent="0.2">
      <c r="A5352" t="s">
        <v>605</v>
      </c>
      <c r="B5352">
        <v>2020</v>
      </c>
      <c r="C5352" t="s">
        <v>816</v>
      </c>
      <c r="D5352" t="s">
        <v>817</v>
      </c>
      <c r="E5352" t="s">
        <v>31</v>
      </c>
      <c r="F5352" t="s">
        <v>283</v>
      </c>
      <c r="G5352">
        <v>48.726999999999997</v>
      </c>
      <c r="H5352">
        <v>-4.0049999999999999</v>
      </c>
      <c r="I5352" t="s">
        <v>765</v>
      </c>
      <c r="J5352" s="2" t="s">
        <v>7</v>
      </c>
      <c r="K5352" t="s">
        <v>144</v>
      </c>
      <c r="L5352" t="s">
        <v>144</v>
      </c>
      <c r="M5352" t="s">
        <v>638</v>
      </c>
      <c r="N5352" t="s">
        <v>86</v>
      </c>
      <c r="O5352" t="s">
        <v>249</v>
      </c>
      <c r="P5352" t="s">
        <v>609</v>
      </c>
      <c r="Q5352">
        <v>8</v>
      </c>
      <c r="R5352" t="s">
        <v>213</v>
      </c>
      <c r="S5352" s="2" t="s">
        <v>7</v>
      </c>
      <c r="T5352">
        <v>5</v>
      </c>
      <c r="U5352" t="s">
        <v>28</v>
      </c>
      <c r="V5352" t="s">
        <v>28</v>
      </c>
      <c r="W5352">
        <v>15</v>
      </c>
      <c r="X5352">
        <v>0.40937659880000005</v>
      </c>
      <c r="Y5352">
        <v>9.8961140537121448E-2</v>
      </c>
      <c r="AA5352" s="6"/>
      <c r="AB5352" s="6"/>
    </row>
    <row r="5353" spans="1:28" x14ac:dyDescent="0.2">
      <c r="A5353" t="s">
        <v>605</v>
      </c>
      <c r="B5353">
        <v>2020</v>
      </c>
      <c r="C5353" t="s">
        <v>816</v>
      </c>
      <c r="D5353" t="s">
        <v>817</v>
      </c>
      <c r="E5353" t="s">
        <v>31</v>
      </c>
      <c r="F5353" t="s">
        <v>283</v>
      </c>
      <c r="G5353">
        <v>48.726999999999997</v>
      </c>
      <c r="H5353">
        <v>-4.0049999999999999</v>
      </c>
      <c r="I5353" t="s">
        <v>765</v>
      </c>
      <c r="J5353" s="2" t="s">
        <v>14</v>
      </c>
      <c r="K5353" t="s">
        <v>144</v>
      </c>
      <c r="L5353" t="s">
        <v>144</v>
      </c>
      <c r="M5353" t="s">
        <v>638</v>
      </c>
      <c r="N5353" t="s">
        <v>86</v>
      </c>
      <c r="O5353" t="s">
        <v>249</v>
      </c>
      <c r="P5353" t="s">
        <v>609</v>
      </c>
      <c r="Q5353">
        <v>8</v>
      </c>
      <c r="R5353" t="s">
        <v>213</v>
      </c>
      <c r="S5353" s="2" t="s">
        <v>9</v>
      </c>
      <c r="T5353">
        <v>5</v>
      </c>
      <c r="U5353" t="s">
        <v>28</v>
      </c>
      <c r="V5353" t="s">
        <v>28</v>
      </c>
      <c r="W5353">
        <v>19</v>
      </c>
      <c r="X5353">
        <v>0.39859346660000006</v>
      </c>
      <c r="Y5353">
        <v>7.6089624893549271E-2</v>
      </c>
      <c r="AA5353" s="6"/>
      <c r="AB5353" s="6"/>
    </row>
    <row r="5354" spans="1:28" x14ac:dyDescent="0.2">
      <c r="A5354" t="s">
        <v>605</v>
      </c>
      <c r="B5354">
        <v>2020</v>
      </c>
      <c r="C5354" t="s">
        <v>816</v>
      </c>
      <c r="D5354" t="s">
        <v>817</v>
      </c>
      <c r="E5354" t="s">
        <v>31</v>
      </c>
      <c r="F5354" t="s">
        <v>283</v>
      </c>
      <c r="G5354">
        <v>48.726999999999997</v>
      </c>
      <c r="H5354">
        <v>-4.0049999999999999</v>
      </c>
      <c r="I5354" t="s">
        <v>765</v>
      </c>
      <c r="J5354" s="2" t="s">
        <v>14</v>
      </c>
      <c r="K5354" t="s">
        <v>144</v>
      </c>
      <c r="L5354" t="s">
        <v>144</v>
      </c>
      <c r="M5354" t="s">
        <v>638</v>
      </c>
      <c r="N5354" t="s">
        <v>86</v>
      </c>
      <c r="O5354" t="s">
        <v>249</v>
      </c>
      <c r="P5354" t="s">
        <v>609</v>
      </c>
      <c r="Q5354">
        <v>8</v>
      </c>
      <c r="R5354" t="s">
        <v>213</v>
      </c>
      <c r="S5354" s="2" t="s">
        <v>27</v>
      </c>
      <c r="T5354">
        <v>5</v>
      </c>
      <c r="U5354" t="s">
        <v>28</v>
      </c>
      <c r="V5354" t="s">
        <v>28</v>
      </c>
      <c r="W5354">
        <v>21</v>
      </c>
      <c r="X5354">
        <v>0.62719999820000005</v>
      </c>
      <c r="Y5354">
        <v>0.11042285006951015</v>
      </c>
      <c r="AA5354" s="6"/>
      <c r="AB5354" s="6"/>
    </row>
    <row r="5355" spans="1:28" x14ac:dyDescent="0.2">
      <c r="A5355" t="s">
        <v>605</v>
      </c>
      <c r="B5355">
        <v>2020</v>
      </c>
      <c r="C5355" t="s">
        <v>816</v>
      </c>
      <c r="D5355" t="s">
        <v>817</v>
      </c>
      <c r="E5355" t="s">
        <v>31</v>
      </c>
      <c r="F5355" t="s">
        <v>283</v>
      </c>
      <c r="G5355">
        <v>48.726999999999997</v>
      </c>
      <c r="H5355">
        <v>-4.0049999999999999</v>
      </c>
      <c r="I5355" t="s">
        <v>765</v>
      </c>
      <c r="J5355" s="2" t="s">
        <v>14</v>
      </c>
      <c r="K5355" t="s">
        <v>144</v>
      </c>
      <c r="L5355" t="s">
        <v>144</v>
      </c>
      <c r="M5355" t="s">
        <v>638</v>
      </c>
      <c r="N5355" t="s">
        <v>86</v>
      </c>
      <c r="O5355" t="s">
        <v>249</v>
      </c>
      <c r="P5355" t="s">
        <v>609</v>
      </c>
      <c r="Q5355">
        <v>8</v>
      </c>
      <c r="R5355" t="s">
        <v>213</v>
      </c>
      <c r="S5355" s="2" t="s">
        <v>13</v>
      </c>
      <c r="T5355">
        <v>5</v>
      </c>
      <c r="U5355" t="s">
        <v>28</v>
      </c>
      <c r="V5355" t="s">
        <v>28</v>
      </c>
      <c r="W5355">
        <v>23</v>
      </c>
      <c r="X5355">
        <v>0.54658170080000001</v>
      </c>
      <c r="Y5355">
        <v>0.1431630754638836</v>
      </c>
      <c r="AA5355" s="6"/>
      <c r="AB5355" s="6"/>
    </row>
    <row r="5356" spans="1:28" x14ac:dyDescent="0.2">
      <c r="A5356" t="s">
        <v>605</v>
      </c>
      <c r="B5356">
        <v>2020</v>
      </c>
      <c r="C5356" t="s">
        <v>816</v>
      </c>
      <c r="D5356" t="s">
        <v>817</v>
      </c>
      <c r="E5356" t="s">
        <v>31</v>
      </c>
      <c r="F5356" t="s">
        <v>607</v>
      </c>
      <c r="G5356">
        <v>69.790000000000006</v>
      </c>
      <c r="H5356">
        <v>19.053999999999998</v>
      </c>
      <c r="I5356" t="s">
        <v>766</v>
      </c>
      <c r="J5356" s="2" t="s">
        <v>7</v>
      </c>
      <c r="K5356" t="s">
        <v>144</v>
      </c>
      <c r="L5356" t="s">
        <v>144</v>
      </c>
      <c r="M5356" t="s">
        <v>638</v>
      </c>
      <c r="N5356" t="s">
        <v>86</v>
      </c>
      <c r="O5356" t="s">
        <v>249</v>
      </c>
      <c r="P5356" t="s">
        <v>609</v>
      </c>
      <c r="Q5356">
        <v>8</v>
      </c>
      <c r="R5356" t="s">
        <v>213</v>
      </c>
      <c r="S5356" s="2" t="s">
        <v>7</v>
      </c>
      <c r="T5356">
        <v>5</v>
      </c>
      <c r="U5356" t="s">
        <v>28</v>
      </c>
      <c r="V5356" t="s">
        <v>28</v>
      </c>
      <c r="W5356">
        <v>15</v>
      </c>
      <c r="X5356">
        <v>0.84014376059999996</v>
      </c>
      <c r="Y5356">
        <v>0.1513183505496081</v>
      </c>
      <c r="AA5356" s="6"/>
      <c r="AB5356" s="6"/>
    </row>
    <row r="5357" spans="1:28" x14ac:dyDescent="0.2">
      <c r="A5357" t="s">
        <v>605</v>
      </c>
      <c r="B5357">
        <v>2020</v>
      </c>
      <c r="C5357" t="s">
        <v>816</v>
      </c>
      <c r="D5357" t="s">
        <v>817</v>
      </c>
      <c r="E5357" t="s">
        <v>31</v>
      </c>
      <c r="F5357" t="s">
        <v>607</v>
      </c>
      <c r="G5357">
        <v>69.790000000000006</v>
      </c>
      <c r="H5357">
        <v>19.053999999999998</v>
      </c>
      <c r="I5357" t="s">
        <v>766</v>
      </c>
      <c r="J5357" s="2" t="s">
        <v>14</v>
      </c>
      <c r="K5357" t="s">
        <v>144</v>
      </c>
      <c r="L5357" t="s">
        <v>144</v>
      </c>
      <c r="M5357" t="s">
        <v>638</v>
      </c>
      <c r="N5357" t="s">
        <v>86</v>
      </c>
      <c r="O5357" t="s">
        <v>249</v>
      </c>
      <c r="P5357" t="s">
        <v>609</v>
      </c>
      <c r="Q5357">
        <v>8</v>
      </c>
      <c r="R5357" t="s">
        <v>213</v>
      </c>
      <c r="S5357" s="2" t="s">
        <v>9</v>
      </c>
      <c r="T5357">
        <v>5</v>
      </c>
      <c r="U5357" t="s">
        <v>28</v>
      </c>
      <c r="V5357" t="s">
        <v>28</v>
      </c>
      <c r="W5357">
        <v>19</v>
      </c>
      <c r="X5357">
        <v>0.89605879299999991</v>
      </c>
      <c r="Y5357">
        <v>0.1085538905241098</v>
      </c>
      <c r="AA5357" s="6"/>
      <c r="AB5357" s="6"/>
    </row>
    <row r="5358" spans="1:28" x14ac:dyDescent="0.2">
      <c r="A5358" t="s">
        <v>605</v>
      </c>
      <c r="B5358">
        <v>2020</v>
      </c>
      <c r="C5358" t="s">
        <v>816</v>
      </c>
      <c r="D5358" t="s">
        <v>817</v>
      </c>
      <c r="E5358" t="s">
        <v>31</v>
      </c>
      <c r="F5358" t="s">
        <v>607</v>
      </c>
      <c r="G5358">
        <v>69.790000000000006</v>
      </c>
      <c r="H5358">
        <v>19.053999999999998</v>
      </c>
      <c r="I5358" t="s">
        <v>766</v>
      </c>
      <c r="J5358" s="2" t="s">
        <v>14</v>
      </c>
      <c r="K5358" t="s">
        <v>144</v>
      </c>
      <c r="L5358" t="s">
        <v>144</v>
      </c>
      <c r="M5358" t="s">
        <v>638</v>
      </c>
      <c r="N5358" t="s">
        <v>86</v>
      </c>
      <c r="O5358" t="s">
        <v>249</v>
      </c>
      <c r="P5358" t="s">
        <v>609</v>
      </c>
      <c r="Q5358">
        <v>8</v>
      </c>
      <c r="R5358" t="s">
        <v>213</v>
      </c>
      <c r="S5358" s="2" t="s">
        <v>27</v>
      </c>
      <c r="T5358">
        <v>5</v>
      </c>
      <c r="U5358" t="s">
        <v>28</v>
      </c>
      <c r="V5358" t="s">
        <v>28</v>
      </c>
      <c r="W5358">
        <v>21</v>
      </c>
      <c r="X5358">
        <v>0.92829848960000005</v>
      </c>
      <c r="Y5358">
        <v>8.5056131468343774E-2</v>
      </c>
      <c r="AA5358" s="6"/>
      <c r="AB5358" s="6"/>
    </row>
    <row r="5359" spans="1:28" x14ac:dyDescent="0.2">
      <c r="A5359" t="s">
        <v>605</v>
      </c>
      <c r="B5359">
        <v>2020</v>
      </c>
      <c r="C5359" t="s">
        <v>816</v>
      </c>
      <c r="D5359" t="s">
        <v>817</v>
      </c>
      <c r="E5359" t="s">
        <v>31</v>
      </c>
      <c r="F5359" t="s">
        <v>607</v>
      </c>
      <c r="G5359">
        <v>69.790000000000006</v>
      </c>
      <c r="H5359">
        <v>19.053999999999998</v>
      </c>
      <c r="I5359" t="s">
        <v>766</v>
      </c>
      <c r="J5359" s="2" t="s">
        <v>14</v>
      </c>
      <c r="K5359" t="s">
        <v>144</v>
      </c>
      <c r="L5359" t="s">
        <v>144</v>
      </c>
      <c r="M5359" t="s">
        <v>638</v>
      </c>
      <c r="N5359" t="s">
        <v>86</v>
      </c>
      <c r="O5359" t="s">
        <v>249</v>
      </c>
      <c r="P5359" t="s">
        <v>609</v>
      </c>
      <c r="Q5359">
        <v>8</v>
      </c>
      <c r="R5359" t="s">
        <v>213</v>
      </c>
      <c r="S5359" s="2" t="s">
        <v>13</v>
      </c>
      <c r="T5359">
        <v>5</v>
      </c>
      <c r="U5359" t="s">
        <v>28</v>
      </c>
      <c r="V5359" t="s">
        <v>28</v>
      </c>
      <c r="W5359">
        <v>23</v>
      </c>
      <c r="X5359">
        <v>0.90947203620000006</v>
      </c>
      <c r="Y5359">
        <v>3.5039905524269187E-2</v>
      </c>
      <c r="AA5359" s="6"/>
      <c r="AB5359" s="6"/>
    </row>
    <row r="5360" spans="1:28" x14ac:dyDescent="0.2">
      <c r="A5360" t="s">
        <v>605</v>
      </c>
      <c r="B5360">
        <v>2020</v>
      </c>
      <c r="C5360" t="s">
        <v>816</v>
      </c>
      <c r="D5360" t="s">
        <v>817</v>
      </c>
      <c r="E5360" t="s">
        <v>31</v>
      </c>
      <c r="F5360" t="s">
        <v>307</v>
      </c>
      <c r="G5360">
        <v>54.177999999999997</v>
      </c>
      <c r="H5360">
        <v>7.8929999999999998</v>
      </c>
      <c r="I5360" t="s">
        <v>766</v>
      </c>
      <c r="J5360" s="2" t="s">
        <v>7</v>
      </c>
      <c r="K5360" t="s">
        <v>144</v>
      </c>
      <c r="L5360" t="s">
        <v>144</v>
      </c>
      <c r="M5360" t="s">
        <v>726</v>
      </c>
      <c r="N5360" t="s">
        <v>85</v>
      </c>
      <c r="O5360" t="s">
        <v>112</v>
      </c>
      <c r="Q5360">
        <v>8</v>
      </c>
      <c r="R5360" t="s">
        <v>213</v>
      </c>
      <c r="S5360" s="2" t="s">
        <v>7</v>
      </c>
      <c r="T5360">
        <v>3</v>
      </c>
      <c r="U5360" t="s">
        <v>28</v>
      </c>
      <c r="V5360" t="s">
        <v>28</v>
      </c>
      <c r="W5360">
        <v>15</v>
      </c>
      <c r="X5360">
        <v>84.945884066666665</v>
      </c>
      <c r="Y5360">
        <v>11.924283800682629</v>
      </c>
      <c r="AA5360" s="6"/>
      <c r="AB5360" s="6"/>
    </row>
    <row r="5361" spans="1:28" x14ac:dyDescent="0.2">
      <c r="A5361" t="s">
        <v>605</v>
      </c>
      <c r="B5361">
        <v>2020</v>
      </c>
      <c r="C5361" t="s">
        <v>816</v>
      </c>
      <c r="D5361" t="s">
        <v>817</v>
      </c>
      <c r="E5361" t="s">
        <v>31</v>
      </c>
      <c r="F5361" t="s">
        <v>307</v>
      </c>
      <c r="G5361">
        <v>54.177999999999997</v>
      </c>
      <c r="H5361">
        <v>7.8929999999999998</v>
      </c>
      <c r="I5361" t="s">
        <v>766</v>
      </c>
      <c r="J5361" s="2" t="s">
        <v>14</v>
      </c>
      <c r="K5361" t="s">
        <v>144</v>
      </c>
      <c r="L5361" t="s">
        <v>144</v>
      </c>
      <c r="M5361" t="s">
        <v>726</v>
      </c>
      <c r="N5361" t="s">
        <v>85</v>
      </c>
      <c r="O5361" t="s">
        <v>112</v>
      </c>
      <c r="Q5361">
        <v>8</v>
      </c>
      <c r="R5361" t="s">
        <v>213</v>
      </c>
      <c r="S5361" s="2" t="s">
        <v>9</v>
      </c>
      <c r="T5361">
        <v>3</v>
      </c>
      <c r="U5361" t="s">
        <v>28</v>
      </c>
      <c r="V5361" t="s">
        <v>28</v>
      </c>
      <c r="W5361">
        <v>19</v>
      </c>
      <c r="X5361">
        <v>77.817528473333326</v>
      </c>
      <c r="Y5361">
        <v>7.5855750341189747</v>
      </c>
      <c r="AA5361" s="6"/>
      <c r="AB5361" s="6"/>
    </row>
    <row r="5362" spans="1:28" x14ac:dyDescent="0.2">
      <c r="A5362" t="s">
        <v>605</v>
      </c>
      <c r="B5362">
        <v>2020</v>
      </c>
      <c r="C5362" t="s">
        <v>816</v>
      </c>
      <c r="D5362" t="s">
        <v>817</v>
      </c>
      <c r="E5362" t="s">
        <v>31</v>
      </c>
      <c r="F5362" t="s">
        <v>307</v>
      </c>
      <c r="G5362">
        <v>54.177999999999997</v>
      </c>
      <c r="H5362">
        <v>7.8929999999999998</v>
      </c>
      <c r="I5362" t="s">
        <v>766</v>
      </c>
      <c r="J5362" s="2" t="s">
        <v>14</v>
      </c>
      <c r="K5362" t="s">
        <v>144</v>
      </c>
      <c r="L5362" t="s">
        <v>144</v>
      </c>
      <c r="M5362" t="s">
        <v>726</v>
      </c>
      <c r="N5362" t="s">
        <v>85</v>
      </c>
      <c r="O5362" t="s">
        <v>112</v>
      </c>
      <c r="Q5362">
        <v>8</v>
      </c>
      <c r="R5362" t="s">
        <v>213</v>
      </c>
      <c r="S5362" s="2" t="s">
        <v>27</v>
      </c>
      <c r="T5362">
        <v>3</v>
      </c>
      <c r="U5362" t="s">
        <v>28</v>
      </c>
      <c r="V5362" t="s">
        <v>28</v>
      </c>
      <c r="W5362">
        <v>21</v>
      </c>
      <c r="X5362">
        <v>89.202955130000007</v>
      </c>
      <c r="Y5362">
        <v>12.668461408795874</v>
      </c>
      <c r="AA5362" s="6"/>
      <c r="AB5362" s="6"/>
    </row>
    <row r="5363" spans="1:28" x14ac:dyDescent="0.2">
      <c r="A5363" t="s">
        <v>605</v>
      </c>
      <c r="B5363">
        <v>2020</v>
      </c>
      <c r="C5363" t="s">
        <v>816</v>
      </c>
      <c r="D5363" t="s">
        <v>817</v>
      </c>
      <c r="E5363" t="s">
        <v>31</v>
      </c>
      <c r="F5363" t="s">
        <v>307</v>
      </c>
      <c r="G5363">
        <v>54.177999999999997</v>
      </c>
      <c r="H5363">
        <v>7.8929999999999998</v>
      </c>
      <c r="I5363" t="s">
        <v>766</v>
      </c>
      <c r="J5363" s="2" t="s">
        <v>14</v>
      </c>
      <c r="K5363" t="s">
        <v>144</v>
      </c>
      <c r="L5363" t="s">
        <v>144</v>
      </c>
      <c r="M5363" t="s">
        <v>726</v>
      </c>
      <c r="N5363" t="s">
        <v>85</v>
      </c>
      <c r="O5363" t="s">
        <v>112</v>
      </c>
      <c r="Q5363">
        <v>8</v>
      </c>
      <c r="R5363" t="s">
        <v>213</v>
      </c>
      <c r="S5363" s="2" t="s">
        <v>13</v>
      </c>
      <c r="T5363">
        <v>3</v>
      </c>
      <c r="U5363" t="s">
        <v>28</v>
      </c>
      <c r="V5363" t="s">
        <v>28</v>
      </c>
      <c r="W5363">
        <v>23</v>
      </c>
      <c r="X5363">
        <v>80.70458816</v>
      </c>
      <c r="Y5363">
        <v>4.2371713079013249</v>
      </c>
      <c r="AA5363" s="6"/>
      <c r="AB5363" s="6"/>
    </row>
    <row r="5364" spans="1:28" x14ac:dyDescent="0.2">
      <c r="A5364" t="s">
        <v>605</v>
      </c>
      <c r="B5364">
        <v>2020</v>
      </c>
      <c r="C5364" t="s">
        <v>816</v>
      </c>
      <c r="D5364" t="s">
        <v>817</v>
      </c>
      <c r="E5364" t="s">
        <v>31</v>
      </c>
      <c r="F5364" t="s">
        <v>608</v>
      </c>
      <c r="G5364">
        <v>47.47</v>
      </c>
      <c r="H5364">
        <v>-3.0910000000000002</v>
      </c>
      <c r="I5364" t="s">
        <v>765</v>
      </c>
      <c r="J5364" s="2" t="s">
        <v>7</v>
      </c>
      <c r="K5364" t="s">
        <v>144</v>
      </c>
      <c r="L5364" t="s">
        <v>144</v>
      </c>
      <c r="M5364" t="s">
        <v>726</v>
      </c>
      <c r="N5364" t="s">
        <v>85</v>
      </c>
      <c r="O5364" t="s">
        <v>112</v>
      </c>
      <c r="Q5364">
        <v>8</v>
      </c>
      <c r="R5364" t="s">
        <v>213</v>
      </c>
      <c r="S5364" s="2" t="s">
        <v>7</v>
      </c>
      <c r="T5364">
        <v>3</v>
      </c>
      <c r="U5364" t="s">
        <v>28</v>
      </c>
      <c r="V5364" t="s">
        <v>28</v>
      </c>
      <c r="W5364">
        <v>15</v>
      </c>
      <c r="X5364">
        <v>96.902059249999994</v>
      </c>
      <c r="Y5364">
        <v>11.91727111370966</v>
      </c>
      <c r="AA5364" s="6"/>
      <c r="AB5364" s="6"/>
    </row>
    <row r="5365" spans="1:28" x14ac:dyDescent="0.2">
      <c r="A5365" t="s">
        <v>605</v>
      </c>
      <c r="B5365">
        <v>2020</v>
      </c>
      <c r="C5365" t="s">
        <v>816</v>
      </c>
      <c r="D5365" t="s">
        <v>817</v>
      </c>
      <c r="E5365" t="s">
        <v>31</v>
      </c>
      <c r="F5365" t="s">
        <v>608</v>
      </c>
      <c r="G5365">
        <v>47.47</v>
      </c>
      <c r="H5365">
        <v>-3.0910000000000002</v>
      </c>
      <c r="I5365" t="s">
        <v>765</v>
      </c>
      <c r="J5365" s="2" t="s">
        <v>14</v>
      </c>
      <c r="K5365" t="s">
        <v>144</v>
      </c>
      <c r="L5365" t="s">
        <v>144</v>
      </c>
      <c r="M5365" t="s">
        <v>726</v>
      </c>
      <c r="N5365" t="s">
        <v>85</v>
      </c>
      <c r="O5365" t="s">
        <v>112</v>
      </c>
      <c r="Q5365">
        <v>8</v>
      </c>
      <c r="R5365" t="s">
        <v>213</v>
      </c>
      <c r="S5365" s="2" t="s">
        <v>9</v>
      </c>
      <c r="T5365">
        <v>3</v>
      </c>
      <c r="U5365" t="s">
        <v>28</v>
      </c>
      <c r="V5365" t="s">
        <v>28</v>
      </c>
      <c r="W5365">
        <v>19</v>
      </c>
      <c r="X5365">
        <v>108.95651073000001</v>
      </c>
      <c r="Y5365">
        <v>31.451912724130636</v>
      </c>
      <c r="AA5365" s="6"/>
      <c r="AB5365" s="6"/>
    </row>
    <row r="5366" spans="1:28" x14ac:dyDescent="0.2">
      <c r="A5366" t="s">
        <v>605</v>
      </c>
      <c r="B5366">
        <v>2020</v>
      </c>
      <c r="C5366" t="s">
        <v>816</v>
      </c>
      <c r="D5366" t="s">
        <v>817</v>
      </c>
      <c r="E5366" t="s">
        <v>31</v>
      </c>
      <c r="F5366" t="s">
        <v>608</v>
      </c>
      <c r="G5366">
        <v>47.47</v>
      </c>
      <c r="H5366">
        <v>-3.0910000000000002</v>
      </c>
      <c r="I5366" t="s">
        <v>765</v>
      </c>
      <c r="J5366" s="2" t="s">
        <v>14</v>
      </c>
      <c r="K5366" t="s">
        <v>144</v>
      </c>
      <c r="L5366" t="s">
        <v>144</v>
      </c>
      <c r="M5366" t="s">
        <v>726</v>
      </c>
      <c r="N5366" t="s">
        <v>85</v>
      </c>
      <c r="O5366" t="s">
        <v>112</v>
      </c>
      <c r="Q5366">
        <v>8</v>
      </c>
      <c r="R5366" t="s">
        <v>213</v>
      </c>
      <c r="S5366" s="2" t="s">
        <v>27</v>
      </c>
      <c r="T5366">
        <v>3</v>
      </c>
      <c r="U5366" t="s">
        <v>28</v>
      </c>
      <c r="V5366" t="s">
        <v>28</v>
      </c>
      <c r="W5366">
        <v>21</v>
      </c>
      <c r="X5366">
        <v>98.636613190000006</v>
      </c>
      <c r="Y5366">
        <v>29.363493404816857</v>
      </c>
      <c r="AA5366" s="6"/>
      <c r="AB5366" s="6"/>
    </row>
    <row r="5367" spans="1:28" x14ac:dyDescent="0.2">
      <c r="A5367" t="s">
        <v>605</v>
      </c>
      <c r="B5367">
        <v>2020</v>
      </c>
      <c r="C5367" t="s">
        <v>816</v>
      </c>
      <c r="D5367" t="s">
        <v>817</v>
      </c>
      <c r="E5367" t="s">
        <v>31</v>
      </c>
      <c r="F5367" t="s">
        <v>608</v>
      </c>
      <c r="G5367">
        <v>47.47</v>
      </c>
      <c r="H5367">
        <v>-3.0910000000000002</v>
      </c>
      <c r="I5367" t="s">
        <v>765</v>
      </c>
      <c r="J5367" s="2" t="s">
        <v>14</v>
      </c>
      <c r="K5367" t="s">
        <v>144</v>
      </c>
      <c r="L5367" t="s">
        <v>144</v>
      </c>
      <c r="M5367" t="s">
        <v>726</v>
      </c>
      <c r="N5367" t="s">
        <v>85</v>
      </c>
      <c r="O5367" t="s">
        <v>112</v>
      </c>
      <c r="Q5367">
        <v>8</v>
      </c>
      <c r="R5367" t="s">
        <v>213</v>
      </c>
      <c r="S5367" s="2" t="s">
        <v>13</v>
      </c>
      <c r="T5367">
        <v>3</v>
      </c>
      <c r="U5367" t="s">
        <v>28</v>
      </c>
      <c r="V5367" t="s">
        <v>28</v>
      </c>
      <c r="W5367">
        <v>23</v>
      </c>
      <c r="X5367">
        <v>57.096988736666674</v>
      </c>
      <c r="Y5367">
        <v>17.481097545336297</v>
      </c>
      <c r="AA5367" s="6"/>
      <c r="AB5367" s="6"/>
    </row>
    <row r="5368" spans="1:28" x14ac:dyDescent="0.2">
      <c r="A5368" t="s">
        <v>605</v>
      </c>
      <c r="B5368">
        <v>2020</v>
      </c>
      <c r="C5368" t="s">
        <v>816</v>
      </c>
      <c r="D5368" t="s">
        <v>817</v>
      </c>
      <c r="E5368" t="s">
        <v>31</v>
      </c>
      <c r="F5368" t="s">
        <v>283</v>
      </c>
      <c r="G5368">
        <v>48.726999999999997</v>
      </c>
      <c r="H5368">
        <v>-4.0049999999999999</v>
      </c>
      <c r="I5368" t="s">
        <v>765</v>
      </c>
      <c r="J5368" s="2" t="s">
        <v>7</v>
      </c>
      <c r="K5368" t="s">
        <v>144</v>
      </c>
      <c r="L5368" t="s">
        <v>144</v>
      </c>
      <c r="M5368" t="s">
        <v>726</v>
      </c>
      <c r="N5368" t="s">
        <v>85</v>
      </c>
      <c r="O5368" t="s">
        <v>112</v>
      </c>
      <c r="Q5368">
        <v>8</v>
      </c>
      <c r="R5368" t="s">
        <v>213</v>
      </c>
      <c r="S5368" s="2" t="s">
        <v>7</v>
      </c>
      <c r="T5368">
        <v>3</v>
      </c>
      <c r="U5368" t="s">
        <v>28</v>
      </c>
      <c r="V5368" t="s">
        <v>28</v>
      </c>
      <c r="W5368">
        <v>15</v>
      </c>
      <c r="X5368">
        <v>90.901029513333313</v>
      </c>
      <c r="Y5368">
        <v>9.8792157118186736</v>
      </c>
      <c r="AA5368" s="6"/>
      <c r="AB5368" s="6"/>
    </row>
    <row r="5369" spans="1:28" x14ac:dyDescent="0.2">
      <c r="A5369" t="s">
        <v>605</v>
      </c>
      <c r="B5369">
        <v>2020</v>
      </c>
      <c r="C5369" t="s">
        <v>816</v>
      </c>
      <c r="D5369" t="s">
        <v>817</v>
      </c>
      <c r="E5369" t="s">
        <v>31</v>
      </c>
      <c r="F5369" t="s">
        <v>283</v>
      </c>
      <c r="G5369">
        <v>48.726999999999997</v>
      </c>
      <c r="H5369">
        <v>-4.0049999999999999</v>
      </c>
      <c r="I5369" t="s">
        <v>765</v>
      </c>
      <c r="J5369" s="2" t="s">
        <v>14</v>
      </c>
      <c r="K5369" t="s">
        <v>144</v>
      </c>
      <c r="L5369" t="s">
        <v>144</v>
      </c>
      <c r="M5369" t="s">
        <v>726</v>
      </c>
      <c r="N5369" t="s">
        <v>85</v>
      </c>
      <c r="O5369" t="s">
        <v>112</v>
      </c>
      <c r="Q5369">
        <v>8</v>
      </c>
      <c r="R5369" t="s">
        <v>213</v>
      </c>
      <c r="S5369" s="2" t="s">
        <v>9</v>
      </c>
      <c r="T5369">
        <v>3</v>
      </c>
      <c r="U5369" t="s">
        <v>28</v>
      </c>
      <c r="V5369" t="s">
        <v>28</v>
      </c>
      <c r="W5369">
        <v>19</v>
      </c>
      <c r="X5369">
        <v>74.844165189999998</v>
      </c>
      <c r="Y5369">
        <v>6.4416080850308095</v>
      </c>
      <c r="AA5369" s="6"/>
      <c r="AB5369" s="6"/>
    </row>
    <row r="5370" spans="1:28" x14ac:dyDescent="0.2">
      <c r="A5370" t="s">
        <v>605</v>
      </c>
      <c r="B5370">
        <v>2020</v>
      </c>
      <c r="C5370" t="s">
        <v>816</v>
      </c>
      <c r="D5370" t="s">
        <v>817</v>
      </c>
      <c r="E5370" t="s">
        <v>31</v>
      </c>
      <c r="F5370" t="s">
        <v>283</v>
      </c>
      <c r="G5370">
        <v>48.726999999999997</v>
      </c>
      <c r="H5370">
        <v>-4.0049999999999999</v>
      </c>
      <c r="I5370" t="s">
        <v>765</v>
      </c>
      <c r="J5370" s="2" t="s">
        <v>14</v>
      </c>
      <c r="K5370" t="s">
        <v>144</v>
      </c>
      <c r="L5370" t="s">
        <v>144</v>
      </c>
      <c r="M5370" t="s">
        <v>726</v>
      </c>
      <c r="N5370" t="s">
        <v>85</v>
      </c>
      <c r="O5370" t="s">
        <v>112</v>
      </c>
      <c r="Q5370">
        <v>8</v>
      </c>
      <c r="R5370" t="s">
        <v>213</v>
      </c>
      <c r="S5370" s="2" t="s">
        <v>27</v>
      </c>
      <c r="T5370">
        <v>3</v>
      </c>
      <c r="U5370" t="s">
        <v>28</v>
      </c>
      <c r="V5370" t="s">
        <v>28</v>
      </c>
      <c r="W5370">
        <v>21</v>
      </c>
      <c r="X5370">
        <v>67.436785610000001</v>
      </c>
      <c r="Y5370">
        <v>18.624963708983714</v>
      </c>
      <c r="AA5370" s="6"/>
      <c r="AB5370" s="6"/>
    </row>
    <row r="5371" spans="1:28" x14ac:dyDescent="0.2">
      <c r="A5371" t="s">
        <v>605</v>
      </c>
      <c r="B5371">
        <v>2020</v>
      </c>
      <c r="C5371" t="s">
        <v>816</v>
      </c>
      <c r="D5371" t="s">
        <v>817</v>
      </c>
      <c r="E5371" t="s">
        <v>31</v>
      </c>
      <c r="F5371" t="s">
        <v>283</v>
      </c>
      <c r="G5371">
        <v>48.726999999999997</v>
      </c>
      <c r="H5371">
        <v>-4.0049999999999999</v>
      </c>
      <c r="I5371" t="s">
        <v>765</v>
      </c>
      <c r="J5371" s="2" t="s">
        <v>14</v>
      </c>
      <c r="K5371" t="s">
        <v>144</v>
      </c>
      <c r="L5371" t="s">
        <v>144</v>
      </c>
      <c r="M5371" t="s">
        <v>726</v>
      </c>
      <c r="N5371" t="s">
        <v>85</v>
      </c>
      <c r="O5371" t="s">
        <v>112</v>
      </c>
      <c r="Q5371">
        <v>8</v>
      </c>
      <c r="R5371" t="s">
        <v>213</v>
      </c>
      <c r="S5371" s="2" t="s">
        <v>13</v>
      </c>
      <c r="T5371">
        <v>3</v>
      </c>
      <c r="U5371" t="s">
        <v>28</v>
      </c>
      <c r="V5371" t="s">
        <v>28</v>
      </c>
      <c r="W5371">
        <v>23</v>
      </c>
      <c r="X5371">
        <v>58.918607086666668</v>
      </c>
      <c r="Y5371">
        <v>10.429666621636889</v>
      </c>
      <c r="AA5371" s="6"/>
      <c r="AB5371" s="6"/>
    </row>
    <row r="5372" spans="1:28" x14ac:dyDescent="0.2">
      <c r="A5372" t="s">
        <v>605</v>
      </c>
      <c r="B5372">
        <v>2020</v>
      </c>
      <c r="C5372" t="s">
        <v>816</v>
      </c>
      <c r="D5372" t="s">
        <v>817</v>
      </c>
      <c r="E5372" t="s">
        <v>31</v>
      </c>
      <c r="F5372" t="s">
        <v>411</v>
      </c>
      <c r="G5372">
        <v>78.974999999999994</v>
      </c>
      <c r="H5372">
        <v>11.632999999999999</v>
      </c>
      <c r="I5372" t="s">
        <v>764</v>
      </c>
      <c r="J5372" s="2" t="s">
        <v>7</v>
      </c>
      <c r="K5372" t="s">
        <v>144</v>
      </c>
      <c r="L5372" t="s">
        <v>144</v>
      </c>
      <c r="M5372" t="s">
        <v>726</v>
      </c>
      <c r="N5372" t="s">
        <v>85</v>
      </c>
      <c r="O5372" t="s">
        <v>112</v>
      </c>
      <c r="Q5372">
        <v>8</v>
      </c>
      <c r="R5372" t="s">
        <v>213</v>
      </c>
      <c r="S5372" s="2" t="s">
        <v>7</v>
      </c>
      <c r="T5372">
        <v>2</v>
      </c>
      <c r="U5372" t="s">
        <v>28</v>
      </c>
      <c r="V5372" t="s">
        <v>28</v>
      </c>
      <c r="W5372">
        <v>15</v>
      </c>
      <c r="X5372">
        <v>94.086048846666657</v>
      </c>
      <c r="Y5372">
        <v>19.376471100713314</v>
      </c>
      <c r="AA5372" s="6"/>
      <c r="AB5372" s="6"/>
    </row>
    <row r="5373" spans="1:28" x14ac:dyDescent="0.2">
      <c r="A5373" t="s">
        <v>605</v>
      </c>
      <c r="B5373">
        <v>2020</v>
      </c>
      <c r="C5373" t="s">
        <v>816</v>
      </c>
      <c r="D5373" t="s">
        <v>817</v>
      </c>
      <c r="E5373" t="s">
        <v>31</v>
      </c>
      <c r="F5373" t="s">
        <v>411</v>
      </c>
      <c r="G5373">
        <v>78.974999999999994</v>
      </c>
      <c r="H5373">
        <v>11.632999999999999</v>
      </c>
      <c r="I5373" t="s">
        <v>764</v>
      </c>
      <c r="J5373" s="2" t="s">
        <v>14</v>
      </c>
      <c r="K5373" t="s">
        <v>144</v>
      </c>
      <c r="L5373" t="s">
        <v>144</v>
      </c>
      <c r="M5373" t="s">
        <v>726</v>
      </c>
      <c r="N5373" t="s">
        <v>85</v>
      </c>
      <c r="O5373" t="s">
        <v>112</v>
      </c>
      <c r="Q5373">
        <v>8</v>
      </c>
      <c r="R5373" t="s">
        <v>213</v>
      </c>
      <c r="S5373" s="2" t="s">
        <v>9</v>
      </c>
      <c r="T5373">
        <v>2</v>
      </c>
      <c r="U5373" t="s">
        <v>28</v>
      </c>
      <c r="V5373" t="s">
        <v>28</v>
      </c>
      <c r="W5373">
        <v>19</v>
      </c>
      <c r="X5373">
        <v>81.121463823333343</v>
      </c>
      <c r="Y5373">
        <v>5.9586587043066279</v>
      </c>
      <c r="AA5373" s="6"/>
      <c r="AB5373" s="6"/>
    </row>
    <row r="5374" spans="1:28" x14ac:dyDescent="0.2">
      <c r="A5374" t="s">
        <v>605</v>
      </c>
      <c r="B5374">
        <v>2020</v>
      </c>
      <c r="C5374" t="s">
        <v>816</v>
      </c>
      <c r="D5374" t="s">
        <v>817</v>
      </c>
      <c r="E5374" t="s">
        <v>31</v>
      </c>
      <c r="F5374" t="s">
        <v>411</v>
      </c>
      <c r="G5374">
        <v>78.974999999999994</v>
      </c>
      <c r="H5374">
        <v>11.632999999999999</v>
      </c>
      <c r="I5374" t="s">
        <v>764</v>
      </c>
      <c r="J5374" s="2" t="s">
        <v>14</v>
      </c>
      <c r="K5374" t="s">
        <v>144</v>
      </c>
      <c r="L5374" t="s">
        <v>144</v>
      </c>
      <c r="M5374" t="s">
        <v>726</v>
      </c>
      <c r="N5374" t="s">
        <v>85</v>
      </c>
      <c r="O5374" t="s">
        <v>112</v>
      </c>
      <c r="Q5374">
        <v>8</v>
      </c>
      <c r="R5374" t="s">
        <v>213</v>
      </c>
      <c r="S5374" s="2" t="s">
        <v>27</v>
      </c>
      <c r="T5374">
        <v>2</v>
      </c>
      <c r="U5374" t="s">
        <v>28</v>
      </c>
      <c r="V5374" t="s">
        <v>28</v>
      </c>
      <c r="W5374">
        <v>21</v>
      </c>
      <c r="X5374">
        <v>65.260785476666669</v>
      </c>
      <c r="Y5374">
        <v>10.698327904607693</v>
      </c>
      <c r="AA5374" s="6"/>
      <c r="AB5374" s="6"/>
    </row>
    <row r="5375" spans="1:28" x14ac:dyDescent="0.2">
      <c r="A5375" t="s">
        <v>605</v>
      </c>
      <c r="B5375">
        <v>2020</v>
      </c>
      <c r="C5375" t="s">
        <v>816</v>
      </c>
      <c r="D5375" t="s">
        <v>817</v>
      </c>
      <c r="E5375" t="s">
        <v>31</v>
      </c>
      <c r="F5375" t="s">
        <v>411</v>
      </c>
      <c r="G5375">
        <v>78.974999999999994</v>
      </c>
      <c r="H5375">
        <v>11.632999999999999</v>
      </c>
      <c r="I5375" t="s">
        <v>764</v>
      </c>
      <c r="J5375" s="2" t="s">
        <v>14</v>
      </c>
      <c r="K5375" t="s">
        <v>144</v>
      </c>
      <c r="L5375" t="s">
        <v>144</v>
      </c>
      <c r="M5375" t="s">
        <v>726</v>
      </c>
      <c r="N5375" t="s">
        <v>85</v>
      </c>
      <c r="O5375" t="s">
        <v>112</v>
      </c>
      <c r="Q5375">
        <v>8</v>
      </c>
      <c r="R5375" t="s">
        <v>213</v>
      </c>
      <c r="S5375" s="2" t="s">
        <v>13</v>
      </c>
      <c r="T5375">
        <v>2</v>
      </c>
      <c r="U5375" t="s">
        <v>28</v>
      </c>
      <c r="V5375" t="s">
        <v>28</v>
      </c>
      <c r="W5375">
        <v>23</v>
      </c>
      <c r="X5375">
        <v>68.183801906666673</v>
      </c>
      <c r="Y5375">
        <v>10.045162319353802</v>
      </c>
      <c r="AA5375" s="6"/>
      <c r="AB5375" s="6"/>
    </row>
    <row r="5376" spans="1:28" x14ac:dyDescent="0.2">
      <c r="A5376" t="s">
        <v>605</v>
      </c>
      <c r="B5376">
        <v>2020</v>
      </c>
      <c r="C5376" t="s">
        <v>816</v>
      </c>
      <c r="D5376" t="s">
        <v>817</v>
      </c>
      <c r="E5376" t="s">
        <v>31</v>
      </c>
      <c r="F5376" t="s">
        <v>607</v>
      </c>
      <c r="G5376">
        <v>69.790000000000006</v>
      </c>
      <c r="H5376">
        <v>19.053999999999998</v>
      </c>
      <c r="I5376" t="s">
        <v>766</v>
      </c>
      <c r="J5376" s="2" t="s">
        <v>7</v>
      </c>
      <c r="K5376" t="s">
        <v>144</v>
      </c>
      <c r="L5376" t="s">
        <v>144</v>
      </c>
      <c r="M5376" t="s">
        <v>726</v>
      </c>
      <c r="N5376" t="s">
        <v>85</v>
      </c>
      <c r="O5376" t="s">
        <v>112</v>
      </c>
      <c r="Q5376">
        <v>8</v>
      </c>
      <c r="R5376" t="s">
        <v>213</v>
      </c>
      <c r="S5376" s="2" t="s">
        <v>7</v>
      </c>
      <c r="T5376">
        <v>3</v>
      </c>
      <c r="U5376" t="s">
        <v>28</v>
      </c>
      <c r="V5376" t="s">
        <v>28</v>
      </c>
      <c r="W5376">
        <v>15</v>
      </c>
      <c r="X5376">
        <v>77.825437466666656</v>
      </c>
      <c r="Y5376">
        <v>6.1337127312770034</v>
      </c>
      <c r="AA5376" s="6"/>
      <c r="AB5376" s="6"/>
    </row>
    <row r="5377" spans="1:28" x14ac:dyDescent="0.2">
      <c r="A5377" t="s">
        <v>605</v>
      </c>
      <c r="B5377">
        <v>2020</v>
      </c>
      <c r="C5377" t="s">
        <v>816</v>
      </c>
      <c r="D5377" t="s">
        <v>817</v>
      </c>
      <c r="E5377" t="s">
        <v>31</v>
      </c>
      <c r="F5377" t="s">
        <v>607</v>
      </c>
      <c r="G5377">
        <v>69.790000000000006</v>
      </c>
      <c r="H5377">
        <v>19.053999999999998</v>
      </c>
      <c r="I5377" t="s">
        <v>766</v>
      </c>
      <c r="J5377" s="2" t="s">
        <v>14</v>
      </c>
      <c r="K5377" t="s">
        <v>144</v>
      </c>
      <c r="L5377" t="s">
        <v>144</v>
      </c>
      <c r="M5377" t="s">
        <v>726</v>
      </c>
      <c r="N5377" t="s">
        <v>85</v>
      </c>
      <c r="O5377" t="s">
        <v>112</v>
      </c>
      <c r="Q5377">
        <v>8</v>
      </c>
      <c r="R5377" t="s">
        <v>213</v>
      </c>
      <c r="S5377" s="2" t="s">
        <v>9</v>
      </c>
      <c r="T5377">
        <v>3</v>
      </c>
      <c r="U5377" t="s">
        <v>28</v>
      </c>
      <c r="V5377" t="s">
        <v>28</v>
      </c>
      <c r="W5377">
        <v>19</v>
      </c>
      <c r="X5377">
        <v>84.210551440000003</v>
      </c>
      <c r="Y5377">
        <v>27.783542882314599</v>
      </c>
      <c r="AA5377" s="6"/>
      <c r="AB5377" s="6"/>
    </row>
    <row r="5378" spans="1:28" x14ac:dyDescent="0.2">
      <c r="A5378" t="s">
        <v>605</v>
      </c>
      <c r="B5378">
        <v>2020</v>
      </c>
      <c r="C5378" t="s">
        <v>816</v>
      </c>
      <c r="D5378" t="s">
        <v>817</v>
      </c>
      <c r="E5378" t="s">
        <v>31</v>
      </c>
      <c r="F5378" t="s">
        <v>607</v>
      </c>
      <c r="G5378">
        <v>69.790000000000006</v>
      </c>
      <c r="H5378">
        <v>19.053999999999998</v>
      </c>
      <c r="I5378" t="s">
        <v>766</v>
      </c>
      <c r="J5378" s="2" t="s">
        <v>14</v>
      </c>
      <c r="K5378" t="s">
        <v>144</v>
      </c>
      <c r="L5378" t="s">
        <v>144</v>
      </c>
      <c r="M5378" t="s">
        <v>726</v>
      </c>
      <c r="N5378" t="s">
        <v>85</v>
      </c>
      <c r="O5378" t="s">
        <v>112</v>
      </c>
      <c r="Q5378">
        <v>8</v>
      </c>
      <c r="R5378" t="s">
        <v>213</v>
      </c>
      <c r="S5378" s="2" t="s">
        <v>27</v>
      </c>
      <c r="T5378">
        <v>3</v>
      </c>
      <c r="U5378" t="s">
        <v>28</v>
      </c>
      <c r="V5378" t="s">
        <v>28</v>
      </c>
      <c r="W5378">
        <v>21</v>
      </c>
      <c r="X5378">
        <v>91.136280316666671</v>
      </c>
      <c r="Y5378">
        <v>6.0709363281702498</v>
      </c>
      <c r="AA5378" s="6"/>
      <c r="AB5378" s="6"/>
    </row>
    <row r="5379" spans="1:28" x14ac:dyDescent="0.2">
      <c r="A5379" t="s">
        <v>605</v>
      </c>
      <c r="B5379">
        <v>2020</v>
      </c>
      <c r="C5379" t="s">
        <v>816</v>
      </c>
      <c r="D5379" t="s">
        <v>817</v>
      </c>
      <c r="E5379" t="s">
        <v>31</v>
      </c>
      <c r="F5379" t="s">
        <v>607</v>
      </c>
      <c r="G5379">
        <v>69.790000000000006</v>
      </c>
      <c r="H5379">
        <v>19.053999999999998</v>
      </c>
      <c r="I5379" t="s">
        <v>766</v>
      </c>
      <c r="J5379" s="2" t="s">
        <v>14</v>
      </c>
      <c r="K5379" t="s">
        <v>144</v>
      </c>
      <c r="L5379" t="s">
        <v>144</v>
      </c>
      <c r="M5379" t="s">
        <v>726</v>
      </c>
      <c r="N5379" t="s">
        <v>85</v>
      </c>
      <c r="O5379" t="s">
        <v>112</v>
      </c>
      <c r="Q5379">
        <v>8</v>
      </c>
      <c r="R5379" t="s">
        <v>213</v>
      </c>
      <c r="S5379" s="2" t="s">
        <v>13</v>
      </c>
      <c r="T5379">
        <v>3</v>
      </c>
      <c r="U5379" t="s">
        <v>28</v>
      </c>
      <c r="V5379" t="s">
        <v>28</v>
      </c>
      <c r="W5379">
        <v>23</v>
      </c>
      <c r="X5379">
        <v>96.793085083333338</v>
      </c>
      <c r="Y5379">
        <v>37.092544952089554</v>
      </c>
      <c r="AA5379" s="6"/>
      <c r="AB5379" s="6"/>
    </row>
    <row r="5380" spans="1:28" x14ac:dyDescent="0.2">
      <c r="A5380" t="s">
        <v>605</v>
      </c>
      <c r="B5380">
        <v>2020</v>
      </c>
      <c r="C5380" t="s">
        <v>816</v>
      </c>
      <c r="D5380" t="s">
        <v>817</v>
      </c>
      <c r="E5380" t="s">
        <v>31</v>
      </c>
      <c r="F5380" t="s">
        <v>307</v>
      </c>
      <c r="G5380">
        <v>54.177999999999997</v>
      </c>
      <c r="H5380">
        <v>7.8929999999999998</v>
      </c>
      <c r="I5380" t="s">
        <v>766</v>
      </c>
      <c r="J5380" s="2" t="s">
        <v>7</v>
      </c>
      <c r="K5380" t="s">
        <v>144</v>
      </c>
      <c r="L5380" t="s">
        <v>144</v>
      </c>
      <c r="M5380" t="s">
        <v>726</v>
      </c>
      <c r="N5380" t="s">
        <v>85</v>
      </c>
      <c r="O5380" t="s">
        <v>58</v>
      </c>
      <c r="Q5380">
        <v>8</v>
      </c>
      <c r="R5380" t="s">
        <v>213</v>
      </c>
      <c r="S5380" s="2" t="s">
        <v>7</v>
      </c>
      <c r="T5380">
        <v>3</v>
      </c>
      <c r="U5380" t="s">
        <v>28</v>
      </c>
      <c r="V5380" t="s">
        <v>28</v>
      </c>
      <c r="W5380">
        <v>15</v>
      </c>
      <c r="X5380">
        <v>0.60414396133333337</v>
      </c>
      <c r="Y5380">
        <v>8.2062029740259571E-2</v>
      </c>
      <c r="AA5380" s="6"/>
      <c r="AB5380" s="6"/>
    </row>
    <row r="5381" spans="1:28" x14ac:dyDescent="0.2">
      <c r="A5381" t="s">
        <v>605</v>
      </c>
      <c r="B5381">
        <v>2020</v>
      </c>
      <c r="C5381" t="s">
        <v>816</v>
      </c>
      <c r="D5381" t="s">
        <v>817</v>
      </c>
      <c r="E5381" t="s">
        <v>31</v>
      </c>
      <c r="F5381" t="s">
        <v>307</v>
      </c>
      <c r="G5381">
        <v>54.177999999999997</v>
      </c>
      <c r="H5381">
        <v>7.8929999999999998</v>
      </c>
      <c r="I5381" t="s">
        <v>766</v>
      </c>
      <c r="J5381" s="2" t="s">
        <v>14</v>
      </c>
      <c r="K5381" t="s">
        <v>144</v>
      </c>
      <c r="L5381" t="s">
        <v>144</v>
      </c>
      <c r="M5381" t="s">
        <v>726</v>
      </c>
      <c r="N5381" t="s">
        <v>85</v>
      </c>
      <c r="O5381" t="s">
        <v>58</v>
      </c>
      <c r="Q5381">
        <v>8</v>
      </c>
      <c r="R5381" t="s">
        <v>213</v>
      </c>
      <c r="S5381" s="2" t="s">
        <v>9</v>
      </c>
      <c r="T5381">
        <v>3</v>
      </c>
      <c r="U5381" t="s">
        <v>28</v>
      </c>
      <c r="V5381" t="s">
        <v>28</v>
      </c>
      <c r="W5381">
        <v>19</v>
      </c>
      <c r="X5381">
        <v>0.53999945299999996</v>
      </c>
      <c r="Y5381">
        <v>2.1760147004714119E-2</v>
      </c>
      <c r="AA5381" s="6"/>
      <c r="AB5381" s="6"/>
    </row>
    <row r="5382" spans="1:28" x14ac:dyDescent="0.2">
      <c r="A5382" t="s">
        <v>605</v>
      </c>
      <c r="B5382">
        <v>2020</v>
      </c>
      <c r="C5382" t="s">
        <v>816</v>
      </c>
      <c r="D5382" t="s">
        <v>817</v>
      </c>
      <c r="E5382" t="s">
        <v>31</v>
      </c>
      <c r="F5382" t="s">
        <v>307</v>
      </c>
      <c r="G5382">
        <v>54.177999999999997</v>
      </c>
      <c r="H5382">
        <v>7.8929999999999998</v>
      </c>
      <c r="I5382" t="s">
        <v>766</v>
      </c>
      <c r="J5382" s="2" t="s">
        <v>14</v>
      </c>
      <c r="K5382" t="s">
        <v>144</v>
      </c>
      <c r="L5382" t="s">
        <v>144</v>
      </c>
      <c r="M5382" t="s">
        <v>726</v>
      </c>
      <c r="N5382" t="s">
        <v>85</v>
      </c>
      <c r="O5382" t="s">
        <v>58</v>
      </c>
      <c r="Q5382">
        <v>8</v>
      </c>
      <c r="R5382" t="s">
        <v>213</v>
      </c>
      <c r="S5382" s="2" t="s">
        <v>27</v>
      </c>
      <c r="T5382">
        <v>3</v>
      </c>
      <c r="U5382" t="s">
        <v>28</v>
      </c>
      <c r="V5382" t="s">
        <v>28</v>
      </c>
      <c r="W5382">
        <v>21</v>
      </c>
      <c r="X5382">
        <v>0.52053040666666661</v>
      </c>
      <c r="Y5382">
        <v>2.9307758328876131E-2</v>
      </c>
      <c r="AA5382" s="6"/>
      <c r="AB5382" s="6"/>
    </row>
    <row r="5383" spans="1:28" x14ac:dyDescent="0.2">
      <c r="A5383" t="s">
        <v>605</v>
      </c>
      <c r="B5383">
        <v>2020</v>
      </c>
      <c r="C5383" t="s">
        <v>816</v>
      </c>
      <c r="D5383" t="s">
        <v>817</v>
      </c>
      <c r="E5383" t="s">
        <v>31</v>
      </c>
      <c r="F5383" t="s">
        <v>307</v>
      </c>
      <c r="G5383">
        <v>54.177999999999997</v>
      </c>
      <c r="H5383">
        <v>7.8929999999999998</v>
      </c>
      <c r="I5383" t="s">
        <v>766</v>
      </c>
      <c r="J5383" s="2" t="s">
        <v>14</v>
      </c>
      <c r="K5383" t="s">
        <v>144</v>
      </c>
      <c r="L5383" t="s">
        <v>144</v>
      </c>
      <c r="M5383" t="s">
        <v>726</v>
      </c>
      <c r="N5383" t="s">
        <v>85</v>
      </c>
      <c r="O5383" t="s">
        <v>58</v>
      </c>
      <c r="Q5383">
        <v>8</v>
      </c>
      <c r="R5383" t="s">
        <v>213</v>
      </c>
      <c r="S5383" s="2" t="s">
        <v>13</v>
      </c>
      <c r="T5383">
        <v>3</v>
      </c>
      <c r="U5383" t="s">
        <v>28</v>
      </c>
      <c r="V5383" t="s">
        <v>28</v>
      </c>
      <c r="W5383">
        <v>23</v>
      </c>
      <c r="X5383">
        <v>0.54179417000000007</v>
      </c>
      <c r="Y5383">
        <v>3.9505862809819985E-2</v>
      </c>
      <c r="AA5383" s="6"/>
      <c r="AB5383" s="6"/>
    </row>
    <row r="5384" spans="1:28" x14ac:dyDescent="0.2">
      <c r="A5384" t="s">
        <v>605</v>
      </c>
      <c r="B5384">
        <v>2020</v>
      </c>
      <c r="C5384" t="s">
        <v>816</v>
      </c>
      <c r="D5384" t="s">
        <v>817</v>
      </c>
      <c r="E5384" t="s">
        <v>31</v>
      </c>
      <c r="F5384" t="s">
        <v>608</v>
      </c>
      <c r="G5384">
        <v>47.47</v>
      </c>
      <c r="H5384">
        <v>-3.0910000000000002</v>
      </c>
      <c r="I5384" t="s">
        <v>765</v>
      </c>
      <c r="J5384" s="2" t="s">
        <v>7</v>
      </c>
      <c r="K5384" t="s">
        <v>144</v>
      </c>
      <c r="L5384" t="s">
        <v>144</v>
      </c>
      <c r="M5384" t="s">
        <v>726</v>
      </c>
      <c r="N5384" t="s">
        <v>85</v>
      </c>
      <c r="O5384" t="s">
        <v>58</v>
      </c>
      <c r="Q5384">
        <v>8</v>
      </c>
      <c r="R5384" t="s">
        <v>213</v>
      </c>
      <c r="S5384" s="2" t="s">
        <v>7</v>
      </c>
      <c r="T5384">
        <v>3</v>
      </c>
      <c r="U5384" t="s">
        <v>28</v>
      </c>
      <c r="V5384" t="s">
        <v>28</v>
      </c>
      <c r="W5384">
        <v>15</v>
      </c>
      <c r="X5384">
        <v>0.53045523266666672</v>
      </c>
      <c r="Y5384">
        <v>6.0571025059515095E-2</v>
      </c>
      <c r="AA5384" s="6"/>
      <c r="AB5384" s="6"/>
    </row>
    <row r="5385" spans="1:28" x14ac:dyDescent="0.2">
      <c r="A5385" t="s">
        <v>605</v>
      </c>
      <c r="B5385">
        <v>2020</v>
      </c>
      <c r="C5385" t="s">
        <v>816</v>
      </c>
      <c r="D5385" t="s">
        <v>817</v>
      </c>
      <c r="E5385" t="s">
        <v>31</v>
      </c>
      <c r="F5385" t="s">
        <v>608</v>
      </c>
      <c r="G5385">
        <v>47.47</v>
      </c>
      <c r="H5385">
        <v>-3.0910000000000002</v>
      </c>
      <c r="I5385" t="s">
        <v>765</v>
      </c>
      <c r="J5385" s="2" t="s">
        <v>14</v>
      </c>
      <c r="K5385" t="s">
        <v>144</v>
      </c>
      <c r="L5385" t="s">
        <v>144</v>
      </c>
      <c r="M5385" t="s">
        <v>726</v>
      </c>
      <c r="N5385" t="s">
        <v>85</v>
      </c>
      <c r="O5385" t="s">
        <v>58</v>
      </c>
      <c r="Q5385">
        <v>8</v>
      </c>
      <c r="R5385" t="s">
        <v>213</v>
      </c>
      <c r="S5385" s="2" t="s">
        <v>9</v>
      </c>
      <c r="T5385">
        <v>3</v>
      </c>
      <c r="U5385" t="s">
        <v>28</v>
      </c>
      <c r="V5385" t="s">
        <v>28</v>
      </c>
      <c r="W5385">
        <v>19</v>
      </c>
      <c r="X5385">
        <v>0.55212568733333323</v>
      </c>
      <c r="Y5385">
        <v>5.9028263757008932E-2</v>
      </c>
      <c r="AA5385" s="6"/>
      <c r="AB5385" s="6"/>
    </row>
    <row r="5386" spans="1:28" x14ac:dyDescent="0.2">
      <c r="A5386" t="s">
        <v>605</v>
      </c>
      <c r="B5386">
        <v>2020</v>
      </c>
      <c r="C5386" t="s">
        <v>816</v>
      </c>
      <c r="D5386" t="s">
        <v>817</v>
      </c>
      <c r="E5386" t="s">
        <v>31</v>
      </c>
      <c r="F5386" t="s">
        <v>608</v>
      </c>
      <c r="G5386">
        <v>47.47</v>
      </c>
      <c r="H5386">
        <v>-3.0910000000000002</v>
      </c>
      <c r="I5386" t="s">
        <v>765</v>
      </c>
      <c r="J5386" s="2" t="s">
        <v>14</v>
      </c>
      <c r="K5386" t="s">
        <v>144</v>
      </c>
      <c r="L5386" t="s">
        <v>144</v>
      </c>
      <c r="M5386" t="s">
        <v>726</v>
      </c>
      <c r="N5386" t="s">
        <v>85</v>
      </c>
      <c r="O5386" t="s">
        <v>58</v>
      </c>
      <c r="Q5386">
        <v>8</v>
      </c>
      <c r="R5386" t="s">
        <v>213</v>
      </c>
      <c r="S5386" s="2" t="s">
        <v>27</v>
      </c>
      <c r="T5386">
        <v>3</v>
      </c>
      <c r="U5386" t="s">
        <v>28</v>
      </c>
      <c r="V5386" t="s">
        <v>28</v>
      </c>
      <c r="W5386">
        <v>21</v>
      </c>
      <c r="X5386">
        <v>0.56857081300000001</v>
      </c>
      <c r="Y5386">
        <v>7.2505505343968171E-2</v>
      </c>
      <c r="AA5386" s="6"/>
      <c r="AB5386" s="6"/>
    </row>
    <row r="5387" spans="1:28" x14ac:dyDescent="0.2">
      <c r="A5387" t="s">
        <v>605</v>
      </c>
      <c r="B5387">
        <v>2020</v>
      </c>
      <c r="C5387" t="s">
        <v>816</v>
      </c>
      <c r="D5387" t="s">
        <v>817</v>
      </c>
      <c r="E5387" t="s">
        <v>31</v>
      </c>
      <c r="F5387" t="s">
        <v>608</v>
      </c>
      <c r="G5387">
        <v>47.47</v>
      </c>
      <c r="H5387">
        <v>-3.0910000000000002</v>
      </c>
      <c r="I5387" t="s">
        <v>765</v>
      </c>
      <c r="J5387" s="2" t="s">
        <v>14</v>
      </c>
      <c r="K5387" t="s">
        <v>144</v>
      </c>
      <c r="L5387" t="s">
        <v>144</v>
      </c>
      <c r="M5387" t="s">
        <v>726</v>
      </c>
      <c r="N5387" t="s">
        <v>85</v>
      </c>
      <c r="O5387" t="s">
        <v>58</v>
      </c>
      <c r="Q5387">
        <v>8</v>
      </c>
      <c r="R5387" t="s">
        <v>213</v>
      </c>
      <c r="S5387" s="2" t="s">
        <v>13</v>
      </c>
      <c r="T5387">
        <v>3</v>
      </c>
      <c r="U5387" t="s">
        <v>28</v>
      </c>
      <c r="V5387" t="s">
        <v>28</v>
      </c>
      <c r="W5387">
        <v>23</v>
      </c>
      <c r="X5387">
        <v>0.5609174773333333</v>
      </c>
      <c r="Y5387">
        <v>6.1660153789100447E-2</v>
      </c>
      <c r="AA5387" s="6"/>
      <c r="AB5387" s="6"/>
    </row>
    <row r="5388" spans="1:28" x14ac:dyDescent="0.2">
      <c r="A5388" t="s">
        <v>605</v>
      </c>
      <c r="B5388">
        <v>2020</v>
      </c>
      <c r="C5388" t="s">
        <v>816</v>
      </c>
      <c r="D5388" t="s">
        <v>817</v>
      </c>
      <c r="E5388" t="s">
        <v>31</v>
      </c>
      <c r="F5388" t="s">
        <v>283</v>
      </c>
      <c r="G5388">
        <v>48.726999999999997</v>
      </c>
      <c r="H5388">
        <v>-4.0049999999999999</v>
      </c>
      <c r="I5388" t="s">
        <v>765</v>
      </c>
      <c r="J5388" s="2" t="s">
        <v>7</v>
      </c>
      <c r="K5388" t="s">
        <v>144</v>
      </c>
      <c r="L5388" t="s">
        <v>144</v>
      </c>
      <c r="M5388" t="s">
        <v>726</v>
      </c>
      <c r="N5388" t="s">
        <v>85</v>
      </c>
      <c r="O5388" t="s">
        <v>58</v>
      </c>
      <c r="Q5388">
        <v>8</v>
      </c>
      <c r="R5388" t="s">
        <v>213</v>
      </c>
      <c r="S5388" s="2" t="s">
        <v>7</v>
      </c>
      <c r="T5388">
        <v>3</v>
      </c>
      <c r="U5388" t="s">
        <v>28</v>
      </c>
      <c r="V5388" t="s">
        <v>28</v>
      </c>
      <c r="W5388">
        <v>15</v>
      </c>
      <c r="X5388">
        <v>0.57423795033333336</v>
      </c>
      <c r="Y5388">
        <v>4.951218365205954E-2</v>
      </c>
      <c r="AA5388" s="6"/>
      <c r="AB5388" s="6"/>
    </row>
    <row r="5389" spans="1:28" x14ac:dyDescent="0.2">
      <c r="A5389" t="s">
        <v>605</v>
      </c>
      <c r="B5389">
        <v>2020</v>
      </c>
      <c r="C5389" t="s">
        <v>816</v>
      </c>
      <c r="D5389" t="s">
        <v>817</v>
      </c>
      <c r="E5389" t="s">
        <v>31</v>
      </c>
      <c r="F5389" t="s">
        <v>283</v>
      </c>
      <c r="G5389">
        <v>48.726999999999997</v>
      </c>
      <c r="H5389">
        <v>-4.0049999999999999</v>
      </c>
      <c r="I5389" t="s">
        <v>765</v>
      </c>
      <c r="J5389" s="2" t="s">
        <v>14</v>
      </c>
      <c r="K5389" t="s">
        <v>144</v>
      </c>
      <c r="L5389" t="s">
        <v>144</v>
      </c>
      <c r="M5389" t="s">
        <v>726</v>
      </c>
      <c r="N5389" t="s">
        <v>85</v>
      </c>
      <c r="O5389" t="s">
        <v>58</v>
      </c>
      <c r="Q5389">
        <v>8</v>
      </c>
      <c r="R5389" t="s">
        <v>213</v>
      </c>
      <c r="S5389" s="2" t="s">
        <v>9</v>
      </c>
      <c r="T5389">
        <v>3</v>
      </c>
      <c r="U5389" t="s">
        <v>28</v>
      </c>
      <c r="V5389" t="s">
        <v>28</v>
      </c>
      <c r="W5389">
        <v>19</v>
      </c>
      <c r="X5389">
        <v>0.57844437966666662</v>
      </c>
      <c r="Y5389">
        <v>7.0459317189913023E-2</v>
      </c>
      <c r="AA5389" s="6"/>
      <c r="AB5389" s="6"/>
    </row>
    <row r="5390" spans="1:28" x14ac:dyDescent="0.2">
      <c r="A5390" t="s">
        <v>605</v>
      </c>
      <c r="B5390">
        <v>2020</v>
      </c>
      <c r="C5390" t="s">
        <v>816</v>
      </c>
      <c r="D5390" t="s">
        <v>817</v>
      </c>
      <c r="E5390" t="s">
        <v>31</v>
      </c>
      <c r="F5390" t="s">
        <v>283</v>
      </c>
      <c r="G5390">
        <v>48.726999999999997</v>
      </c>
      <c r="H5390">
        <v>-4.0049999999999999</v>
      </c>
      <c r="I5390" t="s">
        <v>765</v>
      </c>
      <c r="J5390" s="2" t="s">
        <v>14</v>
      </c>
      <c r="K5390" t="s">
        <v>144</v>
      </c>
      <c r="L5390" t="s">
        <v>144</v>
      </c>
      <c r="M5390" t="s">
        <v>726</v>
      </c>
      <c r="N5390" t="s">
        <v>85</v>
      </c>
      <c r="O5390" t="s">
        <v>58</v>
      </c>
      <c r="Q5390">
        <v>8</v>
      </c>
      <c r="R5390" t="s">
        <v>213</v>
      </c>
      <c r="S5390" s="2" t="s">
        <v>27</v>
      </c>
      <c r="T5390">
        <v>3</v>
      </c>
      <c r="U5390" t="s">
        <v>28</v>
      </c>
      <c r="V5390" t="s">
        <v>28</v>
      </c>
      <c r="W5390">
        <v>21</v>
      </c>
      <c r="X5390">
        <v>0.59535613233333329</v>
      </c>
      <c r="Y5390">
        <v>3.0503268638567994E-2</v>
      </c>
      <c r="AA5390" s="6"/>
      <c r="AB5390" s="6"/>
    </row>
    <row r="5391" spans="1:28" x14ac:dyDescent="0.2">
      <c r="A5391" t="s">
        <v>605</v>
      </c>
      <c r="B5391">
        <v>2020</v>
      </c>
      <c r="C5391" t="s">
        <v>816</v>
      </c>
      <c r="D5391" t="s">
        <v>817</v>
      </c>
      <c r="E5391" t="s">
        <v>31</v>
      </c>
      <c r="F5391" t="s">
        <v>283</v>
      </c>
      <c r="G5391">
        <v>48.726999999999997</v>
      </c>
      <c r="H5391">
        <v>-4.0049999999999999</v>
      </c>
      <c r="I5391" t="s">
        <v>765</v>
      </c>
      <c r="J5391" s="2" t="s">
        <v>14</v>
      </c>
      <c r="K5391" t="s">
        <v>144</v>
      </c>
      <c r="L5391" t="s">
        <v>144</v>
      </c>
      <c r="M5391" t="s">
        <v>726</v>
      </c>
      <c r="N5391" t="s">
        <v>85</v>
      </c>
      <c r="O5391" t="s">
        <v>58</v>
      </c>
      <c r="Q5391">
        <v>8</v>
      </c>
      <c r="R5391" t="s">
        <v>213</v>
      </c>
      <c r="S5391" s="2" t="s">
        <v>13</v>
      </c>
      <c r="T5391">
        <v>3</v>
      </c>
      <c r="U5391" t="s">
        <v>28</v>
      </c>
      <c r="V5391" t="s">
        <v>28</v>
      </c>
      <c r="W5391">
        <v>23</v>
      </c>
      <c r="X5391">
        <v>0.54637842333333331</v>
      </c>
      <c r="Y5391">
        <v>6.3608745252279025E-2</v>
      </c>
      <c r="AA5391" s="6"/>
      <c r="AB5391" s="6"/>
    </row>
    <row r="5392" spans="1:28" x14ac:dyDescent="0.2">
      <c r="A5392" t="s">
        <v>605</v>
      </c>
      <c r="B5392">
        <v>2020</v>
      </c>
      <c r="C5392" t="s">
        <v>816</v>
      </c>
      <c r="D5392" t="s">
        <v>817</v>
      </c>
      <c r="E5392" t="s">
        <v>31</v>
      </c>
      <c r="F5392" t="s">
        <v>411</v>
      </c>
      <c r="G5392">
        <v>78.974999999999994</v>
      </c>
      <c r="H5392">
        <v>11.632999999999999</v>
      </c>
      <c r="I5392" t="s">
        <v>764</v>
      </c>
      <c r="J5392" s="2" t="s">
        <v>7</v>
      </c>
      <c r="K5392" t="s">
        <v>144</v>
      </c>
      <c r="L5392" t="s">
        <v>144</v>
      </c>
      <c r="M5392" t="s">
        <v>726</v>
      </c>
      <c r="N5392" t="s">
        <v>85</v>
      </c>
      <c r="O5392" t="s">
        <v>58</v>
      </c>
      <c r="Q5392">
        <v>8</v>
      </c>
      <c r="R5392" t="s">
        <v>213</v>
      </c>
      <c r="S5392" s="2" t="s">
        <v>7</v>
      </c>
      <c r="T5392">
        <v>2</v>
      </c>
      <c r="U5392" t="s">
        <v>28</v>
      </c>
      <c r="V5392" t="s">
        <v>28</v>
      </c>
      <c r="W5392">
        <v>15</v>
      </c>
      <c r="X5392">
        <v>0.54598788300000001</v>
      </c>
      <c r="Y5392">
        <v>5.6858939795559733E-2</v>
      </c>
      <c r="AA5392" s="6"/>
      <c r="AB5392" s="6"/>
    </row>
    <row r="5393" spans="1:28" x14ac:dyDescent="0.2">
      <c r="A5393" t="s">
        <v>605</v>
      </c>
      <c r="B5393">
        <v>2020</v>
      </c>
      <c r="C5393" t="s">
        <v>816</v>
      </c>
      <c r="D5393" t="s">
        <v>817</v>
      </c>
      <c r="E5393" t="s">
        <v>31</v>
      </c>
      <c r="F5393" t="s">
        <v>411</v>
      </c>
      <c r="G5393">
        <v>78.974999999999994</v>
      </c>
      <c r="H5393">
        <v>11.632999999999999</v>
      </c>
      <c r="I5393" t="s">
        <v>764</v>
      </c>
      <c r="J5393" s="2" t="s">
        <v>14</v>
      </c>
      <c r="K5393" t="s">
        <v>144</v>
      </c>
      <c r="L5393" t="s">
        <v>144</v>
      </c>
      <c r="M5393" t="s">
        <v>726</v>
      </c>
      <c r="N5393" t="s">
        <v>85</v>
      </c>
      <c r="O5393" t="s">
        <v>58</v>
      </c>
      <c r="Q5393">
        <v>8</v>
      </c>
      <c r="R5393" t="s">
        <v>213</v>
      </c>
      <c r="S5393" s="2" t="s">
        <v>9</v>
      </c>
      <c r="T5393">
        <v>2</v>
      </c>
      <c r="U5393" t="s">
        <v>28</v>
      </c>
      <c r="V5393" t="s">
        <v>28</v>
      </c>
      <c r="W5393">
        <v>19</v>
      </c>
      <c r="X5393">
        <v>0.6252764203333333</v>
      </c>
      <c r="Y5393">
        <v>2.2243125628407953E-2</v>
      </c>
      <c r="AA5393" s="6"/>
      <c r="AB5393" s="6"/>
    </row>
    <row r="5394" spans="1:28" x14ac:dyDescent="0.2">
      <c r="A5394" t="s">
        <v>605</v>
      </c>
      <c r="B5394">
        <v>2020</v>
      </c>
      <c r="C5394" t="s">
        <v>816</v>
      </c>
      <c r="D5394" t="s">
        <v>817</v>
      </c>
      <c r="E5394" t="s">
        <v>31</v>
      </c>
      <c r="F5394" t="s">
        <v>411</v>
      </c>
      <c r="G5394">
        <v>78.974999999999994</v>
      </c>
      <c r="H5394">
        <v>11.632999999999999</v>
      </c>
      <c r="I5394" t="s">
        <v>764</v>
      </c>
      <c r="J5394" s="2" t="s">
        <v>14</v>
      </c>
      <c r="K5394" t="s">
        <v>144</v>
      </c>
      <c r="L5394" t="s">
        <v>144</v>
      </c>
      <c r="M5394" t="s">
        <v>726</v>
      </c>
      <c r="N5394" t="s">
        <v>85</v>
      </c>
      <c r="O5394" t="s">
        <v>58</v>
      </c>
      <c r="Q5394">
        <v>8</v>
      </c>
      <c r="R5394" t="s">
        <v>213</v>
      </c>
      <c r="S5394" s="2" t="s">
        <v>27</v>
      </c>
      <c r="T5394">
        <v>2</v>
      </c>
      <c r="U5394" t="s">
        <v>28</v>
      </c>
      <c r="V5394" t="s">
        <v>28</v>
      </c>
      <c r="W5394">
        <v>21</v>
      </c>
      <c r="X5394">
        <v>0.55709449166666669</v>
      </c>
      <c r="Y5394">
        <v>3.6738154271857365E-2</v>
      </c>
      <c r="AA5394" s="6"/>
      <c r="AB5394" s="6"/>
    </row>
    <row r="5395" spans="1:28" x14ac:dyDescent="0.2">
      <c r="A5395" t="s">
        <v>605</v>
      </c>
      <c r="B5395">
        <v>2020</v>
      </c>
      <c r="C5395" t="s">
        <v>816</v>
      </c>
      <c r="D5395" t="s">
        <v>817</v>
      </c>
      <c r="E5395" t="s">
        <v>31</v>
      </c>
      <c r="F5395" t="s">
        <v>411</v>
      </c>
      <c r="G5395">
        <v>78.974999999999994</v>
      </c>
      <c r="H5395">
        <v>11.632999999999999</v>
      </c>
      <c r="I5395" t="s">
        <v>764</v>
      </c>
      <c r="J5395" s="2" t="s">
        <v>14</v>
      </c>
      <c r="K5395" t="s">
        <v>144</v>
      </c>
      <c r="L5395" t="s">
        <v>144</v>
      </c>
      <c r="M5395" t="s">
        <v>726</v>
      </c>
      <c r="N5395" t="s">
        <v>85</v>
      </c>
      <c r="O5395" t="s">
        <v>58</v>
      </c>
      <c r="Q5395">
        <v>8</v>
      </c>
      <c r="R5395" t="s">
        <v>213</v>
      </c>
      <c r="S5395" s="2" t="s">
        <v>13</v>
      </c>
      <c r="T5395">
        <v>2</v>
      </c>
      <c r="U5395" t="s">
        <v>28</v>
      </c>
      <c r="V5395" t="s">
        <v>28</v>
      </c>
      <c r="W5395">
        <v>23</v>
      </c>
      <c r="X5395">
        <v>0.47021587733333337</v>
      </c>
      <c r="Y5395">
        <v>6.1438875083910015E-2</v>
      </c>
      <c r="AA5395" s="6"/>
      <c r="AB5395" s="6"/>
    </row>
    <row r="5396" spans="1:28" x14ac:dyDescent="0.2">
      <c r="A5396" t="s">
        <v>605</v>
      </c>
      <c r="B5396">
        <v>2020</v>
      </c>
      <c r="C5396" t="s">
        <v>816</v>
      </c>
      <c r="D5396" t="s">
        <v>817</v>
      </c>
      <c r="E5396" t="s">
        <v>31</v>
      </c>
      <c r="F5396" t="s">
        <v>607</v>
      </c>
      <c r="G5396">
        <v>69.790000000000006</v>
      </c>
      <c r="H5396">
        <v>19.053999999999998</v>
      </c>
      <c r="I5396" t="s">
        <v>766</v>
      </c>
      <c r="J5396" s="2" t="s">
        <v>7</v>
      </c>
      <c r="K5396" t="s">
        <v>144</v>
      </c>
      <c r="L5396" t="s">
        <v>144</v>
      </c>
      <c r="M5396" t="s">
        <v>726</v>
      </c>
      <c r="N5396" t="s">
        <v>85</v>
      </c>
      <c r="O5396" t="s">
        <v>58</v>
      </c>
      <c r="Q5396">
        <v>8</v>
      </c>
      <c r="R5396" t="s">
        <v>213</v>
      </c>
      <c r="S5396" s="2" t="s">
        <v>7</v>
      </c>
      <c r="T5396">
        <v>3</v>
      </c>
      <c r="U5396" t="s">
        <v>28</v>
      </c>
      <c r="V5396" t="s">
        <v>28</v>
      </c>
      <c r="W5396">
        <v>15</v>
      </c>
      <c r="X5396">
        <v>0.59427489533333333</v>
      </c>
      <c r="Y5396">
        <v>1.7636344312998174E-2</v>
      </c>
      <c r="AA5396" s="6"/>
      <c r="AB5396" s="6"/>
    </row>
    <row r="5397" spans="1:28" x14ac:dyDescent="0.2">
      <c r="A5397" t="s">
        <v>605</v>
      </c>
      <c r="B5397">
        <v>2020</v>
      </c>
      <c r="C5397" t="s">
        <v>816</v>
      </c>
      <c r="D5397" t="s">
        <v>817</v>
      </c>
      <c r="E5397" t="s">
        <v>31</v>
      </c>
      <c r="F5397" t="s">
        <v>607</v>
      </c>
      <c r="G5397">
        <v>69.790000000000006</v>
      </c>
      <c r="H5397">
        <v>19.053999999999998</v>
      </c>
      <c r="I5397" t="s">
        <v>766</v>
      </c>
      <c r="J5397" s="2" t="s">
        <v>14</v>
      </c>
      <c r="K5397" t="s">
        <v>144</v>
      </c>
      <c r="L5397" t="s">
        <v>144</v>
      </c>
      <c r="M5397" t="s">
        <v>726</v>
      </c>
      <c r="N5397" t="s">
        <v>85</v>
      </c>
      <c r="O5397" t="s">
        <v>58</v>
      </c>
      <c r="Q5397">
        <v>8</v>
      </c>
      <c r="R5397" t="s">
        <v>213</v>
      </c>
      <c r="S5397" s="2" t="s">
        <v>9</v>
      </c>
      <c r="T5397">
        <v>3</v>
      </c>
      <c r="U5397" t="s">
        <v>28</v>
      </c>
      <c r="V5397" t="s">
        <v>28</v>
      </c>
      <c r="W5397">
        <v>19</v>
      </c>
      <c r="X5397">
        <v>0.60541777866666668</v>
      </c>
      <c r="Y5397">
        <v>5.2038387453361749E-2</v>
      </c>
      <c r="AA5397" s="6"/>
      <c r="AB5397" s="6"/>
    </row>
    <row r="5398" spans="1:28" x14ac:dyDescent="0.2">
      <c r="A5398" t="s">
        <v>605</v>
      </c>
      <c r="B5398">
        <v>2020</v>
      </c>
      <c r="C5398" t="s">
        <v>816</v>
      </c>
      <c r="D5398" t="s">
        <v>817</v>
      </c>
      <c r="E5398" t="s">
        <v>31</v>
      </c>
      <c r="F5398" t="s">
        <v>607</v>
      </c>
      <c r="G5398">
        <v>69.790000000000006</v>
      </c>
      <c r="H5398">
        <v>19.053999999999998</v>
      </c>
      <c r="I5398" t="s">
        <v>766</v>
      </c>
      <c r="J5398" s="2" t="s">
        <v>14</v>
      </c>
      <c r="K5398" t="s">
        <v>144</v>
      </c>
      <c r="L5398" t="s">
        <v>144</v>
      </c>
      <c r="M5398" t="s">
        <v>726</v>
      </c>
      <c r="N5398" t="s">
        <v>85</v>
      </c>
      <c r="O5398" t="s">
        <v>58</v>
      </c>
      <c r="Q5398">
        <v>8</v>
      </c>
      <c r="R5398" t="s">
        <v>213</v>
      </c>
      <c r="S5398" s="2" t="s">
        <v>27</v>
      </c>
      <c r="T5398">
        <v>3</v>
      </c>
      <c r="U5398" t="s">
        <v>28</v>
      </c>
      <c r="V5398" t="s">
        <v>28</v>
      </c>
      <c r="W5398">
        <v>21</v>
      </c>
      <c r="X5398">
        <v>0.57498538200000004</v>
      </c>
      <c r="Y5398">
        <v>5.7845886537361758E-2</v>
      </c>
      <c r="AA5398" s="6"/>
      <c r="AB5398" s="6"/>
    </row>
    <row r="5399" spans="1:28" x14ac:dyDescent="0.2">
      <c r="A5399" t="s">
        <v>605</v>
      </c>
      <c r="B5399">
        <v>2020</v>
      </c>
      <c r="C5399" t="s">
        <v>816</v>
      </c>
      <c r="D5399" t="s">
        <v>817</v>
      </c>
      <c r="E5399" t="s">
        <v>31</v>
      </c>
      <c r="F5399" t="s">
        <v>607</v>
      </c>
      <c r="G5399">
        <v>69.790000000000006</v>
      </c>
      <c r="H5399">
        <v>19.053999999999998</v>
      </c>
      <c r="I5399" t="s">
        <v>766</v>
      </c>
      <c r="J5399" s="2" t="s">
        <v>14</v>
      </c>
      <c r="K5399" t="s">
        <v>144</v>
      </c>
      <c r="L5399" t="s">
        <v>144</v>
      </c>
      <c r="M5399" t="s">
        <v>726</v>
      </c>
      <c r="N5399" t="s">
        <v>85</v>
      </c>
      <c r="O5399" t="s">
        <v>58</v>
      </c>
      <c r="Q5399">
        <v>8</v>
      </c>
      <c r="R5399" t="s">
        <v>213</v>
      </c>
      <c r="S5399" s="2" t="s">
        <v>13</v>
      </c>
      <c r="T5399">
        <v>3</v>
      </c>
      <c r="U5399" t="s">
        <v>28</v>
      </c>
      <c r="V5399" t="s">
        <v>28</v>
      </c>
      <c r="W5399">
        <v>23</v>
      </c>
      <c r="X5399">
        <v>0.52353480799999996</v>
      </c>
      <c r="Y5399">
        <v>6.0750490178984956E-2</v>
      </c>
      <c r="AA5399" s="6"/>
      <c r="AB5399" s="6"/>
    </row>
    <row r="5400" spans="1:28" x14ac:dyDescent="0.2">
      <c r="A5400" t="s">
        <v>605</v>
      </c>
      <c r="B5400">
        <v>2020</v>
      </c>
      <c r="C5400" t="s">
        <v>816</v>
      </c>
      <c r="D5400" t="s">
        <v>817</v>
      </c>
      <c r="E5400" t="s">
        <v>31</v>
      </c>
      <c r="F5400" t="s">
        <v>307</v>
      </c>
      <c r="G5400">
        <v>54.177999999999997</v>
      </c>
      <c r="H5400">
        <v>7.8929999999999998</v>
      </c>
      <c r="I5400" t="s">
        <v>766</v>
      </c>
      <c r="J5400" s="2" t="s">
        <v>7</v>
      </c>
      <c r="K5400" t="s">
        <v>144</v>
      </c>
      <c r="L5400" t="s">
        <v>144</v>
      </c>
      <c r="M5400" t="s">
        <v>726</v>
      </c>
      <c r="N5400" t="s">
        <v>85</v>
      </c>
      <c r="O5400" s="6" t="s">
        <v>196</v>
      </c>
      <c r="Q5400">
        <v>8</v>
      </c>
      <c r="R5400" t="s">
        <v>213</v>
      </c>
      <c r="S5400" s="2" t="s">
        <v>7</v>
      </c>
      <c r="T5400">
        <v>3</v>
      </c>
      <c r="U5400" t="s">
        <v>28</v>
      </c>
      <c r="V5400" t="s">
        <v>28</v>
      </c>
      <c r="W5400">
        <v>15</v>
      </c>
      <c r="X5400">
        <v>143.77345806666668</v>
      </c>
      <c r="Y5400">
        <v>36.114986908889108</v>
      </c>
      <c r="AA5400" s="6"/>
      <c r="AB5400" s="6"/>
    </row>
    <row r="5401" spans="1:28" x14ac:dyDescent="0.2">
      <c r="A5401" t="s">
        <v>605</v>
      </c>
      <c r="B5401">
        <v>2020</v>
      </c>
      <c r="C5401" t="s">
        <v>816</v>
      </c>
      <c r="D5401" t="s">
        <v>817</v>
      </c>
      <c r="E5401" t="s">
        <v>31</v>
      </c>
      <c r="F5401" t="s">
        <v>307</v>
      </c>
      <c r="G5401">
        <v>54.177999999999997</v>
      </c>
      <c r="H5401">
        <v>7.8929999999999998</v>
      </c>
      <c r="I5401" t="s">
        <v>766</v>
      </c>
      <c r="J5401" s="2" t="s">
        <v>14</v>
      </c>
      <c r="K5401" t="s">
        <v>144</v>
      </c>
      <c r="L5401" t="s">
        <v>144</v>
      </c>
      <c r="M5401" t="s">
        <v>726</v>
      </c>
      <c r="N5401" t="s">
        <v>85</v>
      </c>
      <c r="O5401" s="6" t="s">
        <v>196</v>
      </c>
      <c r="Q5401">
        <v>8</v>
      </c>
      <c r="R5401" t="s">
        <v>213</v>
      </c>
      <c r="S5401" s="2" t="s">
        <v>9</v>
      </c>
      <c r="T5401">
        <v>3</v>
      </c>
      <c r="U5401" t="s">
        <v>28</v>
      </c>
      <c r="V5401" t="s">
        <v>28</v>
      </c>
      <c r="W5401">
        <v>19</v>
      </c>
      <c r="X5401">
        <v>144.10799266666666</v>
      </c>
      <c r="Y5401">
        <v>12.644681843811776</v>
      </c>
      <c r="AA5401" s="6"/>
      <c r="AB5401" s="6"/>
    </row>
    <row r="5402" spans="1:28" x14ac:dyDescent="0.2">
      <c r="A5402" t="s">
        <v>605</v>
      </c>
      <c r="B5402">
        <v>2020</v>
      </c>
      <c r="C5402" t="s">
        <v>816</v>
      </c>
      <c r="D5402" t="s">
        <v>817</v>
      </c>
      <c r="E5402" t="s">
        <v>31</v>
      </c>
      <c r="F5402" t="s">
        <v>307</v>
      </c>
      <c r="G5402">
        <v>54.177999999999997</v>
      </c>
      <c r="H5402">
        <v>7.8929999999999998</v>
      </c>
      <c r="I5402" t="s">
        <v>766</v>
      </c>
      <c r="J5402" s="2" t="s">
        <v>14</v>
      </c>
      <c r="K5402" t="s">
        <v>144</v>
      </c>
      <c r="L5402" t="s">
        <v>144</v>
      </c>
      <c r="M5402" t="s">
        <v>726</v>
      </c>
      <c r="N5402" t="s">
        <v>85</v>
      </c>
      <c r="O5402" s="6" t="s">
        <v>196</v>
      </c>
      <c r="Q5402">
        <v>8</v>
      </c>
      <c r="R5402" t="s">
        <v>213</v>
      </c>
      <c r="S5402" s="2" t="s">
        <v>27</v>
      </c>
      <c r="T5402">
        <v>3</v>
      </c>
      <c r="U5402" t="s">
        <v>28</v>
      </c>
      <c r="V5402" t="s">
        <v>28</v>
      </c>
      <c r="W5402">
        <v>21</v>
      </c>
      <c r="X5402">
        <v>172.31889896666667</v>
      </c>
      <c r="Y5402">
        <v>30.891724097842722</v>
      </c>
      <c r="AA5402" s="6"/>
      <c r="AB5402" s="6"/>
    </row>
    <row r="5403" spans="1:28" x14ac:dyDescent="0.2">
      <c r="A5403" t="s">
        <v>605</v>
      </c>
      <c r="B5403">
        <v>2020</v>
      </c>
      <c r="C5403" t="s">
        <v>816</v>
      </c>
      <c r="D5403" t="s">
        <v>817</v>
      </c>
      <c r="E5403" t="s">
        <v>31</v>
      </c>
      <c r="F5403" t="s">
        <v>307</v>
      </c>
      <c r="G5403">
        <v>54.177999999999997</v>
      </c>
      <c r="H5403">
        <v>7.8929999999999998</v>
      </c>
      <c r="I5403" t="s">
        <v>766</v>
      </c>
      <c r="J5403" s="2" t="s">
        <v>14</v>
      </c>
      <c r="K5403" t="s">
        <v>144</v>
      </c>
      <c r="L5403" t="s">
        <v>144</v>
      </c>
      <c r="M5403" t="s">
        <v>726</v>
      </c>
      <c r="N5403" t="s">
        <v>85</v>
      </c>
      <c r="O5403" s="6" t="s">
        <v>196</v>
      </c>
      <c r="Q5403">
        <v>8</v>
      </c>
      <c r="R5403" t="s">
        <v>213</v>
      </c>
      <c r="S5403" s="2" t="s">
        <v>13</v>
      </c>
      <c r="T5403">
        <v>3</v>
      </c>
      <c r="U5403" t="s">
        <v>28</v>
      </c>
      <c r="V5403" t="s">
        <v>28</v>
      </c>
      <c r="W5403">
        <v>23</v>
      </c>
      <c r="X5403">
        <v>149.53632253333333</v>
      </c>
      <c r="Y5403">
        <v>14.088243656831329</v>
      </c>
      <c r="AA5403" s="6"/>
      <c r="AB5403" s="6"/>
    </row>
    <row r="5404" spans="1:28" x14ac:dyDescent="0.2">
      <c r="A5404" t="s">
        <v>605</v>
      </c>
      <c r="B5404">
        <v>2020</v>
      </c>
      <c r="C5404" t="s">
        <v>816</v>
      </c>
      <c r="D5404" t="s">
        <v>817</v>
      </c>
      <c r="E5404" t="s">
        <v>31</v>
      </c>
      <c r="F5404" t="s">
        <v>608</v>
      </c>
      <c r="G5404">
        <v>47.47</v>
      </c>
      <c r="H5404">
        <v>-3.0910000000000002</v>
      </c>
      <c r="I5404" t="s">
        <v>765</v>
      </c>
      <c r="J5404" s="2" t="s">
        <v>7</v>
      </c>
      <c r="K5404" t="s">
        <v>144</v>
      </c>
      <c r="L5404" t="s">
        <v>144</v>
      </c>
      <c r="M5404" t="s">
        <v>726</v>
      </c>
      <c r="N5404" t="s">
        <v>85</v>
      </c>
      <c r="O5404" s="6" t="s">
        <v>196</v>
      </c>
      <c r="Q5404">
        <v>8</v>
      </c>
      <c r="R5404" t="s">
        <v>213</v>
      </c>
      <c r="S5404" s="2" t="s">
        <v>7</v>
      </c>
      <c r="T5404">
        <v>3</v>
      </c>
      <c r="U5404" t="s">
        <v>28</v>
      </c>
      <c r="V5404" t="s">
        <v>28</v>
      </c>
      <c r="W5404">
        <v>15</v>
      </c>
      <c r="X5404">
        <v>185.09160833333331</v>
      </c>
      <c r="Y5404">
        <v>38.503957112314048</v>
      </c>
      <c r="AA5404" s="6"/>
      <c r="AB5404" s="6"/>
    </row>
    <row r="5405" spans="1:28" x14ac:dyDescent="0.2">
      <c r="A5405" t="s">
        <v>605</v>
      </c>
      <c r="B5405">
        <v>2020</v>
      </c>
      <c r="C5405" t="s">
        <v>816</v>
      </c>
      <c r="D5405" t="s">
        <v>817</v>
      </c>
      <c r="E5405" t="s">
        <v>31</v>
      </c>
      <c r="F5405" t="s">
        <v>608</v>
      </c>
      <c r="G5405">
        <v>47.47</v>
      </c>
      <c r="H5405">
        <v>-3.0910000000000002</v>
      </c>
      <c r="I5405" t="s">
        <v>765</v>
      </c>
      <c r="J5405" s="2" t="s">
        <v>14</v>
      </c>
      <c r="K5405" t="s">
        <v>144</v>
      </c>
      <c r="L5405" t="s">
        <v>144</v>
      </c>
      <c r="M5405" t="s">
        <v>726</v>
      </c>
      <c r="N5405" t="s">
        <v>85</v>
      </c>
      <c r="O5405" s="6" t="s">
        <v>196</v>
      </c>
      <c r="Q5405">
        <v>8</v>
      </c>
      <c r="R5405" t="s">
        <v>213</v>
      </c>
      <c r="S5405" s="2" t="s">
        <v>9</v>
      </c>
      <c r="T5405">
        <v>3</v>
      </c>
      <c r="U5405" t="s">
        <v>28</v>
      </c>
      <c r="V5405" t="s">
        <v>28</v>
      </c>
      <c r="W5405">
        <v>19</v>
      </c>
      <c r="X5405">
        <v>202.5113666</v>
      </c>
      <c r="Y5405">
        <v>73.93952769456611</v>
      </c>
      <c r="AA5405" s="6"/>
      <c r="AB5405" s="6"/>
    </row>
    <row r="5406" spans="1:28" x14ac:dyDescent="0.2">
      <c r="A5406" t="s">
        <v>605</v>
      </c>
      <c r="B5406">
        <v>2020</v>
      </c>
      <c r="C5406" t="s">
        <v>816</v>
      </c>
      <c r="D5406" t="s">
        <v>817</v>
      </c>
      <c r="E5406" t="s">
        <v>31</v>
      </c>
      <c r="F5406" t="s">
        <v>608</v>
      </c>
      <c r="G5406">
        <v>47.47</v>
      </c>
      <c r="H5406">
        <v>-3.0910000000000002</v>
      </c>
      <c r="I5406" t="s">
        <v>765</v>
      </c>
      <c r="J5406" s="2" t="s">
        <v>14</v>
      </c>
      <c r="K5406" t="s">
        <v>144</v>
      </c>
      <c r="L5406" t="s">
        <v>144</v>
      </c>
      <c r="M5406" t="s">
        <v>726</v>
      </c>
      <c r="N5406" t="s">
        <v>85</v>
      </c>
      <c r="O5406" s="6" t="s">
        <v>196</v>
      </c>
      <c r="Q5406">
        <v>8</v>
      </c>
      <c r="R5406" t="s">
        <v>213</v>
      </c>
      <c r="S5406" s="2" t="s">
        <v>27</v>
      </c>
      <c r="T5406">
        <v>3</v>
      </c>
      <c r="U5406" t="s">
        <v>28</v>
      </c>
      <c r="V5406" t="s">
        <v>28</v>
      </c>
      <c r="W5406">
        <v>21</v>
      </c>
      <c r="X5406">
        <v>178.80790543333333</v>
      </c>
      <c r="Y5406">
        <v>74.184976314778979</v>
      </c>
      <c r="AA5406" s="6"/>
      <c r="AB5406" s="6"/>
    </row>
    <row r="5407" spans="1:28" x14ac:dyDescent="0.2">
      <c r="A5407" t="s">
        <v>605</v>
      </c>
      <c r="B5407">
        <v>2020</v>
      </c>
      <c r="C5407" t="s">
        <v>816</v>
      </c>
      <c r="D5407" t="s">
        <v>817</v>
      </c>
      <c r="E5407" t="s">
        <v>31</v>
      </c>
      <c r="F5407" t="s">
        <v>608</v>
      </c>
      <c r="G5407">
        <v>47.47</v>
      </c>
      <c r="H5407">
        <v>-3.0910000000000002</v>
      </c>
      <c r="I5407" t="s">
        <v>765</v>
      </c>
      <c r="J5407" s="2" t="s">
        <v>14</v>
      </c>
      <c r="K5407" t="s">
        <v>144</v>
      </c>
      <c r="L5407" t="s">
        <v>144</v>
      </c>
      <c r="M5407" t="s">
        <v>726</v>
      </c>
      <c r="N5407" t="s">
        <v>85</v>
      </c>
      <c r="O5407" s="6" t="s">
        <v>196</v>
      </c>
      <c r="Q5407">
        <v>8</v>
      </c>
      <c r="R5407" t="s">
        <v>213</v>
      </c>
      <c r="S5407" s="2" t="s">
        <v>13</v>
      </c>
      <c r="T5407">
        <v>3</v>
      </c>
      <c r="U5407" t="s">
        <v>28</v>
      </c>
      <c r="V5407" t="s">
        <v>28</v>
      </c>
      <c r="W5407">
        <v>23</v>
      </c>
      <c r="X5407">
        <v>100.37653260333333</v>
      </c>
      <c r="Y5407">
        <v>22.633560332147621</v>
      </c>
      <c r="AA5407" s="6"/>
      <c r="AB5407" s="6"/>
    </row>
    <row r="5408" spans="1:28" x14ac:dyDescent="0.2">
      <c r="A5408" t="s">
        <v>605</v>
      </c>
      <c r="B5408">
        <v>2020</v>
      </c>
      <c r="C5408" t="s">
        <v>816</v>
      </c>
      <c r="D5408" t="s">
        <v>817</v>
      </c>
      <c r="E5408" t="s">
        <v>31</v>
      </c>
      <c r="F5408" t="s">
        <v>283</v>
      </c>
      <c r="G5408">
        <v>48.726999999999997</v>
      </c>
      <c r="H5408">
        <v>-4.0049999999999999</v>
      </c>
      <c r="I5408" t="s">
        <v>765</v>
      </c>
      <c r="J5408" s="2" t="s">
        <v>7</v>
      </c>
      <c r="K5408" t="s">
        <v>144</v>
      </c>
      <c r="L5408" t="s">
        <v>144</v>
      </c>
      <c r="M5408" t="s">
        <v>726</v>
      </c>
      <c r="N5408" t="s">
        <v>85</v>
      </c>
      <c r="O5408" s="6" t="s">
        <v>196</v>
      </c>
      <c r="Q5408">
        <v>8</v>
      </c>
      <c r="R5408" t="s">
        <v>213</v>
      </c>
      <c r="S5408" s="2" t="s">
        <v>7</v>
      </c>
      <c r="T5408">
        <v>3</v>
      </c>
      <c r="U5408" t="s">
        <v>28</v>
      </c>
      <c r="V5408" t="s">
        <v>28</v>
      </c>
      <c r="W5408">
        <v>15</v>
      </c>
      <c r="X5408">
        <v>159.25739859999999</v>
      </c>
      <c r="Y5408">
        <v>24.458991212678658</v>
      </c>
      <c r="AA5408" s="6"/>
      <c r="AB5408" s="6"/>
    </row>
    <row r="5409" spans="1:28" x14ac:dyDescent="0.2">
      <c r="A5409" t="s">
        <v>605</v>
      </c>
      <c r="B5409">
        <v>2020</v>
      </c>
      <c r="C5409" t="s">
        <v>816</v>
      </c>
      <c r="D5409" t="s">
        <v>817</v>
      </c>
      <c r="E5409" t="s">
        <v>31</v>
      </c>
      <c r="F5409" t="s">
        <v>283</v>
      </c>
      <c r="G5409">
        <v>48.726999999999997</v>
      </c>
      <c r="H5409">
        <v>-4.0049999999999999</v>
      </c>
      <c r="I5409" t="s">
        <v>765</v>
      </c>
      <c r="J5409" s="2" t="s">
        <v>14</v>
      </c>
      <c r="K5409" t="s">
        <v>144</v>
      </c>
      <c r="L5409" t="s">
        <v>144</v>
      </c>
      <c r="M5409" t="s">
        <v>726</v>
      </c>
      <c r="N5409" t="s">
        <v>85</v>
      </c>
      <c r="O5409" s="6" t="s">
        <v>196</v>
      </c>
      <c r="Q5409">
        <v>8</v>
      </c>
      <c r="R5409" t="s">
        <v>213</v>
      </c>
      <c r="S5409" s="2" t="s">
        <v>9</v>
      </c>
      <c r="T5409">
        <v>3</v>
      </c>
      <c r="U5409" t="s">
        <v>28</v>
      </c>
      <c r="V5409" t="s">
        <v>28</v>
      </c>
      <c r="W5409">
        <v>19</v>
      </c>
      <c r="X5409">
        <v>131.4988635</v>
      </c>
      <c r="Y5409">
        <v>26.037972210200472</v>
      </c>
      <c r="AA5409" s="6"/>
      <c r="AB5409" s="6"/>
    </row>
    <row r="5410" spans="1:28" x14ac:dyDescent="0.2">
      <c r="A5410" t="s">
        <v>605</v>
      </c>
      <c r="B5410">
        <v>2020</v>
      </c>
      <c r="C5410" t="s">
        <v>816</v>
      </c>
      <c r="D5410" t="s">
        <v>817</v>
      </c>
      <c r="E5410" t="s">
        <v>31</v>
      </c>
      <c r="F5410" t="s">
        <v>283</v>
      </c>
      <c r="G5410">
        <v>48.726999999999997</v>
      </c>
      <c r="H5410">
        <v>-4.0049999999999999</v>
      </c>
      <c r="I5410" t="s">
        <v>765</v>
      </c>
      <c r="J5410" s="2" t="s">
        <v>14</v>
      </c>
      <c r="K5410" t="s">
        <v>144</v>
      </c>
      <c r="L5410" t="s">
        <v>144</v>
      </c>
      <c r="M5410" t="s">
        <v>726</v>
      </c>
      <c r="N5410" t="s">
        <v>85</v>
      </c>
      <c r="O5410" s="6" t="s">
        <v>196</v>
      </c>
      <c r="Q5410">
        <v>8</v>
      </c>
      <c r="R5410" t="s">
        <v>213</v>
      </c>
      <c r="S5410" s="2" t="s">
        <v>27</v>
      </c>
      <c r="T5410">
        <v>3</v>
      </c>
      <c r="U5410" t="s">
        <v>28</v>
      </c>
      <c r="V5410" t="s">
        <v>28</v>
      </c>
      <c r="W5410">
        <v>21</v>
      </c>
      <c r="X5410">
        <v>114.41485965333334</v>
      </c>
      <c r="Y5410">
        <v>37.183584834329096</v>
      </c>
      <c r="AA5410" s="6"/>
      <c r="AB5410" s="6"/>
    </row>
    <row r="5411" spans="1:28" x14ac:dyDescent="0.2">
      <c r="A5411" t="s">
        <v>605</v>
      </c>
      <c r="B5411">
        <v>2020</v>
      </c>
      <c r="C5411" t="s">
        <v>816</v>
      </c>
      <c r="D5411" t="s">
        <v>817</v>
      </c>
      <c r="E5411" t="s">
        <v>31</v>
      </c>
      <c r="F5411" t="s">
        <v>283</v>
      </c>
      <c r="G5411">
        <v>48.726999999999997</v>
      </c>
      <c r="H5411">
        <v>-4.0049999999999999</v>
      </c>
      <c r="I5411" t="s">
        <v>765</v>
      </c>
      <c r="J5411" s="2" t="s">
        <v>14</v>
      </c>
      <c r="K5411" t="s">
        <v>144</v>
      </c>
      <c r="L5411" t="s">
        <v>144</v>
      </c>
      <c r="M5411" t="s">
        <v>726</v>
      </c>
      <c r="N5411" t="s">
        <v>85</v>
      </c>
      <c r="O5411" s="6" t="s">
        <v>196</v>
      </c>
      <c r="Q5411">
        <v>8</v>
      </c>
      <c r="R5411" t="s">
        <v>213</v>
      </c>
      <c r="S5411" s="2" t="s">
        <v>13</v>
      </c>
      <c r="T5411">
        <v>3</v>
      </c>
      <c r="U5411" t="s">
        <v>28</v>
      </c>
      <c r="V5411" t="s">
        <v>28</v>
      </c>
      <c r="W5411">
        <v>23</v>
      </c>
      <c r="X5411">
        <v>109.77864039333332</v>
      </c>
      <c r="Y5411">
        <v>27.909319326776039</v>
      </c>
      <c r="AA5411" s="6"/>
      <c r="AB5411" s="6"/>
    </row>
    <row r="5412" spans="1:28" x14ac:dyDescent="0.2">
      <c r="A5412" t="s">
        <v>605</v>
      </c>
      <c r="B5412">
        <v>2020</v>
      </c>
      <c r="C5412" t="s">
        <v>816</v>
      </c>
      <c r="D5412" t="s">
        <v>817</v>
      </c>
      <c r="E5412" t="s">
        <v>31</v>
      </c>
      <c r="F5412" t="s">
        <v>411</v>
      </c>
      <c r="G5412">
        <v>78.974999999999994</v>
      </c>
      <c r="H5412">
        <v>11.632999999999999</v>
      </c>
      <c r="I5412" t="s">
        <v>764</v>
      </c>
      <c r="J5412" s="2" t="s">
        <v>7</v>
      </c>
      <c r="K5412" t="s">
        <v>144</v>
      </c>
      <c r="L5412" t="s">
        <v>144</v>
      </c>
      <c r="M5412" t="s">
        <v>726</v>
      </c>
      <c r="N5412" t="s">
        <v>85</v>
      </c>
      <c r="O5412" s="6" t="s">
        <v>196</v>
      </c>
      <c r="Q5412">
        <v>8</v>
      </c>
      <c r="R5412" t="s">
        <v>213</v>
      </c>
      <c r="S5412" s="2" t="s">
        <v>7</v>
      </c>
      <c r="T5412">
        <v>2</v>
      </c>
      <c r="U5412" t="s">
        <v>28</v>
      </c>
      <c r="V5412" t="s">
        <v>28</v>
      </c>
      <c r="W5412">
        <v>15</v>
      </c>
      <c r="X5412">
        <v>174.6558417</v>
      </c>
      <c r="Y5412">
        <v>44.804945630111952</v>
      </c>
      <c r="AA5412" s="6"/>
      <c r="AB5412" s="6"/>
    </row>
    <row r="5413" spans="1:28" x14ac:dyDescent="0.2">
      <c r="A5413" t="s">
        <v>605</v>
      </c>
      <c r="B5413">
        <v>2020</v>
      </c>
      <c r="C5413" t="s">
        <v>816</v>
      </c>
      <c r="D5413" t="s">
        <v>817</v>
      </c>
      <c r="E5413" t="s">
        <v>31</v>
      </c>
      <c r="F5413" t="s">
        <v>411</v>
      </c>
      <c r="G5413">
        <v>78.974999999999994</v>
      </c>
      <c r="H5413">
        <v>11.632999999999999</v>
      </c>
      <c r="I5413" t="s">
        <v>764</v>
      </c>
      <c r="J5413" s="2" t="s">
        <v>14</v>
      </c>
      <c r="K5413" t="s">
        <v>144</v>
      </c>
      <c r="L5413" t="s">
        <v>144</v>
      </c>
      <c r="M5413" t="s">
        <v>726</v>
      </c>
      <c r="N5413" t="s">
        <v>85</v>
      </c>
      <c r="O5413" s="6" t="s">
        <v>196</v>
      </c>
      <c r="Q5413">
        <v>8</v>
      </c>
      <c r="R5413" t="s">
        <v>213</v>
      </c>
      <c r="S5413" s="2" t="s">
        <v>9</v>
      </c>
      <c r="T5413">
        <v>2</v>
      </c>
      <c r="U5413" t="s">
        <v>28</v>
      </c>
      <c r="V5413" t="s">
        <v>28</v>
      </c>
      <c r="W5413">
        <v>19</v>
      </c>
      <c r="X5413">
        <v>129.65264346666666</v>
      </c>
      <c r="Y5413">
        <v>5.9137833093571599</v>
      </c>
      <c r="AA5413" s="6"/>
      <c r="AB5413" s="6"/>
    </row>
    <row r="5414" spans="1:28" x14ac:dyDescent="0.2">
      <c r="A5414" t="s">
        <v>605</v>
      </c>
      <c r="B5414">
        <v>2020</v>
      </c>
      <c r="C5414" t="s">
        <v>816</v>
      </c>
      <c r="D5414" t="s">
        <v>817</v>
      </c>
      <c r="E5414" t="s">
        <v>31</v>
      </c>
      <c r="F5414" t="s">
        <v>411</v>
      </c>
      <c r="G5414">
        <v>78.974999999999994</v>
      </c>
      <c r="H5414">
        <v>11.632999999999999</v>
      </c>
      <c r="I5414" t="s">
        <v>764</v>
      </c>
      <c r="J5414" s="2" t="s">
        <v>14</v>
      </c>
      <c r="K5414" t="s">
        <v>144</v>
      </c>
      <c r="L5414" t="s">
        <v>144</v>
      </c>
      <c r="M5414" t="s">
        <v>726</v>
      </c>
      <c r="N5414" t="s">
        <v>85</v>
      </c>
      <c r="O5414" s="6" t="s">
        <v>196</v>
      </c>
      <c r="Q5414">
        <v>8</v>
      </c>
      <c r="R5414" t="s">
        <v>213</v>
      </c>
      <c r="S5414" s="2" t="s">
        <v>27</v>
      </c>
      <c r="T5414">
        <v>2</v>
      </c>
      <c r="U5414" t="s">
        <v>28</v>
      </c>
      <c r="V5414" t="s">
        <v>28</v>
      </c>
      <c r="W5414">
        <v>21</v>
      </c>
      <c r="X5414">
        <v>116.75537580000001</v>
      </c>
      <c r="Y5414">
        <v>13.819136653828314</v>
      </c>
      <c r="AA5414" s="6"/>
      <c r="AB5414" s="6"/>
    </row>
    <row r="5415" spans="1:28" x14ac:dyDescent="0.2">
      <c r="A5415" t="s">
        <v>605</v>
      </c>
      <c r="B5415">
        <v>2020</v>
      </c>
      <c r="C5415" t="s">
        <v>816</v>
      </c>
      <c r="D5415" t="s">
        <v>817</v>
      </c>
      <c r="E5415" t="s">
        <v>31</v>
      </c>
      <c r="F5415" t="s">
        <v>411</v>
      </c>
      <c r="G5415">
        <v>78.974999999999994</v>
      </c>
      <c r="H5415">
        <v>11.632999999999999</v>
      </c>
      <c r="I5415" t="s">
        <v>764</v>
      </c>
      <c r="J5415" s="2" t="s">
        <v>14</v>
      </c>
      <c r="K5415" t="s">
        <v>144</v>
      </c>
      <c r="L5415" t="s">
        <v>144</v>
      </c>
      <c r="M5415" t="s">
        <v>726</v>
      </c>
      <c r="N5415" t="s">
        <v>85</v>
      </c>
      <c r="O5415" s="6" t="s">
        <v>196</v>
      </c>
      <c r="Q5415">
        <v>8</v>
      </c>
      <c r="R5415" t="s">
        <v>213</v>
      </c>
      <c r="S5415" s="2" t="s">
        <v>13</v>
      </c>
      <c r="T5415">
        <v>2</v>
      </c>
      <c r="U5415" t="s">
        <v>28</v>
      </c>
      <c r="V5415" t="s">
        <v>28</v>
      </c>
      <c r="W5415">
        <v>23</v>
      </c>
      <c r="X5415">
        <v>146.8784837</v>
      </c>
      <c r="Y5415">
        <v>31.928905783292468</v>
      </c>
      <c r="AA5415" s="6"/>
      <c r="AB5415" s="6"/>
    </row>
    <row r="5416" spans="1:28" x14ac:dyDescent="0.2">
      <c r="A5416" t="s">
        <v>605</v>
      </c>
      <c r="B5416">
        <v>2020</v>
      </c>
      <c r="C5416" t="s">
        <v>816</v>
      </c>
      <c r="D5416" t="s">
        <v>817</v>
      </c>
      <c r="E5416" t="s">
        <v>31</v>
      </c>
      <c r="F5416" t="s">
        <v>607</v>
      </c>
      <c r="G5416">
        <v>69.790000000000006</v>
      </c>
      <c r="H5416">
        <v>19.053999999999998</v>
      </c>
      <c r="I5416" t="s">
        <v>766</v>
      </c>
      <c r="J5416" s="2" t="s">
        <v>7</v>
      </c>
      <c r="K5416" t="s">
        <v>144</v>
      </c>
      <c r="L5416" t="s">
        <v>144</v>
      </c>
      <c r="M5416" t="s">
        <v>726</v>
      </c>
      <c r="N5416" t="s">
        <v>85</v>
      </c>
      <c r="O5416" s="6" t="s">
        <v>196</v>
      </c>
      <c r="Q5416">
        <v>8</v>
      </c>
      <c r="R5416" t="s">
        <v>213</v>
      </c>
      <c r="S5416" s="2" t="s">
        <v>7</v>
      </c>
      <c r="T5416">
        <v>3</v>
      </c>
      <c r="U5416" t="s">
        <v>28</v>
      </c>
      <c r="V5416" t="s">
        <v>28</v>
      </c>
      <c r="W5416">
        <v>15</v>
      </c>
      <c r="X5416">
        <v>130.96629623333334</v>
      </c>
      <c r="Y5416">
        <v>9.8313764015047731</v>
      </c>
      <c r="AA5416" s="6"/>
      <c r="AB5416" s="6"/>
    </row>
    <row r="5417" spans="1:28" x14ac:dyDescent="0.2">
      <c r="A5417" t="s">
        <v>605</v>
      </c>
      <c r="B5417">
        <v>2020</v>
      </c>
      <c r="C5417" t="s">
        <v>816</v>
      </c>
      <c r="D5417" t="s">
        <v>817</v>
      </c>
      <c r="E5417" t="s">
        <v>31</v>
      </c>
      <c r="F5417" t="s">
        <v>607</v>
      </c>
      <c r="G5417">
        <v>69.790000000000006</v>
      </c>
      <c r="H5417">
        <v>19.053999999999998</v>
      </c>
      <c r="I5417" t="s">
        <v>766</v>
      </c>
      <c r="J5417" s="2" t="s">
        <v>14</v>
      </c>
      <c r="K5417" t="s">
        <v>144</v>
      </c>
      <c r="L5417" t="s">
        <v>144</v>
      </c>
      <c r="M5417" t="s">
        <v>726</v>
      </c>
      <c r="N5417" t="s">
        <v>85</v>
      </c>
      <c r="O5417" s="6" t="s">
        <v>196</v>
      </c>
      <c r="Q5417">
        <v>8</v>
      </c>
      <c r="R5417" t="s">
        <v>213</v>
      </c>
      <c r="S5417" s="2" t="s">
        <v>9</v>
      </c>
      <c r="T5417">
        <v>3</v>
      </c>
      <c r="U5417" t="s">
        <v>28</v>
      </c>
      <c r="V5417" t="s">
        <v>28</v>
      </c>
      <c r="W5417">
        <v>19</v>
      </c>
      <c r="X5417">
        <v>142.36790153333334</v>
      </c>
      <c r="Y5417">
        <v>60.057369861586871</v>
      </c>
      <c r="AA5417" s="6"/>
      <c r="AB5417" s="6"/>
    </row>
    <row r="5418" spans="1:28" x14ac:dyDescent="0.2">
      <c r="A5418" t="s">
        <v>605</v>
      </c>
      <c r="B5418">
        <v>2020</v>
      </c>
      <c r="C5418" t="s">
        <v>816</v>
      </c>
      <c r="D5418" t="s">
        <v>817</v>
      </c>
      <c r="E5418" t="s">
        <v>31</v>
      </c>
      <c r="F5418" t="s">
        <v>607</v>
      </c>
      <c r="G5418">
        <v>69.790000000000006</v>
      </c>
      <c r="H5418">
        <v>19.053999999999998</v>
      </c>
      <c r="I5418" t="s">
        <v>766</v>
      </c>
      <c r="J5418" s="2" t="s">
        <v>14</v>
      </c>
      <c r="K5418" t="s">
        <v>144</v>
      </c>
      <c r="L5418" t="s">
        <v>144</v>
      </c>
      <c r="M5418" t="s">
        <v>726</v>
      </c>
      <c r="N5418" t="s">
        <v>85</v>
      </c>
      <c r="O5418" s="6" t="s">
        <v>196</v>
      </c>
      <c r="Q5418">
        <v>8</v>
      </c>
      <c r="R5418" t="s">
        <v>213</v>
      </c>
      <c r="S5418" s="2" t="s">
        <v>27</v>
      </c>
      <c r="T5418">
        <v>3</v>
      </c>
      <c r="U5418" t="s">
        <v>28</v>
      </c>
      <c r="V5418" t="s">
        <v>28</v>
      </c>
      <c r="W5418">
        <v>21</v>
      </c>
      <c r="X5418">
        <v>160.18142090000001</v>
      </c>
      <c r="Y5418">
        <v>25.495806846104575</v>
      </c>
      <c r="AA5418" s="6"/>
      <c r="AB5418" s="6"/>
    </row>
    <row r="5419" spans="1:28" x14ac:dyDescent="0.2">
      <c r="A5419" t="s">
        <v>605</v>
      </c>
      <c r="B5419">
        <v>2020</v>
      </c>
      <c r="C5419" t="s">
        <v>816</v>
      </c>
      <c r="D5419" t="s">
        <v>817</v>
      </c>
      <c r="E5419" t="s">
        <v>31</v>
      </c>
      <c r="F5419" t="s">
        <v>607</v>
      </c>
      <c r="G5419">
        <v>69.790000000000006</v>
      </c>
      <c r="H5419">
        <v>19.053999999999998</v>
      </c>
      <c r="I5419" t="s">
        <v>766</v>
      </c>
      <c r="J5419" s="2" t="s">
        <v>14</v>
      </c>
      <c r="K5419" t="s">
        <v>144</v>
      </c>
      <c r="L5419" t="s">
        <v>144</v>
      </c>
      <c r="M5419" t="s">
        <v>726</v>
      </c>
      <c r="N5419" t="s">
        <v>85</v>
      </c>
      <c r="O5419" s="6" t="s">
        <v>196</v>
      </c>
      <c r="Q5419">
        <v>8</v>
      </c>
      <c r="R5419" t="s">
        <v>213</v>
      </c>
      <c r="S5419" s="2" t="s">
        <v>13</v>
      </c>
      <c r="T5419">
        <v>3</v>
      </c>
      <c r="U5419" t="s">
        <v>28</v>
      </c>
      <c r="V5419" t="s">
        <v>28</v>
      </c>
      <c r="W5419">
        <v>23</v>
      </c>
      <c r="X5419">
        <v>182.65026943333331</v>
      </c>
      <c r="Y5419">
        <v>59.146652173148823</v>
      </c>
      <c r="AA5419" s="6"/>
      <c r="AB5419" s="6"/>
    </row>
    <row r="5420" spans="1:28" x14ac:dyDescent="0.2">
      <c r="A5420" t="s">
        <v>605</v>
      </c>
      <c r="B5420">
        <v>2020</v>
      </c>
      <c r="C5420" t="s">
        <v>816</v>
      </c>
      <c r="D5420" t="s">
        <v>817</v>
      </c>
      <c r="E5420" t="s">
        <v>31</v>
      </c>
      <c r="F5420" t="s">
        <v>307</v>
      </c>
      <c r="G5420">
        <v>54.177999999999997</v>
      </c>
      <c r="H5420">
        <v>7.8929999999999998</v>
      </c>
      <c r="I5420" t="s">
        <v>766</v>
      </c>
      <c r="J5420" s="2" t="s">
        <v>7</v>
      </c>
      <c r="K5420" t="s">
        <v>144</v>
      </c>
      <c r="L5420" t="s">
        <v>144</v>
      </c>
      <c r="M5420" t="s">
        <v>726</v>
      </c>
      <c r="N5420" t="s">
        <v>85</v>
      </c>
      <c r="O5420" t="s">
        <v>208</v>
      </c>
      <c r="Q5420">
        <v>8</v>
      </c>
      <c r="R5420" t="s">
        <v>213</v>
      </c>
      <c r="S5420" s="2" t="s">
        <v>7</v>
      </c>
      <c r="T5420">
        <v>3</v>
      </c>
      <c r="U5420" t="s">
        <v>28</v>
      </c>
      <c r="V5420" t="s">
        <v>28</v>
      </c>
      <c r="W5420">
        <v>15</v>
      </c>
      <c r="X5420">
        <v>1.039143406</v>
      </c>
      <c r="Y5420">
        <v>0.65629771699951689</v>
      </c>
      <c r="AA5420" s="6"/>
      <c r="AB5420" s="6"/>
    </row>
    <row r="5421" spans="1:28" x14ac:dyDescent="0.2">
      <c r="A5421" t="s">
        <v>605</v>
      </c>
      <c r="B5421">
        <v>2020</v>
      </c>
      <c r="C5421" t="s">
        <v>816</v>
      </c>
      <c r="D5421" t="s">
        <v>817</v>
      </c>
      <c r="E5421" t="s">
        <v>31</v>
      </c>
      <c r="F5421" t="s">
        <v>307</v>
      </c>
      <c r="G5421">
        <v>54.177999999999997</v>
      </c>
      <c r="H5421">
        <v>7.8929999999999998</v>
      </c>
      <c r="I5421" t="s">
        <v>766</v>
      </c>
      <c r="J5421" s="2" t="s">
        <v>14</v>
      </c>
      <c r="K5421" t="s">
        <v>144</v>
      </c>
      <c r="L5421" t="s">
        <v>144</v>
      </c>
      <c r="M5421" t="s">
        <v>726</v>
      </c>
      <c r="N5421" t="s">
        <v>85</v>
      </c>
      <c r="O5421" t="s">
        <v>208</v>
      </c>
      <c r="Q5421">
        <v>8</v>
      </c>
      <c r="R5421" t="s">
        <v>213</v>
      </c>
      <c r="S5421" s="2" t="s">
        <v>9</v>
      </c>
      <c r="T5421">
        <v>3</v>
      </c>
      <c r="U5421" t="s">
        <v>28</v>
      </c>
      <c r="V5421" t="s">
        <v>28</v>
      </c>
      <c r="W5421">
        <v>19</v>
      </c>
      <c r="X5421">
        <v>0.71348250233333343</v>
      </c>
      <c r="Y5421">
        <v>0.22531041514944819</v>
      </c>
      <c r="AA5421" s="6"/>
      <c r="AB5421" s="6"/>
    </row>
    <row r="5422" spans="1:28" x14ac:dyDescent="0.2">
      <c r="A5422" t="s">
        <v>605</v>
      </c>
      <c r="B5422">
        <v>2020</v>
      </c>
      <c r="C5422" t="s">
        <v>816</v>
      </c>
      <c r="D5422" t="s">
        <v>817</v>
      </c>
      <c r="E5422" t="s">
        <v>31</v>
      </c>
      <c r="F5422" t="s">
        <v>307</v>
      </c>
      <c r="G5422">
        <v>54.177999999999997</v>
      </c>
      <c r="H5422">
        <v>7.8929999999999998</v>
      </c>
      <c r="I5422" t="s">
        <v>766</v>
      </c>
      <c r="J5422" s="2" t="s">
        <v>14</v>
      </c>
      <c r="K5422" t="s">
        <v>144</v>
      </c>
      <c r="L5422" t="s">
        <v>144</v>
      </c>
      <c r="M5422" t="s">
        <v>726</v>
      </c>
      <c r="N5422" t="s">
        <v>85</v>
      </c>
      <c r="O5422" t="s">
        <v>208</v>
      </c>
      <c r="Q5422">
        <v>8</v>
      </c>
      <c r="R5422" t="s">
        <v>213</v>
      </c>
      <c r="S5422" s="2" t="s">
        <v>27</v>
      </c>
      <c r="T5422">
        <v>3</v>
      </c>
      <c r="U5422" t="s">
        <v>28</v>
      </c>
      <c r="V5422" t="s">
        <v>28</v>
      </c>
      <c r="W5422">
        <v>21</v>
      </c>
      <c r="X5422">
        <v>1.3052382600000001</v>
      </c>
      <c r="Y5422">
        <v>0.17726891857467378</v>
      </c>
      <c r="AA5422" s="6"/>
      <c r="AB5422" s="6"/>
    </row>
    <row r="5423" spans="1:28" x14ac:dyDescent="0.2">
      <c r="A5423" t="s">
        <v>605</v>
      </c>
      <c r="B5423">
        <v>2020</v>
      </c>
      <c r="C5423" t="s">
        <v>816</v>
      </c>
      <c r="D5423" t="s">
        <v>817</v>
      </c>
      <c r="E5423" t="s">
        <v>31</v>
      </c>
      <c r="F5423" t="s">
        <v>307</v>
      </c>
      <c r="G5423">
        <v>54.177999999999997</v>
      </c>
      <c r="H5423">
        <v>7.8929999999999998</v>
      </c>
      <c r="I5423" t="s">
        <v>766</v>
      </c>
      <c r="J5423" s="2" t="s">
        <v>14</v>
      </c>
      <c r="K5423" t="s">
        <v>144</v>
      </c>
      <c r="L5423" t="s">
        <v>144</v>
      </c>
      <c r="M5423" t="s">
        <v>726</v>
      </c>
      <c r="N5423" t="s">
        <v>85</v>
      </c>
      <c r="O5423" t="s">
        <v>208</v>
      </c>
      <c r="Q5423">
        <v>8</v>
      </c>
      <c r="R5423" t="s">
        <v>213</v>
      </c>
      <c r="S5423" s="2" t="s">
        <v>13</v>
      </c>
      <c r="T5423">
        <v>3</v>
      </c>
      <c r="U5423" t="s">
        <v>28</v>
      </c>
      <c r="V5423" t="s">
        <v>28</v>
      </c>
      <c r="W5423">
        <v>23</v>
      </c>
      <c r="X5423">
        <v>0.95828672400000003</v>
      </c>
      <c r="Y5423">
        <v>0.88754331410687082</v>
      </c>
      <c r="AA5423" s="6"/>
      <c r="AB5423" s="6"/>
    </row>
    <row r="5424" spans="1:28" x14ac:dyDescent="0.2">
      <c r="A5424" t="s">
        <v>605</v>
      </c>
      <c r="B5424">
        <v>2020</v>
      </c>
      <c r="C5424" t="s">
        <v>816</v>
      </c>
      <c r="D5424" t="s">
        <v>817</v>
      </c>
      <c r="E5424" t="s">
        <v>31</v>
      </c>
      <c r="F5424" t="s">
        <v>608</v>
      </c>
      <c r="G5424">
        <v>47.47</v>
      </c>
      <c r="H5424">
        <v>-3.0910000000000002</v>
      </c>
      <c r="I5424" t="s">
        <v>765</v>
      </c>
      <c r="J5424" s="2" t="s">
        <v>7</v>
      </c>
      <c r="K5424" t="s">
        <v>144</v>
      </c>
      <c r="L5424" t="s">
        <v>144</v>
      </c>
      <c r="M5424" t="s">
        <v>726</v>
      </c>
      <c r="N5424" t="s">
        <v>85</v>
      </c>
      <c r="O5424" t="s">
        <v>208</v>
      </c>
      <c r="Q5424">
        <v>8</v>
      </c>
      <c r="R5424" t="s">
        <v>213</v>
      </c>
      <c r="S5424" s="2" t="s">
        <v>7</v>
      </c>
      <c r="T5424">
        <v>3</v>
      </c>
      <c r="U5424" t="s">
        <v>28</v>
      </c>
      <c r="V5424" t="s">
        <v>28</v>
      </c>
      <c r="W5424">
        <v>15</v>
      </c>
      <c r="X5424">
        <v>1.8699972946666665</v>
      </c>
      <c r="Y5424">
        <v>0.30113406696183709</v>
      </c>
      <c r="AA5424" s="6"/>
      <c r="AB5424" s="6"/>
    </row>
    <row r="5425" spans="1:28" x14ac:dyDescent="0.2">
      <c r="A5425" t="s">
        <v>605</v>
      </c>
      <c r="B5425">
        <v>2020</v>
      </c>
      <c r="C5425" t="s">
        <v>816</v>
      </c>
      <c r="D5425" t="s">
        <v>817</v>
      </c>
      <c r="E5425" t="s">
        <v>31</v>
      </c>
      <c r="F5425" t="s">
        <v>608</v>
      </c>
      <c r="G5425">
        <v>47.47</v>
      </c>
      <c r="H5425">
        <v>-3.0910000000000002</v>
      </c>
      <c r="I5425" t="s">
        <v>765</v>
      </c>
      <c r="J5425" s="2" t="s">
        <v>14</v>
      </c>
      <c r="K5425" t="s">
        <v>144</v>
      </c>
      <c r="L5425" t="s">
        <v>144</v>
      </c>
      <c r="M5425" t="s">
        <v>726</v>
      </c>
      <c r="N5425" t="s">
        <v>85</v>
      </c>
      <c r="O5425" t="s">
        <v>208</v>
      </c>
      <c r="Q5425">
        <v>8</v>
      </c>
      <c r="R5425" t="s">
        <v>213</v>
      </c>
      <c r="S5425" s="2" t="s">
        <v>9</v>
      </c>
      <c r="T5425">
        <v>3</v>
      </c>
      <c r="U5425" t="s">
        <v>28</v>
      </c>
      <c r="V5425" t="s">
        <v>28</v>
      </c>
      <c r="W5425">
        <v>19</v>
      </c>
      <c r="X5425">
        <v>1.5233260076666666</v>
      </c>
      <c r="Y5425">
        <v>0.17478494801159353</v>
      </c>
      <c r="AA5425" s="6"/>
      <c r="AB5425" s="6"/>
    </row>
    <row r="5426" spans="1:28" x14ac:dyDescent="0.2">
      <c r="A5426" t="s">
        <v>605</v>
      </c>
      <c r="B5426">
        <v>2020</v>
      </c>
      <c r="C5426" t="s">
        <v>816</v>
      </c>
      <c r="D5426" t="s">
        <v>817</v>
      </c>
      <c r="E5426" t="s">
        <v>31</v>
      </c>
      <c r="F5426" t="s">
        <v>608</v>
      </c>
      <c r="G5426">
        <v>47.47</v>
      </c>
      <c r="H5426">
        <v>-3.0910000000000002</v>
      </c>
      <c r="I5426" t="s">
        <v>765</v>
      </c>
      <c r="J5426" s="2" t="s">
        <v>14</v>
      </c>
      <c r="K5426" t="s">
        <v>144</v>
      </c>
      <c r="L5426" t="s">
        <v>144</v>
      </c>
      <c r="M5426" t="s">
        <v>726</v>
      </c>
      <c r="N5426" t="s">
        <v>85</v>
      </c>
      <c r="O5426" t="s">
        <v>208</v>
      </c>
      <c r="Q5426">
        <v>8</v>
      </c>
      <c r="R5426" t="s">
        <v>213</v>
      </c>
      <c r="S5426" s="2" t="s">
        <v>27</v>
      </c>
      <c r="T5426">
        <v>3</v>
      </c>
      <c r="U5426" t="s">
        <v>28</v>
      </c>
      <c r="V5426" t="s">
        <v>28</v>
      </c>
      <c r="W5426">
        <v>21</v>
      </c>
      <c r="X5426">
        <v>2.1527829483333334</v>
      </c>
      <c r="Y5426">
        <v>0.86013547434151527</v>
      </c>
      <c r="AA5426" s="6"/>
      <c r="AB5426" s="6"/>
    </row>
    <row r="5427" spans="1:28" x14ac:dyDescent="0.2">
      <c r="A5427" t="s">
        <v>605</v>
      </c>
      <c r="B5427">
        <v>2020</v>
      </c>
      <c r="C5427" t="s">
        <v>816</v>
      </c>
      <c r="D5427" t="s">
        <v>817</v>
      </c>
      <c r="E5427" t="s">
        <v>31</v>
      </c>
      <c r="F5427" t="s">
        <v>608</v>
      </c>
      <c r="G5427">
        <v>47.47</v>
      </c>
      <c r="H5427">
        <v>-3.0910000000000002</v>
      </c>
      <c r="I5427" t="s">
        <v>765</v>
      </c>
      <c r="J5427" s="2" t="s">
        <v>14</v>
      </c>
      <c r="K5427" t="s">
        <v>144</v>
      </c>
      <c r="L5427" t="s">
        <v>144</v>
      </c>
      <c r="M5427" t="s">
        <v>726</v>
      </c>
      <c r="N5427" t="s">
        <v>85</v>
      </c>
      <c r="O5427" t="s">
        <v>208</v>
      </c>
      <c r="Q5427">
        <v>8</v>
      </c>
      <c r="R5427" t="s">
        <v>213</v>
      </c>
      <c r="S5427" s="2" t="s">
        <v>13</v>
      </c>
      <c r="T5427">
        <v>3</v>
      </c>
      <c r="U5427" t="s">
        <v>28</v>
      </c>
      <c r="V5427" t="s">
        <v>28</v>
      </c>
      <c r="W5427">
        <v>23</v>
      </c>
      <c r="X5427">
        <v>1.9707892170000001</v>
      </c>
      <c r="Y5427">
        <v>0.99118839069293441</v>
      </c>
      <c r="AA5427" s="6"/>
      <c r="AB5427" s="6"/>
    </row>
    <row r="5428" spans="1:28" x14ac:dyDescent="0.2">
      <c r="A5428" t="s">
        <v>605</v>
      </c>
      <c r="B5428">
        <v>2020</v>
      </c>
      <c r="C5428" t="s">
        <v>816</v>
      </c>
      <c r="D5428" t="s">
        <v>817</v>
      </c>
      <c r="E5428" t="s">
        <v>31</v>
      </c>
      <c r="F5428" t="s">
        <v>283</v>
      </c>
      <c r="G5428">
        <v>48.726999999999997</v>
      </c>
      <c r="H5428">
        <v>-4.0049999999999999</v>
      </c>
      <c r="I5428" t="s">
        <v>765</v>
      </c>
      <c r="J5428" s="2" t="s">
        <v>7</v>
      </c>
      <c r="K5428" t="s">
        <v>144</v>
      </c>
      <c r="L5428" t="s">
        <v>144</v>
      </c>
      <c r="M5428" t="s">
        <v>726</v>
      </c>
      <c r="N5428" t="s">
        <v>85</v>
      </c>
      <c r="O5428" t="s">
        <v>208</v>
      </c>
      <c r="Q5428">
        <v>8</v>
      </c>
      <c r="R5428" t="s">
        <v>213</v>
      </c>
      <c r="S5428" s="2" t="s">
        <v>7</v>
      </c>
      <c r="T5428">
        <v>3</v>
      </c>
      <c r="U5428" t="s">
        <v>28</v>
      </c>
      <c r="V5428" t="s">
        <v>28</v>
      </c>
      <c r="W5428">
        <v>15</v>
      </c>
      <c r="X5428">
        <v>1.8797451846666666</v>
      </c>
      <c r="Y5428">
        <v>0.11797560882314481</v>
      </c>
      <c r="AA5428" s="6"/>
      <c r="AB5428" s="6"/>
    </row>
    <row r="5429" spans="1:28" x14ac:dyDescent="0.2">
      <c r="A5429" t="s">
        <v>605</v>
      </c>
      <c r="B5429">
        <v>2020</v>
      </c>
      <c r="C5429" t="s">
        <v>816</v>
      </c>
      <c r="D5429" t="s">
        <v>817</v>
      </c>
      <c r="E5429" t="s">
        <v>31</v>
      </c>
      <c r="F5429" t="s">
        <v>283</v>
      </c>
      <c r="G5429">
        <v>48.726999999999997</v>
      </c>
      <c r="H5429">
        <v>-4.0049999999999999</v>
      </c>
      <c r="I5429" t="s">
        <v>765</v>
      </c>
      <c r="J5429" s="2" t="s">
        <v>14</v>
      </c>
      <c r="K5429" t="s">
        <v>144</v>
      </c>
      <c r="L5429" t="s">
        <v>144</v>
      </c>
      <c r="M5429" t="s">
        <v>726</v>
      </c>
      <c r="N5429" t="s">
        <v>85</v>
      </c>
      <c r="O5429" t="s">
        <v>208</v>
      </c>
      <c r="Q5429">
        <v>8</v>
      </c>
      <c r="R5429" t="s">
        <v>213</v>
      </c>
      <c r="S5429" s="2" t="s">
        <v>9</v>
      </c>
      <c r="T5429">
        <v>3</v>
      </c>
      <c r="U5429" t="s">
        <v>28</v>
      </c>
      <c r="V5429" t="s">
        <v>28</v>
      </c>
      <c r="W5429">
        <v>19</v>
      </c>
      <c r="X5429">
        <v>2.152069612</v>
      </c>
      <c r="Y5429">
        <v>6.0148933458895083E-2</v>
      </c>
      <c r="AA5429" s="6"/>
      <c r="AB5429" s="6"/>
    </row>
    <row r="5430" spans="1:28" x14ac:dyDescent="0.2">
      <c r="A5430" t="s">
        <v>605</v>
      </c>
      <c r="B5430">
        <v>2020</v>
      </c>
      <c r="C5430" t="s">
        <v>816</v>
      </c>
      <c r="D5430" t="s">
        <v>817</v>
      </c>
      <c r="E5430" t="s">
        <v>31</v>
      </c>
      <c r="F5430" t="s">
        <v>283</v>
      </c>
      <c r="G5430">
        <v>48.726999999999997</v>
      </c>
      <c r="H5430">
        <v>-4.0049999999999999</v>
      </c>
      <c r="I5430" t="s">
        <v>765</v>
      </c>
      <c r="J5430" s="2" t="s">
        <v>14</v>
      </c>
      <c r="K5430" t="s">
        <v>144</v>
      </c>
      <c r="L5430" t="s">
        <v>144</v>
      </c>
      <c r="M5430" t="s">
        <v>726</v>
      </c>
      <c r="N5430" t="s">
        <v>85</v>
      </c>
      <c r="O5430" t="s">
        <v>208</v>
      </c>
      <c r="Q5430">
        <v>8</v>
      </c>
      <c r="R5430" t="s">
        <v>213</v>
      </c>
      <c r="S5430" s="2" t="s">
        <v>27</v>
      </c>
      <c r="T5430">
        <v>3</v>
      </c>
      <c r="U5430" t="s">
        <v>28</v>
      </c>
      <c r="V5430" t="s">
        <v>28</v>
      </c>
      <c r="W5430">
        <v>21</v>
      </c>
      <c r="X5430">
        <v>2.8284746256666669</v>
      </c>
      <c r="Y5430">
        <v>0.20955616304008232</v>
      </c>
      <c r="AA5430" s="6"/>
      <c r="AB5430" s="6"/>
    </row>
    <row r="5431" spans="1:28" x14ac:dyDescent="0.2">
      <c r="A5431" t="s">
        <v>605</v>
      </c>
      <c r="B5431">
        <v>2020</v>
      </c>
      <c r="C5431" t="s">
        <v>816</v>
      </c>
      <c r="D5431" t="s">
        <v>817</v>
      </c>
      <c r="E5431" t="s">
        <v>31</v>
      </c>
      <c r="F5431" t="s">
        <v>283</v>
      </c>
      <c r="G5431">
        <v>48.726999999999997</v>
      </c>
      <c r="H5431">
        <v>-4.0049999999999999</v>
      </c>
      <c r="I5431" t="s">
        <v>765</v>
      </c>
      <c r="J5431" s="2" t="s">
        <v>14</v>
      </c>
      <c r="K5431" t="s">
        <v>144</v>
      </c>
      <c r="L5431" t="s">
        <v>144</v>
      </c>
      <c r="M5431" t="s">
        <v>726</v>
      </c>
      <c r="N5431" t="s">
        <v>85</v>
      </c>
      <c r="O5431" t="s">
        <v>208</v>
      </c>
      <c r="Q5431">
        <v>8</v>
      </c>
      <c r="R5431" t="s">
        <v>213</v>
      </c>
      <c r="S5431" s="2" t="s">
        <v>13</v>
      </c>
      <c r="T5431">
        <v>3</v>
      </c>
      <c r="U5431" t="s">
        <v>28</v>
      </c>
      <c r="V5431" t="s">
        <v>28</v>
      </c>
      <c r="W5431">
        <v>23</v>
      </c>
      <c r="X5431">
        <v>2.0450470923333337</v>
      </c>
      <c r="Y5431">
        <v>0.79059938868319868</v>
      </c>
      <c r="AA5431" s="6"/>
      <c r="AB5431" s="6"/>
    </row>
    <row r="5432" spans="1:28" x14ac:dyDescent="0.2">
      <c r="A5432" t="s">
        <v>605</v>
      </c>
      <c r="B5432">
        <v>2020</v>
      </c>
      <c r="C5432" t="s">
        <v>816</v>
      </c>
      <c r="D5432" t="s">
        <v>817</v>
      </c>
      <c r="E5432" t="s">
        <v>31</v>
      </c>
      <c r="F5432" t="s">
        <v>411</v>
      </c>
      <c r="G5432">
        <v>78.974999999999994</v>
      </c>
      <c r="H5432">
        <v>11.632999999999999</v>
      </c>
      <c r="I5432" t="s">
        <v>764</v>
      </c>
      <c r="J5432" s="2" t="s">
        <v>7</v>
      </c>
      <c r="K5432" t="s">
        <v>144</v>
      </c>
      <c r="L5432" t="s">
        <v>144</v>
      </c>
      <c r="M5432" t="s">
        <v>726</v>
      </c>
      <c r="N5432" t="s">
        <v>85</v>
      </c>
      <c r="O5432" t="s">
        <v>208</v>
      </c>
      <c r="Q5432">
        <v>8</v>
      </c>
      <c r="R5432" t="s">
        <v>213</v>
      </c>
      <c r="S5432" s="2" t="s">
        <v>7</v>
      </c>
      <c r="T5432">
        <v>2</v>
      </c>
      <c r="U5432" t="s">
        <v>28</v>
      </c>
      <c r="V5432" t="s">
        <v>28</v>
      </c>
      <c r="W5432">
        <v>15</v>
      </c>
      <c r="X5432">
        <v>1.8380003263333335</v>
      </c>
      <c r="Y5432">
        <v>0.76869345169522407</v>
      </c>
      <c r="AA5432" s="6"/>
      <c r="AB5432" s="6"/>
    </row>
    <row r="5433" spans="1:28" x14ac:dyDescent="0.2">
      <c r="A5433" t="s">
        <v>605</v>
      </c>
      <c r="B5433">
        <v>2020</v>
      </c>
      <c r="C5433" t="s">
        <v>816</v>
      </c>
      <c r="D5433" t="s">
        <v>817</v>
      </c>
      <c r="E5433" t="s">
        <v>31</v>
      </c>
      <c r="F5433" t="s">
        <v>411</v>
      </c>
      <c r="G5433">
        <v>78.974999999999994</v>
      </c>
      <c r="H5433">
        <v>11.632999999999999</v>
      </c>
      <c r="I5433" t="s">
        <v>764</v>
      </c>
      <c r="J5433" s="2" t="s">
        <v>14</v>
      </c>
      <c r="K5433" t="s">
        <v>144</v>
      </c>
      <c r="L5433" t="s">
        <v>144</v>
      </c>
      <c r="M5433" t="s">
        <v>726</v>
      </c>
      <c r="N5433" t="s">
        <v>85</v>
      </c>
      <c r="O5433" t="s">
        <v>208</v>
      </c>
      <c r="Q5433">
        <v>8</v>
      </c>
      <c r="R5433" t="s">
        <v>213</v>
      </c>
      <c r="S5433" s="2" t="s">
        <v>9</v>
      </c>
      <c r="T5433">
        <v>2</v>
      </c>
      <c r="U5433" t="s">
        <v>28</v>
      </c>
      <c r="V5433" t="s">
        <v>28</v>
      </c>
      <c r="W5433">
        <v>19</v>
      </c>
      <c r="X5433">
        <v>2.191329498</v>
      </c>
      <c r="Y5433">
        <v>0.25620741518473872</v>
      </c>
      <c r="AA5433" s="6"/>
      <c r="AB5433" s="6"/>
    </row>
    <row r="5434" spans="1:28" x14ac:dyDescent="0.2">
      <c r="A5434" t="s">
        <v>605</v>
      </c>
      <c r="B5434">
        <v>2020</v>
      </c>
      <c r="C5434" t="s">
        <v>816</v>
      </c>
      <c r="D5434" t="s">
        <v>817</v>
      </c>
      <c r="E5434" t="s">
        <v>31</v>
      </c>
      <c r="F5434" t="s">
        <v>411</v>
      </c>
      <c r="G5434">
        <v>78.974999999999994</v>
      </c>
      <c r="H5434">
        <v>11.632999999999999</v>
      </c>
      <c r="I5434" t="s">
        <v>764</v>
      </c>
      <c r="J5434" s="2" t="s">
        <v>14</v>
      </c>
      <c r="K5434" t="s">
        <v>144</v>
      </c>
      <c r="L5434" t="s">
        <v>144</v>
      </c>
      <c r="M5434" t="s">
        <v>726</v>
      </c>
      <c r="N5434" t="s">
        <v>85</v>
      </c>
      <c r="O5434" t="s">
        <v>208</v>
      </c>
      <c r="Q5434">
        <v>8</v>
      </c>
      <c r="R5434" t="s">
        <v>213</v>
      </c>
      <c r="S5434" s="2" t="s">
        <v>27</v>
      </c>
      <c r="T5434">
        <v>2</v>
      </c>
      <c r="U5434" t="s">
        <v>28</v>
      </c>
      <c r="V5434" t="s">
        <v>28</v>
      </c>
      <c r="W5434">
        <v>21</v>
      </c>
      <c r="X5434">
        <v>2.040046392666667</v>
      </c>
      <c r="Y5434">
        <v>0.86243930543617042</v>
      </c>
      <c r="AA5434" s="6"/>
      <c r="AB5434" s="6"/>
    </row>
    <row r="5435" spans="1:28" x14ac:dyDescent="0.2">
      <c r="A5435" t="s">
        <v>605</v>
      </c>
      <c r="B5435">
        <v>2020</v>
      </c>
      <c r="C5435" t="s">
        <v>816</v>
      </c>
      <c r="D5435" t="s">
        <v>817</v>
      </c>
      <c r="E5435" t="s">
        <v>31</v>
      </c>
      <c r="F5435" t="s">
        <v>411</v>
      </c>
      <c r="G5435">
        <v>78.974999999999994</v>
      </c>
      <c r="H5435">
        <v>11.632999999999999</v>
      </c>
      <c r="I5435" t="s">
        <v>764</v>
      </c>
      <c r="J5435" s="2" t="s">
        <v>14</v>
      </c>
      <c r="K5435" t="s">
        <v>144</v>
      </c>
      <c r="L5435" t="s">
        <v>144</v>
      </c>
      <c r="M5435" t="s">
        <v>726</v>
      </c>
      <c r="N5435" t="s">
        <v>85</v>
      </c>
      <c r="O5435" t="s">
        <v>208</v>
      </c>
      <c r="Q5435">
        <v>8</v>
      </c>
      <c r="R5435" t="s">
        <v>213</v>
      </c>
      <c r="S5435" s="2" t="s">
        <v>13</v>
      </c>
      <c r="T5435">
        <v>2</v>
      </c>
      <c r="U5435" t="s">
        <v>28</v>
      </c>
      <c r="V5435" t="s">
        <v>28</v>
      </c>
      <c r="W5435">
        <v>23</v>
      </c>
      <c r="X5435">
        <v>0.381786234</v>
      </c>
      <c r="Y5435">
        <v>0.1352862788767446</v>
      </c>
      <c r="AA5435" s="6"/>
      <c r="AB5435" s="6"/>
    </row>
    <row r="5436" spans="1:28" x14ac:dyDescent="0.2">
      <c r="A5436" t="s">
        <v>605</v>
      </c>
      <c r="B5436">
        <v>2020</v>
      </c>
      <c r="C5436" t="s">
        <v>816</v>
      </c>
      <c r="D5436" t="s">
        <v>817</v>
      </c>
      <c r="E5436" t="s">
        <v>31</v>
      </c>
      <c r="F5436" t="s">
        <v>607</v>
      </c>
      <c r="G5436">
        <v>69.790000000000006</v>
      </c>
      <c r="H5436">
        <v>19.053999999999998</v>
      </c>
      <c r="I5436" t="s">
        <v>766</v>
      </c>
      <c r="J5436" s="2" t="s">
        <v>7</v>
      </c>
      <c r="K5436" t="s">
        <v>144</v>
      </c>
      <c r="L5436" t="s">
        <v>144</v>
      </c>
      <c r="M5436" t="s">
        <v>726</v>
      </c>
      <c r="N5436" t="s">
        <v>85</v>
      </c>
      <c r="O5436" t="s">
        <v>208</v>
      </c>
      <c r="Q5436">
        <v>8</v>
      </c>
      <c r="R5436" t="s">
        <v>213</v>
      </c>
      <c r="S5436" s="2" t="s">
        <v>7</v>
      </c>
      <c r="T5436">
        <v>3</v>
      </c>
      <c r="U5436" t="s">
        <v>28</v>
      </c>
      <c r="V5436" t="s">
        <v>28</v>
      </c>
      <c r="W5436">
        <v>15</v>
      </c>
      <c r="X5436">
        <v>2.7233650026666667</v>
      </c>
      <c r="Y5436">
        <v>0.24754720094554344</v>
      </c>
      <c r="AA5436" s="6"/>
      <c r="AB5436" s="6"/>
    </row>
    <row r="5437" spans="1:28" x14ac:dyDescent="0.2">
      <c r="A5437" t="s">
        <v>605</v>
      </c>
      <c r="B5437">
        <v>2020</v>
      </c>
      <c r="C5437" t="s">
        <v>816</v>
      </c>
      <c r="D5437" t="s">
        <v>817</v>
      </c>
      <c r="E5437" t="s">
        <v>31</v>
      </c>
      <c r="F5437" t="s">
        <v>607</v>
      </c>
      <c r="G5437">
        <v>69.790000000000006</v>
      </c>
      <c r="H5437">
        <v>19.053999999999998</v>
      </c>
      <c r="I5437" t="s">
        <v>766</v>
      </c>
      <c r="J5437" s="2" t="s">
        <v>14</v>
      </c>
      <c r="K5437" t="s">
        <v>144</v>
      </c>
      <c r="L5437" t="s">
        <v>144</v>
      </c>
      <c r="M5437" t="s">
        <v>726</v>
      </c>
      <c r="N5437" t="s">
        <v>85</v>
      </c>
      <c r="O5437" t="s">
        <v>208</v>
      </c>
      <c r="Q5437">
        <v>8</v>
      </c>
      <c r="R5437" t="s">
        <v>213</v>
      </c>
      <c r="S5437" s="2" t="s">
        <v>9</v>
      </c>
      <c r="T5437">
        <v>3</v>
      </c>
      <c r="U5437" t="s">
        <v>28</v>
      </c>
      <c r="V5437" t="s">
        <v>28</v>
      </c>
      <c r="W5437">
        <v>19</v>
      </c>
      <c r="X5437">
        <v>2.6538780166666665</v>
      </c>
      <c r="Y5437">
        <v>0.22779445031761286</v>
      </c>
      <c r="AA5437" s="6"/>
      <c r="AB5437" s="6"/>
    </row>
    <row r="5438" spans="1:28" x14ac:dyDescent="0.2">
      <c r="A5438" t="s">
        <v>605</v>
      </c>
      <c r="B5438">
        <v>2020</v>
      </c>
      <c r="C5438" t="s">
        <v>816</v>
      </c>
      <c r="D5438" t="s">
        <v>817</v>
      </c>
      <c r="E5438" t="s">
        <v>31</v>
      </c>
      <c r="F5438" t="s">
        <v>607</v>
      </c>
      <c r="G5438">
        <v>69.790000000000006</v>
      </c>
      <c r="H5438">
        <v>19.053999999999998</v>
      </c>
      <c r="I5438" t="s">
        <v>766</v>
      </c>
      <c r="J5438" s="2" t="s">
        <v>14</v>
      </c>
      <c r="K5438" t="s">
        <v>144</v>
      </c>
      <c r="L5438" t="s">
        <v>144</v>
      </c>
      <c r="M5438" t="s">
        <v>726</v>
      </c>
      <c r="N5438" t="s">
        <v>85</v>
      </c>
      <c r="O5438" t="s">
        <v>208</v>
      </c>
      <c r="Q5438">
        <v>8</v>
      </c>
      <c r="R5438" t="s">
        <v>213</v>
      </c>
      <c r="S5438" s="2" t="s">
        <v>27</v>
      </c>
      <c r="T5438">
        <v>3</v>
      </c>
      <c r="U5438" t="s">
        <v>28</v>
      </c>
      <c r="V5438" t="s">
        <v>28</v>
      </c>
      <c r="W5438">
        <v>21</v>
      </c>
      <c r="X5438">
        <v>2.1531349913333333</v>
      </c>
      <c r="Y5438">
        <v>0.87975487469637548</v>
      </c>
      <c r="AA5438" s="6"/>
      <c r="AB5438" s="6"/>
    </row>
    <row r="5439" spans="1:28" x14ac:dyDescent="0.2">
      <c r="A5439" t="s">
        <v>605</v>
      </c>
      <c r="B5439">
        <v>2020</v>
      </c>
      <c r="C5439" t="s">
        <v>816</v>
      </c>
      <c r="D5439" t="s">
        <v>817</v>
      </c>
      <c r="E5439" t="s">
        <v>31</v>
      </c>
      <c r="F5439" t="s">
        <v>607</v>
      </c>
      <c r="G5439">
        <v>69.790000000000006</v>
      </c>
      <c r="H5439">
        <v>19.053999999999998</v>
      </c>
      <c r="I5439" t="s">
        <v>766</v>
      </c>
      <c r="J5439" s="2" t="s">
        <v>14</v>
      </c>
      <c r="K5439" t="s">
        <v>144</v>
      </c>
      <c r="L5439" t="s">
        <v>144</v>
      </c>
      <c r="M5439" t="s">
        <v>726</v>
      </c>
      <c r="N5439" t="s">
        <v>85</v>
      </c>
      <c r="O5439" t="s">
        <v>208</v>
      </c>
      <c r="Q5439">
        <v>8</v>
      </c>
      <c r="R5439" t="s">
        <v>213</v>
      </c>
      <c r="S5439" s="2" t="s">
        <v>13</v>
      </c>
      <c r="T5439">
        <v>3</v>
      </c>
      <c r="U5439" t="s">
        <v>28</v>
      </c>
      <c r="V5439" t="s">
        <v>28</v>
      </c>
      <c r="W5439">
        <v>23</v>
      </c>
      <c r="X5439">
        <v>1.5262570670000002</v>
      </c>
      <c r="Y5439">
        <v>0.73980154445605084</v>
      </c>
      <c r="AA5439" s="6"/>
      <c r="AB5439" s="6"/>
    </row>
    <row r="5440" spans="1:28" x14ac:dyDescent="0.2">
      <c r="A5440" t="s">
        <v>605</v>
      </c>
      <c r="B5440">
        <v>2020</v>
      </c>
      <c r="C5440" t="s">
        <v>816</v>
      </c>
      <c r="D5440" t="s">
        <v>817</v>
      </c>
      <c r="E5440" t="s">
        <v>31</v>
      </c>
      <c r="F5440" t="s">
        <v>307</v>
      </c>
      <c r="G5440">
        <v>54.177999999999997</v>
      </c>
      <c r="H5440">
        <v>7.8929999999999998</v>
      </c>
      <c r="I5440" t="s">
        <v>766</v>
      </c>
      <c r="J5440" s="2" t="s">
        <v>7</v>
      </c>
      <c r="K5440" t="s">
        <v>144</v>
      </c>
      <c r="L5440" t="s">
        <v>144</v>
      </c>
      <c r="M5440" t="s">
        <v>553</v>
      </c>
      <c r="N5440" t="s">
        <v>85</v>
      </c>
      <c r="O5440" t="s">
        <v>61</v>
      </c>
      <c r="P5440" t="s">
        <v>147</v>
      </c>
      <c r="Q5440">
        <v>8</v>
      </c>
      <c r="R5440" t="s">
        <v>213</v>
      </c>
      <c r="S5440" s="2" t="s">
        <v>7</v>
      </c>
      <c r="T5440">
        <v>5</v>
      </c>
      <c r="U5440" t="s">
        <v>28</v>
      </c>
      <c r="V5440" t="s">
        <v>28</v>
      </c>
      <c r="W5440">
        <v>15</v>
      </c>
      <c r="X5440">
        <v>1.3721413914</v>
      </c>
      <c r="Y5440">
        <v>0.34926552831334001</v>
      </c>
      <c r="AA5440" s="6"/>
      <c r="AB5440" s="6"/>
    </row>
    <row r="5441" spans="1:28" x14ac:dyDescent="0.2">
      <c r="A5441" t="s">
        <v>605</v>
      </c>
      <c r="B5441">
        <v>2020</v>
      </c>
      <c r="C5441" t="s">
        <v>816</v>
      </c>
      <c r="D5441" t="s">
        <v>817</v>
      </c>
      <c r="E5441" t="s">
        <v>31</v>
      </c>
      <c r="F5441" t="s">
        <v>307</v>
      </c>
      <c r="G5441">
        <v>54.177999999999997</v>
      </c>
      <c r="H5441">
        <v>7.8929999999999998</v>
      </c>
      <c r="I5441" t="s">
        <v>766</v>
      </c>
      <c r="J5441" s="2" t="s">
        <v>14</v>
      </c>
      <c r="K5441" t="s">
        <v>144</v>
      </c>
      <c r="L5441" t="s">
        <v>144</v>
      </c>
      <c r="M5441" t="s">
        <v>553</v>
      </c>
      <c r="N5441" t="s">
        <v>85</v>
      </c>
      <c r="O5441" t="s">
        <v>61</v>
      </c>
      <c r="P5441" t="s">
        <v>147</v>
      </c>
      <c r="Q5441">
        <v>8</v>
      </c>
      <c r="R5441" t="s">
        <v>213</v>
      </c>
      <c r="S5441" s="2" t="s">
        <v>9</v>
      </c>
      <c r="T5441">
        <v>5</v>
      </c>
      <c r="U5441" t="s">
        <v>28</v>
      </c>
      <c r="V5441" t="s">
        <v>28</v>
      </c>
      <c r="W5441">
        <v>19</v>
      </c>
      <c r="X5441">
        <v>1.2572955049999999</v>
      </c>
      <c r="Y5441">
        <v>0.44228554597029623</v>
      </c>
      <c r="AA5441" s="6"/>
      <c r="AB5441" s="6"/>
    </row>
    <row r="5442" spans="1:28" x14ac:dyDescent="0.2">
      <c r="A5442" t="s">
        <v>605</v>
      </c>
      <c r="B5442">
        <v>2020</v>
      </c>
      <c r="C5442" t="s">
        <v>816</v>
      </c>
      <c r="D5442" t="s">
        <v>817</v>
      </c>
      <c r="E5442" t="s">
        <v>31</v>
      </c>
      <c r="F5442" t="s">
        <v>307</v>
      </c>
      <c r="G5442">
        <v>54.177999999999997</v>
      </c>
      <c r="H5442">
        <v>7.8929999999999998</v>
      </c>
      <c r="I5442" t="s">
        <v>766</v>
      </c>
      <c r="J5442" s="2" t="s">
        <v>14</v>
      </c>
      <c r="K5442" t="s">
        <v>144</v>
      </c>
      <c r="L5442" t="s">
        <v>144</v>
      </c>
      <c r="M5442" t="s">
        <v>553</v>
      </c>
      <c r="N5442" t="s">
        <v>85</v>
      </c>
      <c r="O5442" t="s">
        <v>61</v>
      </c>
      <c r="P5442" t="s">
        <v>147</v>
      </c>
      <c r="Q5442">
        <v>8</v>
      </c>
      <c r="R5442" t="s">
        <v>213</v>
      </c>
      <c r="S5442" s="2" t="s">
        <v>27</v>
      </c>
      <c r="T5442">
        <v>5</v>
      </c>
      <c r="U5442" t="s">
        <v>28</v>
      </c>
      <c r="V5442" t="s">
        <v>28</v>
      </c>
      <c r="W5442">
        <v>21</v>
      </c>
      <c r="X5442">
        <v>1.4381296424000001</v>
      </c>
      <c r="Y5442">
        <v>0.55847417219078077</v>
      </c>
      <c r="AA5442" s="6"/>
      <c r="AB5442" s="6"/>
    </row>
    <row r="5443" spans="1:28" x14ac:dyDescent="0.2">
      <c r="A5443" t="s">
        <v>605</v>
      </c>
      <c r="B5443">
        <v>2020</v>
      </c>
      <c r="C5443" t="s">
        <v>816</v>
      </c>
      <c r="D5443" t="s">
        <v>817</v>
      </c>
      <c r="E5443" t="s">
        <v>31</v>
      </c>
      <c r="F5443" t="s">
        <v>307</v>
      </c>
      <c r="G5443">
        <v>54.177999999999997</v>
      </c>
      <c r="H5443">
        <v>7.8929999999999998</v>
      </c>
      <c r="I5443" t="s">
        <v>766</v>
      </c>
      <c r="J5443" s="2" t="s">
        <v>14</v>
      </c>
      <c r="K5443" t="s">
        <v>144</v>
      </c>
      <c r="L5443" t="s">
        <v>144</v>
      </c>
      <c r="M5443" t="s">
        <v>553</v>
      </c>
      <c r="N5443" t="s">
        <v>85</v>
      </c>
      <c r="O5443" t="s">
        <v>61</v>
      </c>
      <c r="P5443" t="s">
        <v>147</v>
      </c>
      <c r="Q5443">
        <v>8</v>
      </c>
      <c r="R5443" t="s">
        <v>213</v>
      </c>
      <c r="S5443" s="2" t="s">
        <v>13</v>
      </c>
      <c r="T5443">
        <v>5</v>
      </c>
      <c r="U5443" t="s">
        <v>28</v>
      </c>
      <c r="V5443" t="s">
        <v>28</v>
      </c>
      <c r="W5443">
        <v>23</v>
      </c>
      <c r="X5443">
        <v>1.4160033082000001</v>
      </c>
      <c r="Y5443">
        <v>0.26374606291000957</v>
      </c>
      <c r="AA5443" s="6"/>
      <c r="AB5443" s="6"/>
    </row>
    <row r="5444" spans="1:28" x14ac:dyDescent="0.2">
      <c r="A5444" t="s">
        <v>605</v>
      </c>
      <c r="B5444">
        <v>2020</v>
      </c>
      <c r="C5444" t="s">
        <v>816</v>
      </c>
      <c r="D5444" t="s">
        <v>817</v>
      </c>
      <c r="E5444" t="s">
        <v>31</v>
      </c>
      <c r="F5444" t="s">
        <v>608</v>
      </c>
      <c r="G5444">
        <v>47.47</v>
      </c>
      <c r="H5444">
        <v>-3.0910000000000002</v>
      </c>
      <c r="I5444" t="s">
        <v>765</v>
      </c>
      <c r="J5444" s="2" t="s">
        <v>7</v>
      </c>
      <c r="K5444" t="s">
        <v>144</v>
      </c>
      <c r="L5444" t="s">
        <v>144</v>
      </c>
      <c r="M5444" t="s">
        <v>553</v>
      </c>
      <c r="N5444" t="s">
        <v>85</v>
      </c>
      <c r="O5444" t="s">
        <v>61</v>
      </c>
      <c r="P5444" t="s">
        <v>147</v>
      </c>
      <c r="Q5444">
        <v>8</v>
      </c>
      <c r="R5444" t="s">
        <v>213</v>
      </c>
      <c r="S5444" s="2" t="s">
        <v>7</v>
      </c>
      <c r="T5444">
        <v>5</v>
      </c>
      <c r="U5444" t="s">
        <v>28</v>
      </c>
      <c r="V5444" t="s">
        <v>28</v>
      </c>
      <c r="W5444">
        <v>15</v>
      </c>
      <c r="X5444">
        <v>1.9050950447999999</v>
      </c>
      <c r="Y5444">
        <v>0.45936498755435662</v>
      </c>
      <c r="AA5444" s="6"/>
      <c r="AB5444" s="6"/>
    </row>
    <row r="5445" spans="1:28" x14ac:dyDescent="0.2">
      <c r="A5445" t="s">
        <v>605</v>
      </c>
      <c r="B5445">
        <v>2020</v>
      </c>
      <c r="C5445" t="s">
        <v>816</v>
      </c>
      <c r="D5445" t="s">
        <v>817</v>
      </c>
      <c r="E5445" t="s">
        <v>31</v>
      </c>
      <c r="F5445" t="s">
        <v>608</v>
      </c>
      <c r="G5445">
        <v>47.47</v>
      </c>
      <c r="H5445">
        <v>-3.0910000000000002</v>
      </c>
      <c r="I5445" t="s">
        <v>765</v>
      </c>
      <c r="J5445" s="2" t="s">
        <v>14</v>
      </c>
      <c r="K5445" t="s">
        <v>144</v>
      </c>
      <c r="L5445" t="s">
        <v>144</v>
      </c>
      <c r="M5445" t="s">
        <v>553</v>
      </c>
      <c r="N5445" t="s">
        <v>85</v>
      </c>
      <c r="O5445" t="s">
        <v>61</v>
      </c>
      <c r="P5445" t="s">
        <v>147</v>
      </c>
      <c r="Q5445">
        <v>8</v>
      </c>
      <c r="R5445" t="s">
        <v>213</v>
      </c>
      <c r="S5445" s="2" t="s">
        <v>9</v>
      </c>
      <c r="T5445">
        <v>5</v>
      </c>
      <c r="U5445" t="s">
        <v>28</v>
      </c>
      <c r="V5445" t="s">
        <v>28</v>
      </c>
      <c r="W5445">
        <v>19</v>
      </c>
      <c r="X5445">
        <v>1.7246833347999999</v>
      </c>
      <c r="Y5445">
        <v>0.39073199785205986</v>
      </c>
      <c r="AA5445" s="6"/>
      <c r="AB5445" s="6"/>
    </row>
    <row r="5446" spans="1:28" x14ac:dyDescent="0.2">
      <c r="A5446" t="s">
        <v>605</v>
      </c>
      <c r="B5446">
        <v>2020</v>
      </c>
      <c r="C5446" t="s">
        <v>816</v>
      </c>
      <c r="D5446" t="s">
        <v>817</v>
      </c>
      <c r="E5446" t="s">
        <v>31</v>
      </c>
      <c r="F5446" t="s">
        <v>608</v>
      </c>
      <c r="G5446">
        <v>47.47</v>
      </c>
      <c r="H5446">
        <v>-3.0910000000000002</v>
      </c>
      <c r="I5446" t="s">
        <v>765</v>
      </c>
      <c r="J5446" s="2" t="s">
        <v>14</v>
      </c>
      <c r="K5446" t="s">
        <v>144</v>
      </c>
      <c r="L5446" t="s">
        <v>144</v>
      </c>
      <c r="M5446" t="s">
        <v>553</v>
      </c>
      <c r="N5446" t="s">
        <v>85</v>
      </c>
      <c r="O5446" t="s">
        <v>61</v>
      </c>
      <c r="P5446" t="s">
        <v>147</v>
      </c>
      <c r="Q5446">
        <v>8</v>
      </c>
      <c r="R5446" t="s">
        <v>213</v>
      </c>
      <c r="S5446" s="2" t="s">
        <v>27</v>
      </c>
      <c r="T5446">
        <v>5</v>
      </c>
      <c r="U5446" t="s">
        <v>28</v>
      </c>
      <c r="V5446" t="s">
        <v>28</v>
      </c>
      <c r="W5446">
        <v>21</v>
      </c>
      <c r="X5446">
        <v>1.6981722346000001</v>
      </c>
      <c r="Y5446">
        <v>0.27032606147699378</v>
      </c>
      <c r="AA5446" s="6"/>
      <c r="AB5446" s="6"/>
    </row>
    <row r="5447" spans="1:28" x14ac:dyDescent="0.2">
      <c r="A5447" t="s">
        <v>605</v>
      </c>
      <c r="B5447">
        <v>2020</v>
      </c>
      <c r="C5447" t="s">
        <v>816</v>
      </c>
      <c r="D5447" t="s">
        <v>817</v>
      </c>
      <c r="E5447" t="s">
        <v>31</v>
      </c>
      <c r="F5447" t="s">
        <v>608</v>
      </c>
      <c r="G5447">
        <v>47.47</v>
      </c>
      <c r="H5447">
        <v>-3.0910000000000002</v>
      </c>
      <c r="I5447" t="s">
        <v>765</v>
      </c>
      <c r="J5447" s="2" t="s">
        <v>14</v>
      </c>
      <c r="K5447" t="s">
        <v>144</v>
      </c>
      <c r="L5447" t="s">
        <v>144</v>
      </c>
      <c r="M5447" t="s">
        <v>553</v>
      </c>
      <c r="N5447" t="s">
        <v>85</v>
      </c>
      <c r="O5447" t="s">
        <v>61</v>
      </c>
      <c r="P5447" t="s">
        <v>147</v>
      </c>
      <c r="Q5447">
        <v>8</v>
      </c>
      <c r="R5447" t="s">
        <v>213</v>
      </c>
      <c r="S5447" s="2" t="s">
        <v>13</v>
      </c>
      <c r="T5447">
        <v>5</v>
      </c>
      <c r="U5447" t="s">
        <v>28</v>
      </c>
      <c r="V5447" t="s">
        <v>28</v>
      </c>
      <c r="W5447">
        <v>23</v>
      </c>
      <c r="X5447">
        <v>1.2967509455999999</v>
      </c>
      <c r="Y5447">
        <v>0.29676104203290843</v>
      </c>
      <c r="AA5447" s="6"/>
      <c r="AB5447" s="6"/>
    </row>
    <row r="5448" spans="1:28" x14ac:dyDescent="0.2">
      <c r="A5448" t="s">
        <v>605</v>
      </c>
      <c r="B5448">
        <v>2020</v>
      </c>
      <c r="C5448" t="s">
        <v>816</v>
      </c>
      <c r="D5448" t="s">
        <v>817</v>
      </c>
      <c r="E5448" t="s">
        <v>31</v>
      </c>
      <c r="F5448" t="s">
        <v>283</v>
      </c>
      <c r="G5448">
        <v>48.726999999999997</v>
      </c>
      <c r="H5448">
        <v>-4.0049999999999999</v>
      </c>
      <c r="I5448" t="s">
        <v>765</v>
      </c>
      <c r="J5448" s="2" t="s">
        <v>7</v>
      </c>
      <c r="K5448" t="s">
        <v>144</v>
      </c>
      <c r="L5448" t="s">
        <v>144</v>
      </c>
      <c r="M5448" t="s">
        <v>553</v>
      </c>
      <c r="N5448" t="s">
        <v>85</v>
      </c>
      <c r="O5448" t="s">
        <v>61</v>
      </c>
      <c r="P5448" t="s">
        <v>147</v>
      </c>
      <c r="Q5448">
        <v>8</v>
      </c>
      <c r="R5448" t="s">
        <v>213</v>
      </c>
      <c r="S5448" s="2" t="s">
        <v>7</v>
      </c>
      <c r="T5448">
        <v>5</v>
      </c>
      <c r="U5448" t="s">
        <v>28</v>
      </c>
      <c r="V5448" t="s">
        <v>28</v>
      </c>
      <c r="W5448">
        <v>15</v>
      </c>
      <c r="X5448">
        <v>1.4307840469999999</v>
      </c>
      <c r="Y5448">
        <v>0.44315474854845127</v>
      </c>
      <c r="AA5448" s="6"/>
      <c r="AB5448" s="6"/>
    </row>
    <row r="5449" spans="1:28" x14ac:dyDescent="0.2">
      <c r="A5449" t="s">
        <v>605</v>
      </c>
      <c r="B5449">
        <v>2020</v>
      </c>
      <c r="C5449" t="s">
        <v>816</v>
      </c>
      <c r="D5449" t="s">
        <v>817</v>
      </c>
      <c r="E5449" t="s">
        <v>31</v>
      </c>
      <c r="F5449" t="s">
        <v>283</v>
      </c>
      <c r="G5449">
        <v>48.726999999999997</v>
      </c>
      <c r="H5449">
        <v>-4.0049999999999999</v>
      </c>
      <c r="I5449" t="s">
        <v>765</v>
      </c>
      <c r="J5449" s="2" t="s">
        <v>14</v>
      </c>
      <c r="K5449" t="s">
        <v>144</v>
      </c>
      <c r="L5449" t="s">
        <v>144</v>
      </c>
      <c r="M5449" t="s">
        <v>553</v>
      </c>
      <c r="N5449" t="s">
        <v>85</v>
      </c>
      <c r="O5449" t="s">
        <v>61</v>
      </c>
      <c r="P5449" t="s">
        <v>147</v>
      </c>
      <c r="Q5449">
        <v>8</v>
      </c>
      <c r="R5449" t="s">
        <v>213</v>
      </c>
      <c r="S5449" s="2" t="s">
        <v>9</v>
      </c>
      <c r="T5449">
        <v>5</v>
      </c>
      <c r="U5449" t="s">
        <v>28</v>
      </c>
      <c r="V5449" t="s">
        <v>28</v>
      </c>
      <c r="W5449">
        <v>19</v>
      </c>
      <c r="X5449">
        <v>1.5064473225999999</v>
      </c>
      <c r="Y5449">
        <v>0.34172740946798691</v>
      </c>
      <c r="AA5449" s="6"/>
      <c r="AB5449" s="6"/>
    </row>
    <row r="5450" spans="1:28" x14ac:dyDescent="0.2">
      <c r="A5450" t="s">
        <v>605</v>
      </c>
      <c r="B5450">
        <v>2020</v>
      </c>
      <c r="C5450" t="s">
        <v>816</v>
      </c>
      <c r="D5450" t="s">
        <v>817</v>
      </c>
      <c r="E5450" t="s">
        <v>31</v>
      </c>
      <c r="F5450" t="s">
        <v>283</v>
      </c>
      <c r="G5450">
        <v>48.726999999999997</v>
      </c>
      <c r="H5450">
        <v>-4.0049999999999999</v>
      </c>
      <c r="I5450" t="s">
        <v>765</v>
      </c>
      <c r="J5450" s="2" t="s">
        <v>14</v>
      </c>
      <c r="K5450" t="s">
        <v>144</v>
      </c>
      <c r="L5450" t="s">
        <v>144</v>
      </c>
      <c r="M5450" t="s">
        <v>553</v>
      </c>
      <c r="N5450" t="s">
        <v>85</v>
      </c>
      <c r="O5450" t="s">
        <v>61</v>
      </c>
      <c r="P5450" t="s">
        <v>147</v>
      </c>
      <c r="Q5450">
        <v>8</v>
      </c>
      <c r="R5450" t="s">
        <v>213</v>
      </c>
      <c r="S5450" s="2" t="s">
        <v>27</v>
      </c>
      <c r="T5450">
        <v>5</v>
      </c>
      <c r="U5450" t="s">
        <v>28</v>
      </c>
      <c r="V5450" t="s">
        <v>28</v>
      </c>
      <c r="W5450">
        <v>21</v>
      </c>
      <c r="X5450">
        <v>1.346908032</v>
      </c>
      <c r="Y5450">
        <v>0.47132713732028958</v>
      </c>
      <c r="AA5450" s="6"/>
      <c r="AB5450" s="6"/>
    </row>
    <row r="5451" spans="1:28" x14ac:dyDescent="0.2">
      <c r="A5451" t="s">
        <v>605</v>
      </c>
      <c r="B5451">
        <v>2020</v>
      </c>
      <c r="C5451" t="s">
        <v>816</v>
      </c>
      <c r="D5451" t="s">
        <v>817</v>
      </c>
      <c r="E5451" t="s">
        <v>31</v>
      </c>
      <c r="F5451" t="s">
        <v>283</v>
      </c>
      <c r="G5451">
        <v>48.726999999999997</v>
      </c>
      <c r="H5451">
        <v>-4.0049999999999999</v>
      </c>
      <c r="I5451" t="s">
        <v>765</v>
      </c>
      <c r="J5451" s="2" t="s">
        <v>14</v>
      </c>
      <c r="K5451" t="s">
        <v>144</v>
      </c>
      <c r="L5451" t="s">
        <v>144</v>
      </c>
      <c r="M5451" t="s">
        <v>553</v>
      </c>
      <c r="N5451" t="s">
        <v>85</v>
      </c>
      <c r="O5451" t="s">
        <v>61</v>
      </c>
      <c r="P5451" t="s">
        <v>147</v>
      </c>
      <c r="Q5451">
        <v>8</v>
      </c>
      <c r="R5451" t="s">
        <v>213</v>
      </c>
      <c r="S5451" s="2" t="s">
        <v>13</v>
      </c>
      <c r="T5451">
        <v>5</v>
      </c>
      <c r="U5451" t="s">
        <v>28</v>
      </c>
      <c r="V5451" t="s">
        <v>28</v>
      </c>
      <c r="W5451">
        <v>23</v>
      </c>
      <c r="X5451">
        <v>1.3032735847999999</v>
      </c>
      <c r="Y5451">
        <v>0.24215894568824617</v>
      </c>
      <c r="AA5451" s="6"/>
      <c r="AB5451" s="6"/>
    </row>
    <row r="5452" spans="1:28" x14ac:dyDescent="0.2">
      <c r="A5452" t="s">
        <v>605</v>
      </c>
      <c r="B5452">
        <v>2020</v>
      </c>
      <c r="C5452" t="s">
        <v>816</v>
      </c>
      <c r="D5452" t="s">
        <v>817</v>
      </c>
      <c r="E5452" t="s">
        <v>31</v>
      </c>
      <c r="F5452" t="s">
        <v>607</v>
      </c>
      <c r="G5452">
        <v>69.790000000000006</v>
      </c>
      <c r="H5452">
        <v>19.053999999999998</v>
      </c>
      <c r="I5452" t="s">
        <v>766</v>
      </c>
      <c r="J5452" s="2" t="s">
        <v>7</v>
      </c>
      <c r="K5452" t="s">
        <v>144</v>
      </c>
      <c r="L5452" t="s">
        <v>144</v>
      </c>
      <c r="M5452" t="s">
        <v>553</v>
      </c>
      <c r="N5452" t="s">
        <v>85</v>
      </c>
      <c r="O5452" t="s">
        <v>61</v>
      </c>
      <c r="P5452" t="s">
        <v>147</v>
      </c>
      <c r="Q5452">
        <v>8</v>
      </c>
      <c r="R5452" t="s">
        <v>213</v>
      </c>
      <c r="S5452" s="2" t="s">
        <v>7</v>
      </c>
      <c r="T5452">
        <v>5</v>
      </c>
      <c r="U5452" t="s">
        <v>28</v>
      </c>
      <c r="V5452" t="s">
        <v>28</v>
      </c>
      <c r="W5452">
        <v>15</v>
      </c>
      <c r="X5452">
        <v>0.90246932319999984</v>
      </c>
      <c r="Y5452">
        <v>0.33612356393626336</v>
      </c>
      <c r="AA5452" s="6"/>
      <c r="AB5452" s="6"/>
    </row>
    <row r="5453" spans="1:28" x14ac:dyDescent="0.2">
      <c r="A5453" t="s">
        <v>605</v>
      </c>
      <c r="B5453">
        <v>2020</v>
      </c>
      <c r="C5453" t="s">
        <v>816</v>
      </c>
      <c r="D5453" t="s">
        <v>817</v>
      </c>
      <c r="E5453" t="s">
        <v>31</v>
      </c>
      <c r="F5453" t="s">
        <v>607</v>
      </c>
      <c r="G5453">
        <v>69.790000000000006</v>
      </c>
      <c r="H5453">
        <v>19.053999999999998</v>
      </c>
      <c r="I5453" t="s">
        <v>766</v>
      </c>
      <c r="J5453" s="2" t="s">
        <v>14</v>
      </c>
      <c r="K5453" t="s">
        <v>144</v>
      </c>
      <c r="L5453" t="s">
        <v>144</v>
      </c>
      <c r="M5453" t="s">
        <v>553</v>
      </c>
      <c r="N5453" t="s">
        <v>85</v>
      </c>
      <c r="O5453" t="s">
        <v>61</v>
      </c>
      <c r="P5453" t="s">
        <v>147</v>
      </c>
      <c r="Q5453">
        <v>8</v>
      </c>
      <c r="R5453" t="s">
        <v>213</v>
      </c>
      <c r="S5453" s="2" t="s">
        <v>9</v>
      </c>
      <c r="T5453">
        <v>5</v>
      </c>
      <c r="U5453" t="s">
        <v>28</v>
      </c>
      <c r="V5453" t="s">
        <v>28</v>
      </c>
      <c r="W5453">
        <v>19</v>
      </c>
      <c r="X5453">
        <v>0.8801860225999999</v>
      </c>
      <c r="Y5453">
        <v>0.15610089411537217</v>
      </c>
      <c r="AA5453" s="6"/>
      <c r="AB5453" s="6"/>
    </row>
    <row r="5454" spans="1:28" x14ac:dyDescent="0.2">
      <c r="A5454" t="s">
        <v>605</v>
      </c>
      <c r="B5454">
        <v>2020</v>
      </c>
      <c r="C5454" t="s">
        <v>816</v>
      </c>
      <c r="D5454" t="s">
        <v>817</v>
      </c>
      <c r="E5454" t="s">
        <v>31</v>
      </c>
      <c r="F5454" t="s">
        <v>607</v>
      </c>
      <c r="G5454">
        <v>69.790000000000006</v>
      </c>
      <c r="H5454">
        <v>19.053999999999998</v>
      </c>
      <c r="I5454" t="s">
        <v>766</v>
      </c>
      <c r="J5454" s="2" t="s">
        <v>14</v>
      </c>
      <c r="K5454" t="s">
        <v>144</v>
      </c>
      <c r="L5454" t="s">
        <v>144</v>
      </c>
      <c r="M5454" t="s">
        <v>553</v>
      </c>
      <c r="N5454" t="s">
        <v>85</v>
      </c>
      <c r="O5454" t="s">
        <v>61</v>
      </c>
      <c r="P5454" t="s">
        <v>147</v>
      </c>
      <c r="Q5454">
        <v>8</v>
      </c>
      <c r="R5454" t="s">
        <v>213</v>
      </c>
      <c r="S5454" s="2" t="s">
        <v>27</v>
      </c>
      <c r="T5454">
        <v>5</v>
      </c>
      <c r="U5454" t="s">
        <v>28</v>
      </c>
      <c r="V5454" t="s">
        <v>28</v>
      </c>
      <c r="W5454">
        <v>21</v>
      </c>
      <c r="X5454">
        <v>1.2456394498000001</v>
      </c>
      <c r="Y5454">
        <v>0.27546306145185051</v>
      </c>
      <c r="AA5454" s="6"/>
      <c r="AB5454" s="6"/>
    </row>
    <row r="5455" spans="1:28" x14ac:dyDescent="0.2">
      <c r="A5455" t="s">
        <v>605</v>
      </c>
      <c r="B5455">
        <v>2020</v>
      </c>
      <c r="C5455" t="s">
        <v>816</v>
      </c>
      <c r="D5455" t="s">
        <v>817</v>
      </c>
      <c r="E5455" t="s">
        <v>31</v>
      </c>
      <c r="F5455" t="s">
        <v>607</v>
      </c>
      <c r="G5455">
        <v>69.790000000000006</v>
      </c>
      <c r="H5455">
        <v>19.053999999999998</v>
      </c>
      <c r="I5455" t="s">
        <v>766</v>
      </c>
      <c r="J5455" s="2" t="s">
        <v>14</v>
      </c>
      <c r="K5455" t="s">
        <v>144</v>
      </c>
      <c r="L5455" t="s">
        <v>144</v>
      </c>
      <c r="M5455" t="s">
        <v>553</v>
      </c>
      <c r="N5455" t="s">
        <v>85</v>
      </c>
      <c r="O5455" t="s">
        <v>61</v>
      </c>
      <c r="P5455" t="s">
        <v>147</v>
      </c>
      <c r="Q5455">
        <v>8</v>
      </c>
      <c r="R5455" t="s">
        <v>213</v>
      </c>
      <c r="S5455" s="2" t="s">
        <v>13</v>
      </c>
      <c r="T5455">
        <v>5</v>
      </c>
      <c r="U5455" t="s">
        <v>28</v>
      </c>
      <c r="V5455" t="s">
        <v>28</v>
      </c>
      <c r="W5455">
        <v>23</v>
      </c>
      <c r="X5455">
        <v>1.1902157872000001</v>
      </c>
      <c r="Y5455">
        <v>0.25502402840249544</v>
      </c>
      <c r="AA5455" s="6"/>
      <c r="AB5455" s="6"/>
    </row>
    <row r="5456" spans="1:28" x14ac:dyDescent="0.2">
      <c r="A5456" t="s">
        <v>605</v>
      </c>
      <c r="B5456">
        <v>2020</v>
      </c>
      <c r="C5456" t="s">
        <v>816</v>
      </c>
      <c r="D5456" t="s">
        <v>817</v>
      </c>
      <c r="E5456" t="s">
        <v>31</v>
      </c>
      <c r="F5456" t="s">
        <v>607</v>
      </c>
      <c r="G5456">
        <v>69.790000000000006</v>
      </c>
      <c r="H5456">
        <v>19.053999999999998</v>
      </c>
      <c r="I5456" t="s">
        <v>766</v>
      </c>
      <c r="J5456" s="2" t="s">
        <v>7</v>
      </c>
      <c r="K5456" t="s">
        <v>144</v>
      </c>
      <c r="L5456" t="s">
        <v>144</v>
      </c>
      <c r="M5456" t="s">
        <v>553</v>
      </c>
      <c r="N5456" t="s">
        <v>85</v>
      </c>
      <c r="O5456" t="s">
        <v>368</v>
      </c>
      <c r="Q5456">
        <v>8</v>
      </c>
      <c r="R5456" t="s">
        <v>213</v>
      </c>
      <c r="S5456" s="2" t="s">
        <v>7</v>
      </c>
      <c r="T5456">
        <v>5</v>
      </c>
      <c r="U5456" t="s">
        <v>28</v>
      </c>
      <c r="V5456" t="s">
        <v>28</v>
      </c>
      <c r="W5456">
        <v>15</v>
      </c>
      <c r="X5456">
        <v>6.4130000000000006E-2</v>
      </c>
      <c r="Y5456">
        <f>0.07041-X5456</f>
        <v>6.2799999999999939E-3</v>
      </c>
      <c r="AA5456" s="6"/>
      <c r="AB5456" s="6"/>
    </row>
    <row r="5457" spans="1:28" x14ac:dyDescent="0.2">
      <c r="A5457" t="s">
        <v>605</v>
      </c>
      <c r="B5457">
        <v>2020</v>
      </c>
      <c r="C5457" t="s">
        <v>816</v>
      </c>
      <c r="D5457" t="s">
        <v>817</v>
      </c>
      <c r="E5457" t="s">
        <v>31</v>
      </c>
      <c r="F5457" t="s">
        <v>607</v>
      </c>
      <c r="G5457">
        <v>69.790000000000006</v>
      </c>
      <c r="H5457">
        <v>19.053999999999998</v>
      </c>
      <c r="I5457" t="s">
        <v>766</v>
      </c>
      <c r="J5457" s="2" t="s">
        <v>14</v>
      </c>
      <c r="K5457" t="s">
        <v>144</v>
      </c>
      <c r="L5457" t="s">
        <v>144</v>
      </c>
      <c r="M5457" t="s">
        <v>553</v>
      </c>
      <c r="N5457" t="s">
        <v>85</v>
      </c>
      <c r="O5457" t="s">
        <v>368</v>
      </c>
      <c r="Q5457">
        <v>8</v>
      </c>
      <c r="R5457" t="s">
        <v>213</v>
      </c>
      <c r="S5457" s="2" t="s">
        <v>9</v>
      </c>
      <c r="T5457">
        <v>5</v>
      </c>
      <c r="U5457" t="s">
        <v>28</v>
      </c>
      <c r="V5457" t="s">
        <v>28</v>
      </c>
      <c r="W5457">
        <v>19</v>
      </c>
      <c r="X5457">
        <v>7.4520000000000003E-2</v>
      </c>
      <c r="Y5457">
        <f>0.08173-X5457</f>
        <v>7.2099999999999942E-3</v>
      </c>
      <c r="AA5457" s="6"/>
      <c r="AB5457" s="6"/>
    </row>
    <row r="5458" spans="1:28" x14ac:dyDescent="0.2">
      <c r="A5458" t="s">
        <v>605</v>
      </c>
      <c r="B5458">
        <v>2020</v>
      </c>
      <c r="C5458" t="s">
        <v>816</v>
      </c>
      <c r="D5458" t="s">
        <v>817</v>
      </c>
      <c r="E5458" t="s">
        <v>31</v>
      </c>
      <c r="F5458" t="s">
        <v>607</v>
      </c>
      <c r="G5458">
        <v>69.790000000000006</v>
      </c>
      <c r="H5458">
        <v>19.053999999999998</v>
      </c>
      <c r="I5458" t="s">
        <v>766</v>
      </c>
      <c r="J5458" s="2" t="s">
        <v>14</v>
      </c>
      <c r="K5458" t="s">
        <v>144</v>
      </c>
      <c r="L5458" t="s">
        <v>144</v>
      </c>
      <c r="M5458" t="s">
        <v>553</v>
      </c>
      <c r="N5458" t="s">
        <v>85</v>
      </c>
      <c r="O5458" t="s">
        <v>368</v>
      </c>
      <c r="Q5458">
        <v>8</v>
      </c>
      <c r="R5458" t="s">
        <v>213</v>
      </c>
      <c r="S5458" s="2" t="s">
        <v>27</v>
      </c>
      <c r="T5458">
        <v>5</v>
      </c>
      <c r="U5458" t="s">
        <v>28</v>
      </c>
      <c r="V5458" t="s">
        <v>28</v>
      </c>
      <c r="W5458">
        <v>21</v>
      </c>
      <c r="X5458">
        <v>7.6960000000000001E-2</v>
      </c>
      <c r="Y5458">
        <f>0.08454-X5458</f>
        <v>7.5800000000000034E-3</v>
      </c>
      <c r="AA5458" s="6"/>
      <c r="AB5458" s="6"/>
    </row>
    <row r="5459" spans="1:28" x14ac:dyDescent="0.2">
      <c r="A5459" t="s">
        <v>605</v>
      </c>
      <c r="B5459">
        <v>2020</v>
      </c>
      <c r="C5459" t="s">
        <v>816</v>
      </c>
      <c r="D5459" t="s">
        <v>817</v>
      </c>
      <c r="E5459" t="s">
        <v>31</v>
      </c>
      <c r="F5459" t="s">
        <v>607</v>
      </c>
      <c r="G5459">
        <v>69.790000000000006</v>
      </c>
      <c r="H5459">
        <v>19.053999999999998</v>
      </c>
      <c r="I5459" t="s">
        <v>766</v>
      </c>
      <c r="J5459" s="2" t="s">
        <v>14</v>
      </c>
      <c r="K5459" t="s">
        <v>144</v>
      </c>
      <c r="L5459" t="s">
        <v>144</v>
      </c>
      <c r="M5459" t="s">
        <v>553</v>
      </c>
      <c r="N5459" t="s">
        <v>85</v>
      </c>
      <c r="O5459" t="s">
        <v>368</v>
      </c>
      <c r="Q5459">
        <v>8</v>
      </c>
      <c r="R5459" t="s">
        <v>213</v>
      </c>
      <c r="S5459" s="2" t="s">
        <v>13</v>
      </c>
      <c r="T5459">
        <v>4</v>
      </c>
      <c r="U5459" t="s">
        <v>28</v>
      </c>
      <c r="V5459" t="s">
        <v>28</v>
      </c>
      <c r="W5459">
        <v>23</v>
      </c>
      <c r="X5459">
        <v>8.5849999999999996E-2</v>
      </c>
      <c r="Y5459">
        <f>0.09193-X5459</f>
        <v>6.0800000000000021E-3</v>
      </c>
      <c r="AA5459" s="6"/>
      <c r="AB5459" s="6"/>
    </row>
    <row r="5460" spans="1:28" x14ac:dyDescent="0.2">
      <c r="A5460" t="s">
        <v>605</v>
      </c>
      <c r="B5460">
        <v>2020</v>
      </c>
      <c r="C5460" t="s">
        <v>816</v>
      </c>
      <c r="D5460" t="s">
        <v>817</v>
      </c>
      <c r="E5460" t="s">
        <v>31</v>
      </c>
      <c r="F5460" t="s">
        <v>307</v>
      </c>
      <c r="G5460">
        <v>54.177999999999997</v>
      </c>
      <c r="H5460">
        <v>7.8929999999999998</v>
      </c>
      <c r="I5460" t="s">
        <v>766</v>
      </c>
      <c r="J5460" s="2" t="s">
        <v>7</v>
      </c>
      <c r="K5460" t="s">
        <v>144</v>
      </c>
      <c r="L5460" t="s">
        <v>144</v>
      </c>
      <c r="M5460" t="s">
        <v>553</v>
      </c>
      <c r="N5460" t="s">
        <v>85</v>
      </c>
      <c r="O5460" t="s">
        <v>368</v>
      </c>
      <c r="Q5460">
        <v>8</v>
      </c>
      <c r="R5460" t="s">
        <v>213</v>
      </c>
      <c r="S5460" s="2" t="s">
        <v>7</v>
      </c>
      <c r="T5460">
        <v>5</v>
      </c>
      <c r="U5460" t="s">
        <v>28</v>
      </c>
      <c r="V5460" t="s">
        <v>28</v>
      </c>
      <c r="W5460">
        <v>15</v>
      </c>
      <c r="X5460">
        <v>6.5909999999999996E-2</v>
      </c>
      <c r="Y5460">
        <f>0.06872-X5460</f>
        <v>2.8100000000000069E-3</v>
      </c>
      <c r="AA5460" s="6"/>
      <c r="AB5460" s="6"/>
    </row>
    <row r="5461" spans="1:28" x14ac:dyDescent="0.2">
      <c r="A5461" t="s">
        <v>605</v>
      </c>
      <c r="B5461">
        <v>2020</v>
      </c>
      <c r="C5461" t="s">
        <v>816</v>
      </c>
      <c r="D5461" t="s">
        <v>817</v>
      </c>
      <c r="E5461" t="s">
        <v>31</v>
      </c>
      <c r="F5461" t="s">
        <v>307</v>
      </c>
      <c r="G5461">
        <v>54.177999999999997</v>
      </c>
      <c r="H5461">
        <v>7.8929999999999998</v>
      </c>
      <c r="I5461" t="s">
        <v>766</v>
      </c>
      <c r="J5461" s="2" t="s">
        <v>14</v>
      </c>
      <c r="K5461" t="s">
        <v>144</v>
      </c>
      <c r="L5461" t="s">
        <v>144</v>
      </c>
      <c r="M5461" t="s">
        <v>553</v>
      </c>
      <c r="N5461" t="s">
        <v>85</v>
      </c>
      <c r="O5461" t="s">
        <v>368</v>
      </c>
      <c r="Q5461">
        <v>8</v>
      </c>
      <c r="R5461" t="s">
        <v>213</v>
      </c>
      <c r="S5461" s="2" t="s">
        <v>9</v>
      </c>
      <c r="T5461">
        <v>5</v>
      </c>
      <c r="U5461" t="s">
        <v>28</v>
      </c>
      <c r="V5461" t="s">
        <v>28</v>
      </c>
      <c r="W5461">
        <v>19</v>
      </c>
      <c r="X5461">
        <v>6.7599999999999993E-2</v>
      </c>
      <c r="Y5461">
        <f>0.07452-X5461</f>
        <v>6.9200000000000095E-3</v>
      </c>
      <c r="AA5461" s="6"/>
      <c r="AB5461" s="6"/>
    </row>
    <row r="5462" spans="1:28" x14ac:dyDescent="0.2">
      <c r="A5462" t="s">
        <v>605</v>
      </c>
      <c r="B5462">
        <v>2020</v>
      </c>
      <c r="C5462" t="s">
        <v>816</v>
      </c>
      <c r="D5462" t="s">
        <v>817</v>
      </c>
      <c r="E5462" t="s">
        <v>31</v>
      </c>
      <c r="F5462" t="s">
        <v>307</v>
      </c>
      <c r="G5462">
        <v>54.177999999999997</v>
      </c>
      <c r="H5462">
        <v>7.8929999999999998</v>
      </c>
      <c r="I5462" t="s">
        <v>766</v>
      </c>
      <c r="J5462" s="2" t="s">
        <v>14</v>
      </c>
      <c r="K5462" t="s">
        <v>144</v>
      </c>
      <c r="L5462" t="s">
        <v>144</v>
      </c>
      <c r="M5462" t="s">
        <v>553</v>
      </c>
      <c r="N5462" t="s">
        <v>85</v>
      </c>
      <c r="O5462" t="s">
        <v>368</v>
      </c>
      <c r="Q5462">
        <v>8</v>
      </c>
      <c r="R5462" t="s">
        <v>213</v>
      </c>
      <c r="S5462" s="2" t="s">
        <v>27</v>
      </c>
      <c r="T5462">
        <v>5</v>
      </c>
      <c r="U5462" t="s">
        <v>28</v>
      </c>
      <c r="V5462" t="s">
        <v>28</v>
      </c>
      <c r="W5462">
        <v>21</v>
      </c>
      <c r="X5462">
        <v>7.5740000000000002E-2</v>
      </c>
      <c r="Y5462">
        <f>0.08716-X5462</f>
        <v>1.142E-2</v>
      </c>
      <c r="AA5462" s="6"/>
      <c r="AB5462" s="6"/>
    </row>
    <row r="5463" spans="1:28" x14ac:dyDescent="0.2">
      <c r="A5463" t="s">
        <v>605</v>
      </c>
      <c r="B5463">
        <v>2020</v>
      </c>
      <c r="C5463" t="s">
        <v>816</v>
      </c>
      <c r="D5463" t="s">
        <v>817</v>
      </c>
      <c r="E5463" t="s">
        <v>31</v>
      </c>
      <c r="F5463" t="s">
        <v>307</v>
      </c>
      <c r="G5463">
        <v>54.177999999999997</v>
      </c>
      <c r="H5463">
        <v>7.8929999999999998</v>
      </c>
      <c r="I5463" t="s">
        <v>766</v>
      </c>
      <c r="J5463" s="2" t="s">
        <v>14</v>
      </c>
      <c r="K5463" t="s">
        <v>144</v>
      </c>
      <c r="L5463" t="s">
        <v>144</v>
      </c>
      <c r="M5463" t="s">
        <v>553</v>
      </c>
      <c r="N5463" t="s">
        <v>85</v>
      </c>
      <c r="O5463" t="s">
        <v>368</v>
      </c>
      <c r="Q5463">
        <v>8</v>
      </c>
      <c r="R5463" t="s">
        <v>213</v>
      </c>
      <c r="S5463" s="2" t="s">
        <v>13</v>
      </c>
      <c r="T5463">
        <v>5</v>
      </c>
      <c r="U5463" t="s">
        <v>28</v>
      </c>
      <c r="V5463" t="s">
        <v>28</v>
      </c>
      <c r="W5463">
        <v>23</v>
      </c>
      <c r="X5463">
        <v>8.0229999999999996E-2</v>
      </c>
      <c r="Y5463">
        <f>0.08707-X5463</f>
        <v>6.8399999999999989E-3</v>
      </c>
      <c r="AA5463" s="6"/>
      <c r="AB5463" s="6"/>
    </row>
    <row r="5464" spans="1:28" x14ac:dyDescent="0.2">
      <c r="A5464" t="s">
        <v>605</v>
      </c>
      <c r="B5464">
        <v>2020</v>
      </c>
      <c r="C5464" t="s">
        <v>816</v>
      </c>
      <c r="D5464" t="s">
        <v>817</v>
      </c>
      <c r="E5464" t="s">
        <v>31</v>
      </c>
      <c r="F5464" t="s">
        <v>283</v>
      </c>
      <c r="G5464">
        <v>48.726999999999997</v>
      </c>
      <c r="H5464">
        <v>-4.0049999999999999</v>
      </c>
      <c r="I5464" t="s">
        <v>765</v>
      </c>
      <c r="J5464" s="2" t="s">
        <v>7</v>
      </c>
      <c r="K5464" t="s">
        <v>144</v>
      </c>
      <c r="L5464" t="s">
        <v>144</v>
      </c>
      <c r="M5464" t="s">
        <v>553</v>
      </c>
      <c r="N5464" t="s">
        <v>85</v>
      </c>
      <c r="O5464" t="s">
        <v>368</v>
      </c>
      <c r="Q5464">
        <v>8</v>
      </c>
      <c r="R5464" t="s">
        <v>213</v>
      </c>
      <c r="S5464" s="2" t="s">
        <v>7</v>
      </c>
      <c r="T5464">
        <v>5</v>
      </c>
      <c r="U5464" t="s">
        <v>28</v>
      </c>
      <c r="V5464" t="s">
        <v>28</v>
      </c>
      <c r="W5464">
        <v>15</v>
      </c>
      <c r="X5464">
        <v>5.9639999999999999E-2</v>
      </c>
      <c r="Y5464">
        <f>0.06413-X5464</f>
        <v>4.4900000000000079E-3</v>
      </c>
      <c r="AA5464" s="6"/>
      <c r="AB5464" s="6"/>
    </row>
    <row r="5465" spans="1:28" x14ac:dyDescent="0.2">
      <c r="A5465" t="s">
        <v>605</v>
      </c>
      <c r="B5465">
        <v>2020</v>
      </c>
      <c r="C5465" t="s">
        <v>816</v>
      </c>
      <c r="D5465" t="s">
        <v>817</v>
      </c>
      <c r="E5465" t="s">
        <v>31</v>
      </c>
      <c r="F5465" t="s">
        <v>283</v>
      </c>
      <c r="G5465">
        <v>48.726999999999997</v>
      </c>
      <c r="H5465">
        <v>-4.0049999999999999</v>
      </c>
      <c r="I5465" t="s">
        <v>765</v>
      </c>
      <c r="J5465" s="2" t="s">
        <v>14</v>
      </c>
      <c r="K5465" t="s">
        <v>144</v>
      </c>
      <c r="L5465" t="s">
        <v>144</v>
      </c>
      <c r="M5465" t="s">
        <v>553</v>
      </c>
      <c r="N5465" t="s">
        <v>85</v>
      </c>
      <c r="O5465" t="s">
        <v>368</v>
      </c>
      <c r="Q5465">
        <v>8</v>
      </c>
      <c r="R5465" t="s">
        <v>213</v>
      </c>
      <c r="S5465" s="2" t="s">
        <v>9</v>
      </c>
      <c r="T5465">
        <v>5</v>
      </c>
      <c r="U5465" t="s">
        <v>28</v>
      </c>
      <c r="V5465" t="s">
        <v>28</v>
      </c>
      <c r="W5465">
        <v>19</v>
      </c>
      <c r="X5465">
        <v>6.2729999999999994E-2</v>
      </c>
      <c r="Y5465">
        <f>0.06872-X5465</f>
        <v>5.9900000000000092E-3</v>
      </c>
      <c r="AA5465" s="6"/>
      <c r="AB5465" s="6"/>
    </row>
    <row r="5466" spans="1:28" x14ac:dyDescent="0.2">
      <c r="A5466" t="s">
        <v>605</v>
      </c>
      <c r="B5466">
        <v>2020</v>
      </c>
      <c r="C5466" t="s">
        <v>816</v>
      </c>
      <c r="D5466" t="s">
        <v>817</v>
      </c>
      <c r="E5466" t="s">
        <v>31</v>
      </c>
      <c r="F5466" t="s">
        <v>283</v>
      </c>
      <c r="G5466">
        <v>48.726999999999997</v>
      </c>
      <c r="H5466">
        <v>-4.0049999999999999</v>
      </c>
      <c r="I5466" t="s">
        <v>765</v>
      </c>
      <c r="J5466" s="2" t="s">
        <v>14</v>
      </c>
      <c r="K5466" t="s">
        <v>144</v>
      </c>
      <c r="L5466" t="s">
        <v>144</v>
      </c>
      <c r="M5466" t="s">
        <v>553</v>
      </c>
      <c r="N5466" t="s">
        <v>85</v>
      </c>
      <c r="O5466" t="s">
        <v>368</v>
      </c>
      <c r="Q5466">
        <v>8</v>
      </c>
      <c r="R5466" t="s">
        <v>213</v>
      </c>
      <c r="S5466" s="2" t="s">
        <v>27</v>
      </c>
      <c r="T5466">
        <v>5</v>
      </c>
      <c r="U5466" t="s">
        <v>28</v>
      </c>
      <c r="V5466" t="s">
        <v>28</v>
      </c>
      <c r="W5466">
        <v>21</v>
      </c>
      <c r="X5466">
        <v>7.3679999999999995E-2</v>
      </c>
      <c r="Y5466">
        <f>0.08061-X5466</f>
        <v>6.9300000000000056E-3</v>
      </c>
      <c r="AA5466" s="6"/>
      <c r="AB5466" s="6"/>
    </row>
    <row r="5467" spans="1:28" x14ac:dyDescent="0.2">
      <c r="A5467" t="s">
        <v>605</v>
      </c>
      <c r="B5467">
        <v>2020</v>
      </c>
      <c r="C5467" t="s">
        <v>816</v>
      </c>
      <c r="D5467" t="s">
        <v>817</v>
      </c>
      <c r="E5467" t="s">
        <v>31</v>
      </c>
      <c r="F5467" t="s">
        <v>283</v>
      </c>
      <c r="G5467">
        <v>48.726999999999997</v>
      </c>
      <c r="H5467">
        <v>-4.0049999999999999</v>
      </c>
      <c r="I5467" t="s">
        <v>765</v>
      </c>
      <c r="J5467" s="2" t="s">
        <v>14</v>
      </c>
      <c r="K5467" t="s">
        <v>144</v>
      </c>
      <c r="L5467" t="s">
        <v>144</v>
      </c>
      <c r="M5467" t="s">
        <v>553</v>
      </c>
      <c r="N5467" t="s">
        <v>85</v>
      </c>
      <c r="O5467" t="s">
        <v>368</v>
      </c>
      <c r="Q5467">
        <v>8</v>
      </c>
      <c r="R5467" t="s">
        <v>213</v>
      </c>
      <c r="S5467" s="2" t="s">
        <v>13</v>
      </c>
      <c r="T5467">
        <v>5</v>
      </c>
      <c r="U5467" t="s">
        <v>28</v>
      </c>
      <c r="V5467" t="s">
        <v>28</v>
      </c>
      <c r="W5467">
        <v>23</v>
      </c>
      <c r="X5467">
        <v>9.3429999999999999E-2</v>
      </c>
      <c r="Y5467">
        <f>0.10438-X5467</f>
        <v>1.0950000000000001E-2</v>
      </c>
      <c r="AA5467" s="6"/>
      <c r="AB5467" s="6"/>
    </row>
    <row r="5468" spans="1:28" x14ac:dyDescent="0.2">
      <c r="A5468" t="s">
        <v>605</v>
      </c>
      <c r="B5468">
        <v>2020</v>
      </c>
      <c r="C5468" t="s">
        <v>816</v>
      </c>
      <c r="D5468" t="s">
        <v>817</v>
      </c>
      <c r="E5468" t="s">
        <v>31</v>
      </c>
      <c r="F5468" t="s">
        <v>608</v>
      </c>
      <c r="G5468">
        <v>47.47</v>
      </c>
      <c r="H5468">
        <v>-3.0910000000000002</v>
      </c>
      <c r="I5468" t="s">
        <v>765</v>
      </c>
      <c r="J5468" s="2" t="s">
        <v>7</v>
      </c>
      <c r="K5468" t="s">
        <v>144</v>
      </c>
      <c r="L5468" t="s">
        <v>144</v>
      </c>
      <c r="M5468" t="s">
        <v>553</v>
      </c>
      <c r="N5468" t="s">
        <v>85</v>
      </c>
      <c r="O5468" t="s">
        <v>368</v>
      </c>
      <c r="Q5468">
        <v>8</v>
      </c>
      <c r="R5468" t="s">
        <v>213</v>
      </c>
      <c r="S5468" s="2" t="s">
        <v>7</v>
      </c>
      <c r="T5468">
        <v>5</v>
      </c>
      <c r="U5468" t="s">
        <v>28</v>
      </c>
      <c r="V5468" t="s">
        <v>28</v>
      </c>
      <c r="W5468">
        <v>15</v>
      </c>
      <c r="X5468">
        <v>5.552E-2</v>
      </c>
      <c r="Y5468">
        <f>0.06067-X5468</f>
        <v>5.1500000000000018E-3</v>
      </c>
      <c r="AA5468" s="6"/>
      <c r="AB5468" s="6"/>
    </row>
    <row r="5469" spans="1:28" x14ac:dyDescent="0.2">
      <c r="A5469" t="s">
        <v>605</v>
      </c>
      <c r="B5469">
        <v>2020</v>
      </c>
      <c r="C5469" t="s">
        <v>816</v>
      </c>
      <c r="D5469" t="s">
        <v>817</v>
      </c>
      <c r="E5469" t="s">
        <v>31</v>
      </c>
      <c r="F5469" t="s">
        <v>608</v>
      </c>
      <c r="G5469">
        <v>47.47</v>
      </c>
      <c r="H5469">
        <v>-3.0910000000000002</v>
      </c>
      <c r="I5469" t="s">
        <v>765</v>
      </c>
      <c r="J5469" s="2" t="s">
        <v>14</v>
      </c>
      <c r="K5469" t="s">
        <v>144</v>
      </c>
      <c r="L5469" t="s">
        <v>144</v>
      </c>
      <c r="M5469" t="s">
        <v>553</v>
      </c>
      <c r="N5469" t="s">
        <v>85</v>
      </c>
      <c r="O5469" t="s">
        <v>368</v>
      </c>
      <c r="Q5469">
        <v>8</v>
      </c>
      <c r="R5469" t="s">
        <v>213</v>
      </c>
      <c r="S5469" s="2" t="s">
        <v>9</v>
      </c>
      <c r="T5469">
        <v>5</v>
      </c>
      <c r="U5469" t="s">
        <v>28</v>
      </c>
      <c r="V5469" t="s">
        <v>28</v>
      </c>
      <c r="W5469">
        <v>19</v>
      </c>
      <c r="X5469">
        <v>6.0109999999999997E-2</v>
      </c>
      <c r="Y5469">
        <f>0.06816-X5469</f>
        <v>8.0500000000000016E-3</v>
      </c>
      <c r="AA5469" s="6"/>
      <c r="AB5469" s="6"/>
    </row>
    <row r="5470" spans="1:28" x14ac:dyDescent="0.2">
      <c r="A5470" t="s">
        <v>605</v>
      </c>
      <c r="B5470">
        <v>2020</v>
      </c>
      <c r="C5470" t="s">
        <v>816</v>
      </c>
      <c r="D5470" t="s">
        <v>817</v>
      </c>
      <c r="E5470" t="s">
        <v>31</v>
      </c>
      <c r="F5470" t="s">
        <v>608</v>
      </c>
      <c r="G5470">
        <v>47.47</v>
      </c>
      <c r="H5470">
        <v>-3.0910000000000002</v>
      </c>
      <c r="I5470" t="s">
        <v>765</v>
      </c>
      <c r="J5470" s="2" t="s">
        <v>14</v>
      </c>
      <c r="K5470" t="s">
        <v>144</v>
      </c>
      <c r="L5470" t="s">
        <v>144</v>
      </c>
      <c r="M5470" t="s">
        <v>553</v>
      </c>
      <c r="N5470" t="s">
        <v>85</v>
      </c>
      <c r="O5470" t="s">
        <v>368</v>
      </c>
      <c r="Q5470">
        <v>8</v>
      </c>
      <c r="R5470" t="s">
        <v>213</v>
      </c>
      <c r="S5470" s="2" t="s">
        <v>27</v>
      </c>
      <c r="T5470">
        <v>5</v>
      </c>
      <c r="U5470" t="s">
        <v>28</v>
      </c>
      <c r="V5470" t="s">
        <v>28</v>
      </c>
      <c r="W5470">
        <v>21</v>
      </c>
      <c r="X5470">
        <v>6.2260000000000003E-2</v>
      </c>
      <c r="Y5470">
        <f>0.06544-X5470</f>
        <v>3.1799999999999953E-3</v>
      </c>
      <c r="AA5470" s="6"/>
      <c r="AB5470" s="6"/>
    </row>
    <row r="5471" spans="1:28" x14ac:dyDescent="0.2">
      <c r="A5471" t="s">
        <v>605</v>
      </c>
      <c r="B5471">
        <v>2020</v>
      </c>
      <c r="C5471" t="s">
        <v>816</v>
      </c>
      <c r="D5471" t="s">
        <v>817</v>
      </c>
      <c r="E5471" t="s">
        <v>31</v>
      </c>
      <c r="F5471" t="s">
        <v>608</v>
      </c>
      <c r="G5471">
        <v>47.47</v>
      </c>
      <c r="H5471">
        <v>-3.0910000000000002</v>
      </c>
      <c r="I5471" t="s">
        <v>765</v>
      </c>
      <c r="J5471" s="2" t="s">
        <v>14</v>
      </c>
      <c r="K5471" t="s">
        <v>144</v>
      </c>
      <c r="L5471" t="s">
        <v>144</v>
      </c>
      <c r="M5471" t="s">
        <v>553</v>
      </c>
      <c r="N5471" t="s">
        <v>85</v>
      </c>
      <c r="O5471" t="s">
        <v>368</v>
      </c>
      <c r="Q5471">
        <v>8</v>
      </c>
      <c r="R5471" t="s">
        <v>213</v>
      </c>
      <c r="S5471" s="2" t="s">
        <v>13</v>
      </c>
      <c r="T5471">
        <v>5</v>
      </c>
      <c r="U5471" t="s">
        <v>28</v>
      </c>
      <c r="V5471" t="s">
        <v>28</v>
      </c>
      <c r="W5471">
        <v>23</v>
      </c>
      <c r="X5471">
        <v>8.7720000000000006E-2</v>
      </c>
      <c r="Y5471">
        <f>0.09465-X5471</f>
        <v>6.9299999999999917E-3</v>
      </c>
      <c r="AA5471" s="6"/>
      <c r="AB5471" s="6"/>
    </row>
    <row r="5472" spans="1:28" x14ac:dyDescent="0.2">
      <c r="A5472" t="s">
        <v>605</v>
      </c>
      <c r="B5472">
        <v>2020</v>
      </c>
      <c r="C5472" t="s">
        <v>816</v>
      </c>
      <c r="D5472" t="s">
        <v>817</v>
      </c>
      <c r="E5472" t="s">
        <v>31</v>
      </c>
      <c r="F5472" t="s">
        <v>607</v>
      </c>
      <c r="G5472">
        <v>69.790000000000006</v>
      </c>
      <c r="H5472">
        <v>19.053999999999998</v>
      </c>
      <c r="I5472" t="s">
        <v>766</v>
      </c>
      <c r="J5472" s="2" t="s">
        <v>7</v>
      </c>
      <c r="K5472" t="s">
        <v>144</v>
      </c>
      <c r="L5472" t="s">
        <v>144</v>
      </c>
      <c r="M5472" t="s">
        <v>553</v>
      </c>
      <c r="N5472" t="s">
        <v>85</v>
      </c>
      <c r="O5472" t="s">
        <v>364</v>
      </c>
      <c r="Q5472">
        <v>8</v>
      </c>
      <c r="R5472" t="s">
        <v>213</v>
      </c>
      <c r="S5472" s="2" t="s">
        <v>7</v>
      </c>
      <c r="T5472">
        <v>5</v>
      </c>
      <c r="U5472" t="s">
        <v>28</v>
      </c>
      <c r="V5472" t="s">
        <v>28</v>
      </c>
      <c r="W5472">
        <v>15</v>
      </c>
      <c r="X5472">
        <v>5.7239999999999999E-2</v>
      </c>
      <c r="Y5472">
        <f>0.08813-X5472</f>
        <v>3.0890000000000001E-2</v>
      </c>
      <c r="AA5472" s="6"/>
      <c r="AB5472" s="6"/>
    </row>
    <row r="5473" spans="1:28" x14ac:dyDescent="0.2">
      <c r="A5473" t="s">
        <v>605</v>
      </c>
      <c r="B5473">
        <v>2020</v>
      </c>
      <c r="C5473" t="s">
        <v>816</v>
      </c>
      <c r="D5473" t="s">
        <v>817</v>
      </c>
      <c r="E5473" t="s">
        <v>31</v>
      </c>
      <c r="F5473" t="s">
        <v>607</v>
      </c>
      <c r="G5473">
        <v>69.790000000000006</v>
      </c>
      <c r="H5473">
        <v>19.053999999999998</v>
      </c>
      <c r="I5473" t="s">
        <v>766</v>
      </c>
      <c r="J5473" s="2" t="s">
        <v>14</v>
      </c>
      <c r="K5473" t="s">
        <v>144</v>
      </c>
      <c r="L5473" t="s">
        <v>144</v>
      </c>
      <c r="M5473" t="s">
        <v>553</v>
      </c>
      <c r="N5473" t="s">
        <v>85</v>
      </c>
      <c r="O5473" t="s">
        <v>364</v>
      </c>
      <c r="Q5473">
        <v>8</v>
      </c>
      <c r="R5473" t="s">
        <v>213</v>
      </c>
      <c r="S5473" s="2" t="s">
        <v>9</v>
      </c>
      <c r="T5473">
        <v>5</v>
      </c>
      <c r="U5473" t="s">
        <v>28</v>
      </c>
      <c r="V5473" t="s">
        <v>28</v>
      </c>
      <c r="W5473">
        <v>19</v>
      </c>
      <c r="X5473">
        <v>4.8779999999999997E-2</v>
      </c>
      <c r="Y5473">
        <f>0.06569-X5473</f>
        <v>1.6910000000000001E-2</v>
      </c>
      <c r="AA5473" s="6"/>
      <c r="AB5473" s="6"/>
    </row>
    <row r="5474" spans="1:28" x14ac:dyDescent="0.2">
      <c r="A5474" t="s">
        <v>605</v>
      </c>
      <c r="B5474">
        <v>2020</v>
      </c>
      <c r="C5474" t="s">
        <v>816</v>
      </c>
      <c r="D5474" t="s">
        <v>817</v>
      </c>
      <c r="E5474" t="s">
        <v>31</v>
      </c>
      <c r="F5474" t="s">
        <v>607</v>
      </c>
      <c r="G5474">
        <v>69.790000000000006</v>
      </c>
      <c r="H5474">
        <v>19.053999999999998</v>
      </c>
      <c r="I5474" t="s">
        <v>766</v>
      </c>
      <c r="J5474" s="2" t="s">
        <v>14</v>
      </c>
      <c r="K5474" t="s">
        <v>144</v>
      </c>
      <c r="L5474" t="s">
        <v>144</v>
      </c>
      <c r="M5474" t="s">
        <v>553</v>
      </c>
      <c r="N5474" t="s">
        <v>85</v>
      </c>
      <c r="O5474" t="s">
        <v>364</v>
      </c>
      <c r="Q5474">
        <v>8</v>
      </c>
      <c r="R5474" t="s">
        <v>213</v>
      </c>
      <c r="S5474" s="2" t="s">
        <v>27</v>
      </c>
      <c r="T5474">
        <v>5</v>
      </c>
      <c r="U5474" t="s">
        <v>28</v>
      </c>
      <c r="V5474" t="s">
        <v>28</v>
      </c>
      <c r="W5474">
        <v>21</v>
      </c>
      <c r="X5474">
        <v>4.8779999999999997E-2</v>
      </c>
      <c r="Y5474">
        <f>0.0839-X5474</f>
        <v>3.5120000000000005E-2</v>
      </c>
      <c r="AA5474" s="6"/>
      <c r="AB5474" s="6"/>
    </row>
    <row r="5475" spans="1:28" x14ac:dyDescent="0.2">
      <c r="A5475" t="s">
        <v>605</v>
      </c>
      <c r="B5475">
        <v>2020</v>
      </c>
      <c r="C5475" t="s">
        <v>816</v>
      </c>
      <c r="D5475" t="s">
        <v>817</v>
      </c>
      <c r="E5475" t="s">
        <v>31</v>
      </c>
      <c r="F5475" t="s">
        <v>607</v>
      </c>
      <c r="G5475">
        <v>69.790000000000006</v>
      </c>
      <c r="H5475">
        <v>19.053999999999998</v>
      </c>
      <c r="I5475" t="s">
        <v>766</v>
      </c>
      <c r="J5475" s="2" t="s">
        <v>14</v>
      </c>
      <c r="K5475" t="s">
        <v>144</v>
      </c>
      <c r="L5475" t="s">
        <v>144</v>
      </c>
      <c r="M5475" t="s">
        <v>553</v>
      </c>
      <c r="N5475" t="s">
        <v>85</v>
      </c>
      <c r="O5475" t="s">
        <v>364</v>
      </c>
      <c r="Q5475">
        <v>8</v>
      </c>
      <c r="R5475" t="s">
        <v>213</v>
      </c>
      <c r="S5475" s="2" t="s">
        <v>13</v>
      </c>
      <c r="T5475">
        <v>4</v>
      </c>
      <c r="U5475" t="s">
        <v>28</v>
      </c>
      <c r="V5475" t="s">
        <v>28</v>
      </c>
      <c r="W5475">
        <v>23</v>
      </c>
      <c r="X5475">
        <v>0.12812999999999999</v>
      </c>
      <c r="Y5475">
        <f>0.17756-X5475</f>
        <v>4.9430000000000002E-2</v>
      </c>
      <c r="AA5475" s="6"/>
      <c r="AB5475" s="6"/>
    </row>
    <row r="5476" spans="1:28" x14ac:dyDescent="0.2">
      <c r="A5476" t="s">
        <v>605</v>
      </c>
      <c r="B5476">
        <v>2020</v>
      </c>
      <c r="C5476" t="s">
        <v>816</v>
      </c>
      <c r="D5476" t="s">
        <v>817</v>
      </c>
      <c r="E5476" t="s">
        <v>31</v>
      </c>
      <c r="F5476" t="s">
        <v>307</v>
      </c>
      <c r="G5476">
        <v>54.177999999999997</v>
      </c>
      <c r="H5476">
        <v>7.8929999999999998</v>
      </c>
      <c r="I5476" t="s">
        <v>766</v>
      </c>
      <c r="J5476" s="2" t="s">
        <v>7</v>
      </c>
      <c r="K5476" t="s">
        <v>144</v>
      </c>
      <c r="L5476" t="s">
        <v>144</v>
      </c>
      <c r="M5476" t="s">
        <v>553</v>
      </c>
      <c r="N5476" t="s">
        <v>85</v>
      </c>
      <c r="O5476" t="s">
        <v>364</v>
      </c>
      <c r="Q5476">
        <v>8</v>
      </c>
      <c r="R5476" t="s">
        <v>213</v>
      </c>
      <c r="S5476" s="2" t="s">
        <v>7</v>
      </c>
      <c r="T5476">
        <v>5</v>
      </c>
      <c r="U5476" t="s">
        <v>28</v>
      </c>
      <c r="V5476" t="s">
        <v>28</v>
      </c>
      <c r="W5476">
        <v>15</v>
      </c>
      <c r="X5476">
        <v>1.366E-2</v>
      </c>
      <c r="Y5476">
        <f>0.01789-X5476</f>
        <v>4.2299999999999994E-3</v>
      </c>
      <c r="AA5476" s="6"/>
      <c r="AB5476" s="6"/>
    </row>
    <row r="5477" spans="1:28" x14ac:dyDescent="0.2">
      <c r="A5477" t="s">
        <v>605</v>
      </c>
      <c r="B5477">
        <v>2020</v>
      </c>
      <c r="C5477" t="s">
        <v>816</v>
      </c>
      <c r="D5477" t="s">
        <v>817</v>
      </c>
      <c r="E5477" t="s">
        <v>31</v>
      </c>
      <c r="F5477" t="s">
        <v>307</v>
      </c>
      <c r="G5477">
        <v>54.177999999999997</v>
      </c>
      <c r="H5477">
        <v>7.8929999999999998</v>
      </c>
      <c r="I5477" t="s">
        <v>766</v>
      </c>
      <c r="J5477" s="2" t="s">
        <v>14</v>
      </c>
      <c r="K5477" t="s">
        <v>144</v>
      </c>
      <c r="L5477" t="s">
        <v>144</v>
      </c>
      <c r="M5477" t="s">
        <v>553</v>
      </c>
      <c r="N5477" t="s">
        <v>85</v>
      </c>
      <c r="O5477" t="s">
        <v>364</v>
      </c>
      <c r="Q5477">
        <v>8</v>
      </c>
      <c r="R5477" t="s">
        <v>213</v>
      </c>
      <c r="S5477" s="2" t="s">
        <v>9</v>
      </c>
      <c r="T5477">
        <v>5</v>
      </c>
      <c r="U5477" t="s">
        <v>28</v>
      </c>
      <c r="V5477" t="s">
        <v>28</v>
      </c>
      <c r="W5477">
        <v>19</v>
      </c>
      <c r="X5477">
        <v>1.528E-2</v>
      </c>
      <c r="Y5477">
        <f>0.01919-X5477</f>
        <v>3.9099999999999985E-3</v>
      </c>
      <c r="AA5477" s="6"/>
      <c r="AB5477" s="6"/>
    </row>
    <row r="5478" spans="1:28" x14ac:dyDescent="0.2">
      <c r="A5478" t="s">
        <v>605</v>
      </c>
      <c r="B5478">
        <v>2020</v>
      </c>
      <c r="C5478" t="s">
        <v>816</v>
      </c>
      <c r="D5478" t="s">
        <v>817</v>
      </c>
      <c r="E5478" t="s">
        <v>31</v>
      </c>
      <c r="F5478" t="s">
        <v>307</v>
      </c>
      <c r="G5478">
        <v>54.177999999999997</v>
      </c>
      <c r="H5478">
        <v>7.8929999999999998</v>
      </c>
      <c r="I5478" t="s">
        <v>766</v>
      </c>
      <c r="J5478" s="2" t="s">
        <v>14</v>
      </c>
      <c r="K5478" t="s">
        <v>144</v>
      </c>
      <c r="L5478" t="s">
        <v>144</v>
      </c>
      <c r="M5478" t="s">
        <v>553</v>
      </c>
      <c r="N5478" t="s">
        <v>85</v>
      </c>
      <c r="O5478" t="s">
        <v>364</v>
      </c>
      <c r="Q5478">
        <v>8</v>
      </c>
      <c r="R5478" t="s">
        <v>213</v>
      </c>
      <c r="S5478" s="2" t="s">
        <v>27</v>
      </c>
      <c r="T5478">
        <v>5</v>
      </c>
      <c r="U5478" t="s">
        <v>28</v>
      </c>
      <c r="V5478" t="s">
        <v>28</v>
      </c>
      <c r="W5478">
        <v>21</v>
      </c>
      <c r="X5478">
        <v>2.0809999999999999E-2</v>
      </c>
      <c r="Y5478">
        <f>0.02797-X5478</f>
        <v>7.1599999999999997E-3</v>
      </c>
      <c r="AA5478" s="6"/>
      <c r="AB5478" s="6"/>
    </row>
    <row r="5479" spans="1:28" x14ac:dyDescent="0.2">
      <c r="A5479" t="s">
        <v>605</v>
      </c>
      <c r="B5479">
        <v>2020</v>
      </c>
      <c r="C5479" t="s">
        <v>816</v>
      </c>
      <c r="D5479" t="s">
        <v>817</v>
      </c>
      <c r="E5479" t="s">
        <v>31</v>
      </c>
      <c r="F5479" t="s">
        <v>307</v>
      </c>
      <c r="G5479">
        <v>54.177999999999997</v>
      </c>
      <c r="H5479">
        <v>7.8929999999999998</v>
      </c>
      <c r="I5479" t="s">
        <v>766</v>
      </c>
      <c r="J5479" s="2" t="s">
        <v>14</v>
      </c>
      <c r="K5479" t="s">
        <v>144</v>
      </c>
      <c r="L5479" t="s">
        <v>144</v>
      </c>
      <c r="M5479" t="s">
        <v>553</v>
      </c>
      <c r="N5479" t="s">
        <v>85</v>
      </c>
      <c r="O5479" t="s">
        <v>364</v>
      </c>
      <c r="Q5479">
        <v>8</v>
      </c>
      <c r="R5479" t="s">
        <v>213</v>
      </c>
      <c r="S5479" s="2" t="s">
        <v>13</v>
      </c>
      <c r="T5479">
        <v>5</v>
      </c>
      <c r="U5479" t="s">
        <v>28</v>
      </c>
      <c r="V5479" t="s">
        <v>28</v>
      </c>
      <c r="W5479">
        <v>23</v>
      </c>
      <c r="X5479">
        <v>4.3249999999999997E-2</v>
      </c>
      <c r="Y5479">
        <f>0.06374-X5479</f>
        <v>2.0490000000000008E-2</v>
      </c>
      <c r="AA5479" s="6"/>
      <c r="AB5479" s="6"/>
    </row>
    <row r="5480" spans="1:28" x14ac:dyDescent="0.2">
      <c r="A5480" t="s">
        <v>605</v>
      </c>
      <c r="B5480">
        <v>2020</v>
      </c>
      <c r="C5480" t="s">
        <v>816</v>
      </c>
      <c r="D5480" t="s">
        <v>817</v>
      </c>
      <c r="E5480" t="s">
        <v>31</v>
      </c>
      <c r="F5480" t="s">
        <v>283</v>
      </c>
      <c r="G5480">
        <v>48.726999999999997</v>
      </c>
      <c r="H5480">
        <v>-4.0049999999999999</v>
      </c>
      <c r="I5480" t="s">
        <v>765</v>
      </c>
      <c r="J5480" s="2" t="s">
        <v>7</v>
      </c>
      <c r="K5480" t="s">
        <v>144</v>
      </c>
      <c r="L5480" t="s">
        <v>144</v>
      </c>
      <c r="M5480" t="s">
        <v>553</v>
      </c>
      <c r="N5480" t="s">
        <v>85</v>
      </c>
      <c r="O5480" t="s">
        <v>364</v>
      </c>
      <c r="Q5480">
        <v>8</v>
      </c>
      <c r="R5480" t="s">
        <v>213</v>
      </c>
      <c r="S5480" s="2" t="s">
        <v>7</v>
      </c>
      <c r="T5480">
        <v>5</v>
      </c>
      <c r="U5480" t="s">
        <v>28</v>
      </c>
      <c r="V5480" t="s">
        <v>28</v>
      </c>
      <c r="W5480">
        <v>15</v>
      </c>
      <c r="X5480">
        <v>2.3089999999999999E-2</v>
      </c>
      <c r="Y5480">
        <f>0.02992-X5480</f>
        <v>6.8299999999999993E-3</v>
      </c>
      <c r="AA5480" s="6"/>
      <c r="AB5480" s="6"/>
    </row>
    <row r="5481" spans="1:28" x14ac:dyDescent="0.2">
      <c r="A5481" t="s">
        <v>605</v>
      </c>
      <c r="B5481">
        <v>2020</v>
      </c>
      <c r="C5481" t="s">
        <v>816</v>
      </c>
      <c r="D5481" t="s">
        <v>817</v>
      </c>
      <c r="E5481" t="s">
        <v>31</v>
      </c>
      <c r="F5481" t="s">
        <v>283</v>
      </c>
      <c r="G5481">
        <v>48.726999999999997</v>
      </c>
      <c r="H5481">
        <v>-4.0049999999999999</v>
      </c>
      <c r="I5481" t="s">
        <v>765</v>
      </c>
      <c r="J5481" s="2" t="s">
        <v>14</v>
      </c>
      <c r="K5481" t="s">
        <v>144</v>
      </c>
      <c r="L5481" t="s">
        <v>144</v>
      </c>
      <c r="M5481" t="s">
        <v>553</v>
      </c>
      <c r="N5481" t="s">
        <v>85</v>
      </c>
      <c r="O5481" t="s">
        <v>364</v>
      </c>
      <c r="Q5481">
        <v>8</v>
      </c>
      <c r="R5481" t="s">
        <v>213</v>
      </c>
      <c r="S5481" s="2" t="s">
        <v>9</v>
      </c>
      <c r="T5481">
        <v>5</v>
      </c>
      <c r="U5481" t="s">
        <v>28</v>
      </c>
      <c r="V5481" t="s">
        <v>28</v>
      </c>
      <c r="W5481">
        <v>19</v>
      </c>
      <c r="X5481">
        <v>5.9839999999999997E-2</v>
      </c>
      <c r="Y5481">
        <f>0.08585-X5481</f>
        <v>2.6009999999999998E-2</v>
      </c>
      <c r="AA5481" s="6"/>
      <c r="AB5481" s="6"/>
    </row>
    <row r="5482" spans="1:28" x14ac:dyDescent="0.2">
      <c r="A5482" t="s">
        <v>605</v>
      </c>
      <c r="B5482">
        <v>2020</v>
      </c>
      <c r="C5482" t="s">
        <v>816</v>
      </c>
      <c r="D5482" t="s">
        <v>817</v>
      </c>
      <c r="E5482" t="s">
        <v>31</v>
      </c>
      <c r="F5482" t="s">
        <v>283</v>
      </c>
      <c r="G5482">
        <v>48.726999999999997</v>
      </c>
      <c r="H5482">
        <v>-4.0049999999999999</v>
      </c>
      <c r="I5482" t="s">
        <v>765</v>
      </c>
      <c r="J5482" s="2" t="s">
        <v>14</v>
      </c>
      <c r="K5482" t="s">
        <v>144</v>
      </c>
      <c r="L5482" t="s">
        <v>144</v>
      </c>
      <c r="M5482" t="s">
        <v>553</v>
      </c>
      <c r="N5482" t="s">
        <v>85</v>
      </c>
      <c r="O5482" t="s">
        <v>364</v>
      </c>
      <c r="Q5482">
        <v>8</v>
      </c>
      <c r="R5482" t="s">
        <v>213</v>
      </c>
      <c r="S5482" s="2" t="s">
        <v>27</v>
      </c>
      <c r="T5482">
        <v>5</v>
      </c>
      <c r="U5482" t="s">
        <v>28</v>
      </c>
      <c r="V5482" t="s">
        <v>28</v>
      </c>
      <c r="W5482">
        <v>21</v>
      </c>
      <c r="X5482">
        <v>7.707E-2</v>
      </c>
      <c r="Y5482">
        <f>0.10699-X5482</f>
        <v>2.9920000000000002E-2</v>
      </c>
      <c r="AA5482" s="6"/>
      <c r="AB5482" s="6"/>
    </row>
    <row r="5483" spans="1:28" x14ac:dyDescent="0.2">
      <c r="A5483" t="s">
        <v>605</v>
      </c>
      <c r="B5483">
        <v>2020</v>
      </c>
      <c r="C5483" t="s">
        <v>816</v>
      </c>
      <c r="D5483" t="s">
        <v>817</v>
      </c>
      <c r="E5483" t="s">
        <v>31</v>
      </c>
      <c r="F5483" t="s">
        <v>283</v>
      </c>
      <c r="G5483">
        <v>48.726999999999997</v>
      </c>
      <c r="H5483">
        <v>-4.0049999999999999</v>
      </c>
      <c r="I5483" t="s">
        <v>765</v>
      </c>
      <c r="J5483" s="2" t="s">
        <v>14</v>
      </c>
      <c r="K5483" t="s">
        <v>144</v>
      </c>
      <c r="L5483" t="s">
        <v>144</v>
      </c>
      <c r="M5483" t="s">
        <v>553</v>
      </c>
      <c r="N5483" t="s">
        <v>85</v>
      </c>
      <c r="O5483" t="s">
        <v>364</v>
      </c>
      <c r="Q5483">
        <v>8</v>
      </c>
      <c r="R5483" t="s">
        <v>213</v>
      </c>
      <c r="S5483" s="2" t="s">
        <v>13</v>
      </c>
      <c r="T5483">
        <v>5</v>
      </c>
      <c r="U5483" t="s">
        <v>28</v>
      </c>
      <c r="V5483" t="s">
        <v>28</v>
      </c>
      <c r="W5483">
        <v>23</v>
      </c>
      <c r="X5483">
        <v>0.13789000000000001</v>
      </c>
      <c r="Y5483">
        <f>0.18309-X5483</f>
        <v>4.519999999999999E-2</v>
      </c>
      <c r="AA5483" s="6"/>
      <c r="AB5483" s="6"/>
    </row>
    <row r="5484" spans="1:28" x14ac:dyDescent="0.2">
      <c r="A5484" t="s">
        <v>605</v>
      </c>
      <c r="B5484">
        <v>2020</v>
      </c>
      <c r="C5484" t="s">
        <v>816</v>
      </c>
      <c r="D5484" t="s">
        <v>817</v>
      </c>
      <c r="E5484" t="s">
        <v>31</v>
      </c>
      <c r="F5484" t="s">
        <v>608</v>
      </c>
      <c r="G5484">
        <v>47.47</v>
      </c>
      <c r="H5484">
        <v>-3.0910000000000002</v>
      </c>
      <c r="I5484" t="s">
        <v>765</v>
      </c>
      <c r="J5484" s="2" t="s">
        <v>7</v>
      </c>
      <c r="K5484" t="s">
        <v>144</v>
      </c>
      <c r="L5484" t="s">
        <v>144</v>
      </c>
      <c r="M5484" t="s">
        <v>553</v>
      </c>
      <c r="N5484" t="s">
        <v>85</v>
      </c>
      <c r="O5484" t="s">
        <v>364</v>
      </c>
      <c r="Q5484">
        <v>8</v>
      </c>
      <c r="R5484" t="s">
        <v>213</v>
      </c>
      <c r="S5484" s="2" t="s">
        <v>7</v>
      </c>
      <c r="T5484">
        <v>5</v>
      </c>
      <c r="U5484" t="s">
        <v>28</v>
      </c>
      <c r="V5484" t="s">
        <v>28</v>
      </c>
      <c r="W5484">
        <v>15</v>
      </c>
      <c r="X5484">
        <v>3.2199999999999999E-2</v>
      </c>
      <c r="Y5484">
        <f>0.03967-X5484</f>
        <v>7.4699999999999975E-3</v>
      </c>
      <c r="AA5484" s="6"/>
      <c r="AB5484" s="6"/>
    </row>
    <row r="5485" spans="1:28" x14ac:dyDescent="0.2">
      <c r="A5485" t="s">
        <v>605</v>
      </c>
      <c r="B5485">
        <v>2020</v>
      </c>
      <c r="C5485" t="s">
        <v>816</v>
      </c>
      <c r="D5485" t="s">
        <v>817</v>
      </c>
      <c r="E5485" t="s">
        <v>31</v>
      </c>
      <c r="F5485" t="s">
        <v>608</v>
      </c>
      <c r="G5485">
        <v>47.47</v>
      </c>
      <c r="H5485">
        <v>-3.0910000000000002</v>
      </c>
      <c r="I5485" t="s">
        <v>765</v>
      </c>
      <c r="J5485" s="2" t="s">
        <v>14</v>
      </c>
      <c r="K5485" t="s">
        <v>144</v>
      </c>
      <c r="L5485" t="s">
        <v>144</v>
      </c>
      <c r="M5485" t="s">
        <v>553</v>
      </c>
      <c r="N5485" t="s">
        <v>85</v>
      </c>
      <c r="O5485" t="s">
        <v>364</v>
      </c>
      <c r="Q5485">
        <v>8</v>
      </c>
      <c r="R5485" t="s">
        <v>213</v>
      </c>
      <c r="S5485" s="2" t="s">
        <v>9</v>
      </c>
      <c r="T5485">
        <v>5</v>
      </c>
      <c r="U5485" t="s">
        <v>28</v>
      </c>
      <c r="V5485" t="s">
        <v>28</v>
      </c>
      <c r="W5485">
        <v>19</v>
      </c>
      <c r="X5485">
        <v>4.65E-2</v>
      </c>
      <c r="Y5485">
        <f>0.05821-X5485</f>
        <v>1.1709999999999998E-2</v>
      </c>
      <c r="AA5485" s="6"/>
      <c r="AB5485" s="6"/>
    </row>
    <row r="5486" spans="1:28" x14ac:dyDescent="0.2">
      <c r="A5486" t="s">
        <v>605</v>
      </c>
      <c r="B5486">
        <v>2020</v>
      </c>
      <c r="C5486" t="s">
        <v>816</v>
      </c>
      <c r="D5486" t="s">
        <v>817</v>
      </c>
      <c r="E5486" t="s">
        <v>31</v>
      </c>
      <c r="F5486" t="s">
        <v>608</v>
      </c>
      <c r="G5486">
        <v>47.47</v>
      </c>
      <c r="H5486">
        <v>-3.0910000000000002</v>
      </c>
      <c r="I5486" t="s">
        <v>765</v>
      </c>
      <c r="J5486" s="2" t="s">
        <v>14</v>
      </c>
      <c r="K5486" t="s">
        <v>144</v>
      </c>
      <c r="L5486" t="s">
        <v>144</v>
      </c>
      <c r="M5486" t="s">
        <v>553</v>
      </c>
      <c r="N5486" t="s">
        <v>85</v>
      </c>
      <c r="O5486" t="s">
        <v>364</v>
      </c>
      <c r="Q5486">
        <v>8</v>
      </c>
      <c r="R5486" t="s">
        <v>213</v>
      </c>
      <c r="S5486" s="2" t="s">
        <v>27</v>
      </c>
      <c r="T5486">
        <v>5</v>
      </c>
      <c r="U5486" t="s">
        <v>28</v>
      </c>
      <c r="V5486" t="s">
        <v>28</v>
      </c>
      <c r="W5486">
        <v>21</v>
      </c>
      <c r="X5486">
        <v>6.0490000000000002E-2</v>
      </c>
      <c r="Y5486">
        <f>0.08325-X5486</f>
        <v>2.2760000000000002E-2</v>
      </c>
      <c r="AA5486" s="6"/>
      <c r="AB5486" s="6"/>
    </row>
    <row r="5487" spans="1:28" x14ac:dyDescent="0.2">
      <c r="A5487" t="s">
        <v>605</v>
      </c>
      <c r="B5487">
        <v>2020</v>
      </c>
      <c r="C5487" t="s">
        <v>816</v>
      </c>
      <c r="D5487" t="s">
        <v>817</v>
      </c>
      <c r="E5487" t="s">
        <v>31</v>
      </c>
      <c r="F5487" t="s">
        <v>608</v>
      </c>
      <c r="G5487">
        <v>47.47</v>
      </c>
      <c r="H5487">
        <v>-3.0910000000000002</v>
      </c>
      <c r="I5487" t="s">
        <v>765</v>
      </c>
      <c r="J5487" s="2" t="s">
        <v>14</v>
      </c>
      <c r="K5487" t="s">
        <v>144</v>
      </c>
      <c r="L5487" t="s">
        <v>144</v>
      </c>
      <c r="M5487" t="s">
        <v>553</v>
      </c>
      <c r="N5487" t="s">
        <v>85</v>
      </c>
      <c r="O5487" t="s">
        <v>364</v>
      </c>
      <c r="Q5487">
        <v>8</v>
      </c>
      <c r="R5487" t="s">
        <v>213</v>
      </c>
      <c r="S5487" s="2" t="s">
        <v>13</v>
      </c>
      <c r="T5487">
        <v>5</v>
      </c>
      <c r="U5487" t="s">
        <v>28</v>
      </c>
      <c r="V5487" t="s">
        <v>28</v>
      </c>
      <c r="W5487">
        <v>23</v>
      </c>
      <c r="X5487">
        <v>0.14893999999999999</v>
      </c>
      <c r="Y5487">
        <f>0.17333-X5487</f>
        <v>2.4390000000000023E-2</v>
      </c>
      <c r="AA5487" s="6"/>
      <c r="AB5487" s="6"/>
    </row>
    <row r="5488" spans="1:28" x14ac:dyDescent="0.2">
      <c r="A5488" t="s">
        <v>610</v>
      </c>
      <c r="B5488">
        <v>2016</v>
      </c>
      <c r="C5488" t="s">
        <v>807</v>
      </c>
      <c r="D5488" t="s">
        <v>825</v>
      </c>
      <c r="E5488" t="s">
        <v>35</v>
      </c>
      <c r="F5488" t="s">
        <v>611</v>
      </c>
      <c r="G5488">
        <v>-37.633333</v>
      </c>
      <c r="H5488">
        <v>176.16666699999999</v>
      </c>
      <c r="I5488" t="s">
        <v>761</v>
      </c>
      <c r="J5488" s="2" t="s">
        <v>7</v>
      </c>
      <c r="K5488" t="s">
        <v>144</v>
      </c>
      <c r="L5488" t="s">
        <v>144</v>
      </c>
      <c r="M5488" t="s">
        <v>726</v>
      </c>
      <c r="N5488" t="s">
        <v>85</v>
      </c>
      <c r="O5488" t="s">
        <v>84</v>
      </c>
      <c r="Q5488">
        <v>1</v>
      </c>
      <c r="R5488" t="s">
        <v>214</v>
      </c>
      <c r="S5488" s="2" t="s">
        <v>7</v>
      </c>
      <c r="T5488">
        <v>10</v>
      </c>
      <c r="U5488" t="s">
        <v>28</v>
      </c>
      <c r="V5488" t="s">
        <v>28</v>
      </c>
      <c r="W5488">
        <v>15</v>
      </c>
      <c r="X5488">
        <v>0.73199999999999998</v>
      </c>
      <c r="Y5488">
        <v>2.3E-2</v>
      </c>
      <c r="AA5488" s="6"/>
      <c r="AB5488" s="6"/>
    </row>
    <row r="5489" spans="1:28" x14ac:dyDescent="0.2">
      <c r="A5489" t="s">
        <v>610</v>
      </c>
      <c r="B5489">
        <v>2016</v>
      </c>
      <c r="C5489" t="s">
        <v>807</v>
      </c>
      <c r="D5489" t="s">
        <v>825</v>
      </c>
      <c r="E5489" t="s">
        <v>35</v>
      </c>
      <c r="F5489" t="s">
        <v>611</v>
      </c>
      <c r="G5489">
        <v>-37.633333</v>
      </c>
      <c r="H5489">
        <v>176.16666699999999</v>
      </c>
      <c r="I5489" t="s">
        <v>761</v>
      </c>
      <c r="J5489" s="2" t="s">
        <v>14</v>
      </c>
      <c r="K5489" t="s">
        <v>144</v>
      </c>
      <c r="L5489" t="s">
        <v>144</v>
      </c>
      <c r="M5489" t="s">
        <v>726</v>
      </c>
      <c r="N5489" t="s">
        <v>85</v>
      </c>
      <c r="O5489" t="s">
        <v>84</v>
      </c>
      <c r="Q5489">
        <v>1</v>
      </c>
      <c r="R5489" t="s">
        <v>214</v>
      </c>
      <c r="S5489" s="2" t="s">
        <v>9</v>
      </c>
      <c r="T5489">
        <v>10</v>
      </c>
      <c r="U5489" t="s">
        <v>28</v>
      </c>
      <c r="V5489" t="s">
        <v>28</v>
      </c>
      <c r="W5489">
        <v>20</v>
      </c>
      <c r="X5489">
        <v>0.77500000000000002</v>
      </c>
      <c r="Y5489">
        <v>3.4000000000000002E-2</v>
      </c>
      <c r="AA5489" s="6"/>
      <c r="AB5489" s="6"/>
    </row>
    <row r="5490" spans="1:28" x14ac:dyDescent="0.2">
      <c r="A5490" t="s">
        <v>610</v>
      </c>
      <c r="B5490">
        <v>2016</v>
      </c>
      <c r="C5490" t="s">
        <v>807</v>
      </c>
      <c r="D5490" t="s">
        <v>825</v>
      </c>
      <c r="E5490" t="s">
        <v>35</v>
      </c>
      <c r="F5490" t="s">
        <v>611</v>
      </c>
      <c r="G5490">
        <v>-37.633333</v>
      </c>
      <c r="H5490">
        <v>176.16666699999999</v>
      </c>
      <c r="I5490" t="s">
        <v>761</v>
      </c>
      <c r="J5490" s="2" t="s">
        <v>14</v>
      </c>
      <c r="K5490" t="s">
        <v>144</v>
      </c>
      <c r="L5490" t="s">
        <v>144</v>
      </c>
      <c r="M5490" t="s">
        <v>726</v>
      </c>
      <c r="N5490" t="s">
        <v>85</v>
      </c>
      <c r="O5490" t="s">
        <v>84</v>
      </c>
      <c r="Q5490">
        <v>1</v>
      </c>
      <c r="R5490" t="s">
        <v>214</v>
      </c>
      <c r="S5490" s="2" t="s">
        <v>27</v>
      </c>
      <c r="T5490">
        <v>10</v>
      </c>
      <c r="U5490" t="s">
        <v>28</v>
      </c>
      <c r="V5490" t="s">
        <v>28</v>
      </c>
      <c r="W5490">
        <v>25</v>
      </c>
      <c r="X5490">
        <v>0.752</v>
      </c>
      <c r="Y5490">
        <v>0.02</v>
      </c>
      <c r="AA5490" s="6"/>
      <c r="AB5490" s="6"/>
    </row>
    <row r="5491" spans="1:28" x14ac:dyDescent="0.2">
      <c r="A5491" t="s">
        <v>610</v>
      </c>
      <c r="B5491">
        <v>2016</v>
      </c>
      <c r="C5491" t="s">
        <v>807</v>
      </c>
      <c r="D5491" t="s">
        <v>825</v>
      </c>
      <c r="E5491" t="s">
        <v>35</v>
      </c>
      <c r="F5491" t="s">
        <v>611</v>
      </c>
      <c r="G5491">
        <v>-37.633333</v>
      </c>
      <c r="H5491">
        <v>176.16666699999999</v>
      </c>
      <c r="I5491" t="s">
        <v>761</v>
      </c>
      <c r="J5491" s="2" t="s">
        <v>7</v>
      </c>
      <c r="K5491" t="s">
        <v>144</v>
      </c>
      <c r="L5491" t="s">
        <v>144</v>
      </c>
      <c r="M5491" t="s">
        <v>726</v>
      </c>
      <c r="N5491" t="s">
        <v>85</v>
      </c>
      <c r="O5491" t="s">
        <v>84</v>
      </c>
      <c r="Q5491">
        <v>3</v>
      </c>
      <c r="R5491" t="s">
        <v>214</v>
      </c>
      <c r="S5491" s="2" t="s">
        <v>7</v>
      </c>
      <c r="T5491">
        <v>10</v>
      </c>
      <c r="U5491" t="s">
        <v>28</v>
      </c>
      <c r="V5491" t="s">
        <v>28</v>
      </c>
      <c r="W5491">
        <v>15</v>
      </c>
      <c r="X5491">
        <v>0.754</v>
      </c>
      <c r="Y5491">
        <v>1.0999999999999999E-2</v>
      </c>
      <c r="AA5491" s="6"/>
      <c r="AB5491" s="6"/>
    </row>
    <row r="5492" spans="1:28" x14ac:dyDescent="0.2">
      <c r="A5492" t="s">
        <v>610</v>
      </c>
      <c r="B5492">
        <v>2016</v>
      </c>
      <c r="C5492" t="s">
        <v>807</v>
      </c>
      <c r="D5492" t="s">
        <v>825</v>
      </c>
      <c r="E5492" t="s">
        <v>35</v>
      </c>
      <c r="F5492" t="s">
        <v>611</v>
      </c>
      <c r="G5492">
        <v>-37.633333</v>
      </c>
      <c r="H5492">
        <v>176.16666699999999</v>
      </c>
      <c r="I5492" t="s">
        <v>761</v>
      </c>
      <c r="J5492" s="2" t="s">
        <v>14</v>
      </c>
      <c r="K5492" t="s">
        <v>144</v>
      </c>
      <c r="L5492" t="s">
        <v>144</v>
      </c>
      <c r="M5492" t="s">
        <v>726</v>
      </c>
      <c r="N5492" t="s">
        <v>85</v>
      </c>
      <c r="O5492" t="s">
        <v>84</v>
      </c>
      <c r="Q5492">
        <v>3</v>
      </c>
      <c r="R5492" t="s">
        <v>214</v>
      </c>
      <c r="S5492" s="2" t="s">
        <v>9</v>
      </c>
      <c r="T5492">
        <v>10</v>
      </c>
      <c r="U5492" t="s">
        <v>28</v>
      </c>
      <c r="V5492" t="s">
        <v>28</v>
      </c>
      <c r="W5492">
        <v>20</v>
      </c>
      <c r="X5492">
        <v>0.76300000000000001</v>
      </c>
      <c r="Y5492">
        <v>1.4999999999999999E-2</v>
      </c>
      <c r="AA5492" s="6"/>
      <c r="AB5492" s="6"/>
    </row>
    <row r="5493" spans="1:28" x14ac:dyDescent="0.2">
      <c r="A5493" t="s">
        <v>610</v>
      </c>
      <c r="B5493">
        <v>2016</v>
      </c>
      <c r="C5493" t="s">
        <v>807</v>
      </c>
      <c r="D5493" t="s">
        <v>825</v>
      </c>
      <c r="E5493" t="s">
        <v>35</v>
      </c>
      <c r="F5493" t="s">
        <v>611</v>
      </c>
      <c r="G5493">
        <v>-37.633333</v>
      </c>
      <c r="H5493">
        <v>176.16666699999999</v>
      </c>
      <c r="I5493" t="s">
        <v>761</v>
      </c>
      <c r="J5493" s="2" t="s">
        <v>14</v>
      </c>
      <c r="K5493" t="s">
        <v>144</v>
      </c>
      <c r="L5493" t="s">
        <v>144</v>
      </c>
      <c r="M5493" t="s">
        <v>726</v>
      </c>
      <c r="N5493" t="s">
        <v>85</v>
      </c>
      <c r="O5493" t="s">
        <v>84</v>
      </c>
      <c r="Q5493">
        <v>3</v>
      </c>
      <c r="R5493" t="s">
        <v>214</v>
      </c>
      <c r="S5493" s="2" t="s">
        <v>27</v>
      </c>
      <c r="T5493">
        <v>10</v>
      </c>
      <c r="U5493" t="s">
        <v>28</v>
      </c>
      <c r="V5493" t="s">
        <v>28</v>
      </c>
      <c r="W5493">
        <v>25</v>
      </c>
      <c r="X5493">
        <v>0.77200000000000002</v>
      </c>
      <c r="Y5493">
        <v>2.3E-2</v>
      </c>
      <c r="AA5493" s="6"/>
      <c r="AB5493" s="6"/>
    </row>
    <row r="5494" spans="1:28" x14ac:dyDescent="0.2">
      <c r="A5494" t="s">
        <v>610</v>
      </c>
      <c r="B5494">
        <v>2016</v>
      </c>
      <c r="C5494" t="s">
        <v>807</v>
      </c>
      <c r="D5494" t="s">
        <v>825</v>
      </c>
      <c r="E5494" t="s">
        <v>35</v>
      </c>
      <c r="F5494" t="s">
        <v>611</v>
      </c>
      <c r="G5494">
        <v>-37.633333</v>
      </c>
      <c r="H5494">
        <v>176.16666699999999</v>
      </c>
      <c r="I5494" t="s">
        <v>761</v>
      </c>
      <c r="J5494" s="2" t="s">
        <v>7</v>
      </c>
      <c r="K5494" t="s">
        <v>144</v>
      </c>
      <c r="L5494" t="s">
        <v>144</v>
      </c>
      <c r="M5494" t="s">
        <v>726</v>
      </c>
      <c r="N5494" t="s">
        <v>85</v>
      </c>
      <c r="O5494" t="s">
        <v>84</v>
      </c>
      <c r="Q5494">
        <v>6</v>
      </c>
      <c r="R5494" t="s">
        <v>214</v>
      </c>
      <c r="S5494" s="2" t="s">
        <v>7</v>
      </c>
      <c r="T5494">
        <v>10</v>
      </c>
      <c r="U5494" t="s">
        <v>28</v>
      </c>
      <c r="V5494" t="s">
        <v>28</v>
      </c>
      <c r="W5494">
        <v>15</v>
      </c>
      <c r="X5494">
        <v>0.73499999999999999</v>
      </c>
      <c r="Y5494">
        <v>4.8000000000000001E-2</v>
      </c>
      <c r="AA5494" s="6"/>
      <c r="AB5494" s="6"/>
    </row>
    <row r="5495" spans="1:28" x14ac:dyDescent="0.2">
      <c r="A5495" t="s">
        <v>610</v>
      </c>
      <c r="B5495">
        <v>2016</v>
      </c>
      <c r="C5495" t="s">
        <v>807</v>
      </c>
      <c r="D5495" t="s">
        <v>825</v>
      </c>
      <c r="E5495" t="s">
        <v>35</v>
      </c>
      <c r="F5495" t="s">
        <v>611</v>
      </c>
      <c r="G5495">
        <v>-37.633333</v>
      </c>
      <c r="H5495">
        <v>176.16666699999999</v>
      </c>
      <c r="I5495" t="s">
        <v>761</v>
      </c>
      <c r="J5495" s="2" t="s">
        <v>14</v>
      </c>
      <c r="K5495" t="s">
        <v>144</v>
      </c>
      <c r="L5495" t="s">
        <v>144</v>
      </c>
      <c r="M5495" t="s">
        <v>726</v>
      </c>
      <c r="N5495" t="s">
        <v>85</v>
      </c>
      <c r="O5495" t="s">
        <v>84</v>
      </c>
      <c r="Q5495">
        <v>6</v>
      </c>
      <c r="R5495" t="s">
        <v>214</v>
      </c>
      <c r="S5495" s="2" t="s">
        <v>9</v>
      </c>
      <c r="T5495">
        <v>10</v>
      </c>
      <c r="U5495" t="s">
        <v>28</v>
      </c>
      <c r="V5495" t="s">
        <v>28</v>
      </c>
      <c r="W5495">
        <v>20</v>
      </c>
      <c r="X5495">
        <v>0.77600000000000002</v>
      </c>
      <c r="Y5495">
        <v>3.4000000000000002E-2</v>
      </c>
      <c r="AA5495" s="6"/>
      <c r="AB5495" s="6"/>
    </row>
    <row r="5496" spans="1:28" x14ac:dyDescent="0.2">
      <c r="A5496" t="s">
        <v>610</v>
      </c>
      <c r="B5496">
        <v>2016</v>
      </c>
      <c r="C5496" t="s">
        <v>807</v>
      </c>
      <c r="D5496" t="s">
        <v>825</v>
      </c>
      <c r="E5496" t="s">
        <v>35</v>
      </c>
      <c r="F5496" t="s">
        <v>611</v>
      </c>
      <c r="G5496">
        <v>-37.633333</v>
      </c>
      <c r="H5496">
        <v>176.16666699999999</v>
      </c>
      <c r="I5496" t="s">
        <v>761</v>
      </c>
      <c r="J5496" s="2" t="s">
        <v>14</v>
      </c>
      <c r="K5496" t="s">
        <v>144</v>
      </c>
      <c r="L5496" t="s">
        <v>144</v>
      </c>
      <c r="M5496" t="s">
        <v>726</v>
      </c>
      <c r="N5496" t="s">
        <v>85</v>
      </c>
      <c r="O5496" t="s">
        <v>84</v>
      </c>
      <c r="Q5496">
        <v>6</v>
      </c>
      <c r="R5496" t="s">
        <v>214</v>
      </c>
      <c r="S5496" s="2" t="s">
        <v>27</v>
      </c>
      <c r="T5496">
        <v>10</v>
      </c>
      <c r="U5496" t="s">
        <v>28</v>
      </c>
      <c r="V5496" t="s">
        <v>28</v>
      </c>
      <c r="W5496">
        <v>25</v>
      </c>
      <c r="X5496">
        <v>0.749</v>
      </c>
      <c r="Y5496">
        <v>3.9E-2</v>
      </c>
      <c r="AA5496" s="6"/>
      <c r="AB5496" s="6"/>
    </row>
    <row r="5497" spans="1:28" x14ac:dyDescent="0.2">
      <c r="A5497" t="s">
        <v>610</v>
      </c>
      <c r="B5497">
        <v>2016</v>
      </c>
      <c r="C5497" t="s">
        <v>807</v>
      </c>
      <c r="D5497" t="s">
        <v>825</v>
      </c>
      <c r="E5497" t="s">
        <v>35</v>
      </c>
      <c r="F5497" t="s">
        <v>611</v>
      </c>
      <c r="G5497">
        <v>-37.633333</v>
      </c>
      <c r="H5497">
        <v>176.16666699999999</v>
      </c>
      <c r="I5497" t="s">
        <v>761</v>
      </c>
      <c r="J5497" s="2" t="s">
        <v>7</v>
      </c>
      <c r="K5497" t="s">
        <v>144</v>
      </c>
      <c r="L5497" t="s">
        <v>144</v>
      </c>
      <c r="M5497" t="s">
        <v>726</v>
      </c>
      <c r="N5497" t="s">
        <v>85</v>
      </c>
      <c r="O5497" t="s">
        <v>84</v>
      </c>
      <c r="Q5497">
        <v>10</v>
      </c>
      <c r="R5497" t="s">
        <v>213</v>
      </c>
      <c r="S5497" s="2" t="s">
        <v>7</v>
      </c>
      <c r="T5497">
        <v>10</v>
      </c>
      <c r="U5497" t="s">
        <v>28</v>
      </c>
      <c r="V5497" t="s">
        <v>28</v>
      </c>
      <c r="W5497">
        <v>15</v>
      </c>
      <c r="X5497">
        <v>0.73699999999999999</v>
      </c>
      <c r="Y5497">
        <v>2.7E-2</v>
      </c>
      <c r="AA5497" s="6"/>
      <c r="AB5497" s="6"/>
    </row>
    <row r="5498" spans="1:28" x14ac:dyDescent="0.2">
      <c r="A5498" t="s">
        <v>610</v>
      </c>
      <c r="B5498">
        <v>2016</v>
      </c>
      <c r="C5498" t="s">
        <v>807</v>
      </c>
      <c r="D5498" t="s">
        <v>825</v>
      </c>
      <c r="E5498" t="s">
        <v>35</v>
      </c>
      <c r="F5498" t="s">
        <v>611</v>
      </c>
      <c r="G5498">
        <v>-37.633333</v>
      </c>
      <c r="H5498">
        <v>176.16666699999999</v>
      </c>
      <c r="I5498" t="s">
        <v>761</v>
      </c>
      <c r="J5498" s="2" t="s">
        <v>14</v>
      </c>
      <c r="K5498" t="s">
        <v>144</v>
      </c>
      <c r="L5498" t="s">
        <v>144</v>
      </c>
      <c r="M5498" t="s">
        <v>726</v>
      </c>
      <c r="N5498" t="s">
        <v>85</v>
      </c>
      <c r="O5498" t="s">
        <v>84</v>
      </c>
      <c r="Q5498">
        <v>10</v>
      </c>
      <c r="R5498" t="s">
        <v>213</v>
      </c>
      <c r="S5498" s="2" t="s">
        <v>9</v>
      </c>
      <c r="T5498">
        <v>10</v>
      </c>
      <c r="U5498" t="s">
        <v>28</v>
      </c>
      <c r="V5498" t="s">
        <v>28</v>
      </c>
      <c r="W5498">
        <v>20</v>
      </c>
      <c r="X5498">
        <v>0.72899999999999998</v>
      </c>
      <c r="Y5498">
        <v>3.9E-2</v>
      </c>
      <c r="AA5498" s="6"/>
      <c r="AB5498" s="6"/>
    </row>
    <row r="5499" spans="1:28" x14ac:dyDescent="0.2">
      <c r="A5499" t="s">
        <v>610</v>
      </c>
      <c r="B5499">
        <v>2016</v>
      </c>
      <c r="C5499" t="s">
        <v>807</v>
      </c>
      <c r="D5499" t="s">
        <v>825</v>
      </c>
      <c r="E5499" t="s">
        <v>35</v>
      </c>
      <c r="F5499" t="s">
        <v>611</v>
      </c>
      <c r="G5499">
        <v>-37.633333</v>
      </c>
      <c r="H5499">
        <v>176.16666699999999</v>
      </c>
      <c r="I5499" t="s">
        <v>761</v>
      </c>
      <c r="J5499" s="2" t="s">
        <v>14</v>
      </c>
      <c r="K5499" t="s">
        <v>144</v>
      </c>
      <c r="L5499" t="s">
        <v>144</v>
      </c>
      <c r="M5499" t="s">
        <v>726</v>
      </c>
      <c r="N5499" t="s">
        <v>85</v>
      </c>
      <c r="O5499" t="s">
        <v>84</v>
      </c>
      <c r="Q5499">
        <v>10</v>
      </c>
      <c r="R5499" t="s">
        <v>213</v>
      </c>
      <c r="S5499" s="2" t="s">
        <v>27</v>
      </c>
      <c r="T5499">
        <v>10</v>
      </c>
      <c r="U5499" t="s">
        <v>28</v>
      </c>
      <c r="V5499" t="s">
        <v>28</v>
      </c>
      <c r="W5499">
        <v>25</v>
      </c>
      <c r="X5499">
        <v>0.69199999999999995</v>
      </c>
      <c r="Y5499">
        <v>0.20499999999999999</v>
      </c>
      <c r="AA5499" s="6"/>
      <c r="AB5499" s="6"/>
    </row>
    <row r="5500" spans="1:28" x14ac:dyDescent="0.2">
      <c r="A5500" t="s">
        <v>610</v>
      </c>
      <c r="B5500">
        <v>2016</v>
      </c>
      <c r="C5500" t="s">
        <v>826</v>
      </c>
      <c r="D5500" t="s">
        <v>812</v>
      </c>
      <c r="E5500" t="s">
        <v>175</v>
      </c>
      <c r="F5500" t="s">
        <v>611</v>
      </c>
      <c r="G5500">
        <v>-37.633333</v>
      </c>
      <c r="H5500">
        <v>176.16666699999999</v>
      </c>
      <c r="I5500" t="s">
        <v>761</v>
      </c>
      <c r="J5500" s="2" t="s">
        <v>7</v>
      </c>
      <c r="K5500" t="s">
        <v>144</v>
      </c>
      <c r="L5500" t="s">
        <v>144</v>
      </c>
      <c r="M5500" t="s">
        <v>726</v>
      </c>
      <c r="N5500" t="s">
        <v>85</v>
      </c>
      <c r="O5500" t="s">
        <v>84</v>
      </c>
      <c r="Q5500">
        <v>1</v>
      </c>
      <c r="R5500" t="s">
        <v>214</v>
      </c>
      <c r="S5500" s="2" t="s">
        <v>7</v>
      </c>
      <c r="T5500">
        <v>10</v>
      </c>
      <c r="U5500" t="s">
        <v>28</v>
      </c>
      <c r="V5500" t="s">
        <v>28</v>
      </c>
      <c r="W5500">
        <v>15</v>
      </c>
      <c r="X5500">
        <v>0.72299999999999998</v>
      </c>
      <c r="Y5500">
        <v>0.114</v>
      </c>
      <c r="AA5500" s="6"/>
      <c r="AB5500" s="6"/>
    </row>
    <row r="5501" spans="1:28" x14ac:dyDescent="0.2">
      <c r="A5501" t="s">
        <v>610</v>
      </c>
      <c r="B5501">
        <v>2016</v>
      </c>
      <c r="C5501" t="s">
        <v>826</v>
      </c>
      <c r="D5501" t="s">
        <v>812</v>
      </c>
      <c r="E5501" t="s">
        <v>175</v>
      </c>
      <c r="F5501" t="s">
        <v>611</v>
      </c>
      <c r="G5501">
        <v>-37.633333</v>
      </c>
      <c r="H5501">
        <v>176.16666699999999</v>
      </c>
      <c r="I5501" t="s">
        <v>761</v>
      </c>
      <c r="J5501" s="2" t="s">
        <v>14</v>
      </c>
      <c r="K5501" t="s">
        <v>144</v>
      </c>
      <c r="L5501" t="s">
        <v>144</v>
      </c>
      <c r="M5501" t="s">
        <v>726</v>
      </c>
      <c r="N5501" t="s">
        <v>85</v>
      </c>
      <c r="O5501" t="s">
        <v>84</v>
      </c>
      <c r="Q5501">
        <v>1</v>
      </c>
      <c r="R5501" t="s">
        <v>214</v>
      </c>
      <c r="S5501" s="2" t="s">
        <v>9</v>
      </c>
      <c r="T5501">
        <v>10</v>
      </c>
      <c r="U5501" t="s">
        <v>28</v>
      </c>
      <c r="V5501" t="s">
        <v>28</v>
      </c>
      <c r="W5501">
        <v>20</v>
      </c>
      <c r="X5501">
        <v>0.76</v>
      </c>
      <c r="Y5501">
        <v>0.05</v>
      </c>
      <c r="AA5501" s="6"/>
      <c r="AB5501" s="6"/>
    </row>
    <row r="5502" spans="1:28" x14ac:dyDescent="0.2">
      <c r="A5502" t="s">
        <v>610</v>
      </c>
      <c r="B5502">
        <v>2016</v>
      </c>
      <c r="C5502" t="s">
        <v>826</v>
      </c>
      <c r="D5502" t="s">
        <v>812</v>
      </c>
      <c r="E5502" t="s">
        <v>175</v>
      </c>
      <c r="F5502" t="s">
        <v>611</v>
      </c>
      <c r="G5502">
        <v>-37.633333</v>
      </c>
      <c r="H5502">
        <v>176.16666699999999</v>
      </c>
      <c r="I5502" t="s">
        <v>761</v>
      </c>
      <c r="J5502" s="2" t="s">
        <v>14</v>
      </c>
      <c r="K5502" t="s">
        <v>144</v>
      </c>
      <c r="L5502" t="s">
        <v>144</v>
      </c>
      <c r="M5502" t="s">
        <v>726</v>
      </c>
      <c r="N5502" t="s">
        <v>85</v>
      </c>
      <c r="O5502" t="s">
        <v>84</v>
      </c>
      <c r="Q5502">
        <v>1</v>
      </c>
      <c r="R5502" t="s">
        <v>214</v>
      </c>
      <c r="S5502" s="2" t="s">
        <v>27</v>
      </c>
      <c r="T5502">
        <v>10</v>
      </c>
      <c r="U5502" t="s">
        <v>28</v>
      </c>
      <c r="V5502" t="s">
        <v>28</v>
      </c>
      <c r="W5502">
        <v>25</v>
      </c>
      <c r="X5502">
        <v>0.66600000000000004</v>
      </c>
      <c r="Y5502">
        <v>0.154</v>
      </c>
      <c r="AA5502" s="6"/>
      <c r="AB5502" s="6"/>
    </row>
    <row r="5503" spans="1:28" x14ac:dyDescent="0.2">
      <c r="A5503" t="s">
        <v>610</v>
      </c>
      <c r="B5503">
        <v>2016</v>
      </c>
      <c r="C5503" t="s">
        <v>826</v>
      </c>
      <c r="D5503" t="s">
        <v>812</v>
      </c>
      <c r="E5503" t="s">
        <v>175</v>
      </c>
      <c r="F5503" t="s">
        <v>611</v>
      </c>
      <c r="G5503">
        <v>-37.633333</v>
      </c>
      <c r="H5503">
        <v>176.16666699999999</v>
      </c>
      <c r="I5503" t="s">
        <v>761</v>
      </c>
      <c r="J5503" s="2" t="s">
        <v>7</v>
      </c>
      <c r="K5503" t="s">
        <v>144</v>
      </c>
      <c r="L5503" t="s">
        <v>144</v>
      </c>
      <c r="M5503" t="s">
        <v>726</v>
      </c>
      <c r="N5503" t="s">
        <v>85</v>
      </c>
      <c r="O5503" t="s">
        <v>84</v>
      </c>
      <c r="Q5503">
        <v>3</v>
      </c>
      <c r="R5503" t="s">
        <v>214</v>
      </c>
      <c r="S5503" s="2" t="s">
        <v>7</v>
      </c>
      <c r="T5503">
        <v>10</v>
      </c>
      <c r="U5503" t="s">
        <v>28</v>
      </c>
      <c r="V5503" t="s">
        <v>28</v>
      </c>
      <c r="W5503">
        <v>15</v>
      </c>
      <c r="X5503">
        <v>0.63100000000000001</v>
      </c>
      <c r="Y5503">
        <v>0.223</v>
      </c>
      <c r="AA5503" s="6"/>
      <c r="AB5503" s="6"/>
    </row>
    <row r="5504" spans="1:28" x14ac:dyDescent="0.2">
      <c r="A5504" t="s">
        <v>610</v>
      </c>
      <c r="B5504">
        <v>2016</v>
      </c>
      <c r="C5504" t="s">
        <v>826</v>
      </c>
      <c r="D5504" t="s">
        <v>812</v>
      </c>
      <c r="E5504" t="s">
        <v>175</v>
      </c>
      <c r="F5504" t="s">
        <v>611</v>
      </c>
      <c r="G5504">
        <v>-37.633333</v>
      </c>
      <c r="H5504">
        <v>176.16666699999999</v>
      </c>
      <c r="I5504" t="s">
        <v>761</v>
      </c>
      <c r="J5504" s="2" t="s">
        <v>14</v>
      </c>
      <c r="K5504" t="s">
        <v>144</v>
      </c>
      <c r="L5504" t="s">
        <v>144</v>
      </c>
      <c r="M5504" t="s">
        <v>726</v>
      </c>
      <c r="N5504" t="s">
        <v>85</v>
      </c>
      <c r="O5504" t="s">
        <v>84</v>
      </c>
      <c r="Q5504">
        <v>3</v>
      </c>
      <c r="R5504" t="s">
        <v>214</v>
      </c>
      <c r="S5504" s="2" t="s">
        <v>9</v>
      </c>
      <c r="T5504">
        <v>10</v>
      </c>
      <c r="U5504" t="s">
        <v>28</v>
      </c>
      <c r="V5504" t="s">
        <v>28</v>
      </c>
      <c r="W5504">
        <v>20</v>
      </c>
      <c r="X5504">
        <v>0.49399999999999999</v>
      </c>
      <c r="Y5504">
        <v>0.28599999999999998</v>
      </c>
      <c r="AA5504" s="6"/>
      <c r="AB5504" s="6"/>
    </row>
    <row r="5505" spans="1:28" x14ac:dyDescent="0.2">
      <c r="A5505" t="s">
        <v>610</v>
      </c>
      <c r="B5505">
        <v>2016</v>
      </c>
      <c r="C5505" t="s">
        <v>826</v>
      </c>
      <c r="D5505" t="s">
        <v>812</v>
      </c>
      <c r="E5505" t="s">
        <v>175</v>
      </c>
      <c r="F5505" t="s">
        <v>611</v>
      </c>
      <c r="G5505">
        <v>-37.633333</v>
      </c>
      <c r="H5505">
        <v>176.16666699999999</v>
      </c>
      <c r="I5505" t="s">
        <v>761</v>
      </c>
      <c r="J5505" s="2" t="s">
        <v>14</v>
      </c>
      <c r="K5505" t="s">
        <v>144</v>
      </c>
      <c r="L5505" t="s">
        <v>144</v>
      </c>
      <c r="M5505" t="s">
        <v>726</v>
      </c>
      <c r="N5505" t="s">
        <v>85</v>
      </c>
      <c r="O5505" t="s">
        <v>84</v>
      </c>
      <c r="Q5505">
        <v>3</v>
      </c>
      <c r="R5505" t="s">
        <v>214</v>
      </c>
      <c r="S5505" s="2" t="s">
        <v>27</v>
      </c>
      <c r="T5505">
        <v>10</v>
      </c>
      <c r="U5505" t="s">
        <v>28</v>
      </c>
      <c r="V5505" t="s">
        <v>28</v>
      </c>
      <c r="W5505">
        <v>25</v>
      </c>
      <c r="X5505">
        <v>0.67200000000000004</v>
      </c>
      <c r="Y5505">
        <v>0.2</v>
      </c>
      <c r="AA5505" s="6"/>
      <c r="AB5505" s="6"/>
    </row>
    <row r="5506" spans="1:28" x14ac:dyDescent="0.2">
      <c r="A5506" t="s">
        <v>610</v>
      </c>
      <c r="B5506">
        <v>2016</v>
      </c>
      <c r="C5506" t="s">
        <v>826</v>
      </c>
      <c r="D5506" t="s">
        <v>812</v>
      </c>
      <c r="E5506" t="s">
        <v>175</v>
      </c>
      <c r="F5506" t="s">
        <v>611</v>
      </c>
      <c r="G5506">
        <v>-37.633333</v>
      </c>
      <c r="H5506">
        <v>176.16666699999999</v>
      </c>
      <c r="I5506" t="s">
        <v>761</v>
      </c>
      <c r="J5506" s="2" t="s">
        <v>7</v>
      </c>
      <c r="K5506" t="s">
        <v>144</v>
      </c>
      <c r="L5506" t="s">
        <v>144</v>
      </c>
      <c r="M5506" t="s">
        <v>726</v>
      </c>
      <c r="N5506" t="s">
        <v>85</v>
      </c>
      <c r="O5506" t="s">
        <v>84</v>
      </c>
      <c r="Q5506">
        <v>6</v>
      </c>
      <c r="R5506" t="s">
        <v>214</v>
      </c>
      <c r="S5506" s="2" t="s">
        <v>7</v>
      </c>
      <c r="T5506">
        <v>10</v>
      </c>
      <c r="U5506" t="s">
        <v>28</v>
      </c>
      <c r="V5506" t="s">
        <v>28</v>
      </c>
      <c r="W5506">
        <v>15</v>
      </c>
      <c r="X5506">
        <v>0.46800000000000003</v>
      </c>
      <c r="Y5506">
        <v>0.29399999999999998</v>
      </c>
      <c r="AA5506" s="6"/>
      <c r="AB5506" s="6"/>
    </row>
    <row r="5507" spans="1:28" x14ac:dyDescent="0.2">
      <c r="A5507" t="s">
        <v>610</v>
      </c>
      <c r="B5507">
        <v>2016</v>
      </c>
      <c r="C5507" t="s">
        <v>826</v>
      </c>
      <c r="D5507" t="s">
        <v>812</v>
      </c>
      <c r="E5507" t="s">
        <v>175</v>
      </c>
      <c r="F5507" t="s">
        <v>611</v>
      </c>
      <c r="G5507">
        <v>-37.633333</v>
      </c>
      <c r="H5507">
        <v>176.16666699999999</v>
      </c>
      <c r="I5507" t="s">
        <v>761</v>
      </c>
      <c r="J5507" s="2" t="s">
        <v>14</v>
      </c>
      <c r="K5507" t="s">
        <v>144</v>
      </c>
      <c r="L5507" t="s">
        <v>144</v>
      </c>
      <c r="M5507" t="s">
        <v>726</v>
      </c>
      <c r="N5507" t="s">
        <v>85</v>
      </c>
      <c r="O5507" t="s">
        <v>84</v>
      </c>
      <c r="Q5507">
        <v>6</v>
      </c>
      <c r="R5507" t="s">
        <v>214</v>
      </c>
      <c r="S5507" s="2" t="s">
        <v>9</v>
      </c>
      <c r="T5507">
        <v>10</v>
      </c>
      <c r="U5507" t="s">
        <v>28</v>
      </c>
      <c r="V5507" t="s">
        <v>28</v>
      </c>
      <c r="W5507">
        <v>20</v>
      </c>
      <c r="X5507">
        <v>0.498</v>
      </c>
      <c r="Y5507">
        <v>0.28399999999999997</v>
      </c>
      <c r="AA5507" s="6"/>
      <c r="AB5507" s="6"/>
    </row>
    <row r="5508" spans="1:28" x14ac:dyDescent="0.2">
      <c r="A5508" t="s">
        <v>610</v>
      </c>
      <c r="B5508">
        <v>2016</v>
      </c>
      <c r="C5508" t="s">
        <v>826</v>
      </c>
      <c r="D5508" t="s">
        <v>812</v>
      </c>
      <c r="E5508" t="s">
        <v>175</v>
      </c>
      <c r="F5508" t="s">
        <v>611</v>
      </c>
      <c r="G5508">
        <v>-37.633333</v>
      </c>
      <c r="H5508">
        <v>176.16666699999999</v>
      </c>
      <c r="I5508" t="s">
        <v>761</v>
      </c>
      <c r="J5508" s="2" t="s">
        <v>14</v>
      </c>
      <c r="K5508" t="s">
        <v>144</v>
      </c>
      <c r="L5508" t="s">
        <v>144</v>
      </c>
      <c r="M5508" t="s">
        <v>726</v>
      </c>
      <c r="N5508" t="s">
        <v>85</v>
      </c>
      <c r="O5508" t="s">
        <v>84</v>
      </c>
      <c r="Q5508">
        <v>6</v>
      </c>
      <c r="R5508" t="s">
        <v>214</v>
      </c>
      <c r="S5508" s="2" t="s">
        <v>27</v>
      </c>
      <c r="T5508">
        <v>10</v>
      </c>
      <c r="U5508" t="s">
        <v>28</v>
      </c>
      <c r="V5508" t="s">
        <v>28</v>
      </c>
      <c r="W5508">
        <v>25</v>
      </c>
      <c r="X5508">
        <v>0.55500000000000005</v>
      </c>
      <c r="Y5508">
        <v>0.318</v>
      </c>
      <c r="AA5508" s="6"/>
      <c r="AB5508" s="6"/>
    </row>
    <row r="5509" spans="1:28" x14ac:dyDescent="0.2">
      <c r="A5509" t="s">
        <v>610</v>
      </c>
      <c r="B5509">
        <v>2016</v>
      </c>
      <c r="C5509" t="s">
        <v>826</v>
      </c>
      <c r="D5509" t="s">
        <v>812</v>
      </c>
      <c r="E5509" t="s">
        <v>175</v>
      </c>
      <c r="F5509" t="s">
        <v>611</v>
      </c>
      <c r="G5509">
        <v>-37.633333</v>
      </c>
      <c r="H5509">
        <v>176.16666699999999</v>
      </c>
      <c r="I5509" t="s">
        <v>761</v>
      </c>
      <c r="J5509" s="2" t="s">
        <v>7</v>
      </c>
      <c r="K5509" t="s">
        <v>144</v>
      </c>
      <c r="L5509" t="s">
        <v>144</v>
      </c>
      <c r="M5509" t="s">
        <v>726</v>
      </c>
      <c r="N5509" t="s">
        <v>85</v>
      </c>
      <c r="O5509" t="s">
        <v>84</v>
      </c>
      <c r="Q5509">
        <v>10</v>
      </c>
      <c r="R5509" t="s">
        <v>213</v>
      </c>
      <c r="S5509" s="2" t="s">
        <v>7</v>
      </c>
      <c r="T5509">
        <v>10</v>
      </c>
      <c r="U5509" t="s">
        <v>28</v>
      </c>
      <c r="V5509" t="s">
        <v>28</v>
      </c>
      <c r="W5509">
        <v>15</v>
      </c>
      <c r="X5509">
        <v>0.55300000000000005</v>
      </c>
      <c r="Y5509">
        <v>0.29099999999999998</v>
      </c>
      <c r="AA5509" s="6"/>
      <c r="AB5509" s="6"/>
    </row>
    <row r="5510" spans="1:28" x14ac:dyDescent="0.2">
      <c r="A5510" t="s">
        <v>610</v>
      </c>
      <c r="B5510">
        <v>2016</v>
      </c>
      <c r="C5510" t="s">
        <v>826</v>
      </c>
      <c r="D5510" t="s">
        <v>812</v>
      </c>
      <c r="E5510" t="s">
        <v>175</v>
      </c>
      <c r="F5510" t="s">
        <v>611</v>
      </c>
      <c r="G5510">
        <v>-37.633333</v>
      </c>
      <c r="H5510">
        <v>176.16666699999999</v>
      </c>
      <c r="I5510" t="s">
        <v>761</v>
      </c>
      <c r="J5510" s="2" t="s">
        <v>14</v>
      </c>
      <c r="K5510" t="s">
        <v>144</v>
      </c>
      <c r="L5510" t="s">
        <v>144</v>
      </c>
      <c r="M5510" t="s">
        <v>726</v>
      </c>
      <c r="N5510" t="s">
        <v>85</v>
      </c>
      <c r="O5510" t="s">
        <v>84</v>
      </c>
      <c r="Q5510">
        <v>10</v>
      </c>
      <c r="R5510" t="s">
        <v>213</v>
      </c>
      <c r="S5510" s="2" t="s">
        <v>9</v>
      </c>
      <c r="T5510">
        <v>10</v>
      </c>
      <c r="U5510" t="s">
        <v>28</v>
      </c>
      <c r="V5510" t="s">
        <v>28</v>
      </c>
      <c r="W5510">
        <v>20</v>
      </c>
      <c r="X5510">
        <v>0.17399999999999999</v>
      </c>
      <c r="Y5510">
        <v>0.18099999999999999</v>
      </c>
      <c r="AA5510" s="6"/>
      <c r="AB5510" s="6"/>
    </row>
    <row r="5511" spans="1:28" x14ac:dyDescent="0.2">
      <c r="A5511" t="s">
        <v>610</v>
      </c>
      <c r="B5511">
        <v>2016</v>
      </c>
      <c r="C5511" t="s">
        <v>826</v>
      </c>
      <c r="D5511" t="s">
        <v>812</v>
      </c>
      <c r="E5511" t="s">
        <v>175</v>
      </c>
      <c r="F5511" t="s">
        <v>611</v>
      </c>
      <c r="G5511">
        <v>-37.633333</v>
      </c>
      <c r="H5511">
        <v>176.16666699999999</v>
      </c>
      <c r="I5511" t="s">
        <v>761</v>
      </c>
      <c r="J5511" s="2" t="s">
        <v>14</v>
      </c>
      <c r="K5511" t="s">
        <v>144</v>
      </c>
      <c r="L5511" t="s">
        <v>144</v>
      </c>
      <c r="M5511" t="s">
        <v>726</v>
      </c>
      <c r="N5511" t="s">
        <v>85</v>
      </c>
      <c r="O5511" t="s">
        <v>84</v>
      </c>
      <c r="Q5511">
        <v>10</v>
      </c>
      <c r="R5511" t="s">
        <v>213</v>
      </c>
      <c r="S5511" s="2" t="s">
        <v>27</v>
      </c>
      <c r="T5511">
        <v>10</v>
      </c>
      <c r="U5511" t="s">
        <v>28</v>
      </c>
      <c r="V5511" t="s">
        <v>28</v>
      </c>
      <c r="W5511">
        <v>25</v>
      </c>
      <c r="X5511">
        <v>0.80100000000000005</v>
      </c>
      <c r="Y5511">
        <v>1.4E-2</v>
      </c>
      <c r="AA5511" s="6"/>
      <c r="AB5511" s="6"/>
    </row>
    <row r="5512" spans="1:28" x14ac:dyDescent="0.2">
      <c r="A5512" t="s">
        <v>610</v>
      </c>
      <c r="B5512">
        <v>2016</v>
      </c>
      <c r="C5512" t="s">
        <v>811</v>
      </c>
      <c r="D5512" t="s">
        <v>818</v>
      </c>
      <c r="E5512" t="s">
        <v>612</v>
      </c>
      <c r="F5512" t="s">
        <v>611</v>
      </c>
      <c r="G5512">
        <v>-37.633333</v>
      </c>
      <c r="H5512">
        <v>176.16666699999999</v>
      </c>
      <c r="I5512" t="s">
        <v>761</v>
      </c>
      <c r="J5512" s="2" t="s">
        <v>7</v>
      </c>
      <c r="K5512" t="s">
        <v>144</v>
      </c>
      <c r="L5512" t="s">
        <v>144</v>
      </c>
      <c r="M5512" t="s">
        <v>726</v>
      </c>
      <c r="N5512" t="s">
        <v>85</v>
      </c>
      <c r="O5512" t="s">
        <v>84</v>
      </c>
      <c r="Q5512">
        <v>1</v>
      </c>
      <c r="R5512" t="s">
        <v>214</v>
      </c>
      <c r="S5512" s="2" t="s">
        <v>7</v>
      </c>
      <c r="T5512">
        <v>10</v>
      </c>
      <c r="U5512" t="s">
        <v>28</v>
      </c>
      <c r="V5512" t="s">
        <v>28</v>
      </c>
      <c r="W5512">
        <v>15</v>
      </c>
      <c r="X5512">
        <v>0.76200000000000001</v>
      </c>
      <c r="Y5512">
        <v>0.03</v>
      </c>
      <c r="AA5512" s="6"/>
      <c r="AB5512" s="6"/>
    </row>
    <row r="5513" spans="1:28" x14ac:dyDescent="0.2">
      <c r="A5513" t="s">
        <v>610</v>
      </c>
      <c r="B5513">
        <v>2016</v>
      </c>
      <c r="C5513" t="s">
        <v>811</v>
      </c>
      <c r="D5513" t="s">
        <v>818</v>
      </c>
      <c r="E5513" t="s">
        <v>612</v>
      </c>
      <c r="F5513" t="s">
        <v>611</v>
      </c>
      <c r="G5513">
        <v>-37.633333</v>
      </c>
      <c r="H5513">
        <v>176.16666699999999</v>
      </c>
      <c r="I5513" t="s">
        <v>761</v>
      </c>
      <c r="J5513" s="2" t="s">
        <v>14</v>
      </c>
      <c r="K5513" t="s">
        <v>144</v>
      </c>
      <c r="L5513" t="s">
        <v>144</v>
      </c>
      <c r="M5513" t="s">
        <v>726</v>
      </c>
      <c r="N5513" t="s">
        <v>85</v>
      </c>
      <c r="O5513" t="s">
        <v>84</v>
      </c>
      <c r="Q5513">
        <v>1</v>
      </c>
      <c r="R5513" t="s">
        <v>214</v>
      </c>
      <c r="S5513" s="2" t="s">
        <v>9</v>
      </c>
      <c r="T5513">
        <v>10</v>
      </c>
      <c r="U5513" t="s">
        <v>28</v>
      </c>
      <c r="V5513" t="s">
        <v>28</v>
      </c>
      <c r="W5513">
        <v>20</v>
      </c>
      <c r="X5513">
        <v>0.77200000000000002</v>
      </c>
      <c r="Y5513">
        <v>2.9000000000000001E-2</v>
      </c>
      <c r="AA5513" s="6"/>
      <c r="AB5513" s="6"/>
    </row>
    <row r="5514" spans="1:28" x14ac:dyDescent="0.2">
      <c r="A5514" t="s">
        <v>610</v>
      </c>
      <c r="B5514">
        <v>2016</v>
      </c>
      <c r="C5514" t="s">
        <v>811</v>
      </c>
      <c r="D5514" t="s">
        <v>818</v>
      </c>
      <c r="E5514" t="s">
        <v>612</v>
      </c>
      <c r="F5514" t="s">
        <v>611</v>
      </c>
      <c r="G5514">
        <v>-37.633333</v>
      </c>
      <c r="H5514">
        <v>176.16666699999999</v>
      </c>
      <c r="I5514" t="s">
        <v>761</v>
      </c>
      <c r="J5514" s="2" t="s">
        <v>14</v>
      </c>
      <c r="K5514" t="s">
        <v>144</v>
      </c>
      <c r="L5514" t="s">
        <v>144</v>
      </c>
      <c r="M5514" t="s">
        <v>726</v>
      </c>
      <c r="N5514" t="s">
        <v>85</v>
      </c>
      <c r="O5514" t="s">
        <v>84</v>
      </c>
      <c r="Q5514">
        <v>1</v>
      </c>
      <c r="R5514" t="s">
        <v>214</v>
      </c>
      <c r="S5514" s="2" t="s">
        <v>27</v>
      </c>
      <c r="T5514">
        <v>10</v>
      </c>
      <c r="U5514" t="s">
        <v>28</v>
      </c>
      <c r="V5514" t="s">
        <v>28</v>
      </c>
      <c r="W5514">
        <v>25</v>
      </c>
      <c r="X5514">
        <v>0.72599999999999998</v>
      </c>
      <c r="Y5514">
        <v>5.8999999999999997E-2</v>
      </c>
      <c r="AA5514" s="6"/>
      <c r="AB5514" s="6"/>
    </row>
    <row r="5515" spans="1:28" x14ac:dyDescent="0.2">
      <c r="A5515" t="s">
        <v>610</v>
      </c>
      <c r="B5515">
        <v>2016</v>
      </c>
      <c r="C5515" t="s">
        <v>811</v>
      </c>
      <c r="D5515" t="s">
        <v>818</v>
      </c>
      <c r="E5515" t="s">
        <v>612</v>
      </c>
      <c r="F5515" t="s">
        <v>611</v>
      </c>
      <c r="G5515">
        <v>-37.633333</v>
      </c>
      <c r="H5515">
        <v>176.16666699999999</v>
      </c>
      <c r="I5515" t="s">
        <v>761</v>
      </c>
      <c r="J5515" s="2" t="s">
        <v>7</v>
      </c>
      <c r="K5515" t="s">
        <v>144</v>
      </c>
      <c r="L5515" t="s">
        <v>144</v>
      </c>
      <c r="M5515" t="s">
        <v>726</v>
      </c>
      <c r="N5515" t="s">
        <v>85</v>
      </c>
      <c r="O5515" t="s">
        <v>84</v>
      </c>
      <c r="Q5515">
        <v>3</v>
      </c>
      <c r="R5515" t="s">
        <v>214</v>
      </c>
      <c r="S5515" s="2" t="s">
        <v>7</v>
      </c>
      <c r="T5515">
        <v>10</v>
      </c>
      <c r="U5515" t="s">
        <v>28</v>
      </c>
      <c r="V5515" t="s">
        <v>28</v>
      </c>
      <c r="W5515">
        <v>15</v>
      </c>
      <c r="X5515">
        <v>0.77200000000000002</v>
      </c>
      <c r="Y5515">
        <v>4.1000000000000002E-2</v>
      </c>
      <c r="AA5515" s="6"/>
      <c r="AB5515" s="6"/>
    </row>
    <row r="5516" spans="1:28" x14ac:dyDescent="0.2">
      <c r="A5516" t="s">
        <v>610</v>
      </c>
      <c r="B5516">
        <v>2016</v>
      </c>
      <c r="C5516" t="s">
        <v>811</v>
      </c>
      <c r="D5516" t="s">
        <v>818</v>
      </c>
      <c r="E5516" t="s">
        <v>612</v>
      </c>
      <c r="F5516" t="s">
        <v>611</v>
      </c>
      <c r="G5516">
        <v>-37.633333</v>
      </c>
      <c r="H5516">
        <v>176.16666699999999</v>
      </c>
      <c r="I5516" t="s">
        <v>761</v>
      </c>
      <c r="J5516" s="2" t="s">
        <v>14</v>
      </c>
      <c r="K5516" t="s">
        <v>144</v>
      </c>
      <c r="L5516" t="s">
        <v>144</v>
      </c>
      <c r="M5516" t="s">
        <v>726</v>
      </c>
      <c r="N5516" t="s">
        <v>85</v>
      </c>
      <c r="O5516" t="s">
        <v>84</v>
      </c>
      <c r="Q5516">
        <v>3</v>
      </c>
      <c r="R5516" t="s">
        <v>214</v>
      </c>
      <c r="S5516" s="2" t="s">
        <v>9</v>
      </c>
      <c r="T5516">
        <v>10</v>
      </c>
      <c r="U5516" t="s">
        <v>28</v>
      </c>
      <c r="V5516" t="s">
        <v>28</v>
      </c>
      <c r="W5516">
        <v>20</v>
      </c>
      <c r="X5516">
        <v>0.76700000000000002</v>
      </c>
      <c r="Y5516">
        <v>0.108</v>
      </c>
      <c r="AA5516" s="6"/>
      <c r="AB5516" s="6"/>
    </row>
    <row r="5517" spans="1:28" x14ac:dyDescent="0.2">
      <c r="A5517" t="s">
        <v>610</v>
      </c>
      <c r="B5517">
        <v>2016</v>
      </c>
      <c r="C5517" t="s">
        <v>811</v>
      </c>
      <c r="D5517" t="s">
        <v>818</v>
      </c>
      <c r="E5517" t="s">
        <v>612</v>
      </c>
      <c r="F5517" t="s">
        <v>611</v>
      </c>
      <c r="G5517">
        <v>-37.633333</v>
      </c>
      <c r="H5517">
        <v>176.16666699999999</v>
      </c>
      <c r="I5517" t="s">
        <v>761</v>
      </c>
      <c r="J5517" s="2" t="s">
        <v>14</v>
      </c>
      <c r="K5517" t="s">
        <v>144</v>
      </c>
      <c r="L5517" t="s">
        <v>144</v>
      </c>
      <c r="M5517" t="s">
        <v>726</v>
      </c>
      <c r="N5517" t="s">
        <v>85</v>
      </c>
      <c r="O5517" t="s">
        <v>84</v>
      </c>
      <c r="Q5517">
        <v>3</v>
      </c>
      <c r="R5517" t="s">
        <v>214</v>
      </c>
      <c r="S5517" s="2" t="s">
        <v>27</v>
      </c>
      <c r="T5517">
        <v>10</v>
      </c>
      <c r="U5517" t="s">
        <v>28</v>
      </c>
      <c r="V5517" t="s">
        <v>28</v>
      </c>
      <c r="W5517">
        <v>25</v>
      </c>
      <c r="X5517">
        <v>0.39400000000000002</v>
      </c>
      <c r="Y5517">
        <v>0.246</v>
      </c>
      <c r="AA5517" s="6"/>
      <c r="AB5517" s="6"/>
    </row>
    <row r="5518" spans="1:28" x14ac:dyDescent="0.2">
      <c r="A5518" t="s">
        <v>610</v>
      </c>
      <c r="B5518">
        <v>2016</v>
      </c>
      <c r="C5518" t="s">
        <v>811</v>
      </c>
      <c r="D5518" t="s">
        <v>818</v>
      </c>
      <c r="E5518" t="s">
        <v>612</v>
      </c>
      <c r="F5518" t="s">
        <v>611</v>
      </c>
      <c r="G5518">
        <v>-37.633333</v>
      </c>
      <c r="H5518">
        <v>176.16666699999999</v>
      </c>
      <c r="I5518" t="s">
        <v>761</v>
      </c>
      <c r="J5518" s="2" t="s">
        <v>7</v>
      </c>
      <c r="K5518" t="s">
        <v>144</v>
      </c>
      <c r="L5518" t="s">
        <v>144</v>
      </c>
      <c r="M5518" t="s">
        <v>726</v>
      </c>
      <c r="N5518" t="s">
        <v>85</v>
      </c>
      <c r="O5518" t="s">
        <v>84</v>
      </c>
      <c r="Q5518">
        <v>6</v>
      </c>
      <c r="R5518" t="s">
        <v>214</v>
      </c>
      <c r="S5518" s="2" t="s">
        <v>7</v>
      </c>
      <c r="T5518">
        <v>10</v>
      </c>
      <c r="U5518" t="s">
        <v>28</v>
      </c>
      <c r="V5518" t="s">
        <v>28</v>
      </c>
      <c r="W5518">
        <v>15</v>
      </c>
      <c r="X5518">
        <v>0.73099999999999998</v>
      </c>
      <c r="Y5518">
        <v>7.4999999999999997E-2</v>
      </c>
      <c r="AA5518" s="6"/>
      <c r="AB5518" s="6"/>
    </row>
    <row r="5519" spans="1:28" x14ac:dyDescent="0.2">
      <c r="A5519" t="s">
        <v>610</v>
      </c>
      <c r="B5519">
        <v>2016</v>
      </c>
      <c r="C5519" t="s">
        <v>811</v>
      </c>
      <c r="D5519" t="s">
        <v>818</v>
      </c>
      <c r="E5519" t="s">
        <v>612</v>
      </c>
      <c r="F5519" t="s">
        <v>611</v>
      </c>
      <c r="G5519">
        <v>-37.633333</v>
      </c>
      <c r="H5519">
        <v>176.16666699999999</v>
      </c>
      <c r="I5519" t="s">
        <v>761</v>
      </c>
      <c r="J5519" s="2" t="s">
        <v>14</v>
      </c>
      <c r="K5519" t="s">
        <v>144</v>
      </c>
      <c r="L5519" t="s">
        <v>144</v>
      </c>
      <c r="M5519" t="s">
        <v>726</v>
      </c>
      <c r="N5519" t="s">
        <v>85</v>
      </c>
      <c r="O5519" t="s">
        <v>84</v>
      </c>
      <c r="Q5519">
        <v>6</v>
      </c>
      <c r="R5519" t="s">
        <v>214</v>
      </c>
      <c r="S5519" s="2" t="s">
        <v>9</v>
      </c>
      <c r="T5519">
        <v>10</v>
      </c>
      <c r="U5519" t="s">
        <v>28</v>
      </c>
      <c r="V5519" t="s">
        <v>28</v>
      </c>
      <c r="W5519">
        <v>20</v>
      </c>
      <c r="X5519">
        <v>0.74199999999999999</v>
      </c>
      <c r="Y5519">
        <v>0.106</v>
      </c>
      <c r="AA5519" s="6"/>
      <c r="AB5519" s="6"/>
    </row>
    <row r="5520" spans="1:28" x14ac:dyDescent="0.2">
      <c r="A5520" t="s">
        <v>610</v>
      </c>
      <c r="B5520">
        <v>2016</v>
      </c>
      <c r="C5520" t="s">
        <v>811</v>
      </c>
      <c r="D5520" t="s">
        <v>818</v>
      </c>
      <c r="E5520" t="s">
        <v>612</v>
      </c>
      <c r="F5520" t="s">
        <v>611</v>
      </c>
      <c r="G5520">
        <v>-37.633333</v>
      </c>
      <c r="H5520">
        <v>176.16666699999999</v>
      </c>
      <c r="I5520" t="s">
        <v>761</v>
      </c>
      <c r="J5520" s="2" t="s">
        <v>14</v>
      </c>
      <c r="K5520" t="s">
        <v>144</v>
      </c>
      <c r="L5520" t="s">
        <v>144</v>
      </c>
      <c r="M5520" t="s">
        <v>726</v>
      </c>
      <c r="N5520" t="s">
        <v>85</v>
      </c>
      <c r="O5520" t="s">
        <v>84</v>
      </c>
      <c r="Q5520">
        <v>6</v>
      </c>
      <c r="R5520" t="s">
        <v>214</v>
      </c>
      <c r="S5520" s="2" t="s">
        <v>27</v>
      </c>
      <c r="T5520">
        <v>10</v>
      </c>
      <c r="U5520" t="s">
        <v>28</v>
      </c>
      <c r="V5520" t="s">
        <v>28</v>
      </c>
      <c r="W5520">
        <v>25</v>
      </c>
      <c r="X5520">
        <v>5.0000000000000001E-3</v>
      </c>
      <c r="Y5520">
        <v>8.9999999999999993E-3</v>
      </c>
      <c r="AA5520" s="6"/>
      <c r="AB5520" s="6"/>
    </row>
    <row r="5521" spans="1:28" x14ac:dyDescent="0.2">
      <c r="A5521" t="s">
        <v>610</v>
      </c>
      <c r="B5521">
        <v>2016</v>
      </c>
      <c r="C5521" t="s">
        <v>811</v>
      </c>
      <c r="D5521" t="s">
        <v>818</v>
      </c>
      <c r="E5521" t="s">
        <v>612</v>
      </c>
      <c r="F5521" t="s">
        <v>611</v>
      </c>
      <c r="G5521">
        <v>-37.633333</v>
      </c>
      <c r="H5521">
        <v>176.16666699999999</v>
      </c>
      <c r="I5521" t="s">
        <v>761</v>
      </c>
      <c r="J5521" s="2" t="s">
        <v>7</v>
      </c>
      <c r="K5521" t="s">
        <v>144</v>
      </c>
      <c r="L5521" t="s">
        <v>144</v>
      </c>
      <c r="M5521" t="s">
        <v>726</v>
      </c>
      <c r="N5521" t="s">
        <v>85</v>
      </c>
      <c r="O5521" t="s">
        <v>84</v>
      </c>
      <c r="Q5521">
        <v>10</v>
      </c>
      <c r="R5521" t="s">
        <v>213</v>
      </c>
      <c r="S5521" s="2" t="s">
        <v>7</v>
      </c>
      <c r="T5521">
        <v>10</v>
      </c>
      <c r="U5521" t="s">
        <v>28</v>
      </c>
      <c r="V5521" t="s">
        <v>28</v>
      </c>
      <c r="W5521">
        <v>15</v>
      </c>
      <c r="X5521">
        <v>0.70599999999999996</v>
      </c>
      <c r="Y5521">
        <v>8.8999999999999996E-2</v>
      </c>
      <c r="AA5521" s="6"/>
      <c r="AB5521" s="6"/>
    </row>
    <row r="5522" spans="1:28" x14ac:dyDescent="0.2">
      <c r="A5522" t="s">
        <v>610</v>
      </c>
      <c r="B5522">
        <v>2016</v>
      </c>
      <c r="C5522" t="s">
        <v>811</v>
      </c>
      <c r="D5522" t="s">
        <v>818</v>
      </c>
      <c r="E5522" t="s">
        <v>612</v>
      </c>
      <c r="F5522" t="s">
        <v>611</v>
      </c>
      <c r="G5522">
        <v>-37.633333</v>
      </c>
      <c r="H5522">
        <v>176.16666699999999</v>
      </c>
      <c r="I5522" t="s">
        <v>761</v>
      </c>
      <c r="J5522" s="2" t="s">
        <v>14</v>
      </c>
      <c r="K5522" t="s">
        <v>144</v>
      </c>
      <c r="L5522" t="s">
        <v>144</v>
      </c>
      <c r="M5522" t="s">
        <v>726</v>
      </c>
      <c r="N5522" t="s">
        <v>85</v>
      </c>
      <c r="O5522" t="s">
        <v>84</v>
      </c>
      <c r="Q5522">
        <v>10</v>
      </c>
      <c r="R5522" t="s">
        <v>213</v>
      </c>
      <c r="S5522" s="2" t="s">
        <v>9</v>
      </c>
      <c r="T5522">
        <v>10</v>
      </c>
      <c r="U5522" t="s">
        <v>28</v>
      </c>
      <c r="V5522" t="s">
        <v>28</v>
      </c>
      <c r="W5522">
        <v>20</v>
      </c>
      <c r="X5522">
        <v>0.57799999999999996</v>
      </c>
      <c r="Y5522">
        <v>0.25700000000000001</v>
      </c>
      <c r="AA5522" s="6"/>
      <c r="AB5522" s="6"/>
    </row>
    <row r="5523" spans="1:28" x14ac:dyDescent="0.2">
      <c r="A5523" t="s">
        <v>610</v>
      </c>
      <c r="B5523">
        <v>2016</v>
      </c>
      <c r="C5523" t="s">
        <v>811</v>
      </c>
      <c r="D5523" t="s">
        <v>818</v>
      </c>
      <c r="E5523" t="s">
        <v>612</v>
      </c>
      <c r="F5523" t="s">
        <v>611</v>
      </c>
      <c r="G5523">
        <v>-37.633333</v>
      </c>
      <c r="H5523">
        <v>176.16666699999999</v>
      </c>
      <c r="I5523" t="s">
        <v>761</v>
      </c>
      <c r="J5523" s="2" t="s">
        <v>14</v>
      </c>
      <c r="K5523" t="s">
        <v>144</v>
      </c>
      <c r="L5523" t="s">
        <v>144</v>
      </c>
      <c r="M5523" t="s">
        <v>726</v>
      </c>
      <c r="N5523" t="s">
        <v>85</v>
      </c>
      <c r="O5523" t="s">
        <v>84</v>
      </c>
      <c r="Q5523">
        <v>10</v>
      </c>
      <c r="R5523" t="s">
        <v>213</v>
      </c>
      <c r="S5523" s="2" t="s">
        <v>27</v>
      </c>
      <c r="T5523">
        <v>10</v>
      </c>
      <c r="U5523" t="s">
        <v>28</v>
      </c>
      <c r="V5523" t="s">
        <v>28</v>
      </c>
      <c r="W5523">
        <v>25</v>
      </c>
      <c r="X5523">
        <v>0</v>
      </c>
      <c r="Y5523">
        <v>0</v>
      </c>
      <c r="AA5523" s="6"/>
      <c r="AB5523" s="6"/>
    </row>
    <row r="5524" spans="1:28" x14ac:dyDescent="0.2">
      <c r="A5524" t="s">
        <v>610</v>
      </c>
      <c r="B5524">
        <v>2016</v>
      </c>
      <c r="C5524" t="s">
        <v>807</v>
      </c>
      <c r="D5524" t="s">
        <v>825</v>
      </c>
      <c r="E5524" t="s">
        <v>35</v>
      </c>
      <c r="F5524" t="s">
        <v>611</v>
      </c>
      <c r="G5524">
        <v>-37.633333</v>
      </c>
      <c r="H5524">
        <v>176.16666699999999</v>
      </c>
      <c r="I5524" t="s">
        <v>761</v>
      </c>
      <c r="J5524" s="2" t="s">
        <v>7</v>
      </c>
      <c r="K5524" t="s">
        <v>144</v>
      </c>
      <c r="L5524" t="s">
        <v>144</v>
      </c>
      <c r="M5524" t="s">
        <v>726</v>
      </c>
      <c r="N5524" t="s">
        <v>85</v>
      </c>
      <c r="O5524" t="s">
        <v>835</v>
      </c>
      <c r="P5524" t="s">
        <v>83</v>
      </c>
      <c r="Q5524">
        <v>10</v>
      </c>
      <c r="R5524" t="s">
        <v>213</v>
      </c>
      <c r="S5524" s="2" t="s">
        <v>7</v>
      </c>
      <c r="T5524">
        <v>3</v>
      </c>
      <c r="U5524" t="s">
        <v>28</v>
      </c>
      <c r="V5524" t="s">
        <v>28</v>
      </c>
      <c r="W5524">
        <v>15</v>
      </c>
      <c r="X5524">
        <v>52.8</v>
      </c>
      <c r="Y5524">
        <v>8.6999999999999993</v>
      </c>
      <c r="AA5524" s="6"/>
      <c r="AB5524" s="6"/>
    </row>
    <row r="5525" spans="1:28" x14ac:dyDescent="0.2">
      <c r="A5525" t="s">
        <v>610</v>
      </c>
      <c r="B5525">
        <v>2016</v>
      </c>
      <c r="C5525" t="s">
        <v>807</v>
      </c>
      <c r="D5525" t="s">
        <v>825</v>
      </c>
      <c r="E5525" t="s">
        <v>35</v>
      </c>
      <c r="F5525" t="s">
        <v>611</v>
      </c>
      <c r="G5525">
        <v>-37.633333</v>
      </c>
      <c r="H5525">
        <v>176.16666699999999</v>
      </c>
      <c r="I5525" t="s">
        <v>761</v>
      </c>
      <c r="J5525" s="2" t="s">
        <v>14</v>
      </c>
      <c r="K5525" t="s">
        <v>144</v>
      </c>
      <c r="L5525" t="s">
        <v>144</v>
      </c>
      <c r="M5525" t="s">
        <v>726</v>
      </c>
      <c r="N5525" t="s">
        <v>85</v>
      </c>
      <c r="O5525" t="s">
        <v>835</v>
      </c>
      <c r="P5525" t="s">
        <v>83</v>
      </c>
      <c r="Q5525">
        <v>10</v>
      </c>
      <c r="R5525" t="s">
        <v>213</v>
      </c>
      <c r="S5525" s="2" t="s">
        <v>27</v>
      </c>
      <c r="T5525">
        <v>3</v>
      </c>
      <c r="U5525" t="s">
        <v>28</v>
      </c>
      <c r="V5525" t="s">
        <v>28</v>
      </c>
      <c r="W5525">
        <v>25</v>
      </c>
      <c r="X5525">
        <v>41.2</v>
      </c>
      <c r="Y5525">
        <v>9.3000000000000007</v>
      </c>
      <c r="AA5525" s="6"/>
      <c r="AB5525" s="6"/>
    </row>
    <row r="5526" spans="1:28" x14ac:dyDescent="0.2">
      <c r="A5526" t="s">
        <v>610</v>
      </c>
      <c r="B5526">
        <v>2016</v>
      </c>
      <c r="C5526" t="s">
        <v>811</v>
      </c>
      <c r="D5526" t="s">
        <v>818</v>
      </c>
      <c r="E5526" t="s">
        <v>612</v>
      </c>
      <c r="F5526" t="s">
        <v>611</v>
      </c>
      <c r="G5526">
        <v>-37.633333</v>
      </c>
      <c r="H5526">
        <v>176.16666699999999</v>
      </c>
      <c r="I5526" t="s">
        <v>761</v>
      </c>
      <c r="J5526" s="2" t="s">
        <v>7</v>
      </c>
      <c r="K5526" t="s">
        <v>144</v>
      </c>
      <c r="L5526" t="s">
        <v>144</v>
      </c>
      <c r="M5526" t="s">
        <v>726</v>
      </c>
      <c r="N5526" t="s">
        <v>85</v>
      </c>
      <c r="O5526" t="s">
        <v>835</v>
      </c>
      <c r="P5526" t="s">
        <v>83</v>
      </c>
      <c r="Q5526">
        <v>10</v>
      </c>
      <c r="R5526" t="s">
        <v>213</v>
      </c>
      <c r="S5526" s="2" t="s">
        <v>7</v>
      </c>
      <c r="T5526">
        <v>3</v>
      </c>
      <c r="U5526" t="s">
        <v>28</v>
      </c>
      <c r="V5526" t="s">
        <v>28</v>
      </c>
      <c r="W5526">
        <v>15</v>
      </c>
      <c r="X5526">
        <v>45.8</v>
      </c>
      <c r="Y5526">
        <v>6.5</v>
      </c>
      <c r="AA5526" s="6"/>
      <c r="AB5526" s="6"/>
    </row>
    <row r="5527" spans="1:28" x14ac:dyDescent="0.2">
      <c r="A5527" t="s">
        <v>610</v>
      </c>
      <c r="B5527">
        <v>2016</v>
      </c>
      <c r="C5527" t="s">
        <v>811</v>
      </c>
      <c r="D5527" t="s">
        <v>818</v>
      </c>
      <c r="E5527" t="s">
        <v>612</v>
      </c>
      <c r="F5527" t="s">
        <v>611</v>
      </c>
      <c r="G5527">
        <v>-37.633333</v>
      </c>
      <c r="H5527">
        <v>176.16666699999999</v>
      </c>
      <c r="I5527" t="s">
        <v>761</v>
      </c>
      <c r="J5527" s="2" t="s">
        <v>14</v>
      </c>
      <c r="K5527" t="s">
        <v>144</v>
      </c>
      <c r="L5527" t="s">
        <v>144</v>
      </c>
      <c r="M5527" t="s">
        <v>726</v>
      </c>
      <c r="N5527" t="s">
        <v>85</v>
      </c>
      <c r="O5527" t="s">
        <v>835</v>
      </c>
      <c r="P5527" t="s">
        <v>83</v>
      </c>
      <c r="Q5527">
        <v>10</v>
      </c>
      <c r="R5527" t="s">
        <v>213</v>
      </c>
      <c r="S5527" s="2" t="s">
        <v>9</v>
      </c>
      <c r="T5527">
        <v>3</v>
      </c>
      <c r="U5527" t="s">
        <v>28</v>
      </c>
      <c r="V5527" t="s">
        <v>28</v>
      </c>
      <c r="W5527">
        <v>20</v>
      </c>
      <c r="X5527">
        <v>65.7</v>
      </c>
      <c r="Y5527">
        <v>5.2</v>
      </c>
      <c r="AA5527" s="6"/>
      <c r="AB5527" s="6"/>
    </row>
    <row r="5528" spans="1:28" x14ac:dyDescent="0.2">
      <c r="A5528" t="s">
        <v>610</v>
      </c>
      <c r="B5528">
        <v>2016</v>
      </c>
      <c r="C5528" t="s">
        <v>807</v>
      </c>
      <c r="D5528" t="s">
        <v>825</v>
      </c>
      <c r="E5528" t="s">
        <v>35</v>
      </c>
      <c r="F5528" t="s">
        <v>611</v>
      </c>
      <c r="G5528">
        <v>-37.633333</v>
      </c>
      <c r="H5528">
        <v>176.16666699999999</v>
      </c>
      <c r="I5528" t="s">
        <v>761</v>
      </c>
      <c r="J5528" s="2" t="s">
        <v>7</v>
      </c>
      <c r="K5528" t="s">
        <v>144</v>
      </c>
      <c r="L5528" t="s">
        <v>144</v>
      </c>
      <c r="M5528" t="s">
        <v>553</v>
      </c>
      <c r="N5528" t="s">
        <v>85</v>
      </c>
      <c r="O5528" t="s">
        <v>61</v>
      </c>
      <c r="P5528" t="s">
        <v>109</v>
      </c>
      <c r="Q5528">
        <v>10</v>
      </c>
      <c r="R5528" t="s">
        <v>213</v>
      </c>
      <c r="S5528" s="2" t="s">
        <v>7</v>
      </c>
      <c r="T5528">
        <v>5</v>
      </c>
      <c r="U5528" t="s">
        <v>28</v>
      </c>
      <c r="V5528" t="s">
        <v>28</v>
      </c>
      <c r="W5528">
        <v>15</v>
      </c>
      <c r="X5528">
        <v>274.43174136350598</v>
      </c>
      <c r="Y5528">
        <v>23.181560123838601</v>
      </c>
      <c r="AA5528" s="6"/>
      <c r="AB5528" s="6"/>
    </row>
    <row r="5529" spans="1:28" x14ac:dyDescent="0.2">
      <c r="A5529" t="s">
        <v>610</v>
      </c>
      <c r="B5529">
        <v>2016</v>
      </c>
      <c r="C5529" t="s">
        <v>807</v>
      </c>
      <c r="D5529" t="s">
        <v>825</v>
      </c>
      <c r="E5529" t="s">
        <v>35</v>
      </c>
      <c r="F5529" t="s">
        <v>611</v>
      </c>
      <c r="G5529">
        <v>-37.633333</v>
      </c>
      <c r="H5529">
        <v>176.16666699999999</v>
      </c>
      <c r="I5529" t="s">
        <v>761</v>
      </c>
      <c r="J5529" s="2" t="s">
        <v>14</v>
      </c>
      <c r="K5529" t="s">
        <v>144</v>
      </c>
      <c r="L5529" t="s">
        <v>144</v>
      </c>
      <c r="M5529" t="s">
        <v>553</v>
      </c>
      <c r="N5529" t="s">
        <v>85</v>
      </c>
      <c r="O5529" t="s">
        <v>61</v>
      </c>
      <c r="P5529" t="s">
        <v>109</v>
      </c>
      <c r="Q5529">
        <v>10</v>
      </c>
      <c r="R5529" t="s">
        <v>213</v>
      </c>
      <c r="S5529" s="2" t="s">
        <v>9</v>
      </c>
      <c r="T5529">
        <v>5</v>
      </c>
      <c r="U5529" t="s">
        <v>28</v>
      </c>
      <c r="V5529" t="s">
        <v>28</v>
      </c>
      <c r="W5529">
        <v>20</v>
      </c>
      <c r="X5529">
        <v>219.83565263924399</v>
      </c>
      <c r="Y5529">
        <v>20.166037144506401</v>
      </c>
      <c r="AA5529" s="6"/>
      <c r="AB5529" s="6"/>
    </row>
    <row r="5530" spans="1:28" x14ac:dyDescent="0.2">
      <c r="A5530" t="s">
        <v>610</v>
      </c>
      <c r="B5530">
        <v>2016</v>
      </c>
      <c r="C5530" t="s">
        <v>807</v>
      </c>
      <c r="D5530" t="s">
        <v>825</v>
      </c>
      <c r="E5530" t="s">
        <v>35</v>
      </c>
      <c r="F5530" t="s">
        <v>611</v>
      </c>
      <c r="G5530">
        <v>-37.633333</v>
      </c>
      <c r="H5530">
        <v>176.16666699999999</v>
      </c>
      <c r="I5530" t="s">
        <v>761</v>
      </c>
      <c r="J5530" s="2" t="s">
        <v>14</v>
      </c>
      <c r="K5530" t="s">
        <v>144</v>
      </c>
      <c r="L5530" t="s">
        <v>144</v>
      </c>
      <c r="M5530" t="s">
        <v>553</v>
      </c>
      <c r="N5530" t="s">
        <v>85</v>
      </c>
      <c r="O5530" t="s">
        <v>61</v>
      </c>
      <c r="P5530" t="s">
        <v>109</v>
      </c>
      <c r="Q5530">
        <v>10</v>
      </c>
      <c r="R5530" t="s">
        <v>213</v>
      </c>
      <c r="S5530" s="2" t="s">
        <v>27</v>
      </c>
      <c r="T5530">
        <v>5</v>
      </c>
      <c r="U5530" t="s">
        <v>28</v>
      </c>
      <c r="V5530" t="s">
        <v>28</v>
      </c>
      <c r="W5530">
        <v>25</v>
      </c>
      <c r="X5530">
        <v>194.36531697249899</v>
      </c>
      <c r="Y5530">
        <v>22.585438426163599</v>
      </c>
      <c r="AA5530" s="6"/>
      <c r="AB5530" s="6"/>
    </row>
    <row r="5531" spans="1:28" x14ac:dyDescent="0.2">
      <c r="A5531" t="s">
        <v>610</v>
      </c>
      <c r="B5531">
        <v>2016</v>
      </c>
      <c r="C5531" t="s">
        <v>826</v>
      </c>
      <c r="D5531" t="s">
        <v>812</v>
      </c>
      <c r="E5531" t="s">
        <v>175</v>
      </c>
      <c r="F5531" t="s">
        <v>611</v>
      </c>
      <c r="G5531">
        <v>-37.633333</v>
      </c>
      <c r="H5531">
        <v>176.16666699999999</v>
      </c>
      <c r="I5531" t="s">
        <v>761</v>
      </c>
      <c r="J5531" s="2" t="s">
        <v>7</v>
      </c>
      <c r="K5531" t="s">
        <v>144</v>
      </c>
      <c r="L5531" t="s">
        <v>144</v>
      </c>
      <c r="M5531" t="s">
        <v>553</v>
      </c>
      <c r="N5531" t="s">
        <v>85</v>
      </c>
      <c r="O5531" t="s">
        <v>61</v>
      </c>
      <c r="P5531" t="s">
        <v>109</v>
      </c>
      <c r="Q5531">
        <v>10</v>
      </c>
      <c r="R5531" t="s">
        <v>213</v>
      </c>
      <c r="S5531" s="2" t="s">
        <v>7</v>
      </c>
      <c r="T5531">
        <v>5</v>
      </c>
      <c r="U5531" t="s">
        <v>28</v>
      </c>
      <c r="V5531" t="s">
        <v>28</v>
      </c>
      <c r="W5531">
        <v>15</v>
      </c>
      <c r="X5531">
        <v>132.835340856133</v>
      </c>
      <c r="Y5531">
        <v>125.50744721186</v>
      </c>
      <c r="AA5531" s="6"/>
      <c r="AB5531" s="6"/>
    </row>
    <row r="5532" spans="1:28" x14ac:dyDescent="0.2">
      <c r="A5532" t="s">
        <v>610</v>
      </c>
      <c r="B5532">
        <v>2016</v>
      </c>
      <c r="C5532" t="s">
        <v>826</v>
      </c>
      <c r="D5532" t="s">
        <v>812</v>
      </c>
      <c r="E5532" t="s">
        <v>175</v>
      </c>
      <c r="F5532" t="s">
        <v>611</v>
      </c>
      <c r="G5532">
        <v>-37.633333</v>
      </c>
      <c r="H5532">
        <v>176.16666699999999</v>
      </c>
      <c r="I5532" t="s">
        <v>761</v>
      </c>
      <c r="J5532" s="2" t="s">
        <v>14</v>
      </c>
      <c r="K5532" t="s">
        <v>144</v>
      </c>
      <c r="L5532" t="s">
        <v>144</v>
      </c>
      <c r="M5532" t="s">
        <v>553</v>
      </c>
      <c r="N5532" t="s">
        <v>85</v>
      </c>
      <c r="O5532" t="s">
        <v>61</v>
      </c>
      <c r="P5532" t="s">
        <v>109</v>
      </c>
      <c r="Q5532">
        <v>10</v>
      </c>
      <c r="R5532" t="s">
        <v>213</v>
      </c>
      <c r="S5532" s="2" t="s">
        <v>9</v>
      </c>
      <c r="T5532">
        <v>5</v>
      </c>
      <c r="U5532" t="s">
        <v>28</v>
      </c>
      <c r="V5532" t="s">
        <v>28</v>
      </c>
      <c r="W5532">
        <v>20</v>
      </c>
      <c r="X5532">
        <v>85.0721158115268</v>
      </c>
      <c r="Y5532">
        <v>28.5684060339646</v>
      </c>
      <c r="AA5532" s="6"/>
      <c r="AB5532" s="6"/>
    </row>
    <row r="5533" spans="1:28" x14ac:dyDescent="0.2">
      <c r="A5533" t="s">
        <v>610</v>
      </c>
      <c r="B5533">
        <v>2016</v>
      </c>
      <c r="C5533" t="s">
        <v>826</v>
      </c>
      <c r="D5533" t="s">
        <v>812</v>
      </c>
      <c r="E5533" t="s">
        <v>175</v>
      </c>
      <c r="F5533" t="s">
        <v>611</v>
      </c>
      <c r="G5533">
        <v>-37.633333</v>
      </c>
      <c r="H5533">
        <v>176.16666699999999</v>
      </c>
      <c r="I5533" t="s">
        <v>761</v>
      </c>
      <c r="J5533" s="2" t="s">
        <v>14</v>
      </c>
      <c r="K5533" t="s">
        <v>144</v>
      </c>
      <c r="L5533" t="s">
        <v>144</v>
      </c>
      <c r="M5533" t="s">
        <v>553</v>
      </c>
      <c r="N5533" t="s">
        <v>85</v>
      </c>
      <c r="O5533" t="s">
        <v>61</v>
      </c>
      <c r="P5533" t="s">
        <v>109</v>
      </c>
      <c r="Q5533">
        <v>10</v>
      </c>
      <c r="R5533" t="s">
        <v>213</v>
      </c>
      <c r="S5533" s="2" t="s">
        <v>27</v>
      </c>
      <c r="T5533">
        <v>5</v>
      </c>
      <c r="U5533" t="s">
        <v>28</v>
      </c>
      <c r="V5533" t="s">
        <v>28</v>
      </c>
      <c r="W5533">
        <v>25</v>
      </c>
      <c r="X5533">
        <v>161.117637204375</v>
      </c>
      <c r="Y5533">
        <v>86.547718738715801</v>
      </c>
      <c r="AA5533" s="6"/>
      <c r="AB5533" s="6"/>
    </row>
    <row r="5534" spans="1:28" x14ac:dyDescent="0.2">
      <c r="A5534" t="s">
        <v>610</v>
      </c>
      <c r="B5534">
        <v>2016</v>
      </c>
      <c r="C5534" t="s">
        <v>811</v>
      </c>
      <c r="D5534" t="s">
        <v>818</v>
      </c>
      <c r="E5534" t="s">
        <v>612</v>
      </c>
      <c r="F5534" t="s">
        <v>611</v>
      </c>
      <c r="G5534">
        <v>-37.633333</v>
      </c>
      <c r="H5534">
        <v>176.16666699999999</v>
      </c>
      <c r="I5534" t="s">
        <v>761</v>
      </c>
      <c r="J5534" s="2" t="s">
        <v>7</v>
      </c>
      <c r="K5534" t="s">
        <v>144</v>
      </c>
      <c r="L5534" t="s">
        <v>144</v>
      </c>
      <c r="M5534" t="s">
        <v>553</v>
      </c>
      <c r="N5534" t="s">
        <v>85</v>
      </c>
      <c r="O5534" t="s">
        <v>61</v>
      </c>
      <c r="P5534" t="s">
        <v>109</v>
      </c>
      <c r="Q5534">
        <v>10</v>
      </c>
      <c r="R5534" t="s">
        <v>213</v>
      </c>
      <c r="S5534" s="2" t="s">
        <v>7</v>
      </c>
      <c r="T5534">
        <v>5</v>
      </c>
      <c r="U5534" t="s">
        <v>28</v>
      </c>
      <c r="V5534" t="s">
        <v>28</v>
      </c>
      <c r="W5534">
        <v>15</v>
      </c>
      <c r="X5534">
        <v>112.45613500462299</v>
      </c>
      <c r="Y5534">
        <v>35.193822242125499</v>
      </c>
      <c r="AA5534" s="6"/>
      <c r="AB5534" s="6"/>
    </row>
    <row r="5535" spans="1:28" x14ac:dyDescent="0.2">
      <c r="A5535" t="s">
        <v>610</v>
      </c>
      <c r="B5535">
        <v>2016</v>
      </c>
      <c r="C5535" t="s">
        <v>811</v>
      </c>
      <c r="D5535" t="s">
        <v>818</v>
      </c>
      <c r="E5535" t="s">
        <v>612</v>
      </c>
      <c r="F5535" t="s">
        <v>611</v>
      </c>
      <c r="G5535">
        <v>-37.633333</v>
      </c>
      <c r="H5535">
        <v>176.16666699999999</v>
      </c>
      <c r="I5535" t="s">
        <v>761</v>
      </c>
      <c r="J5535" s="2" t="s">
        <v>14</v>
      </c>
      <c r="K5535" t="s">
        <v>144</v>
      </c>
      <c r="L5535" t="s">
        <v>144</v>
      </c>
      <c r="M5535" t="s">
        <v>553</v>
      </c>
      <c r="N5535" t="s">
        <v>85</v>
      </c>
      <c r="O5535" t="s">
        <v>61</v>
      </c>
      <c r="P5535" t="s">
        <v>109</v>
      </c>
      <c r="Q5535">
        <v>10</v>
      </c>
      <c r="R5535" t="s">
        <v>213</v>
      </c>
      <c r="S5535" s="2" t="s">
        <v>9</v>
      </c>
      <c r="T5535">
        <v>5</v>
      </c>
      <c r="U5535" t="s">
        <v>28</v>
      </c>
      <c r="V5535" t="s">
        <v>28</v>
      </c>
      <c r="W5535">
        <v>20</v>
      </c>
      <c r="X5535">
        <v>116.676079045691</v>
      </c>
      <c r="Y5535">
        <v>36.488894309786502</v>
      </c>
      <c r="AA5535" s="6"/>
      <c r="AB5535" s="6"/>
    </row>
    <row r="5536" spans="1:28" x14ac:dyDescent="0.2">
      <c r="A5536" t="s">
        <v>610</v>
      </c>
      <c r="B5536">
        <v>2016</v>
      </c>
      <c r="C5536" t="s">
        <v>811</v>
      </c>
      <c r="D5536" t="s">
        <v>818</v>
      </c>
      <c r="E5536" t="s">
        <v>612</v>
      </c>
      <c r="F5536" t="s">
        <v>611</v>
      </c>
      <c r="G5536">
        <v>-37.633333</v>
      </c>
      <c r="H5536">
        <v>176.16666699999999</v>
      </c>
      <c r="I5536" t="s">
        <v>761</v>
      </c>
      <c r="J5536" s="2" t="s">
        <v>14</v>
      </c>
      <c r="K5536" t="s">
        <v>144</v>
      </c>
      <c r="L5536" t="s">
        <v>144</v>
      </c>
      <c r="M5536" t="s">
        <v>553</v>
      </c>
      <c r="N5536" t="s">
        <v>85</v>
      </c>
      <c r="O5536" t="s">
        <v>61</v>
      </c>
      <c r="P5536" t="s">
        <v>109</v>
      </c>
      <c r="Q5536">
        <v>10</v>
      </c>
      <c r="R5536" t="s">
        <v>213</v>
      </c>
      <c r="S5536" s="2" t="s">
        <v>27</v>
      </c>
      <c r="T5536">
        <v>5</v>
      </c>
      <c r="U5536" t="s">
        <v>28</v>
      </c>
      <c r="V5536" t="s">
        <v>28</v>
      </c>
      <c r="W5536">
        <v>25</v>
      </c>
      <c r="X5536">
        <v>72.666683801736994</v>
      </c>
      <c r="Y5536">
        <v>55.459983649999998</v>
      </c>
      <c r="AA5536" s="6"/>
      <c r="AB5536" s="6"/>
    </row>
    <row r="5537" spans="1:28" x14ac:dyDescent="0.2">
      <c r="A5537" t="s">
        <v>610</v>
      </c>
      <c r="B5537">
        <v>2016</v>
      </c>
      <c r="C5537" t="s">
        <v>807</v>
      </c>
      <c r="D5537" t="s">
        <v>825</v>
      </c>
      <c r="E5537" t="s">
        <v>35</v>
      </c>
      <c r="F5537" t="s">
        <v>611</v>
      </c>
      <c r="G5537">
        <v>-37.633333</v>
      </c>
      <c r="H5537">
        <v>176.16666699999999</v>
      </c>
      <c r="I5537" t="s">
        <v>761</v>
      </c>
      <c r="J5537" s="2" t="s">
        <v>7</v>
      </c>
      <c r="K5537" t="s">
        <v>144</v>
      </c>
      <c r="L5537" t="s">
        <v>144</v>
      </c>
      <c r="M5537" t="s">
        <v>553</v>
      </c>
      <c r="N5537" t="s">
        <v>85</v>
      </c>
      <c r="O5537" t="s">
        <v>368</v>
      </c>
      <c r="P5537" t="s">
        <v>613</v>
      </c>
      <c r="Q5537">
        <v>10</v>
      </c>
      <c r="R5537" t="s">
        <v>213</v>
      </c>
      <c r="S5537" s="2" t="s">
        <v>7</v>
      </c>
      <c r="T5537">
        <v>5</v>
      </c>
      <c r="U5537" t="s">
        <v>28</v>
      </c>
      <c r="V5537" t="s">
        <v>28</v>
      </c>
      <c r="W5537">
        <v>15</v>
      </c>
      <c r="X5537">
        <v>7.5999999999999998E-2</v>
      </c>
      <c r="Y5537">
        <v>2E-3</v>
      </c>
      <c r="AA5537" s="6"/>
      <c r="AB5537" s="6"/>
    </row>
    <row r="5538" spans="1:28" x14ac:dyDescent="0.2">
      <c r="A5538" t="s">
        <v>610</v>
      </c>
      <c r="B5538">
        <v>2016</v>
      </c>
      <c r="C5538" t="s">
        <v>807</v>
      </c>
      <c r="D5538" t="s">
        <v>825</v>
      </c>
      <c r="E5538" t="s">
        <v>35</v>
      </c>
      <c r="F5538" t="s">
        <v>611</v>
      </c>
      <c r="G5538">
        <v>-37.633333</v>
      </c>
      <c r="H5538">
        <v>176.16666699999999</v>
      </c>
      <c r="I5538" t="s">
        <v>761</v>
      </c>
      <c r="J5538" s="2" t="s">
        <v>14</v>
      </c>
      <c r="K5538" t="s">
        <v>144</v>
      </c>
      <c r="L5538" t="s">
        <v>144</v>
      </c>
      <c r="M5538" t="s">
        <v>553</v>
      </c>
      <c r="N5538" t="s">
        <v>85</v>
      </c>
      <c r="O5538" t="s">
        <v>368</v>
      </c>
      <c r="P5538" t="s">
        <v>613</v>
      </c>
      <c r="Q5538">
        <v>10</v>
      </c>
      <c r="R5538" t="s">
        <v>213</v>
      </c>
      <c r="S5538" s="2" t="s">
        <v>9</v>
      </c>
      <c r="T5538">
        <v>5</v>
      </c>
      <c r="U5538" t="s">
        <v>28</v>
      </c>
      <c r="V5538" t="s">
        <v>28</v>
      </c>
      <c r="W5538">
        <v>20</v>
      </c>
      <c r="X5538">
        <v>8.6999999999999994E-2</v>
      </c>
      <c r="Y5538">
        <v>0.01</v>
      </c>
      <c r="AA5538" s="6"/>
      <c r="AB5538" s="6"/>
    </row>
    <row r="5539" spans="1:28" x14ac:dyDescent="0.2">
      <c r="A5539" t="s">
        <v>610</v>
      </c>
      <c r="B5539">
        <v>2016</v>
      </c>
      <c r="C5539" t="s">
        <v>807</v>
      </c>
      <c r="D5539" t="s">
        <v>825</v>
      </c>
      <c r="E5539" t="s">
        <v>35</v>
      </c>
      <c r="F5539" t="s">
        <v>611</v>
      </c>
      <c r="G5539">
        <v>-37.633333</v>
      </c>
      <c r="H5539">
        <v>176.16666699999999</v>
      </c>
      <c r="I5539" t="s">
        <v>761</v>
      </c>
      <c r="J5539" s="2" t="s">
        <v>14</v>
      </c>
      <c r="K5539" t="s">
        <v>144</v>
      </c>
      <c r="L5539" t="s">
        <v>144</v>
      </c>
      <c r="M5539" t="s">
        <v>553</v>
      </c>
      <c r="N5539" t="s">
        <v>85</v>
      </c>
      <c r="O5539" t="s">
        <v>368</v>
      </c>
      <c r="P5539" t="s">
        <v>613</v>
      </c>
      <c r="Q5539">
        <v>10</v>
      </c>
      <c r="R5539" t="s">
        <v>213</v>
      </c>
      <c r="S5539" s="2" t="s">
        <v>27</v>
      </c>
      <c r="T5539">
        <v>5</v>
      </c>
      <c r="U5539" t="s">
        <v>28</v>
      </c>
      <c r="V5539" t="s">
        <v>28</v>
      </c>
      <c r="W5539">
        <v>25</v>
      </c>
      <c r="X5539">
        <v>7.4999999999999997E-2</v>
      </c>
      <c r="Y5539">
        <v>1.6E-2</v>
      </c>
      <c r="AA5539" s="6"/>
      <c r="AB5539" s="6"/>
    </row>
    <row r="5540" spans="1:28" x14ac:dyDescent="0.2">
      <c r="A5540" t="s">
        <v>610</v>
      </c>
      <c r="B5540">
        <v>2016</v>
      </c>
      <c r="C5540" t="s">
        <v>826</v>
      </c>
      <c r="D5540" t="s">
        <v>812</v>
      </c>
      <c r="E5540" t="s">
        <v>175</v>
      </c>
      <c r="F5540" t="s">
        <v>611</v>
      </c>
      <c r="G5540">
        <v>-37.633333</v>
      </c>
      <c r="H5540">
        <v>176.16666699999999</v>
      </c>
      <c r="I5540" t="s">
        <v>761</v>
      </c>
      <c r="J5540" s="2" t="s">
        <v>7</v>
      </c>
      <c r="K5540" t="s">
        <v>144</v>
      </c>
      <c r="L5540" t="s">
        <v>144</v>
      </c>
      <c r="M5540" t="s">
        <v>553</v>
      </c>
      <c r="N5540" t="s">
        <v>85</v>
      </c>
      <c r="O5540" t="s">
        <v>368</v>
      </c>
      <c r="P5540" t="s">
        <v>613</v>
      </c>
      <c r="Q5540">
        <v>10</v>
      </c>
      <c r="R5540" t="s">
        <v>213</v>
      </c>
      <c r="S5540" s="2" t="s">
        <v>7</v>
      </c>
      <c r="T5540">
        <v>5</v>
      </c>
      <c r="U5540" t="s">
        <v>28</v>
      </c>
      <c r="V5540" t="s">
        <v>28</v>
      </c>
      <c r="W5540">
        <v>15</v>
      </c>
      <c r="X5540">
        <v>5.2999999999999999E-2</v>
      </c>
      <c r="Y5540">
        <v>1.7999999999999999E-2</v>
      </c>
      <c r="AA5540" s="6"/>
      <c r="AB5540" s="6"/>
    </row>
    <row r="5541" spans="1:28" x14ac:dyDescent="0.2">
      <c r="A5541" t="s">
        <v>610</v>
      </c>
      <c r="B5541">
        <v>2016</v>
      </c>
      <c r="C5541" t="s">
        <v>826</v>
      </c>
      <c r="D5541" t="s">
        <v>812</v>
      </c>
      <c r="E5541" t="s">
        <v>175</v>
      </c>
      <c r="F5541" t="s">
        <v>611</v>
      </c>
      <c r="G5541">
        <v>-37.633333</v>
      </c>
      <c r="H5541">
        <v>176.16666699999999</v>
      </c>
      <c r="I5541" t="s">
        <v>761</v>
      </c>
      <c r="J5541" s="2" t="s">
        <v>14</v>
      </c>
      <c r="K5541" t="s">
        <v>144</v>
      </c>
      <c r="L5541" t="s">
        <v>144</v>
      </c>
      <c r="M5541" t="s">
        <v>553</v>
      </c>
      <c r="N5541" t="s">
        <v>85</v>
      </c>
      <c r="O5541" t="s">
        <v>368</v>
      </c>
      <c r="P5541" t="s">
        <v>613</v>
      </c>
      <c r="Q5541">
        <v>10</v>
      </c>
      <c r="R5541" t="s">
        <v>213</v>
      </c>
      <c r="S5541" s="2" t="s">
        <v>9</v>
      </c>
      <c r="T5541">
        <v>5</v>
      </c>
      <c r="U5541" t="s">
        <v>28</v>
      </c>
      <c r="V5541" t="s">
        <v>28</v>
      </c>
      <c r="W5541">
        <v>20</v>
      </c>
      <c r="X5541">
        <v>5.8000000000000003E-2</v>
      </c>
      <c r="Y5541">
        <v>1.7999999999999999E-2</v>
      </c>
      <c r="AA5541" s="6"/>
      <c r="AB5541" s="6"/>
    </row>
    <row r="5542" spans="1:28" x14ac:dyDescent="0.2">
      <c r="A5542" t="s">
        <v>610</v>
      </c>
      <c r="B5542">
        <v>2016</v>
      </c>
      <c r="C5542" t="s">
        <v>826</v>
      </c>
      <c r="D5542" t="s">
        <v>812</v>
      </c>
      <c r="E5542" t="s">
        <v>175</v>
      </c>
      <c r="F5542" t="s">
        <v>611</v>
      </c>
      <c r="G5542">
        <v>-37.633333</v>
      </c>
      <c r="H5542">
        <v>176.16666699999999</v>
      </c>
      <c r="I5542" t="s">
        <v>761</v>
      </c>
      <c r="J5542" s="2" t="s">
        <v>14</v>
      </c>
      <c r="K5542" t="s">
        <v>144</v>
      </c>
      <c r="L5542" t="s">
        <v>144</v>
      </c>
      <c r="M5542" t="s">
        <v>553</v>
      </c>
      <c r="N5542" t="s">
        <v>85</v>
      </c>
      <c r="O5542" t="s">
        <v>368</v>
      </c>
      <c r="P5542" t="s">
        <v>613</v>
      </c>
      <c r="Q5542">
        <v>10</v>
      </c>
      <c r="R5542" t="s">
        <v>213</v>
      </c>
      <c r="S5542" s="2" t="s">
        <v>27</v>
      </c>
      <c r="T5542">
        <v>5</v>
      </c>
      <c r="U5542" t="s">
        <v>28</v>
      </c>
      <c r="V5542" t="s">
        <v>28</v>
      </c>
      <c r="W5542">
        <v>25</v>
      </c>
      <c r="X5542">
        <v>0.06</v>
      </c>
      <c r="Y5542">
        <v>1.9E-2</v>
      </c>
      <c r="AA5542" s="6"/>
      <c r="AB5542" s="6"/>
    </row>
    <row r="5543" spans="1:28" x14ac:dyDescent="0.2">
      <c r="A5543" t="s">
        <v>610</v>
      </c>
      <c r="B5543">
        <v>2016</v>
      </c>
      <c r="C5543" t="s">
        <v>811</v>
      </c>
      <c r="D5543" t="s">
        <v>818</v>
      </c>
      <c r="E5543" t="s">
        <v>612</v>
      </c>
      <c r="F5543" t="s">
        <v>611</v>
      </c>
      <c r="G5543">
        <v>-37.633333</v>
      </c>
      <c r="H5543">
        <v>176.16666699999999</v>
      </c>
      <c r="I5543" t="s">
        <v>761</v>
      </c>
      <c r="J5543" s="2" t="s">
        <v>7</v>
      </c>
      <c r="K5543" t="s">
        <v>144</v>
      </c>
      <c r="L5543" t="s">
        <v>144</v>
      </c>
      <c r="M5543" t="s">
        <v>553</v>
      </c>
      <c r="N5543" t="s">
        <v>85</v>
      </c>
      <c r="O5543" t="s">
        <v>368</v>
      </c>
      <c r="P5543" t="s">
        <v>613</v>
      </c>
      <c r="Q5543">
        <v>10</v>
      </c>
      <c r="R5543" t="s">
        <v>213</v>
      </c>
      <c r="S5543" s="2" t="s">
        <v>7</v>
      </c>
      <c r="T5543">
        <v>5</v>
      </c>
      <c r="U5543" t="s">
        <v>28</v>
      </c>
      <c r="V5543" t="s">
        <v>28</v>
      </c>
      <c r="W5543">
        <v>15</v>
      </c>
      <c r="X5543">
        <v>6.8000000000000005E-2</v>
      </c>
      <c r="Y5543">
        <v>0.01</v>
      </c>
      <c r="AA5543" s="6"/>
      <c r="AB5543" s="6"/>
    </row>
    <row r="5544" spans="1:28" x14ac:dyDescent="0.2">
      <c r="A5544" t="s">
        <v>610</v>
      </c>
      <c r="B5544">
        <v>2016</v>
      </c>
      <c r="C5544" t="s">
        <v>811</v>
      </c>
      <c r="D5544" t="s">
        <v>818</v>
      </c>
      <c r="E5544" t="s">
        <v>612</v>
      </c>
      <c r="F5544" t="s">
        <v>611</v>
      </c>
      <c r="G5544">
        <v>-37.633333</v>
      </c>
      <c r="H5544">
        <v>176.16666699999999</v>
      </c>
      <c r="I5544" t="s">
        <v>761</v>
      </c>
      <c r="J5544" s="2" t="s">
        <v>14</v>
      </c>
      <c r="K5544" t="s">
        <v>144</v>
      </c>
      <c r="L5544" t="s">
        <v>144</v>
      </c>
      <c r="M5544" t="s">
        <v>553</v>
      </c>
      <c r="N5544" t="s">
        <v>85</v>
      </c>
      <c r="O5544" t="s">
        <v>368</v>
      </c>
      <c r="P5544" t="s">
        <v>613</v>
      </c>
      <c r="Q5544">
        <v>10</v>
      </c>
      <c r="R5544" t="s">
        <v>213</v>
      </c>
      <c r="S5544" s="2" t="s">
        <v>9</v>
      </c>
      <c r="T5544">
        <v>5</v>
      </c>
      <c r="U5544" t="s">
        <v>28</v>
      </c>
      <c r="V5544" t="s">
        <v>28</v>
      </c>
      <c r="W5544">
        <v>20</v>
      </c>
      <c r="X5544">
        <v>6.0999999999999999E-2</v>
      </c>
      <c r="Y5544">
        <v>3.0000000000000001E-3</v>
      </c>
      <c r="AA5544" s="6"/>
      <c r="AB5544" s="6"/>
    </row>
    <row r="5545" spans="1:28" x14ac:dyDescent="0.2">
      <c r="A5545" t="s">
        <v>610</v>
      </c>
      <c r="B5545">
        <v>2016</v>
      </c>
      <c r="C5545" t="s">
        <v>811</v>
      </c>
      <c r="D5545" t="s">
        <v>818</v>
      </c>
      <c r="E5545" t="s">
        <v>612</v>
      </c>
      <c r="F5545" t="s">
        <v>611</v>
      </c>
      <c r="G5545">
        <v>-37.633333</v>
      </c>
      <c r="H5545">
        <v>176.16666699999999</v>
      </c>
      <c r="I5545" t="s">
        <v>761</v>
      </c>
      <c r="J5545" s="2" t="s">
        <v>14</v>
      </c>
      <c r="K5545" t="s">
        <v>144</v>
      </c>
      <c r="L5545" t="s">
        <v>144</v>
      </c>
      <c r="M5545" t="s">
        <v>553</v>
      </c>
      <c r="N5545" t="s">
        <v>85</v>
      </c>
      <c r="O5545" t="s">
        <v>368</v>
      </c>
      <c r="P5545" t="s">
        <v>613</v>
      </c>
      <c r="Q5545">
        <v>10</v>
      </c>
      <c r="R5545" t="s">
        <v>213</v>
      </c>
      <c r="S5545" s="2" t="s">
        <v>27</v>
      </c>
      <c r="T5545">
        <v>5</v>
      </c>
      <c r="U5545" t="s">
        <v>28</v>
      </c>
      <c r="V5545" t="s">
        <v>28</v>
      </c>
      <c r="W5545">
        <v>25</v>
      </c>
      <c r="X5545">
        <v>2.7E-2</v>
      </c>
      <c r="Y5545">
        <v>1.4999999999999999E-2</v>
      </c>
      <c r="AA5545" s="6"/>
      <c r="AB5545" s="6"/>
    </row>
    <row r="5546" spans="1:28" x14ac:dyDescent="0.2">
      <c r="A5546" t="s">
        <v>610</v>
      </c>
      <c r="B5546">
        <v>2016</v>
      </c>
      <c r="C5546" t="s">
        <v>807</v>
      </c>
      <c r="D5546" t="s">
        <v>825</v>
      </c>
      <c r="E5546" t="s">
        <v>35</v>
      </c>
      <c r="F5546" t="s">
        <v>611</v>
      </c>
      <c r="G5546">
        <v>-37.633333</v>
      </c>
      <c r="H5546">
        <v>176.16666699999999</v>
      </c>
      <c r="I5546" t="s">
        <v>761</v>
      </c>
      <c r="J5546" s="2" t="s">
        <v>7</v>
      </c>
      <c r="K5546" t="s">
        <v>144</v>
      </c>
      <c r="L5546" t="s">
        <v>144</v>
      </c>
      <c r="M5546" t="s">
        <v>637</v>
      </c>
      <c r="N5546" t="s">
        <v>85</v>
      </c>
      <c r="O5546" t="s">
        <v>614</v>
      </c>
      <c r="P5546" t="s">
        <v>109</v>
      </c>
      <c r="Q5546">
        <v>10</v>
      </c>
      <c r="R5546" t="s">
        <v>213</v>
      </c>
      <c r="S5546" s="2" t="s">
        <v>7</v>
      </c>
      <c r="T5546">
        <v>5</v>
      </c>
      <c r="U5546" t="s">
        <v>28</v>
      </c>
      <c r="V5546" t="s">
        <v>28</v>
      </c>
      <c r="W5546">
        <v>15</v>
      </c>
      <c r="X5546">
        <v>46.1714854633952</v>
      </c>
      <c r="Y5546">
        <v>3.9801378681706301</v>
      </c>
      <c r="AA5546" s="6"/>
      <c r="AB5546" s="6"/>
    </row>
    <row r="5547" spans="1:28" x14ac:dyDescent="0.2">
      <c r="A5547" t="s">
        <v>610</v>
      </c>
      <c r="B5547">
        <v>2016</v>
      </c>
      <c r="C5547" t="s">
        <v>807</v>
      </c>
      <c r="D5547" t="s">
        <v>825</v>
      </c>
      <c r="E5547" t="s">
        <v>35</v>
      </c>
      <c r="F5547" t="s">
        <v>611</v>
      </c>
      <c r="G5547">
        <v>-37.633333</v>
      </c>
      <c r="H5547">
        <v>176.16666699999999</v>
      </c>
      <c r="I5547" t="s">
        <v>761</v>
      </c>
      <c r="J5547" s="2" t="s">
        <v>14</v>
      </c>
      <c r="K5547" t="s">
        <v>144</v>
      </c>
      <c r="L5547" t="s">
        <v>144</v>
      </c>
      <c r="M5547" t="s">
        <v>637</v>
      </c>
      <c r="N5547" t="s">
        <v>85</v>
      </c>
      <c r="O5547" t="s">
        <v>614</v>
      </c>
      <c r="P5547" t="s">
        <v>109</v>
      </c>
      <c r="Q5547">
        <v>10</v>
      </c>
      <c r="R5547" t="s">
        <v>213</v>
      </c>
      <c r="S5547" s="2" t="s">
        <v>9</v>
      </c>
      <c r="T5547">
        <v>5</v>
      </c>
      <c r="U5547" t="s">
        <v>28</v>
      </c>
      <c r="V5547" t="s">
        <v>28</v>
      </c>
      <c r="W5547">
        <v>20</v>
      </c>
      <c r="X5547">
        <v>40.776525549752201</v>
      </c>
      <c r="Y5547">
        <v>5.2861772274927699</v>
      </c>
      <c r="AA5547" s="6"/>
      <c r="AB5547" s="6"/>
    </row>
    <row r="5548" spans="1:28" x14ac:dyDescent="0.2">
      <c r="A5548" t="s">
        <v>610</v>
      </c>
      <c r="B5548">
        <v>2016</v>
      </c>
      <c r="C5548" t="s">
        <v>807</v>
      </c>
      <c r="D5548" t="s">
        <v>825</v>
      </c>
      <c r="E5548" t="s">
        <v>35</v>
      </c>
      <c r="F5548" t="s">
        <v>611</v>
      </c>
      <c r="G5548">
        <v>-37.633333</v>
      </c>
      <c r="H5548">
        <v>176.16666699999999</v>
      </c>
      <c r="I5548" t="s">
        <v>761</v>
      </c>
      <c r="J5548" s="2" t="s">
        <v>14</v>
      </c>
      <c r="K5548" t="s">
        <v>144</v>
      </c>
      <c r="L5548" t="s">
        <v>144</v>
      </c>
      <c r="M5548" t="s">
        <v>637</v>
      </c>
      <c r="N5548" t="s">
        <v>85</v>
      </c>
      <c r="O5548" t="s">
        <v>614</v>
      </c>
      <c r="P5548" t="s">
        <v>109</v>
      </c>
      <c r="Q5548">
        <v>10</v>
      </c>
      <c r="R5548" t="s">
        <v>213</v>
      </c>
      <c r="S5548" s="2" t="s">
        <v>27</v>
      </c>
      <c r="T5548">
        <v>5</v>
      </c>
      <c r="U5548" t="s">
        <v>28</v>
      </c>
      <c r="V5548" t="s">
        <v>28</v>
      </c>
      <c r="W5548">
        <v>25</v>
      </c>
      <c r="X5548">
        <v>35.053576902407897</v>
      </c>
      <c r="Y5548">
        <v>6.3361735652159599</v>
      </c>
      <c r="AA5548" s="6"/>
      <c r="AB5548" s="6"/>
    </row>
    <row r="5549" spans="1:28" x14ac:dyDescent="0.2">
      <c r="A5549" t="s">
        <v>610</v>
      </c>
      <c r="B5549">
        <v>2016</v>
      </c>
      <c r="C5549" t="s">
        <v>826</v>
      </c>
      <c r="D5549" t="s">
        <v>812</v>
      </c>
      <c r="E5549" t="s">
        <v>175</v>
      </c>
      <c r="F5549" t="s">
        <v>611</v>
      </c>
      <c r="G5549">
        <v>-37.633333</v>
      </c>
      <c r="H5549">
        <v>176.16666699999999</v>
      </c>
      <c r="I5549" t="s">
        <v>761</v>
      </c>
      <c r="J5549" s="2" t="s">
        <v>7</v>
      </c>
      <c r="K5549" t="s">
        <v>144</v>
      </c>
      <c r="L5549" t="s">
        <v>144</v>
      </c>
      <c r="M5549" t="s">
        <v>637</v>
      </c>
      <c r="N5549" t="s">
        <v>85</v>
      </c>
      <c r="O5549" t="s">
        <v>614</v>
      </c>
      <c r="P5549" t="s">
        <v>109</v>
      </c>
      <c r="Q5549">
        <v>10</v>
      </c>
      <c r="R5549" t="s">
        <v>213</v>
      </c>
      <c r="S5549" s="2" t="s">
        <v>7</v>
      </c>
      <c r="T5549">
        <v>5</v>
      </c>
      <c r="U5549" t="s">
        <v>28</v>
      </c>
      <c r="V5549" t="s">
        <v>28</v>
      </c>
      <c r="W5549">
        <v>15</v>
      </c>
      <c r="X5549">
        <v>55.972249814396498</v>
      </c>
      <c r="Y5549">
        <v>13.225784029871599</v>
      </c>
      <c r="AA5549" s="6"/>
      <c r="AB5549" s="6"/>
    </row>
    <row r="5550" spans="1:28" x14ac:dyDescent="0.2">
      <c r="A5550" t="s">
        <v>610</v>
      </c>
      <c r="B5550">
        <v>2016</v>
      </c>
      <c r="C5550" t="s">
        <v>826</v>
      </c>
      <c r="D5550" t="s">
        <v>812</v>
      </c>
      <c r="E5550" t="s">
        <v>175</v>
      </c>
      <c r="F5550" t="s">
        <v>611</v>
      </c>
      <c r="G5550">
        <v>-37.633333</v>
      </c>
      <c r="H5550">
        <v>176.16666699999999</v>
      </c>
      <c r="I5550" t="s">
        <v>761</v>
      </c>
      <c r="J5550" s="2" t="s">
        <v>14</v>
      </c>
      <c r="K5550" t="s">
        <v>144</v>
      </c>
      <c r="L5550" t="s">
        <v>144</v>
      </c>
      <c r="M5550" t="s">
        <v>637</v>
      </c>
      <c r="N5550" t="s">
        <v>85</v>
      </c>
      <c r="O5550" t="s">
        <v>614</v>
      </c>
      <c r="P5550" t="s">
        <v>109</v>
      </c>
      <c r="Q5550">
        <v>10</v>
      </c>
      <c r="R5550" t="s">
        <v>213</v>
      </c>
      <c r="S5550" s="2" t="s">
        <v>9</v>
      </c>
      <c r="T5550">
        <v>5</v>
      </c>
      <c r="U5550" t="s">
        <v>28</v>
      </c>
      <c r="V5550" t="s">
        <v>28</v>
      </c>
      <c r="W5550">
        <v>20</v>
      </c>
      <c r="X5550">
        <v>30.251427407469201</v>
      </c>
      <c r="Y5550">
        <v>8.5612699100819505</v>
      </c>
      <c r="AA5550" s="6"/>
      <c r="AB5550" s="6"/>
    </row>
    <row r="5551" spans="1:28" x14ac:dyDescent="0.2">
      <c r="A5551" t="s">
        <v>610</v>
      </c>
      <c r="B5551">
        <v>2016</v>
      </c>
      <c r="C5551" t="s">
        <v>826</v>
      </c>
      <c r="D5551" t="s">
        <v>812</v>
      </c>
      <c r="E5551" t="s">
        <v>175</v>
      </c>
      <c r="F5551" t="s">
        <v>611</v>
      </c>
      <c r="G5551">
        <v>-37.633333</v>
      </c>
      <c r="H5551">
        <v>176.16666699999999</v>
      </c>
      <c r="I5551" t="s">
        <v>761</v>
      </c>
      <c r="J5551" s="2" t="s">
        <v>14</v>
      </c>
      <c r="K5551" t="s">
        <v>144</v>
      </c>
      <c r="L5551" t="s">
        <v>144</v>
      </c>
      <c r="M5551" t="s">
        <v>637</v>
      </c>
      <c r="N5551" t="s">
        <v>85</v>
      </c>
      <c r="O5551" t="s">
        <v>614</v>
      </c>
      <c r="P5551" t="s">
        <v>109</v>
      </c>
      <c r="Q5551">
        <v>10</v>
      </c>
      <c r="R5551" t="s">
        <v>213</v>
      </c>
      <c r="S5551" s="2" t="s">
        <v>27</v>
      </c>
      <c r="T5551">
        <v>5</v>
      </c>
      <c r="U5551" t="s">
        <v>28</v>
      </c>
      <c r="V5551" t="s">
        <v>28</v>
      </c>
      <c r="W5551">
        <v>25</v>
      </c>
      <c r="X5551">
        <v>43.218872144255599</v>
      </c>
      <c r="Y5551">
        <v>7.3904758865717799</v>
      </c>
      <c r="AA5551" s="6"/>
      <c r="AB5551" s="6"/>
    </row>
    <row r="5552" spans="1:28" x14ac:dyDescent="0.2">
      <c r="A5552" t="s">
        <v>610</v>
      </c>
      <c r="B5552">
        <v>2016</v>
      </c>
      <c r="C5552" t="s">
        <v>811</v>
      </c>
      <c r="D5552" t="s">
        <v>818</v>
      </c>
      <c r="E5552" t="s">
        <v>612</v>
      </c>
      <c r="F5552" t="s">
        <v>611</v>
      </c>
      <c r="G5552">
        <v>-37.633333</v>
      </c>
      <c r="H5552">
        <v>176.16666699999999</v>
      </c>
      <c r="I5552" t="s">
        <v>761</v>
      </c>
      <c r="J5552" s="2" t="s">
        <v>7</v>
      </c>
      <c r="K5552" t="s">
        <v>144</v>
      </c>
      <c r="L5552" t="s">
        <v>144</v>
      </c>
      <c r="M5552" t="s">
        <v>637</v>
      </c>
      <c r="N5552" t="s">
        <v>85</v>
      </c>
      <c r="O5552" t="s">
        <v>614</v>
      </c>
      <c r="P5552" t="s">
        <v>109</v>
      </c>
      <c r="Q5552">
        <v>10</v>
      </c>
      <c r="R5552" t="s">
        <v>213</v>
      </c>
      <c r="S5552" s="2" t="s">
        <v>7</v>
      </c>
      <c r="T5552">
        <v>5</v>
      </c>
      <c r="U5552" t="s">
        <v>28</v>
      </c>
      <c r="V5552" t="s">
        <v>28</v>
      </c>
      <c r="W5552">
        <v>15</v>
      </c>
      <c r="X5552">
        <v>23.7565569410351</v>
      </c>
      <c r="Y5552">
        <v>7.3760393526766999</v>
      </c>
      <c r="AA5552" s="6"/>
      <c r="AB5552" s="6"/>
    </row>
    <row r="5553" spans="1:28" x14ac:dyDescent="0.2">
      <c r="A5553" t="s">
        <v>610</v>
      </c>
      <c r="B5553">
        <v>2016</v>
      </c>
      <c r="C5553" t="s">
        <v>811</v>
      </c>
      <c r="D5553" t="s">
        <v>818</v>
      </c>
      <c r="E5553" t="s">
        <v>612</v>
      </c>
      <c r="F5553" t="s">
        <v>611</v>
      </c>
      <c r="G5553">
        <v>-37.633333</v>
      </c>
      <c r="H5553">
        <v>176.16666699999999</v>
      </c>
      <c r="I5553" t="s">
        <v>761</v>
      </c>
      <c r="J5553" s="2" t="s">
        <v>14</v>
      </c>
      <c r="K5553" t="s">
        <v>144</v>
      </c>
      <c r="L5553" t="s">
        <v>144</v>
      </c>
      <c r="M5553" t="s">
        <v>637</v>
      </c>
      <c r="N5553" t="s">
        <v>85</v>
      </c>
      <c r="O5553" t="s">
        <v>614</v>
      </c>
      <c r="P5553" t="s">
        <v>109</v>
      </c>
      <c r="Q5553">
        <v>10</v>
      </c>
      <c r="R5553" t="s">
        <v>213</v>
      </c>
      <c r="S5553" s="2" t="s">
        <v>9</v>
      </c>
      <c r="T5553">
        <v>5</v>
      </c>
      <c r="U5553" t="s">
        <v>28</v>
      </c>
      <c r="V5553" t="s">
        <v>28</v>
      </c>
      <c r="W5553">
        <v>20</v>
      </c>
      <c r="X5553">
        <v>9.8970121791569099</v>
      </c>
      <c r="Y5553">
        <v>8.5564764536033699</v>
      </c>
      <c r="AA5553" s="6"/>
      <c r="AB5553" s="6"/>
    </row>
    <row r="5554" spans="1:28" x14ac:dyDescent="0.2">
      <c r="A5554" t="s">
        <v>610</v>
      </c>
      <c r="B5554">
        <v>2016</v>
      </c>
      <c r="C5554" t="s">
        <v>811</v>
      </c>
      <c r="D5554" t="s">
        <v>818</v>
      </c>
      <c r="E5554" t="s">
        <v>612</v>
      </c>
      <c r="F5554" t="s">
        <v>611</v>
      </c>
      <c r="G5554">
        <v>-37.633333</v>
      </c>
      <c r="H5554">
        <v>176.16666699999999</v>
      </c>
      <c r="I5554" t="s">
        <v>761</v>
      </c>
      <c r="J5554" s="2" t="s">
        <v>14</v>
      </c>
      <c r="K5554" t="s">
        <v>144</v>
      </c>
      <c r="L5554" t="s">
        <v>144</v>
      </c>
      <c r="M5554" t="s">
        <v>637</v>
      </c>
      <c r="N5554" t="s">
        <v>85</v>
      </c>
      <c r="O5554" t="s">
        <v>614</v>
      </c>
      <c r="P5554" t="s">
        <v>109</v>
      </c>
      <c r="Q5554">
        <v>10</v>
      </c>
      <c r="R5554" t="s">
        <v>213</v>
      </c>
      <c r="S5554" s="2" t="s">
        <v>27</v>
      </c>
      <c r="T5554">
        <v>5</v>
      </c>
      <c r="U5554" t="s">
        <v>28</v>
      </c>
      <c r="V5554" t="s">
        <v>28</v>
      </c>
      <c r="W5554">
        <v>25</v>
      </c>
      <c r="X5554">
        <v>0.91232209541846199</v>
      </c>
      <c r="Y5554">
        <v>2.0400142227307301</v>
      </c>
      <c r="AA5554" s="6"/>
      <c r="AB5554" s="6"/>
    </row>
    <row r="5555" spans="1:28" x14ac:dyDescent="0.2">
      <c r="A5555" t="s">
        <v>615</v>
      </c>
      <c r="B5555">
        <v>2021</v>
      </c>
      <c r="C5555" t="s">
        <v>816</v>
      </c>
      <c r="D5555" t="s">
        <v>820</v>
      </c>
      <c r="E5555" t="s">
        <v>34</v>
      </c>
      <c r="F5555" t="s">
        <v>617</v>
      </c>
      <c r="G5555">
        <v>32.854111000000003</v>
      </c>
      <c r="H5555">
        <v>-117.281222</v>
      </c>
      <c r="I5555" t="s">
        <v>765</v>
      </c>
      <c r="J5555" s="2" t="s">
        <v>7</v>
      </c>
      <c r="K5555" t="s">
        <v>95</v>
      </c>
      <c r="L5555" t="s">
        <v>143</v>
      </c>
      <c r="M5555" t="s">
        <v>12</v>
      </c>
      <c r="N5555" t="s">
        <v>85</v>
      </c>
      <c r="O5555" t="s">
        <v>141</v>
      </c>
      <c r="P5555" t="s">
        <v>616</v>
      </c>
      <c r="Q5555">
        <v>56</v>
      </c>
      <c r="R5555" t="s">
        <v>213</v>
      </c>
      <c r="S5555" s="2" t="s">
        <v>7</v>
      </c>
      <c r="T5555">
        <v>10</v>
      </c>
      <c r="U5555">
        <v>8</v>
      </c>
      <c r="V5555">
        <v>444</v>
      </c>
      <c r="W5555" t="s">
        <v>28</v>
      </c>
      <c r="X5555">
        <v>2.4929999999999999</v>
      </c>
      <c r="Y5555" s="6">
        <f t="shared" ref="Y5555:Y5586" si="94">Z5555*SQRT(T5555)</f>
        <v>4.0319040167146838</v>
      </c>
      <c r="Z5555">
        <f>3.768-X5555</f>
        <v>1.2749999999999999</v>
      </c>
      <c r="AA5555" s="6"/>
      <c r="AB5555" s="6"/>
    </row>
    <row r="5556" spans="1:28" x14ac:dyDescent="0.2">
      <c r="A5556" t="s">
        <v>615</v>
      </c>
      <c r="B5556">
        <v>2021</v>
      </c>
      <c r="C5556" t="s">
        <v>816</v>
      </c>
      <c r="D5556" t="s">
        <v>820</v>
      </c>
      <c r="E5556" t="s">
        <v>34</v>
      </c>
      <c r="F5556" t="s">
        <v>617</v>
      </c>
      <c r="G5556">
        <v>32.854111000000003</v>
      </c>
      <c r="H5556">
        <v>-117.281222</v>
      </c>
      <c r="I5556" t="s">
        <v>765</v>
      </c>
      <c r="J5556" s="2" t="s">
        <v>5</v>
      </c>
      <c r="K5556" t="s">
        <v>95</v>
      </c>
      <c r="L5556" t="s">
        <v>143</v>
      </c>
      <c r="M5556" t="s">
        <v>12</v>
      </c>
      <c r="N5556" t="s">
        <v>85</v>
      </c>
      <c r="O5556" t="s">
        <v>141</v>
      </c>
      <c r="P5556" t="s">
        <v>616</v>
      </c>
      <c r="Q5556">
        <v>56</v>
      </c>
      <c r="R5556" t="s">
        <v>213</v>
      </c>
      <c r="S5556" s="2" t="s">
        <v>9</v>
      </c>
      <c r="T5556">
        <v>10</v>
      </c>
      <c r="U5556">
        <v>7.53</v>
      </c>
      <c r="V5556">
        <v>1569</v>
      </c>
      <c r="W5556" t="s">
        <v>28</v>
      </c>
      <c r="X5556">
        <v>5.6020000000000003</v>
      </c>
      <c r="Y5556" s="6">
        <f t="shared" si="94"/>
        <v>5.274679137160855</v>
      </c>
      <c r="Z5556">
        <f>7.27-X5556</f>
        <v>1.6679999999999993</v>
      </c>
      <c r="AA5556" s="6"/>
      <c r="AB5556" s="6"/>
    </row>
    <row r="5557" spans="1:28" x14ac:dyDescent="0.2">
      <c r="A5557" t="s">
        <v>618</v>
      </c>
      <c r="B5557">
        <v>2008</v>
      </c>
      <c r="C5557" t="s">
        <v>826</v>
      </c>
      <c r="D5557" t="s">
        <v>813</v>
      </c>
      <c r="E5557" t="s">
        <v>158</v>
      </c>
      <c r="F5557" t="s">
        <v>619</v>
      </c>
      <c r="G5557">
        <v>36.523935999999999</v>
      </c>
      <c r="H5557">
        <v>-121.926582</v>
      </c>
      <c r="I5557" t="s">
        <v>772</v>
      </c>
      <c r="J5557" s="2" t="s">
        <v>7</v>
      </c>
      <c r="K5557" t="s">
        <v>144</v>
      </c>
      <c r="L5557" t="s">
        <v>144</v>
      </c>
      <c r="M5557" t="s">
        <v>637</v>
      </c>
      <c r="N5557" t="s">
        <v>86</v>
      </c>
      <c r="O5557" t="s">
        <v>233</v>
      </c>
      <c r="Q5557">
        <f>1/24</f>
        <v>4.1666666666666664E-2</v>
      </c>
      <c r="R5557" t="s">
        <v>213</v>
      </c>
      <c r="S5557" s="2" t="s">
        <v>7</v>
      </c>
      <c r="T5557">
        <v>3</v>
      </c>
      <c r="U5557" t="s">
        <v>28</v>
      </c>
      <c r="V5557" t="s">
        <v>28</v>
      </c>
      <c r="W5557">
        <v>12</v>
      </c>
      <c r="X5557">
        <v>1.107</v>
      </c>
      <c r="Y5557" s="6">
        <f t="shared" si="94"/>
        <v>0.39663963493327303</v>
      </c>
      <c r="Z5557">
        <f>1.336-X5557</f>
        <v>0.22900000000000009</v>
      </c>
      <c r="AA5557" s="6"/>
      <c r="AB5557" s="6"/>
    </row>
    <row r="5558" spans="1:28" x14ac:dyDescent="0.2">
      <c r="A5558" t="s">
        <v>618</v>
      </c>
      <c r="B5558">
        <v>2008</v>
      </c>
      <c r="C5558" t="s">
        <v>826</v>
      </c>
      <c r="D5558" t="s">
        <v>813</v>
      </c>
      <c r="E5558" t="s">
        <v>158</v>
      </c>
      <c r="F5558" t="s">
        <v>620</v>
      </c>
      <c r="G5558">
        <v>34.401193999999997</v>
      </c>
      <c r="H5558">
        <v>-119.699203</v>
      </c>
      <c r="I5558" t="s">
        <v>772</v>
      </c>
      <c r="J5558" s="2" t="s">
        <v>7</v>
      </c>
      <c r="K5558" t="s">
        <v>144</v>
      </c>
      <c r="L5558" t="s">
        <v>144</v>
      </c>
      <c r="M5558" t="s">
        <v>637</v>
      </c>
      <c r="N5558" t="s">
        <v>86</v>
      </c>
      <c r="O5558" t="s">
        <v>233</v>
      </c>
      <c r="Q5558">
        <f t="shared" ref="Q5558:Q5621" si="95">1/24</f>
        <v>4.1666666666666664E-2</v>
      </c>
      <c r="R5558" t="s">
        <v>213</v>
      </c>
      <c r="S5558" s="2" t="s">
        <v>7</v>
      </c>
      <c r="T5558">
        <v>3</v>
      </c>
      <c r="U5558" t="s">
        <v>28</v>
      </c>
      <c r="V5558" t="s">
        <v>28</v>
      </c>
      <c r="W5558">
        <v>12</v>
      </c>
      <c r="X5558">
        <v>8.0000000000000002E-3</v>
      </c>
      <c r="Y5558" s="6">
        <f t="shared" si="94"/>
        <v>0</v>
      </c>
      <c r="Z5558">
        <v>0</v>
      </c>
      <c r="AA5558" s="6"/>
      <c r="AB5558" s="6"/>
    </row>
    <row r="5559" spans="1:28" x14ac:dyDescent="0.2">
      <c r="A5559" t="s">
        <v>618</v>
      </c>
      <c r="B5559">
        <v>2008</v>
      </c>
      <c r="C5559" t="s">
        <v>826</v>
      </c>
      <c r="D5559" t="s">
        <v>813</v>
      </c>
      <c r="E5559" t="s">
        <v>158</v>
      </c>
      <c r="F5559" t="s">
        <v>621</v>
      </c>
      <c r="G5559">
        <v>33.708799999999997</v>
      </c>
      <c r="H5559">
        <v>-118.28282400000001</v>
      </c>
      <c r="I5559" t="s">
        <v>772</v>
      </c>
      <c r="J5559" s="2" t="s">
        <v>7</v>
      </c>
      <c r="K5559" t="s">
        <v>144</v>
      </c>
      <c r="L5559" t="s">
        <v>144</v>
      </c>
      <c r="M5559" t="s">
        <v>637</v>
      </c>
      <c r="N5559" t="s">
        <v>86</v>
      </c>
      <c r="O5559" t="s">
        <v>233</v>
      </c>
      <c r="Q5559">
        <f t="shared" si="95"/>
        <v>4.1666666666666664E-2</v>
      </c>
      <c r="R5559" t="s">
        <v>213</v>
      </c>
      <c r="S5559" s="2" t="s">
        <v>7</v>
      </c>
      <c r="T5559">
        <v>3</v>
      </c>
      <c r="U5559" t="s">
        <v>28</v>
      </c>
      <c r="V5559" t="s">
        <v>28</v>
      </c>
      <c r="W5559">
        <v>12</v>
      </c>
      <c r="X5559">
        <v>3.1E-2</v>
      </c>
      <c r="Y5559" s="6">
        <f t="shared" si="94"/>
        <v>0</v>
      </c>
      <c r="Z5559">
        <v>0</v>
      </c>
      <c r="AA5559" s="6"/>
      <c r="AB5559" s="6"/>
    </row>
    <row r="5560" spans="1:28" x14ac:dyDescent="0.2">
      <c r="A5560" t="s">
        <v>618</v>
      </c>
      <c r="B5560">
        <v>2008</v>
      </c>
      <c r="C5560" t="s">
        <v>826</v>
      </c>
      <c r="D5560" t="s">
        <v>813</v>
      </c>
      <c r="E5560" t="s">
        <v>158</v>
      </c>
      <c r="F5560" t="s">
        <v>622</v>
      </c>
      <c r="G5560">
        <v>33.444823</v>
      </c>
      <c r="H5560">
        <v>-118.48373100000001</v>
      </c>
      <c r="I5560" t="s">
        <v>772</v>
      </c>
      <c r="J5560" s="2" t="s">
        <v>7</v>
      </c>
      <c r="K5560" t="s">
        <v>144</v>
      </c>
      <c r="L5560" t="s">
        <v>144</v>
      </c>
      <c r="M5560" t="s">
        <v>637</v>
      </c>
      <c r="N5560" t="s">
        <v>86</v>
      </c>
      <c r="O5560" t="s">
        <v>233</v>
      </c>
      <c r="Q5560">
        <f t="shared" si="95"/>
        <v>4.1666666666666664E-2</v>
      </c>
      <c r="R5560" t="s">
        <v>213</v>
      </c>
      <c r="S5560" s="2" t="s">
        <v>7</v>
      </c>
      <c r="T5560">
        <v>3</v>
      </c>
      <c r="U5560" t="s">
        <v>28</v>
      </c>
      <c r="V5560" t="s">
        <v>28</v>
      </c>
      <c r="W5560">
        <v>12</v>
      </c>
      <c r="X5560">
        <v>8.0000000000000002E-3</v>
      </c>
      <c r="Y5560" s="6">
        <f t="shared" si="94"/>
        <v>0</v>
      </c>
      <c r="Z5560">
        <v>0</v>
      </c>
      <c r="AA5560" s="6"/>
      <c r="AB5560" s="6"/>
    </row>
    <row r="5561" spans="1:28" x14ac:dyDescent="0.2">
      <c r="A5561" t="s">
        <v>618</v>
      </c>
      <c r="B5561">
        <v>2008</v>
      </c>
      <c r="C5561" t="s">
        <v>826</v>
      </c>
      <c r="D5561" t="s">
        <v>813</v>
      </c>
      <c r="E5561" t="s">
        <v>158</v>
      </c>
      <c r="F5561" t="s">
        <v>623</v>
      </c>
      <c r="G5561">
        <v>32.857103000000002</v>
      </c>
      <c r="H5561">
        <v>-117.25778800000001</v>
      </c>
      <c r="I5561" t="s">
        <v>772</v>
      </c>
      <c r="J5561" s="2" t="s">
        <v>7</v>
      </c>
      <c r="K5561" t="s">
        <v>144</v>
      </c>
      <c r="L5561" t="s">
        <v>144</v>
      </c>
      <c r="M5561" t="s">
        <v>637</v>
      </c>
      <c r="N5561" t="s">
        <v>86</v>
      </c>
      <c r="O5561" t="s">
        <v>233</v>
      </c>
      <c r="Q5561">
        <f t="shared" si="95"/>
        <v>4.1666666666666664E-2</v>
      </c>
      <c r="R5561" t="s">
        <v>213</v>
      </c>
      <c r="S5561" s="2" t="s">
        <v>7</v>
      </c>
      <c r="T5561">
        <v>3</v>
      </c>
      <c r="U5561" t="s">
        <v>28</v>
      </c>
      <c r="V5561" t="s">
        <v>28</v>
      </c>
      <c r="W5561">
        <v>12</v>
      </c>
      <c r="X5561">
        <v>1.4999999999999999E-2</v>
      </c>
      <c r="Y5561" s="6">
        <f t="shared" si="94"/>
        <v>0</v>
      </c>
      <c r="Z5561">
        <v>0</v>
      </c>
      <c r="AA5561" s="6"/>
      <c r="AB5561" s="6"/>
    </row>
    <row r="5562" spans="1:28" x14ac:dyDescent="0.2">
      <c r="A5562" t="s">
        <v>618</v>
      </c>
      <c r="B5562">
        <v>2008</v>
      </c>
      <c r="C5562" t="s">
        <v>826</v>
      </c>
      <c r="D5562" t="s">
        <v>813</v>
      </c>
      <c r="E5562" t="s">
        <v>158</v>
      </c>
      <c r="F5562" t="s">
        <v>624</v>
      </c>
      <c r="G5562">
        <v>31.800343000000002</v>
      </c>
      <c r="H5562">
        <v>-116.794392</v>
      </c>
      <c r="I5562" t="s">
        <v>772</v>
      </c>
      <c r="J5562" s="2" t="s">
        <v>7</v>
      </c>
      <c r="K5562" t="s">
        <v>144</v>
      </c>
      <c r="L5562" t="s">
        <v>144</v>
      </c>
      <c r="M5562" t="s">
        <v>637</v>
      </c>
      <c r="N5562" t="s">
        <v>86</v>
      </c>
      <c r="O5562" t="s">
        <v>233</v>
      </c>
      <c r="Q5562">
        <f t="shared" si="95"/>
        <v>4.1666666666666664E-2</v>
      </c>
      <c r="R5562" t="s">
        <v>213</v>
      </c>
      <c r="S5562" s="2" t="s">
        <v>7</v>
      </c>
      <c r="T5562">
        <v>3</v>
      </c>
      <c r="U5562" t="s">
        <v>28</v>
      </c>
      <c r="V5562" t="s">
        <v>28</v>
      </c>
      <c r="W5562">
        <v>12</v>
      </c>
      <c r="X5562">
        <v>0.64900000000000002</v>
      </c>
      <c r="Y5562" s="6">
        <f t="shared" si="94"/>
        <v>0.84524079409361208</v>
      </c>
      <c r="Z5562">
        <f>1.137-X5562</f>
        <v>0.48799999999999999</v>
      </c>
      <c r="AA5562" s="6"/>
      <c r="AB5562" s="6"/>
    </row>
    <row r="5563" spans="1:28" x14ac:dyDescent="0.2">
      <c r="A5563" t="s">
        <v>618</v>
      </c>
      <c r="B5563">
        <v>2008</v>
      </c>
      <c r="C5563" t="s">
        <v>826</v>
      </c>
      <c r="D5563" t="s">
        <v>813</v>
      </c>
      <c r="E5563" t="s">
        <v>158</v>
      </c>
      <c r="F5563" t="s">
        <v>619</v>
      </c>
      <c r="G5563">
        <v>36.523935999999999</v>
      </c>
      <c r="H5563">
        <v>-121.926582</v>
      </c>
      <c r="I5563" t="s">
        <v>772</v>
      </c>
      <c r="J5563" s="2" t="s">
        <v>14</v>
      </c>
      <c r="K5563" t="s">
        <v>144</v>
      </c>
      <c r="L5563" t="s">
        <v>144</v>
      </c>
      <c r="M5563" t="s">
        <v>637</v>
      </c>
      <c r="N5563" t="s">
        <v>86</v>
      </c>
      <c r="O5563" t="s">
        <v>233</v>
      </c>
      <c r="Q5563">
        <f t="shared" si="95"/>
        <v>4.1666666666666664E-2</v>
      </c>
      <c r="R5563" t="s">
        <v>213</v>
      </c>
      <c r="S5563" s="2" t="s">
        <v>9</v>
      </c>
      <c r="T5563">
        <v>3</v>
      </c>
      <c r="U5563" t="s">
        <v>28</v>
      </c>
      <c r="V5563" t="s">
        <v>28</v>
      </c>
      <c r="W5563">
        <v>17</v>
      </c>
      <c r="X5563">
        <v>3.6869999999999998</v>
      </c>
      <c r="Y5563" s="6">
        <f t="shared" si="94"/>
        <v>1.3613919347491374</v>
      </c>
      <c r="Z5563">
        <f>4.473-X5563</f>
        <v>0.78600000000000003</v>
      </c>
      <c r="AA5563" s="6"/>
      <c r="AB5563" s="6"/>
    </row>
    <row r="5564" spans="1:28" x14ac:dyDescent="0.2">
      <c r="A5564" t="s">
        <v>618</v>
      </c>
      <c r="B5564">
        <v>2008</v>
      </c>
      <c r="C5564" t="s">
        <v>826</v>
      </c>
      <c r="D5564" t="s">
        <v>813</v>
      </c>
      <c r="E5564" t="s">
        <v>158</v>
      </c>
      <c r="F5564" t="s">
        <v>620</v>
      </c>
      <c r="G5564">
        <v>34.401193999999997</v>
      </c>
      <c r="H5564">
        <v>-119.699203</v>
      </c>
      <c r="I5564" t="s">
        <v>772</v>
      </c>
      <c r="J5564" s="2" t="s">
        <v>14</v>
      </c>
      <c r="K5564" t="s">
        <v>144</v>
      </c>
      <c r="L5564" t="s">
        <v>144</v>
      </c>
      <c r="M5564" t="s">
        <v>637</v>
      </c>
      <c r="N5564" t="s">
        <v>86</v>
      </c>
      <c r="O5564" t="s">
        <v>233</v>
      </c>
      <c r="Q5564">
        <f t="shared" si="95"/>
        <v>4.1666666666666664E-2</v>
      </c>
      <c r="R5564" t="s">
        <v>213</v>
      </c>
      <c r="S5564" s="2" t="s">
        <v>9</v>
      </c>
      <c r="T5564">
        <v>3</v>
      </c>
      <c r="U5564" t="s">
        <v>28</v>
      </c>
      <c r="V5564" t="s">
        <v>28</v>
      </c>
      <c r="W5564">
        <v>17</v>
      </c>
      <c r="X5564">
        <v>0.38200000000000001</v>
      </c>
      <c r="Y5564" s="6">
        <f t="shared" si="94"/>
        <v>0.55425625842204063</v>
      </c>
      <c r="Z5564">
        <f>0.702-X5564</f>
        <v>0.31999999999999995</v>
      </c>
      <c r="AA5564" s="6"/>
      <c r="AB5564" s="6"/>
    </row>
    <row r="5565" spans="1:28" x14ac:dyDescent="0.2">
      <c r="A5565" t="s">
        <v>618</v>
      </c>
      <c r="B5565">
        <v>2008</v>
      </c>
      <c r="C5565" t="s">
        <v>826</v>
      </c>
      <c r="D5565" t="s">
        <v>813</v>
      </c>
      <c r="E5565" t="s">
        <v>158</v>
      </c>
      <c r="F5565" t="s">
        <v>621</v>
      </c>
      <c r="G5565">
        <v>33.708799999999997</v>
      </c>
      <c r="H5565">
        <v>-118.28282400000001</v>
      </c>
      <c r="I5565" t="s">
        <v>772</v>
      </c>
      <c r="J5565" s="2" t="s">
        <v>14</v>
      </c>
      <c r="K5565" t="s">
        <v>144</v>
      </c>
      <c r="L5565" t="s">
        <v>144</v>
      </c>
      <c r="M5565" t="s">
        <v>637</v>
      </c>
      <c r="N5565" t="s">
        <v>86</v>
      </c>
      <c r="O5565" t="s">
        <v>233</v>
      </c>
      <c r="Q5565">
        <f t="shared" si="95"/>
        <v>4.1666666666666664E-2</v>
      </c>
      <c r="R5565" t="s">
        <v>213</v>
      </c>
      <c r="S5565" s="2" t="s">
        <v>9</v>
      </c>
      <c r="T5565">
        <v>3</v>
      </c>
      <c r="U5565" t="s">
        <v>28</v>
      </c>
      <c r="V5565" t="s">
        <v>28</v>
      </c>
      <c r="W5565">
        <v>17</v>
      </c>
      <c r="X5565">
        <v>8.4000000000000005E-2</v>
      </c>
      <c r="Y5565" s="6">
        <f t="shared" si="94"/>
        <v>0.1454922678357857</v>
      </c>
      <c r="Z5565">
        <f>0.168-X5565</f>
        <v>8.4000000000000005E-2</v>
      </c>
      <c r="AA5565" s="6"/>
      <c r="AB5565" s="6"/>
    </row>
    <row r="5566" spans="1:28" x14ac:dyDescent="0.2">
      <c r="A5566" t="s">
        <v>618</v>
      </c>
      <c r="B5566">
        <v>2008</v>
      </c>
      <c r="C5566" t="s">
        <v>826</v>
      </c>
      <c r="D5566" t="s">
        <v>813</v>
      </c>
      <c r="E5566" t="s">
        <v>158</v>
      </c>
      <c r="F5566" t="s">
        <v>622</v>
      </c>
      <c r="G5566">
        <v>33.444823</v>
      </c>
      <c r="H5566">
        <v>-118.48373100000001</v>
      </c>
      <c r="I5566" t="s">
        <v>772</v>
      </c>
      <c r="J5566" s="2" t="s">
        <v>14</v>
      </c>
      <c r="K5566" t="s">
        <v>144</v>
      </c>
      <c r="L5566" t="s">
        <v>144</v>
      </c>
      <c r="M5566" t="s">
        <v>637</v>
      </c>
      <c r="N5566" t="s">
        <v>86</v>
      </c>
      <c r="O5566" t="s">
        <v>233</v>
      </c>
      <c r="Q5566">
        <f t="shared" si="95"/>
        <v>4.1666666666666664E-2</v>
      </c>
      <c r="R5566" t="s">
        <v>213</v>
      </c>
      <c r="S5566" s="2" t="s">
        <v>9</v>
      </c>
      <c r="T5566">
        <v>3</v>
      </c>
      <c r="U5566" t="s">
        <v>28</v>
      </c>
      <c r="V5566" t="s">
        <v>28</v>
      </c>
      <c r="W5566">
        <v>17</v>
      </c>
      <c r="X5566">
        <v>0.878</v>
      </c>
      <c r="Y5566" s="6">
        <f t="shared" si="94"/>
        <v>0.76729850775301256</v>
      </c>
      <c r="Z5566">
        <f>1.321-X5566</f>
        <v>0.44299999999999995</v>
      </c>
      <c r="AA5566" s="6"/>
      <c r="AB5566" s="6"/>
    </row>
    <row r="5567" spans="1:28" x14ac:dyDescent="0.2">
      <c r="A5567" t="s">
        <v>618</v>
      </c>
      <c r="B5567">
        <v>2008</v>
      </c>
      <c r="C5567" t="s">
        <v>826</v>
      </c>
      <c r="D5567" t="s">
        <v>813</v>
      </c>
      <c r="E5567" t="s">
        <v>158</v>
      </c>
      <c r="F5567" t="s">
        <v>623</v>
      </c>
      <c r="G5567">
        <v>32.857103000000002</v>
      </c>
      <c r="H5567">
        <v>-117.25778800000001</v>
      </c>
      <c r="I5567" t="s">
        <v>772</v>
      </c>
      <c r="J5567" s="2" t="s">
        <v>14</v>
      </c>
      <c r="K5567" t="s">
        <v>144</v>
      </c>
      <c r="L5567" t="s">
        <v>144</v>
      </c>
      <c r="M5567" t="s">
        <v>637</v>
      </c>
      <c r="N5567" t="s">
        <v>86</v>
      </c>
      <c r="O5567" t="s">
        <v>233</v>
      </c>
      <c r="Q5567">
        <f t="shared" si="95"/>
        <v>4.1666666666666664E-2</v>
      </c>
      <c r="R5567" t="s">
        <v>213</v>
      </c>
      <c r="S5567" s="2" t="s">
        <v>9</v>
      </c>
      <c r="T5567">
        <v>3</v>
      </c>
      <c r="U5567" t="s">
        <v>28</v>
      </c>
      <c r="V5567" t="s">
        <v>28</v>
      </c>
      <c r="W5567">
        <v>17</v>
      </c>
      <c r="X5567">
        <v>0.40500000000000003</v>
      </c>
      <c r="Y5567" s="6">
        <f t="shared" si="94"/>
        <v>0.38278322847272184</v>
      </c>
      <c r="Z5567">
        <f>0.626-X5567</f>
        <v>0.22099999999999997</v>
      </c>
      <c r="AA5567" s="6"/>
      <c r="AB5567" s="6"/>
    </row>
    <row r="5568" spans="1:28" x14ac:dyDescent="0.2">
      <c r="A5568" t="s">
        <v>618</v>
      </c>
      <c r="B5568">
        <v>2008</v>
      </c>
      <c r="C5568" t="s">
        <v>826</v>
      </c>
      <c r="D5568" t="s">
        <v>813</v>
      </c>
      <c r="E5568" t="s">
        <v>158</v>
      </c>
      <c r="F5568" t="s">
        <v>624</v>
      </c>
      <c r="G5568">
        <v>31.800343000000002</v>
      </c>
      <c r="H5568">
        <v>-116.794392</v>
      </c>
      <c r="I5568" t="s">
        <v>772</v>
      </c>
      <c r="J5568" s="2" t="s">
        <v>14</v>
      </c>
      <c r="K5568" t="s">
        <v>144</v>
      </c>
      <c r="L5568" t="s">
        <v>144</v>
      </c>
      <c r="M5568" t="s">
        <v>637</v>
      </c>
      <c r="N5568" t="s">
        <v>86</v>
      </c>
      <c r="O5568" t="s">
        <v>233</v>
      </c>
      <c r="Q5568">
        <f t="shared" si="95"/>
        <v>4.1666666666666664E-2</v>
      </c>
      <c r="R5568" t="s">
        <v>213</v>
      </c>
      <c r="S5568" s="2" t="s">
        <v>9</v>
      </c>
      <c r="T5568">
        <v>3</v>
      </c>
      <c r="U5568" t="s">
        <v>28</v>
      </c>
      <c r="V5568" t="s">
        <v>28</v>
      </c>
      <c r="W5568">
        <v>17</v>
      </c>
      <c r="X5568">
        <v>0.122</v>
      </c>
      <c r="Y5568" s="6">
        <f t="shared" si="94"/>
        <v>7.9674337148168378E-2</v>
      </c>
      <c r="Z5568">
        <f>0.168-X5568</f>
        <v>4.6000000000000013E-2</v>
      </c>
      <c r="AA5568" s="6"/>
      <c r="AB5568" s="6"/>
    </row>
    <row r="5569" spans="1:28" x14ac:dyDescent="0.2">
      <c r="A5569" t="s">
        <v>618</v>
      </c>
      <c r="B5569">
        <v>2008</v>
      </c>
      <c r="C5569" t="s">
        <v>826</v>
      </c>
      <c r="D5569" t="s">
        <v>813</v>
      </c>
      <c r="E5569" t="s">
        <v>158</v>
      </c>
      <c r="F5569" t="s">
        <v>619</v>
      </c>
      <c r="G5569">
        <v>36.523935999999999</v>
      </c>
      <c r="H5569">
        <v>-121.926582</v>
      </c>
      <c r="I5569" t="s">
        <v>772</v>
      </c>
      <c r="J5569" s="2" t="s">
        <v>14</v>
      </c>
      <c r="K5569" t="s">
        <v>144</v>
      </c>
      <c r="L5569" t="s">
        <v>144</v>
      </c>
      <c r="M5569" t="s">
        <v>637</v>
      </c>
      <c r="N5569" t="s">
        <v>86</v>
      </c>
      <c r="O5569" t="s">
        <v>233</v>
      </c>
      <c r="Q5569">
        <f t="shared" si="95"/>
        <v>4.1666666666666664E-2</v>
      </c>
      <c r="R5569" t="s">
        <v>213</v>
      </c>
      <c r="S5569" s="2" t="s">
        <v>27</v>
      </c>
      <c r="T5569">
        <v>3</v>
      </c>
      <c r="U5569" t="s">
        <v>28</v>
      </c>
      <c r="V5569" t="s">
        <v>28</v>
      </c>
      <c r="W5569">
        <v>22</v>
      </c>
      <c r="X5569">
        <v>2.8090000000000002</v>
      </c>
      <c r="Y5569" s="6">
        <f t="shared" si="94"/>
        <v>0.9786087062764155</v>
      </c>
      <c r="Z5569">
        <f>3.374-X5569</f>
        <v>0.56499999999999995</v>
      </c>
      <c r="AA5569" s="6"/>
      <c r="AB5569" s="6"/>
    </row>
    <row r="5570" spans="1:28" x14ac:dyDescent="0.2">
      <c r="A5570" t="s">
        <v>618</v>
      </c>
      <c r="B5570">
        <v>2008</v>
      </c>
      <c r="C5570" t="s">
        <v>826</v>
      </c>
      <c r="D5570" t="s">
        <v>813</v>
      </c>
      <c r="E5570" t="s">
        <v>158</v>
      </c>
      <c r="F5570" t="s">
        <v>620</v>
      </c>
      <c r="G5570">
        <v>34.401193999999997</v>
      </c>
      <c r="H5570">
        <v>-119.699203</v>
      </c>
      <c r="I5570" t="s">
        <v>772</v>
      </c>
      <c r="J5570" s="2" t="s">
        <v>14</v>
      </c>
      <c r="K5570" t="s">
        <v>144</v>
      </c>
      <c r="L5570" t="s">
        <v>144</v>
      </c>
      <c r="M5570" t="s">
        <v>637</v>
      </c>
      <c r="N5570" t="s">
        <v>86</v>
      </c>
      <c r="O5570" t="s">
        <v>233</v>
      </c>
      <c r="Q5570">
        <f t="shared" si="95"/>
        <v>4.1666666666666664E-2</v>
      </c>
      <c r="R5570" t="s">
        <v>213</v>
      </c>
      <c r="S5570" s="2" t="s">
        <v>27</v>
      </c>
      <c r="T5570">
        <v>3</v>
      </c>
      <c r="U5570" t="s">
        <v>28</v>
      </c>
      <c r="V5570" t="s">
        <v>28</v>
      </c>
      <c r="W5570">
        <v>22</v>
      </c>
      <c r="X5570">
        <v>0.17599999999999999</v>
      </c>
      <c r="Y5570" s="6">
        <f t="shared" si="94"/>
        <v>0.21131019852340302</v>
      </c>
      <c r="Z5570">
        <f>0.298-X5570</f>
        <v>0.122</v>
      </c>
      <c r="AA5570" s="6"/>
      <c r="AB5570" s="6"/>
    </row>
    <row r="5571" spans="1:28" x14ac:dyDescent="0.2">
      <c r="A5571" t="s">
        <v>618</v>
      </c>
      <c r="B5571">
        <v>2008</v>
      </c>
      <c r="C5571" t="s">
        <v>826</v>
      </c>
      <c r="D5571" t="s">
        <v>813</v>
      </c>
      <c r="E5571" t="s">
        <v>158</v>
      </c>
      <c r="F5571" t="s">
        <v>621</v>
      </c>
      <c r="G5571">
        <v>33.708799999999997</v>
      </c>
      <c r="H5571">
        <v>-118.28282400000001</v>
      </c>
      <c r="I5571" t="s">
        <v>772</v>
      </c>
      <c r="J5571" s="2" t="s">
        <v>14</v>
      </c>
      <c r="K5571" t="s">
        <v>144</v>
      </c>
      <c r="L5571" t="s">
        <v>144</v>
      </c>
      <c r="M5571" t="s">
        <v>637</v>
      </c>
      <c r="N5571" t="s">
        <v>86</v>
      </c>
      <c r="O5571" t="s">
        <v>233</v>
      </c>
      <c r="Q5571">
        <f t="shared" si="95"/>
        <v>4.1666666666666664E-2</v>
      </c>
      <c r="R5571" t="s">
        <v>213</v>
      </c>
      <c r="S5571" s="2" t="s">
        <v>27</v>
      </c>
      <c r="T5571">
        <v>3</v>
      </c>
      <c r="U5571" t="s">
        <v>28</v>
      </c>
      <c r="V5571" t="s">
        <v>28</v>
      </c>
      <c r="W5571">
        <v>22</v>
      </c>
      <c r="X5571">
        <v>1.4430000000000001</v>
      </c>
      <c r="Y5571" s="6">
        <f t="shared" si="94"/>
        <v>2.4976172645143206</v>
      </c>
      <c r="Z5571">
        <f>2.885-X5571</f>
        <v>1.4419999999999997</v>
      </c>
      <c r="AA5571" s="6"/>
      <c r="AB5571" s="6"/>
    </row>
    <row r="5572" spans="1:28" x14ac:dyDescent="0.2">
      <c r="A5572" t="s">
        <v>618</v>
      </c>
      <c r="B5572">
        <v>2008</v>
      </c>
      <c r="C5572" t="s">
        <v>826</v>
      </c>
      <c r="D5572" t="s">
        <v>813</v>
      </c>
      <c r="E5572" t="s">
        <v>158</v>
      </c>
      <c r="F5572" t="s">
        <v>622</v>
      </c>
      <c r="G5572">
        <v>33.444823</v>
      </c>
      <c r="H5572">
        <v>-118.48373100000001</v>
      </c>
      <c r="I5572" t="s">
        <v>772</v>
      </c>
      <c r="J5572" s="2" t="s">
        <v>14</v>
      </c>
      <c r="K5572" t="s">
        <v>144</v>
      </c>
      <c r="L5572" t="s">
        <v>144</v>
      </c>
      <c r="M5572" t="s">
        <v>637</v>
      </c>
      <c r="N5572" t="s">
        <v>86</v>
      </c>
      <c r="O5572" t="s">
        <v>233</v>
      </c>
      <c r="Q5572">
        <f t="shared" si="95"/>
        <v>4.1666666666666664E-2</v>
      </c>
      <c r="R5572" t="s">
        <v>213</v>
      </c>
      <c r="S5572" s="2" t="s">
        <v>27</v>
      </c>
      <c r="T5572">
        <v>3</v>
      </c>
      <c r="U5572" t="s">
        <v>28</v>
      </c>
      <c r="V5572" t="s">
        <v>28</v>
      </c>
      <c r="W5572">
        <v>22</v>
      </c>
      <c r="X5572">
        <v>0.69499999999999995</v>
      </c>
      <c r="Y5572" s="6">
        <f t="shared" si="94"/>
        <v>0.5681126648825916</v>
      </c>
      <c r="Z5572">
        <f>1.023-X5572</f>
        <v>0.32799999999999996</v>
      </c>
      <c r="AA5572" s="6"/>
      <c r="AB5572" s="6"/>
    </row>
    <row r="5573" spans="1:28" x14ac:dyDescent="0.2">
      <c r="A5573" t="s">
        <v>618</v>
      </c>
      <c r="B5573">
        <v>2008</v>
      </c>
      <c r="C5573" t="s">
        <v>826</v>
      </c>
      <c r="D5573" t="s">
        <v>813</v>
      </c>
      <c r="E5573" t="s">
        <v>158</v>
      </c>
      <c r="F5573" t="s">
        <v>623</v>
      </c>
      <c r="G5573">
        <v>32.857103000000002</v>
      </c>
      <c r="H5573">
        <v>-117.25778800000001</v>
      </c>
      <c r="I5573" t="s">
        <v>772</v>
      </c>
      <c r="J5573" s="2" t="s">
        <v>14</v>
      </c>
      <c r="K5573" t="s">
        <v>144</v>
      </c>
      <c r="L5573" t="s">
        <v>144</v>
      </c>
      <c r="M5573" t="s">
        <v>637</v>
      </c>
      <c r="N5573" t="s">
        <v>86</v>
      </c>
      <c r="O5573" t="s">
        <v>233</v>
      </c>
      <c r="Q5573">
        <f t="shared" si="95"/>
        <v>4.1666666666666664E-2</v>
      </c>
      <c r="R5573" t="s">
        <v>213</v>
      </c>
      <c r="S5573" s="2" t="s">
        <v>27</v>
      </c>
      <c r="T5573">
        <v>3</v>
      </c>
      <c r="U5573" t="s">
        <v>28</v>
      </c>
      <c r="V5573" t="s">
        <v>28</v>
      </c>
      <c r="W5573">
        <v>22</v>
      </c>
      <c r="X5573">
        <v>1.26</v>
      </c>
      <c r="Y5573" s="6">
        <f t="shared" si="94"/>
        <v>1.9831981746663641</v>
      </c>
      <c r="Z5573">
        <f>2.405-X5573</f>
        <v>1.1449999999999998</v>
      </c>
      <c r="AA5573" s="6"/>
      <c r="AB5573" s="6"/>
    </row>
    <row r="5574" spans="1:28" x14ac:dyDescent="0.2">
      <c r="A5574" t="s">
        <v>618</v>
      </c>
      <c r="B5574">
        <v>2008</v>
      </c>
      <c r="C5574" t="s">
        <v>826</v>
      </c>
      <c r="D5574" t="s">
        <v>813</v>
      </c>
      <c r="E5574" t="s">
        <v>158</v>
      </c>
      <c r="F5574" t="s">
        <v>624</v>
      </c>
      <c r="G5574">
        <v>31.800343000000002</v>
      </c>
      <c r="H5574">
        <v>-116.794392</v>
      </c>
      <c r="I5574" t="s">
        <v>772</v>
      </c>
      <c r="J5574" s="2" t="s">
        <v>14</v>
      </c>
      <c r="K5574" t="s">
        <v>144</v>
      </c>
      <c r="L5574" t="s">
        <v>144</v>
      </c>
      <c r="M5574" t="s">
        <v>637</v>
      </c>
      <c r="N5574" t="s">
        <v>86</v>
      </c>
      <c r="O5574" t="s">
        <v>233</v>
      </c>
      <c r="Q5574">
        <f t="shared" si="95"/>
        <v>4.1666666666666664E-2</v>
      </c>
      <c r="R5574" t="s">
        <v>213</v>
      </c>
      <c r="S5574" s="2" t="s">
        <v>27</v>
      </c>
      <c r="T5574">
        <v>3</v>
      </c>
      <c r="U5574" t="s">
        <v>28</v>
      </c>
      <c r="V5574" t="s">
        <v>28</v>
      </c>
      <c r="W5574">
        <v>22</v>
      </c>
      <c r="X5574">
        <v>0.64900000000000002</v>
      </c>
      <c r="Y5574" s="6">
        <f t="shared" si="94"/>
        <v>0.38278322847272184</v>
      </c>
      <c r="Z5574">
        <f>0.87-X5574</f>
        <v>0.22099999999999997</v>
      </c>
      <c r="AA5574" s="6"/>
      <c r="AB5574" s="6"/>
    </row>
    <row r="5575" spans="1:28" x14ac:dyDescent="0.2">
      <c r="A5575" t="s">
        <v>618</v>
      </c>
      <c r="B5575">
        <v>2008</v>
      </c>
      <c r="C5575" t="s">
        <v>826</v>
      </c>
      <c r="D5575" t="s">
        <v>813</v>
      </c>
      <c r="E5575" t="s">
        <v>158</v>
      </c>
      <c r="F5575" t="s">
        <v>619</v>
      </c>
      <c r="G5575">
        <v>36.523935999999999</v>
      </c>
      <c r="H5575">
        <v>-121.926582</v>
      </c>
      <c r="I5575" t="s">
        <v>772</v>
      </c>
      <c r="J5575" s="2" t="s">
        <v>14</v>
      </c>
      <c r="K5575" t="s">
        <v>144</v>
      </c>
      <c r="L5575" t="s">
        <v>144</v>
      </c>
      <c r="M5575" t="s">
        <v>637</v>
      </c>
      <c r="N5575" t="s">
        <v>86</v>
      </c>
      <c r="O5575" t="s">
        <v>233</v>
      </c>
      <c r="Q5575">
        <f t="shared" si="95"/>
        <v>4.1666666666666664E-2</v>
      </c>
      <c r="R5575" t="s">
        <v>213</v>
      </c>
      <c r="S5575" s="2" t="s">
        <v>13</v>
      </c>
      <c r="T5575">
        <v>3</v>
      </c>
      <c r="U5575" t="s">
        <v>28</v>
      </c>
      <c r="V5575" t="s">
        <v>28</v>
      </c>
      <c r="W5575">
        <v>26</v>
      </c>
      <c r="X5575">
        <v>2.282</v>
      </c>
      <c r="Y5575" s="6">
        <f t="shared" si="94"/>
        <v>0.29098453567157162</v>
      </c>
      <c r="Z5575">
        <f>2.45-X5575</f>
        <v>0.16800000000000015</v>
      </c>
      <c r="AA5575" s="6"/>
      <c r="AB5575" s="6"/>
    </row>
    <row r="5576" spans="1:28" x14ac:dyDescent="0.2">
      <c r="A5576" t="s">
        <v>618</v>
      </c>
      <c r="B5576">
        <v>2008</v>
      </c>
      <c r="C5576" t="s">
        <v>826</v>
      </c>
      <c r="D5576" t="s">
        <v>813</v>
      </c>
      <c r="E5576" t="s">
        <v>158</v>
      </c>
      <c r="F5576" t="s">
        <v>620</v>
      </c>
      <c r="G5576">
        <v>34.401193999999997</v>
      </c>
      <c r="H5576">
        <v>-119.699203</v>
      </c>
      <c r="I5576" t="s">
        <v>772</v>
      </c>
      <c r="J5576" s="2" t="s">
        <v>14</v>
      </c>
      <c r="K5576" t="s">
        <v>144</v>
      </c>
      <c r="L5576" t="s">
        <v>144</v>
      </c>
      <c r="M5576" t="s">
        <v>637</v>
      </c>
      <c r="N5576" t="s">
        <v>86</v>
      </c>
      <c r="O5576" t="s">
        <v>233</v>
      </c>
      <c r="Q5576">
        <f t="shared" si="95"/>
        <v>4.1666666666666664E-2</v>
      </c>
      <c r="R5576" t="s">
        <v>213</v>
      </c>
      <c r="S5576" s="2" t="s">
        <v>13</v>
      </c>
      <c r="T5576">
        <v>3</v>
      </c>
      <c r="U5576" t="s">
        <v>28</v>
      </c>
      <c r="V5576" t="s">
        <v>28</v>
      </c>
      <c r="W5576">
        <v>26</v>
      </c>
      <c r="X5576">
        <v>1.6719999999999999</v>
      </c>
      <c r="Y5576" s="6">
        <f t="shared" si="94"/>
        <v>1.3613919347491379</v>
      </c>
      <c r="Z5576">
        <f>2.458-X5576</f>
        <v>0.78600000000000025</v>
      </c>
      <c r="AA5576" s="6"/>
      <c r="AB5576" s="6"/>
    </row>
    <row r="5577" spans="1:28" x14ac:dyDescent="0.2">
      <c r="A5577" t="s">
        <v>618</v>
      </c>
      <c r="B5577">
        <v>2008</v>
      </c>
      <c r="C5577" t="s">
        <v>826</v>
      </c>
      <c r="D5577" t="s">
        <v>813</v>
      </c>
      <c r="E5577" t="s">
        <v>158</v>
      </c>
      <c r="F5577" t="s">
        <v>621</v>
      </c>
      <c r="G5577">
        <v>33.708799999999997</v>
      </c>
      <c r="H5577">
        <v>-118.28282400000001</v>
      </c>
      <c r="I5577" t="s">
        <v>772</v>
      </c>
      <c r="J5577" s="2" t="s">
        <v>14</v>
      </c>
      <c r="K5577" t="s">
        <v>144</v>
      </c>
      <c r="L5577" t="s">
        <v>144</v>
      </c>
      <c r="M5577" t="s">
        <v>637</v>
      </c>
      <c r="N5577" t="s">
        <v>86</v>
      </c>
      <c r="O5577" t="s">
        <v>233</v>
      </c>
      <c r="Q5577">
        <f t="shared" si="95"/>
        <v>4.1666666666666664E-2</v>
      </c>
      <c r="R5577" t="s">
        <v>213</v>
      </c>
      <c r="S5577" s="2" t="s">
        <v>13</v>
      </c>
      <c r="T5577">
        <v>3</v>
      </c>
      <c r="U5577" t="s">
        <v>28</v>
      </c>
      <c r="V5577" t="s">
        <v>28</v>
      </c>
      <c r="W5577">
        <v>26</v>
      </c>
      <c r="X5577">
        <v>3.1E-2</v>
      </c>
      <c r="Y5577" s="6">
        <f t="shared" si="94"/>
        <v>0</v>
      </c>
      <c r="Z5577">
        <v>0</v>
      </c>
      <c r="AA5577" s="6"/>
      <c r="AB5577" s="6"/>
    </row>
    <row r="5578" spans="1:28" x14ac:dyDescent="0.2">
      <c r="A5578" t="s">
        <v>618</v>
      </c>
      <c r="B5578">
        <v>2008</v>
      </c>
      <c r="C5578" t="s">
        <v>826</v>
      </c>
      <c r="D5578" t="s">
        <v>813</v>
      </c>
      <c r="E5578" t="s">
        <v>158</v>
      </c>
      <c r="F5578" t="s">
        <v>622</v>
      </c>
      <c r="G5578">
        <v>33.444823</v>
      </c>
      <c r="H5578">
        <v>-118.48373100000001</v>
      </c>
      <c r="I5578" t="s">
        <v>772</v>
      </c>
      <c r="J5578" s="2" t="s">
        <v>14</v>
      </c>
      <c r="K5578" t="s">
        <v>144</v>
      </c>
      <c r="L5578" t="s">
        <v>144</v>
      </c>
      <c r="M5578" t="s">
        <v>637</v>
      </c>
      <c r="N5578" t="s">
        <v>86</v>
      </c>
      <c r="O5578" t="s">
        <v>233</v>
      </c>
      <c r="Q5578">
        <f t="shared" si="95"/>
        <v>4.1666666666666664E-2</v>
      </c>
      <c r="R5578" t="s">
        <v>213</v>
      </c>
      <c r="S5578" s="2" t="s">
        <v>13</v>
      </c>
      <c r="T5578">
        <v>3</v>
      </c>
      <c r="U5578" t="s">
        <v>28</v>
      </c>
      <c r="V5578" t="s">
        <v>28</v>
      </c>
      <c r="W5578">
        <v>26</v>
      </c>
      <c r="X5578">
        <v>2.9849999999999999</v>
      </c>
      <c r="Y5578" s="6">
        <f t="shared" si="94"/>
        <v>2.5114736709748713</v>
      </c>
      <c r="Z5578">
        <f>4.435-X5578</f>
        <v>1.4499999999999997</v>
      </c>
      <c r="AA5578" s="6"/>
      <c r="AB5578" s="6"/>
    </row>
    <row r="5579" spans="1:28" x14ac:dyDescent="0.2">
      <c r="A5579" t="s">
        <v>618</v>
      </c>
      <c r="B5579">
        <v>2008</v>
      </c>
      <c r="C5579" t="s">
        <v>826</v>
      </c>
      <c r="D5579" t="s">
        <v>813</v>
      </c>
      <c r="E5579" t="s">
        <v>158</v>
      </c>
      <c r="F5579" t="s">
        <v>623</v>
      </c>
      <c r="G5579">
        <v>32.857103000000002</v>
      </c>
      <c r="H5579">
        <v>-117.25778800000001</v>
      </c>
      <c r="I5579" t="s">
        <v>772</v>
      </c>
      <c r="J5579" s="2" t="s">
        <v>14</v>
      </c>
      <c r="K5579" t="s">
        <v>144</v>
      </c>
      <c r="L5579" t="s">
        <v>144</v>
      </c>
      <c r="M5579" t="s">
        <v>637</v>
      </c>
      <c r="N5579" t="s">
        <v>86</v>
      </c>
      <c r="O5579" t="s">
        <v>233</v>
      </c>
      <c r="Q5579">
        <f t="shared" si="95"/>
        <v>4.1666666666666664E-2</v>
      </c>
      <c r="R5579" t="s">
        <v>213</v>
      </c>
      <c r="S5579" s="2" t="s">
        <v>13</v>
      </c>
      <c r="T5579">
        <v>3</v>
      </c>
      <c r="U5579" t="s">
        <v>28</v>
      </c>
      <c r="V5579" t="s">
        <v>28</v>
      </c>
      <c r="W5579">
        <v>26</v>
      </c>
      <c r="X5579">
        <v>2.2749999999999999</v>
      </c>
      <c r="Y5579" s="6">
        <f t="shared" si="94"/>
        <v>1.2557368354874361</v>
      </c>
      <c r="Z5579">
        <f>3-X5579</f>
        <v>0.72500000000000009</v>
      </c>
      <c r="AA5579" s="6"/>
      <c r="AB5579" s="6"/>
    </row>
    <row r="5580" spans="1:28" x14ac:dyDescent="0.2">
      <c r="A5580" t="s">
        <v>618</v>
      </c>
      <c r="B5580">
        <v>2008</v>
      </c>
      <c r="C5580" t="s">
        <v>826</v>
      </c>
      <c r="D5580" t="s">
        <v>813</v>
      </c>
      <c r="E5580" t="s">
        <v>158</v>
      </c>
      <c r="F5580" t="s">
        <v>624</v>
      </c>
      <c r="G5580">
        <v>31.800343000000002</v>
      </c>
      <c r="H5580">
        <v>-116.794392</v>
      </c>
      <c r="I5580" t="s">
        <v>772</v>
      </c>
      <c r="J5580" s="2" t="s">
        <v>14</v>
      </c>
      <c r="K5580" t="s">
        <v>144</v>
      </c>
      <c r="L5580" t="s">
        <v>144</v>
      </c>
      <c r="M5580" t="s">
        <v>637</v>
      </c>
      <c r="N5580" t="s">
        <v>86</v>
      </c>
      <c r="O5580" t="s">
        <v>233</v>
      </c>
      <c r="Q5580">
        <f t="shared" si="95"/>
        <v>4.1666666666666664E-2</v>
      </c>
      <c r="R5580" t="s">
        <v>213</v>
      </c>
      <c r="S5580" s="2" t="s">
        <v>13</v>
      </c>
      <c r="T5580">
        <v>3</v>
      </c>
      <c r="U5580" t="s">
        <v>28</v>
      </c>
      <c r="V5580" t="s">
        <v>28</v>
      </c>
      <c r="W5580">
        <v>26</v>
      </c>
      <c r="X5580">
        <v>0.14499999999999999</v>
      </c>
      <c r="Y5580" s="6">
        <f t="shared" si="94"/>
        <v>0.10565509926170151</v>
      </c>
      <c r="Z5580">
        <f>0.206-X5580</f>
        <v>6.0999999999999999E-2</v>
      </c>
      <c r="AA5580" s="6"/>
      <c r="AB5580" s="6"/>
    </row>
    <row r="5581" spans="1:28" x14ac:dyDescent="0.2">
      <c r="A5581" t="s">
        <v>618</v>
      </c>
      <c r="B5581">
        <v>2008</v>
      </c>
      <c r="C5581" t="s">
        <v>826</v>
      </c>
      <c r="D5581" t="s">
        <v>813</v>
      </c>
      <c r="E5581" t="s">
        <v>158</v>
      </c>
      <c r="F5581" t="s">
        <v>619</v>
      </c>
      <c r="G5581">
        <v>36.523935999999999</v>
      </c>
      <c r="H5581">
        <v>-121.926582</v>
      </c>
      <c r="I5581" t="s">
        <v>772</v>
      </c>
      <c r="J5581" s="2" t="s">
        <v>14</v>
      </c>
      <c r="K5581" t="s">
        <v>144</v>
      </c>
      <c r="L5581" t="s">
        <v>144</v>
      </c>
      <c r="M5581" t="s">
        <v>637</v>
      </c>
      <c r="N5581" t="s">
        <v>86</v>
      </c>
      <c r="O5581" t="s">
        <v>233</v>
      </c>
      <c r="Q5581">
        <f t="shared" si="95"/>
        <v>4.1666666666666664E-2</v>
      </c>
      <c r="R5581" t="s">
        <v>213</v>
      </c>
      <c r="S5581" s="2" t="s">
        <v>15</v>
      </c>
      <c r="T5581">
        <v>3</v>
      </c>
      <c r="U5581" t="s">
        <v>28</v>
      </c>
      <c r="V5581" t="s">
        <v>28</v>
      </c>
      <c r="W5581">
        <v>31</v>
      </c>
      <c r="X5581">
        <v>0.81699999999999995</v>
      </c>
      <c r="Y5581" s="6">
        <f t="shared" si="94"/>
        <v>0.19745379206285218</v>
      </c>
      <c r="Z5581">
        <f>0.931-X5581</f>
        <v>0.1140000000000001</v>
      </c>
      <c r="AA5581" s="6"/>
      <c r="AB5581" s="6"/>
    </row>
    <row r="5582" spans="1:28" x14ac:dyDescent="0.2">
      <c r="A5582" t="s">
        <v>618</v>
      </c>
      <c r="B5582">
        <v>2008</v>
      </c>
      <c r="C5582" t="s">
        <v>826</v>
      </c>
      <c r="D5582" t="s">
        <v>813</v>
      </c>
      <c r="E5582" t="s">
        <v>158</v>
      </c>
      <c r="F5582" t="s">
        <v>620</v>
      </c>
      <c r="G5582">
        <v>34.401193999999997</v>
      </c>
      <c r="H5582">
        <v>-119.699203</v>
      </c>
      <c r="I5582" t="s">
        <v>772</v>
      </c>
      <c r="J5582" s="2" t="s">
        <v>14</v>
      </c>
      <c r="K5582" t="s">
        <v>144</v>
      </c>
      <c r="L5582" t="s">
        <v>144</v>
      </c>
      <c r="M5582" t="s">
        <v>637</v>
      </c>
      <c r="N5582" t="s">
        <v>86</v>
      </c>
      <c r="O5582" t="s">
        <v>233</v>
      </c>
      <c r="Q5582">
        <f t="shared" si="95"/>
        <v>4.1666666666666664E-2</v>
      </c>
      <c r="R5582" t="s">
        <v>213</v>
      </c>
      <c r="S5582" s="2" t="s">
        <v>15</v>
      </c>
      <c r="T5582">
        <v>3</v>
      </c>
      <c r="U5582" t="s">
        <v>28</v>
      </c>
      <c r="V5582" t="s">
        <v>28</v>
      </c>
      <c r="W5582">
        <v>31</v>
      </c>
      <c r="X5582">
        <v>0.153</v>
      </c>
      <c r="Y5582" s="6">
        <f t="shared" si="94"/>
        <v>9.179869280115048E-2</v>
      </c>
      <c r="Z5582">
        <f>0.206-X5582</f>
        <v>5.2999999999999992E-2</v>
      </c>
      <c r="AA5582" s="6"/>
      <c r="AB5582" s="6"/>
    </row>
    <row r="5583" spans="1:28" x14ac:dyDescent="0.2">
      <c r="A5583" t="s">
        <v>618</v>
      </c>
      <c r="B5583">
        <v>2008</v>
      </c>
      <c r="C5583" t="s">
        <v>826</v>
      </c>
      <c r="D5583" t="s">
        <v>813</v>
      </c>
      <c r="E5583" t="s">
        <v>158</v>
      </c>
      <c r="F5583" t="s">
        <v>621</v>
      </c>
      <c r="G5583">
        <v>33.708799999999997</v>
      </c>
      <c r="H5583">
        <v>-118.28282400000001</v>
      </c>
      <c r="I5583" t="s">
        <v>772</v>
      </c>
      <c r="J5583" s="2" t="s">
        <v>14</v>
      </c>
      <c r="K5583" t="s">
        <v>144</v>
      </c>
      <c r="L5583" t="s">
        <v>144</v>
      </c>
      <c r="M5583" t="s">
        <v>637</v>
      </c>
      <c r="N5583" t="s">
        <v>86</v>
      </c>
      <c r="O5583" t="s">
        <v>233</v>
      </c>
      <c r="Q5583">
        <f t="shared" si="95"/>
        <v>4.1666666666666664E-2</v>
      </c>
      <c r="R5583" t="s">
        <v>213</v>
      </c>
      <c r="S5583" s="2" t="s">
        <v>15</v>
      </c>
      <c r="T5583">
        <v>3</v>
      </c>
      <c r="U5583" t="s">
        <v>28</v>
      </c>
      <c r="V5583" t="s">
        <v>28</v>
      </c>
      <c r="W5583">
        <v>31</v>
      </c>
      <c r="X5583">
        <v>2.3E-2</v>
      </c>
      <c r="Y5583" s="6">
        <f t="shared" si="94"/>
        <v>0</v>
      </c>
      <c r="Z5583">
        <v>0</v>
      </c>
      <c r="AA5583" s="6"/>
      <c r="AB5583" s="6"/>
    </row>
    <row r="5584" spans="1:28" x14ac:dyDescent="0.2">
      <c r="A5584" t="s">
        <v>618</v>
      </c>
      <c r="B5584">
        <v>2008</v>
      </c>
      <c r="C5584" t="s">
        <v>826</v>
      </c>
      <c r="D5584" t="s">
        <v>813</v>
      </c>
      <c r="E5584" t="s">
        <v>158</v>
      </c>
      <c r="F5584" t="s">
        <v>622</v>
      </c>
      <c r="G5584">
        <v>33.444823</v>
      </c>
      <c r="H5584">
        <v>-118.48373100000001</v>
      </c>
      <c r="I5584" t="s">
        <v>772</v>
      </c>
      <c r="J5584" s="2" t="s">
        <v>14</v>
      </c>
      <c r="K5584" t="s">
        <v>144</v>
      </c>
      <c r="L5584" t="s">
        <v>144</v>
      </c>
      <c r="M5584" t="s">
        <v>637</v>
      </c>
      <c r="N5584" t="s">
        <v>86</v>
      </c>
      <c r="O5584" t="s">
        <v>233</v>
      </c>
      <c r="Q5584">
        <f t="shared" si="95"/>
        <v>4.1666666666666664E-2</v>
      </c>
      <c r="R5584" t="s">
        <v>213</v>
      </c>
      <c r="S5584" s="2" t="s">
        <v>15</v>
      </c>
      <c r="T5584">
        <v>3</v>
      </c>
      <c r="U5584" t="s">
        <v>28</v>
      </c>
      <c r="V5584" t="s">
        <v>28</v>
      </c>
      <c r="W5584">
        <v>31</v>
      </c>
      <c r="X5584">
        <v>1.847</v>
      </c>
      <c r="Y5584" s="6">
        <f t="shared" si="94"/>
        <v>2.1286904425021502</v>
      </c>
      <c r="Z5584">
        <f>3.076-X5584</f>
        <v>1.2290000000000001</v>
      </c>
      <c r="AA5584" s="6"/>
      <c r="AB5584" s="6"/>
    </row>
    <row r="5585" spans="1:28" x14ac:dyDescent="0.2">
      <c r="A5585" t="s">
        <v>618</v>
      </c>
      <c r="B5585">
        <v>2008</v>
      </c>
      <c r="C5585" t="s">
        <v>826</v>
      </c>
      <c r="D5585" t="s">
        <v>813</v>
      </c>
      <c r="E5585" t="s">
        <v>158</v>
      </c>
      <c r="F5585" t="s">
        <v>623</v>
      </c>
      <c r="G5585">
        <v>32.857103000000002</v>
      </c>
      <c r="H5585">
        <v>-117.25778800000001</v>
      </c>
      <c r="I5585" t="s">
        <v>772</v>
      </c>
      <c r="J5585" s="2" t="s">
        <v>14</v>
      </c>
      <c r="K5585" t="s">
        <v>144</v>
      </c>
      <c r="L5585" t="s">
        <v>144</v>
      </c>
      <c r="M5585" t="s">
        <v>637</v>
      </c>
      <c r="N5585" t="s">
        <v>86</v>
      </c>
      <c r="O5585" t="s">
        <v>233</v>
      </c>
      <c r="Q5585">
        <f t="shared" si="95"/>
        <v>4.1666666666666664E-2</v>
      </c>
      <c r="R5585" t="s">
        <v>213</v>
      </c>
      <c r="S5585" s="2" t="s">
        <v>15</v>
      </c>
      <c r="T5585">
        <v>3</v>
      </c>
      <c r="U5585" t="s">
        <v>28</v>
      </c>
      <c r="V5585" t="s">
        <v>28</v>
      </c>
      <c r="W5585">
        <v>31</v>
      </c>
      <c r="X5585">
        <v>5.2999999999999999E-2</v>
      </c>
      <c r="Y5585" s="6">
        <f t="shared" si="94"/>
        <v>3.9837168574084175E-2</v>
      </c>
      <c r="Z5585">
        <f>0.076-X5585</f>
        <v>2.3E-2</v>
      </c>
      <c r="AA5585" s="6"/>
      <c r="AB5585" s="6"/>
    </row>
    <row r="5586" spans="1:28" x14ac:dyDescent="0.2">
      <c r="A5586" t="s">
        <v>618</v>
      </c>
      <c r="B5586">
        <v>2008</v>
      </c>
      <c r="C5586" t="s">
        <v>826</v>
      </c>
      <c r="D5586" t="s">
        <v>813</v>
      </c>
      <c r="E5586" t="s">
        <v>158</v>
      </c>
      <c r="F5586" t="s">
        <v>624</v>
      </c>
      <c r="G5586">
        <v>31.800343000000002</v>
      </c>
      <c r="H5586">
        <v>-116.794392</v>
      </c>
      <c r="I5586" t="s">
        <v>772</v>
      </c>
      <c r="J5586" s="2" t="s">
        <v>14</v>
      </c>
      <c r="K5586" t="s">
        <v>144</v>
      </c>
      <c r="L5586" t="s">
        <v>144</v>
      </c>
      <c r="M5586" t="s">
        <v>637</v>
      </c>
      <c r="N5586" t="s">
        <v>86</v>
      </c>
      <c r="O5586" t="s">
        <v>233</v>
      </c>
      <c r="Q5586">
        <f t="shared" si="95"/>
        <v>4.1666666666666664E-2</v>
      </c>
      <c r="R5586" t="s">
        <v>213</v>
      </c>
      <c r="S5586" s="2" t="s">
        <v>15</v>
      </c>
      <c r="T5586">
        <v>3</v>
      </c>
      <c r="U5586" t="s">
        <v>28</v>
      </c>
      <c r="V5586" t="s">
        <v>28</v>
      </c>
      <c r="W5586">
        <v>31</v>
      </c>
      <c r="X5586">
        <v>0.20599999999999999</v>
      </c>
      <c r="Y5586" s="6">
        <f t="shared" si="94"/>
        <v>0.17147302994931884</v>
      </c>
      <c r="Z5586">
        <f>0.305-X5586</f>
        <v>9.9000000000000005E-2</v>
      </c>
      <c r="AA5586" s="6"/>
      <c r="AB5586" s="6"/>
    </row>
    <row r="5587" spans="1:28" x14ac:dyDescent="0.2">
      <c r="A5587" t="s">
        <v>618</v>
      </c>
      <c r="B5587">
        <v>2008</v>
      </c>
      <c r="C5587" t="s">
        <v>826</v>
      </c>
      <c r="D5587" t="s">
        <v>813</v>
      </c>
      <c r="E5587" t="s">
        <v>158</v>
      </c>
      <c r="F5587" t="s">
        <v>619</v>
      </c>
      <c r="G5587">
        <v>36.523935999999999</v>
      </c>
      <c r="H5587">
        <v>-121.926582</v>
      </c>
      <c r="I5587" t="s">
        <v>772</v>
      </c>
      <c r="J5587" s="2" t="s">
        <v>14</v>
      </c>
      <c r="K5587" t="s">
        <v>144</v>
      </c>
      <c r="L5587" t="s">
        <v>144</v>
      </c>
      <c r="M5587" t="s">
        <v>637</v>
      </c>
      <c r="N5587" t="s">
        <v>86</v>
      </c>
      <c r="O5587" t="s">
        <v>233</v>
      </c>
      <c r="Q5587">
        <f t="shared" si="95"/>
        <v>4.1666666666666664E-2</v>
      </c>
      <c r="R5587" t="s">
        <v>213</v>
      </c>
      <c r="S5587" s="2" t="s">
        <v>37</v>
      </c>
      <c r="T5587">
        <v>3</v>
      </c>
      <c r="U5587" t="s">
        <v>28</v>
      </c>
      <c r="V5587" t="s">
        <v>28</v>
      </c>
      <c r="W5587">
        <v>33</v>
      </c>
      <c r="X5587">
        <v>0.23699999999999999</v>
      </c>
      <c r="Y5587" s="6">
        <f t="shared" ref="Y5587:Y5618" si="96">Z5587*SQRT(T5587)</f>
        <v>0.1316358613752347</v>
      </c>
      <c r="Z5587">
        <f>0.313-X5587</f>
        <v>7.6000000000000012E-2</v>
      </c>
      <c r="AA5587" s="6"/>
      <c r="AB5587" s="6"/>
    </row>
    <row r="5588" spans="1:28" x14ac:dyDescent="0.2">
      <c r="A5588" t="s">
        <v>618</v>
      </c>
      <c r="B5588">
        <v>2008</v>
      </c>
      <c r="C5588" t="s">
        <v>826</v>
      </c>
      <c r="D5588" t="s">
        <v>813</v>
      </c>
      <c r="E5588" t="s">
        <v>158</v>
      </c>
      <c r="F5588" t="s">
        <v>620</v>
      </c>
      <c r="G5588">
        <v>34.401193999999997</v>
      </c>
      <c r="H5588">
        <v>-119.699203</v>
      </c>
      <c r="I5588" t="s">
        <v>772</v>
      </c>
      <c r="J5588" s="2" t="s">
        <v>14</v>
      </c>
      <c r="K5588" t="s">
        <v>144</v>
      </c>
      <c r="L5588" t="s">
        <v>144</v>
      </c>
      <c r="M5588" t="s">
        <v>637</v>
      </c>
      <c r="N5588" t="s">
        <v>86</v>
      </c>
      <c r="O5588" t="s">
        <v>233</v>
      </c>
      <c r="Q5588">
        <f t="shared" si="95"/>
        <v>4.1666666666666664E-2</v>
      </c>
      <c r="R5588" t="s">
        <v>213</v>
      </c>
      <c r="S5588" s="2" t="s">
        <v>37</v>
      </c>
      <c r="T5588">
        <v>3</v>
      </c>
      <c r="U5588" t="s">
        <v>28</v>
      </c>
      <c r="V5588" t="s">
        <v>28</v>
      </c>
      <c r="W5588">
        <v>33</v>
      </c>
      <c r="X5588">
        <v>1</v>
      </c>
      <c r="Y5588" s="6">
        <f t="shared" si="96"/>
        <v>1.7978687382564942</v>
      </c>
      <c r="Z5588">
        <f>2.038-X5588</f>
        <v>1.0379999999999998</v>
      </c>
      <c r="AA5588" s="6"/>
      <c r="AB5588" s="6"/>
    </row>
    <row r="5589" spans="1:28" x14ac:dyDescent="0.2">
      <c r="A5589" t="s">
        <v>618</v>
      </c>
      <c r="B5589">
        <v>2008</v>
      </c>
      <c r="C5589" t="s">
        <v>826</v>
      </c>
      <c r="D5589" t="s">
        <v>813</v>
      </c>
      <c r="E5589" t="s">
        <v>158</v>
      </c>
      <c r="F5589" t="s">
        <v>621</v>
      </c>
      <c r="G5589">
        <v>33.708799999999997</v>
      </c>
      <c r="H5589">
        <v>-118.28282400000001</v>
      </c>
      <c r="I5589" t="s">
        <v>772</v>
      </c>
      <c r="J5589" s="2" t="s">
        <v>14</v>
      </c>
      <c r="K5589" t="s">
        <v>144</v>
      </c>
      <c r="L5589" t="s">
        <v>144</v>
      </c>
      <c r="M5589" t="s">
        <v>637</v>
      </c>
      <c r="N5589" t="s">
        <v>86</v>
      </c>
      <c r="O5589" t="s">
        <v>233</v>
      </c>
      <c r="Q5589">
        <f t="shared" si="95"/>
        <v>4.1666666666666664E-2</v>
      </c>
      <c r="R5589" t="s">
        <v>213</v>
      </c>
      <c r="S5589" s="2" t="s">
        <v>37</v>
      </c>
      <c r="T5589">
        <v>3</v>
      </c>
      <c r="U5589" t="s">
        <v>28</v>
      </c>
      <c r="V5589" t="s">
        <v>28</v>
      </c>
      <c r="W5589">
        <v>33</v>
      </c>
      <c r="X5589">
        <v>1.4999999999999999E-2</v>
      </c>
      <c r="Y5589" s="6">
        <f t="shared" si="96"/>
        <v>0</v>
      </c>
      <c r="Z5589">
        <v>0</v>
      </c>
      <c r="AA5589" s="6"/>
      <c r="AB5589" s="6"/>
    </row>
    <row r="5590" spans="1:28" x14ac:dyDescent="0.2">
      <c r="A5590" t="s">
        <v>618</v>
      </c>
      <c r="B5590">
        <v>2008</v>
      </c>
      <c r="C5590" t="s">
        <v>826</v>
      </c>
      <c r="D5590" t="s">
        <v>813</v>
      </c>
      <c r="E5590" t="s">
        <v>158</v>
      </c>
      <c r="F5590" t="s">
        <v>622</v>
      </c>
      <c r="G5590">
        <v>33.444823</v>
      </c>
      <c r="H5590">
        <v>-118.48373100000001</v>
      </c>
      <c r="I5590" t="s">
        <v>772</v>
      </c>
      <c r="J5590" s="2" t="s">
        <v>14</v>
      </c>
      <c r="K5590" t="s">
        <v>144</v>
      </c>
      <c r="L5590" t="s">
        <v>144</v>
      </c>
      <c r="M5590" t="s">
        <v>637</v>
      </c>
      <c r="N5590" t="s">
        <v>86</v>
      </c>
      <c r="O5590" t="s">
        <v>233</v>
      </c>
      <c r="Q5590">
        <f t="shared" si="95"/>
        <v>4.1666666666666664E-2</v>
      </c>
      <c r="R5590" t="s">
        <v>213</v>
      </c>
      <c r="S5590" s="2" t="s">
        <v>37</v>
      </c>
      <c r="T5590">
        <v>3</v>
      </c>
      <c r="U5590" t="s">
        <v>28</v>
      </c>
      <c r="V5590" t="s">
        <v>28</v>
      </c>
      <c r="W5590">
        <v>33</v>
      </c>
      <c r="X5590">
        <v>0.79400000000000004</v>
      </c>
      <c r="Y5590" s="6">
        <f t="shared" si="96"/>
        <v>0.71360493271837722</v>
      </c>
      <c r="Z5590">
        <f>1.206-X5590</f>
        <v>0.41199999999999992</v>
      </c>
      <c r="AA5590" s="6"/>
      <c r="AB5590" s="6"/>
    </row>
    <row r="5591" spans="1:28" x14ac:dyDescent="0.2">
      <c r="A5591" t="s">
        <v>618</v>
      </c>
      <c r="B5591">
        <v>2008</v>
      </c>
      <c r="C5591" t="s">
        <v>826</v>
      </c>
      <c r="D5591" t="s">
        <v>813</v>
      </c>
      <c r="E5591" t="s">
        <v>158</v>
      </c>
      <c r="F5591" t="s">
        <v>623</v>
      </c>
      <c r="G5591">
        <v>32.857103000000002</v>
      </c>
      <c r="H5591">
        <v>-117.25778800000001</v>
      </c>
      <c r="I5591" t="s">
        <v>772</v>
      </c>
      <c r="J5591" s="2" t="s">
        <v>14</v>
      </c>
      <c r="K5591" t="s">
        <v>144</v>
      </c>
      <c r="L5591" t="s">
        <v>144</v>
      </c>
      <c r="M5591" t="s">
        <v>637</v>
      </c>
      <c r="N5591" t="s">
        <v>86</v>
      </c>
      <c r="O5591" t="s">
        <v>233</v>
      </c>
      <c r="Q5591">
        <f t="shared" si="95"/>
        <v>4.1666666666666664E-2</v>
      </c>
      <c r="R5591" t="s">
        <v>213</v>
      </c>
      <c r="S5591" s="2" t="s">
        <v>37</v>
      </c>
      <c r="T5591">
        <v>3</v>
      </c>
      <c r="U5591" t="s">
        <v>28</v>
      </c>
      <c r="V5591" t="s">
        <v>28</v>
      </c>
      <c r="W5591">
        <v>33</v>
      </c>
      <c r="X5591">
        <v>0.153</v>
      </c>
      <c r="Y5591" s="6">
        <f t="shared" si="96"/>
        <v>0.17147302994931884</v>
      </c>
      <c r="Z5591">
        <f>0.252-X5591</f>
        <v>9.9000000000000005E-2</v>
      </c>
      <c r="AA5591" s="6"/>
      <c r="AB5591" s="6"/>
    </row>
    <row r="5592" spans="1:28" x14ac:dyDescent="0.2">
      <c r="A5592" t="s">
        <v>618</v>
      </c>
      <c r="B5592">
        <v>2008</v>
      </c>
      <c r="C5592" t="s">
        <v>826</v>
      </c>
      <c r="D5592" t="s">
        <v>813</v>
      </c>
      <c r="E5592" t="s">
        <v>158</v>
      </c>
      <c r="F5592" t="s">
        <v>624</v>
      </c>
      <c r="G5592">
        <v>31.800343000000002</v>
      </c>
      <c r="H5592">
        <v>-116.794392</v>
      </c>
      <c r="I5592" t="s">
        <v>772</v>
      </c>
      <c r="J5592" s="2" t="s">
        <v>14</v>
      </c>
      <c r="K5592" t="s">
        <v>144</v>
      </c>
      <c r="L5592" t="s">
        <v>144</v>
      </c>
      <c r="M5592" t="s">
        <v>637</v>
      </c>
      <c r="N5592" t="s">
        <v>86</v>
      </c>
      <c r="O5592" t="s">
        <v>233</v>
      </c>
      <c r="Q5592">
        <f t="shared" si="95"/>
        <v>4.1666666666666664E-2</v>
      </c>
      <c r="R5592" t="s">
        <v>213</v>
      </c>
      <c r="S5592" s="2" t="s">
        <v>37</v>
      </c>
      <c r="T5592">
        <v>3</v>
      </c>
      <c r="U5592" t="s">
        <v>28</v>
      </c>
      <c r="V5592" t="s">
        <v>28</v>
      </c>
      <c r="W5592">
        <v>33</v>
      </c>
      <c r="X5592">
        <v>3.3130000000000002</v>
      </c>
      <c r="Y5592" s="6">
        <f t="shared" si="96"/>
        <v>5.5668112955263709</v>
      </c>
      <c r="Z5592">
        <f>6.527-X5592</f>
        <v>3.214</v>
      </c>
      <c r="AA5592" s="6"/>
      <c r="AB5592" s="6"/>
    </row>
    <row r="5593" spans="1:28" x14ac:dyDescent="0.2">
      <c r="A5593" t="s">
        <v>618</v>
      </c>
      <c r="B5593">
        <v>2008</v>
      </c>
      <c r="C5593" t="s">
        <v>807</v>
      </c>
      <c r="D5593" t="s">
        <v>825</v>
      </c>
      <c r="E5593" t="s">
        <v>35</v>
      </c>
      <c r="F5593" t="s">
        <v>625</v>
      </c>
      <c r="G5593">
        <v>36.611918000000003</v>
      </c>
      <c r="H5593">
        <v>-121.89604199999999</v>
      </c>
      <c r="I5593" t="s">
        <v>772</v>
      </c>
      <c r="J5593" s="2" t="s">
        <v>7</v>
      </c>
      <c r="K5593" t="s">
        <v>144</v>
      </c>
      <c r="L5593" t="s">
        <v>144</v>
      </c>
      <c r="M5593" t="s">
        <v>637</v>
      </c>
      <c r="N5593" t="s">
        <v>86</v>
      </c>
      <c r="O5593" t="s">
        <v>233</v>
      </c>
      <c r="Q5593">
        <f>1/24</f>
        <v>4.1666666666666664E-2</v>
      </c>
      <c r="R5593" t="s">
        <v>213</v>
      </c>
      <c r="S5593" s="2" t="s">
        <v>7</v>
      </c>
      <c r="T5593">
        <v>4</v>
      </c>
      <c r="U5593" t="s">
        <v>28</v>
      </c>
      <c r="V5593" t="s">
        <v>28</v>
      </c>
      <c r="W5593">
        <v>12</v>
      </c>
      <c r="X5593">
        <v>1.3360000000000001</v>
      </c>
      <c r="Y5593" s="6">
        <f t="shared" si="96"/>
        <v>1.5799999999999996</v>
      </c>
      <c r="Z5593">
        <f>2.126-X5593</f>
        <v>0.78999999999999981</v>
      </c>
      <c r="AA5593" s="6"/>
      <c r="AB5593" s="6"/>
    </row>
    <row r="5594" spans="1:28" x14ac:dyDescent="0.2">
      <c r="A5594" t="s">
        <v>618</v>
      </c>
      <c r="B5594">
        <v>2008</v>
      </c>
      <c r="C5594" t="s">
        <v>807</v>
      </c>
      <c r="D5594" t="s">
        <v>825</v>
      </c>
      <c r="E5594" t="s">
        <v>35</v>
      </c>
      <c r="F5594" t="s">
        <v>626</v>
      </c>
      <c r="G5594">
        <v>34.405175999999997</v>
      </c>
      <c r="H5594">
        <v>-119.69196100000001</v>
      </c>
      <c r="I5594" t="s">
        <v>772</v>
      </c>
      <c r="J5594" s="2" t="s">
        <v>7</v>
      </c>
      <c r="K5594" t="s">
        <v>144</v>
      </c>
      <c r="L5594" t="s">
        <v>144</v>
      </c>
      <c r="M5594" t="s">
        <v>637</v>
      </c>
      <c r="N5594" t="s">
        <v>86</v>
      </c>
      <c r="O5594" t="s">
        <v>233</v>
      </c>
      <c r="Q5594">
        <f t="shared" si="95"/>
        <v>4.1666666666666664E-2</v>
      </c>
      <c r="R5594" t="s">
        <v>213</v>
      </c>
      <c r="S5594" s="2" t="s">
        <v>7</v>
      </c>
      <c r="T5594">
        <v>4</v>
      </c>
      <c r="U5594" t="s">
        <v>28</v>
      </c>
      <c r="V5594" t="s">
        <v>28</v>
      </c>
      <c r="W5594">
        <v>12</v>
      </c>
      <c r="X5594">
        <v>2.7E-2</v>
      </c>
      <c r="Y5594" s="6">
        <f t="shared" si="96"/>
        <v>0</v>
      </c>
      <c r="Z5594">
        <v>0</v>
      </c>
      <c r="AA5594" s="6"/>
      <c r="AB5594" s="6"/>
    </row>
    <row r="5595" spans="1:28" x14ac:dyDescent="0.2">
      <c r="A5595" t="s">
        <v>618</v>
      </c>
      <c r="B5595">
        <v>2008</v>
      </c>
      <c r="C5595" t="s">
        <v>807</v>
      </c>
      <c r="D5595" t="s">
        <v>825</v>
      </c>
      <c r="E5595" t="s">
        <v>35</v>
      </c>
      <c r="F5595" t="s">
        <v>627</v>
      </c>
      <c r="G5595">
        <v>33.717582</v>
      </c>
      <c r="H5595">
        <v>-118.278361</v>
      </c>
      <c r="I5595" t="s">
        <v>772</v>
      </c>
      <c r="J5595" s="2" t="s">
        <v>7</v>
      </c>
      <c r="K5595" t="s">
        <v>144</v>
      </c>
      <c r="L5595" t="s">
        <v>144</v>
      </c>
      <c r="M5595" t="s">
        <v>637</v>
      </c>
      <c r="N5595" t="s">
        <v>86</v>
      </c>
      <c r="O5595" t="s">
        <v>233</v>
      </c>
      <c r="Q5595">
        <f t="shared" si="95"/>
        <v>4.1666666666666664E-2</v>
      </c>
      <c r="R5595" t="s">
        <v>213</v>
      </c>
      <c r="S5595" s="2" t="s">
        <v>7</v>
      </c>
      <c r="T5595">
        <v>4</v>
      </c>
      <c r="U5595" t="s">
        <v>28</v>
      </c>
      <c r="V5595" t="s">
        <v>28</v>
      </c>
      <c r="W5595">
        <v>12</v>
      </c>
      <c r="X5595">
        <v>0.109</v>
      </c>
      <c r="Y5595" s="6">
        <f t="shared" si="96"/>
        <v>0.11000000000000001</v>
      </c>
      <c r="Z5595">
        <f>0.164-X5595</f>
        <v>5.5000000000000007E-2</v>
      </c>
      <c r="AA5595" s="6"/>
      <c r="AB5595" s="6"/>
    </row>
    <row r="5596" spans="1:28" x14ac:dyDescent="0.2">
      <c r="A5596" t="s">
        <v>618</v>
      </c>
      <c r="B5596">
        <v>2008</v>
      </c>
      <c r="C5596" t="s">
        <v>807</v>
      </c>
      <c r="D5596" t="s">
        <v>825</v>
      </c>
      <c r="E5596" t="s">
        <v>35</v>
      </c>
      <c r="F5596" t="s">
        <v>628</v>
      </c>
      <c r="G5596">
        <v>33.406094000000003</v>
      </c>
      <c r="H5596">
        <v>-118.36655</v>
      </c>
      <c r="I5596" t="s">
        <v>772</v>
      </c>
      <c r="J5596" s="2" t="s">
        <v>7</v>
      </c>
      <c r="K5596" t="s">
        <v>144</v>
      </c>
      <c r="L5596" t="s">
        <v>144</v>
      </c>
      <c r="M5596" t="s">
        <v>637</v>
      </c>
      <c r="N5596" t="s">
        <v>86</v>
      </c>
      <c r="O5596" t="s">
        <v>233</v>
      </c>
      <c r="Q5596">
        <f t="shared" si="95"/>
        <v>4.1666666666666664E-2</v>
      </c>
      <c r="R5596" t="s">
        <v>213</v>
      </c>
      <c r="S5596" s="2" t="s">
        <v>7</v>
      </c>
      <c r="T5596">
        <v>3</v>
      </c>
      <c r="U5596" t="s">
        <v>28</v>
      </c>
      <c r="V5596" t="s">
        <v>28</v>
      </c>
      <c r="W5596">
        <v>12</v>
      </c>
      <c r="X5596">
        <v>5.0439999999999996</v>
      </c>
      <c r="Y5596" s="6">
        <f t="shared" si="96"/>
        <v>0</v>
      </c>
      <c r="Z5596">
        <v>0</v>
      </c>
      <c r="AA5596" s="6"/>
      <c r="AB5596" s="6"/>
    </row>
    <row r="5597" spans="1:28" x14ac:dyDescent="0.2">
      <c r="A5597" t="s">
        <v>618</v>
      </c>
      <c r="B5597">
        <v>2008</v>
      </c>
      <c r="C5597" t="s">
        <v>807</v>
      </c>
      <c r="D5597" t="s">
        <v>825</v>
      </c>
      <c r="E5597" t="s">
        <v>35</v>
      </c>
      <c r="F5597" t="s">
        <v>629</v>
      </c>
      <c r="G5597">
        <v>32.677660000000003</v>
      </c>
      <c r="H5597">
        <v>-117.181724</v>
      </c>
      <c r="I5597" t="s">
        <v>772</v>
      </c>
      <c r="J5597" s="2" t="s">
        <v>7</v>
      </c>
      <c r="K5597" t="s">
        <v>144</v>
      </c>
      <c r="L5597" t="s">
        <v>144</v>
      </c>
      <c r="M5597" t="s">
        <v>637</v>
      </c>
      <c r="N5597" t="s">
        <v>86</v>
      </c>
      <c r="O5597" t="s">
        <v>233</v>
      </c>
      <c r="Q5597">
        <f t="shared" si="95"/>
        <v>4.1666666666666664E-2</v>
      </c>
      <c r="R5597" t="s">
        <v>213</v>
      </c>
      <c r="S5597" s="2" t="s">
        <v>7</v>
      </c>
      <c r="T5597">
        <v>4</v>
      </c>
      <c r="U5597" t="s">
        <v>28</v>
      </c>
      <c r="V5597" t="s">
        <v>28</v>
      </c>
      <c r="W5597">
        <v>12</v>
      </c>
      <c r="X5597">
        <v>0.436</v>
      </c>
      <c r="Y5597" s="6">
        <f t="shared" si="96"/>
        <v>0.32799999999999996</v>
      </c>
      <c r="Z5597">
        <f>0.6-X5597</f>
        <v>0.16399999999999998</v>
      </c>
      <c r="AA5597" s="6"/>
      <c r="AB5597" s="6"/>
    </row>
    <row r="5598" spans="1:28" x14ac:dyDescent="0.2">
      <c r="A5598" t="s">
        <v>618</v>
      </c>
      <c r="B5598">
        <v>2008</v>
      </c>
      <c r="C5598" t="s">
        <v>807</v>
      </c>
      <c r="D5598" t="s">
        <v>825</v>
      </c>
      <c r="E5598" t="s">
        <v>35</v>
      </c>
      <c r="F5598" t="s">
        <v>624</v>
      </c>
      <c r="G5598">
        <v>31.800343000000002</v>
      </c>
      <c r="H5598">
        <v>-116.794392</v>
      </c>
      <c r="I5598" t="s">
        <v>772</v>
      </c>
      <c r="J5598" s="2" t="s">
        <v>7</v>
      </c>
      <c r="K5598" t="s">
        <v>144</v>
      </c>
      <c r="L5598" t="s">
        <v>144</v>
      </c>
      <c r="M5598" t="s">
        <v>637</v>
      </c>
      <c r="N5598" t="s">
        <v>86</v>
      </c>
      <c r="O5598" t="s">
        <v>233</v>
      </c>
      <c r="Q5598">
        <f t="shared" si="95"/>
        <v>4.1666666666666664E-2</v>
      </c>
      <c r="R5598" t="s">
        <v>213</v>
      </c>
      <c r="S5598" s="2" t="s">
        <v>7</v>
      </c>
      <c r="T5598">
        <v>4</v>
      </c>
      <c r="U5598" t="s">
        <v>28</v>
      </c>
      <c r="V5598" t="s">
        <v>28</v>
      </c>
      <c r="W5598">
        <v>12</v>
      </c>
      <c r="X5598">
        <v>1.2270000000000001</v>
      </c>
      <c r="Y5598" s="6">
        <f t="shared" si="96"/>
        <v>1.4179999999999997</v>
      </c>
      <c r="Z5598">
        <f>1.936-X5598</f>
        <v>0.70899999999999985</v>
      </c>
      <c r="AA5598" s="6"/>
      <c r="AB5598" s="6"/>
    </row>
    <row r="5599" spans="1:28" x14ac:dyDescent="0.2">
      <c r="A5599" t="s">
        <v>618</v>
      </c>
      <c r="B5599">
        <v>2008</v>
      </c>
      <c r="C5599" t="s">
        <v>807</v>
      </c>
      <c r="D5599" t="s">
        <v>825</v>
      </c>
      <c r="E5599" t="s">
        <v>35</v>
      </c>
      <c r="F5599" t="s">
        <v>625</v>
      </c>
      <c r="G5599">
        <v>36.611918000000003</v>
      </c>
      <c r="H5599">
        <v>-121.89604199999999</v>
      </c>
      <c r="I5599" t="s">
        <v>772</v>
      </c>
      <c r="J5599" s="2" t="s">
        <v>14</v>
      </c>
      <c r="K5599" t="s">
        <v>144</v>
      </c>
      <c r="L5599" t="s">
        <v>144</v>
      </c>
      <c r="M5599" t="s">
        <v>637</v>
      </c>
      <c r="N5599" t="s">
        <v>86</v>
      </c>
      <c r="O5599" t="s">
        <v>233</v>
      </c>
      <c r="Q5599">
        <f t="shared" si="95"/>
        <v>4.1666666666666664E-2</v>
      </c>
      <c r="R5599" t="s">
        <v>213</v>
      </c>
      <c r="S5599" s="2" t="s">
        <v>9</v>
      </c>
      <c r="T5599">
        <v>4</v>
      </c>
      <c r="U5599" t="s">
        <v>28</v>
      </c>
      <c r="V5599" t="s">
        <v>28</v>
      </c>
      <c r="W5599">
        <v>17</v>
      </c>
      <c r="X5599">
        <v>2.2080000000000002</v>
      </c>
      <c r="Y5599" s="6">
        <f t="shared" si="96"/>
        <v>3.7620000000000005</v>
      </c>
      <c r="Z5599">
        <f>4.089-X5599</f>
        <v>1.8810000000000002</v>
      </c>
      <c r="AA5599" s="6"/>
      <c r="AB5599" s="6"/>
    </row>
    <row r="5600" spans="1:28" x14ac:dyDescent="0.2">
      <c r="A5600" t="s">
        <v>618</v>
      </c>
      <c r="B5600">
        <v>2008</v>
      </c>
      <c r="C5600" t="s">
        <v>807</v>
      </c>
      <c r="D5600" t="s">
        <v>825</v>
      </c>
      <c r="E5600" t="s">
        <v>35</v>
      </c>
      <c r="F5600" t="s">
        <v>626</v>
      </c>
      <c r="G5600">
        <v>34.405175999999997</v>
      </c>
      <c r="H5600">
        <v>-119.69196100000001</v>
      </c>
      <c r="I5600" t="s">
        <v>772</v>
      </c>
      <c r="J5600" s="2" t="s">
        <v>14</v>
      </c>
      <c r="K5600" t="s">
        <v>144</v>
      </c>
      <c r="L5600" t="s">
        <v>144</v>
      </c>
      <c r="M5600" t="s">
        <v>637</v>
      </c>
      <c r="N5600" t="s">
        <v>86</v>
      </c>
      <c r="O5600" t="s">
        <v>233</v>
      </c>
      <c r="Q5600">
        <f t="shared" si="95"/>
        <v>4.1666666666666664E-2</v>
      </c>
      <c r="R5600" t="s">
        <v>213</v>
      </c>
      <c r="S5600" s="2" t="s">
        <v>9</v>
      </c>
      <c r="T5600">
        <v>4</v>
      </c>
      <c r="U5600" t="s">
        <v>28</v>
      </c>
      <c r="V5600" t="s">
        <v>28</v>
      </c>
      <c r="W5600">
        <v>17</v>
      </c>
      <c r="X5600">
        <v>0.68200000000000005</v>
      </c>
      <c r="Y5600" s="6">
        <f t="shared" si="96"/>
        <v>1.3080000000000001</v>
      </c>
      <c r="Z5600">
        <f>1.336-X5600</f>
        <v>0.65400000000000003</v>
      </c>
      <c r="AA5600" s="6"/>
      <c r="AB5600" s="6"/>
    </row>
    <row r="5601" spans="1:28" x14ac:dyDescent="0.2">
      <c r="A5601" t="s">
        <v>618</v>
      </c>
      <c r="B5601">
        <v>2008</v>
      </c>
      <c r="C5601" t="s">
        <v>807</v>
      </c>
      <c r="D5601" t="s">
        <v>825</v>
      </c>
      <c r="E5601" t="s">
        <v>35</v>
      </c>
      <c r="F5601" t="s">
        <v>627</v>
      </c>
      <c r="G5601">
        <v>33.717582</v>
      </c>
      <c r="H5601">
        <v>-118.278361</v>
      </c>
      <c r="I5601" t="s">
        <v>772</v>
      </c>
      <c r="J5601" s="2" t="s">
        <v>14</v>
      </c>
      <c r="K5601" t="s">
        <v>144</v>
      </c>
      <c r="L5601" t="s">
        <v>144</v>
      </c>
      <c r="M5601" t="s">
        <v>637</v>
      </c>
      <c r="N5601" t="s">
        <v>86</v>
      </c>
      <c r="O5601" t="s">
        <v>233</v>
      </c>
      <c r="Q5601">
        <f t="shared" si="95"/>
        <v>4.1666666666666664E-2</v>
      </c>
      <c r="R5601" t="s">
        <v>213</v>
      </c>
      <c r="S5601" s="2" t="s">
        <v>9</v>
      </c>
      <c r="T5601">
        <v>4</v>
      </c>
      <c r="U5601" t="s">
        <v>28</v>
      </c>
      <c r="V5601" t="s">
        <v>28</v>
      </c>
      <c r="W5601">
        <v>17</v>
      </c>
      <c r="X5601">
        <v>0.191</v>
      </c>
      <c r="Y5601" s="6">
        <f t="shared" si="96"/>
        <v>5.3999999999999992E-2</v>
      </c>
      <c r="Z5601">
        <f>0.218-X5601</f>
        <v>2.6999999999999996E-2</v>
      </c>
      <c r="AA5601" s="6"/>
      <c r="AB5601" s="6"/>
    </row>
    <row r="5602" spans="1:28" x14ac:dyDescent="0.2">
      <c r="A5602" t="s">
        <v>618</v>
      </c>
      <c r="B5602">
        <v>2008</v>
      </c>
      <c r="C5602" t="s">
        <v>807</v>
      </c>
      <c r="D5602" t="s">
        <v>825</v>
      </c>
      <c r="E5602" t="s">
        <v>35</v>
      </c>
      <c r="F5602" t="s">
        <v>628</v>
      </c>
      <c r="G5602">
        <v>33.406094000000003</v>
      </c>
      <c r="H5602">
        <v>-118.36655</v>
      </c>
      <c r="I5602" t="s">
        <v>772</v>
      </c>
      <c r="J5602" s="2" t="s">
        <v>14</v>
      </c>
      <c r="K5602" t="s">
        <v>144</v>
      </c>
      <c r="L5602" t="s">
        <v>144</v>
      </c>
      <c r="M5602" t="s">
        <v>637</v>
      </c>
      <c r="N5602" t="s">
        <v>86</v>
      </c>
      <c r="O5602" t="s">
        <v>233</v>
      </c>
      <c r="Q5602">
        <f t="shared" si="95"/>
        <v>4.1666666666666664E-2</v>
      </c>
      <c r="R5602" t="s">
        <v>213</v>
      </c>
      <c r="S5602" s="2" t="s">
        <v>9</v>
      </c>
      <c r="T5602">
        <v>3</v>
      </c>
      <c r="U5602" t="s">
        <v>28</v>
      </c>
      <c r="V5602" t="s">
        <v>28</v>
      </c>
      <c r="W5602">
        <v>17</v>
      </c>
      <c r="X5602">
        <v>11.15</v>
      </c>
      <c r="Y5602" s="6">
        <f t="shared" si="96"/>
        <v>9.5401358480893776</v>
      </c>
      <c r="Z5602">
        <f>16.658-X5602</f>
        <v>5.5080000000000009</v>
      </c>
      <c r="AA5602" s="6"/>
      <c r="AB5602" s="6"/>
    </row>
    <row r="5603" spans="1:28" x14ac:dyDescent="0.2">
      <c r="A5603" t="s">
        <v>618</v>
      </c>
      <c r="B5603">
        <v>2008</v>
      </c>
      <c r="C5603" t="s">
        <v>807</v>
      </c>
      <c r="D5603" t="s">
        <v>825</v>
      </c>
      <c r="E5603" t="s">
        <v>35</v>
      </c>
      <c r="F5603" t="s">
        <v>629</v>
      </c>
      <c r="G5603">
        <v>32.677660000000003</v>
      </c>
      <c r="H5603">
        <v>-117.181724</v>
      </c>
      <c r="I5603" t="s">
        <v>772</v>
      </c>
      <c r="J5603" s="2" t="s">
        <v>14</v>
      </c>
      <c r="K5603" t="s">
        <v>144</v>
      </c>
      <c r="L5603" t="s">
        <v>144</v>
      </c>
      <c r="M5603" t="s">
        <v>637</v>
      </c>
      <c r="N5603" t="s">
        <v>86</v>
      </c>
      <c r="O5603" t="s">
        <v>233</v>
      </c>
      <c r="Q5603">
        <f t="shared" si="95"/>
        <v>4.1666666666666664E-2</v>
      </c>
      <c r="R5603" t="s">
        <v>213</v>
      </c>
      <c r="S5603" s="2" t="s">
        <v>9</v>
      </c>
      <c r="T5603">
        <v>4</v>
      </c>
      <c r="U5603" t="s">
        <v>28</v>
      </c>
      <c r="V5603" t="s">
        <v>28</v>
      </c>
      <c r="W5603">
        <v>17</v>
      </c>
      <c r="X5603">
        <v>0.35399999999999998</v>
      </c>
      <c r="Y5603" s="6">
        <f t="shared" si="96"/>
        <v>0.16400000000000003</v>
      </c>
      <c r="Z5603">
        <f>0.436-X5603</f>
        <v>8.2000000000000017E-2</v>
      </c>
      <c r="AA5603" s="6"/>
      <c r="AB5603" s="6"/>
    </row>
    <row r="5604" spans="1:28" x14ac:dyDescent="0.2">
      <c r="A5604" t="s">
        <v>618</v>
      </c>
      <c r="B5604">
        <v>2008</v>
      </c>
      <c r="C5604" t="s">
        <v>807</v>
      </c>
      <c r="D5604" t="s">
        <v>825</v>
      </c>
      <c r="E5604" t="s">
        <v>35</v>
      </c>
      <c r="F5604" t="s">
        <v>624</v>
      </c>
      <c r="G5604">
        <v>31.800343000000002</v>
      </c>
      <c r="H5604">
        <v>-116.794392</v>
      </c>
      <c r="I5604" t="s">
        <v>772</v>
      </c>
      <c r="J5604" s="2" t="s">
        <v>14</v>
      </c>
      <c r="K5604" t="s">
        <v>144</v>
      </c>
      <c r="L5604" t="s">
        <v>144</v>
      </c>
      <c r="M5604" t="s">
        <v>637</v>
      </c>
      <c r="N5604" t="s">
        <v>86</v>
      </c>
      <c r="O5604" t="s">
        <v>233</v>
      </c>
      <c r="Q5604">
        <f t="shared" si="95"/>
        <v>4.1666666666666664E-2</v>
      </c>
      <c r="R5604" t="s">
        <v>213</v>
      </c>
      <c r="S5604" s="2" t="s">
        <v>9</v>
      </c>
      <c r="T5604">
        <v>4</v>
      </c>
      <c r="U5604" t="s">
        <v>28</v>
      </c>
      <c r="V5604" t="s">
        <v>28</v>
      </c>
      <c r="W5604">
        <v>17</v>
      </c>
      <c r="X5604">
        <v>6.7610000000000001</v>
      </c>
      <c r="Y5604" s="6">
        <f t="shared" si="96"/>
        <v>8.016</v>
      </c>
      <c r="Z5604">
        <f>10.769-X5604</f>
        <v>4.008</v>
      </c>
      <c r="AA5604" s="6"/>
      <c r="AB5604" s="6"/>
    </row>
    <row r="5605" spans="1:28" x14ac:dyDescent="0.2">
      <c r="A5605" t="s">
        <v>618</v>
      </c>
      <c r="B5605">
        <v>2008</v>
      </c>
      <c r="C5605" t="s">
        <v>807</v>
      </c>
      <c r="D5605" t="s">
        <v>825</v>
      </c>
      <c r="E5605" t="s">
        <v>35</v>
      </c>
      <c r="F5605" t="s">
        <v>625</v>
      </c>
      <c r="G5605">
        <v>36.611918000000003</v>
      </c>
      <c r="H5605">
        <v>-121.89604199999999</v>
      </c>
      <c r="I5605" t="s">
        <v>772</v>
      </c>
      <c r="J5605" s="2" t="s">
        <v>14</v>
      </c>
      <c r="K5605" t="s">
        <v>144</v>
      </c>
      <c r="L5605" t="s">
        <v>144</v>
      </c>
      <c r="M5605" t="s">
        <v>637</v>
      </c>
      <c r="N5605" t="s">
        <v>86</v>
      </c>
      <c r="O5605" t="s">
        <v>233</v>
      </c>
      <c r="Q5605">
        <f t="shared" si="95"/>
        <v>4.1666666666666664E-2</v>
      </c>
      <c r="R5605" t="s">
        <v>213</v>
      </c>
      <c r="S5605" s="2" t="s">
        <v>27</v>
      </c>
      <c r="T5605">
        <v>4</v>
      </c>
      <c r="U5605" t="s">
        <v>28</v>
      </c>
      <c r="V5605" t="s">
        <v>28</v>
      </c>
      <c r="W5605">
        <v>22</v>
      </c>
      <c r="X5605">
        <v>11.069000000000001</v>
      </c>
      <c r="Y5605" s="6">
        <f t="shared" si="96"/>
        <v>12.431999999999999</v>
      </c>
      <c r="Z5605">
        <f>17.285-X5605</f>
        <v>6.2159999999999993</v>
      </c>
      <c r="AA5605" s="6"/>
      <c r="AB5605" s="6"/>
    </row>
    <row r="5606" spans="1:28" x14ac:dyDescent="0.2">
      <c r="A5606" t="s">
        <v>618</v>
      </c>
      <c r="B5606">
        <v>2008</v>
      </c>
      <c r="C5606" t="s">
        <v>807</v>
      </c>
      <c r="D5606" t="s">
        <v>825</v>
      </c>
      <c r="E5606" t="s">
        <v>35</v>
      </c>
      <c r="F5606" t="s">
        <v>626</v>
      </c>
      <c r="G5606">
        <v>34.405175999999997</v>
      </c>
      <c r="H5606">
        <v>-119.69196100000001</v>
      </c>
      <c r="I5606" t="s">
        <v>772</v>
      </c>
      <c r="J5606" s="2" t="s">
        <v>14</v>
      </c>
      <c r="K5606" t="s">
        <v>144</v>
      </c>
      <c r="L5606" t="s">
        <v>144</v>
      </c>
      <c r="M5606" t="s">
        <v>637</v>
      </c>
      <c r="N5606" t="s">
        <v>86</v>
      </c>
      <c r="O5606" t="s">
        <v>233</v>
      </c>
      <c r="Q5606">
        <f t="shared" si="95"/>
        <v>4.1666666666666664E-2</v>
      </c>
      <c r="R5606" t="s">
        <v>213</v>
      </c>
      <c r="S5606" s="2" t="s">
        <v>27</v>
      </c>
      <c r="T5606">
        <v>4</v>
      </c>
      <c r="U5606" t="s">
        <v>28</v>
      </c>
      <c r="V5606" t="s">
        <v>28</v>
      </c>
      <c r="W5606">
        <v>22</v>
      </c>
      <c r="X5606">
        <v>0.13600000000000001</v>
      </c>
      <c r="Y5606" s="6">
        <f t="shared" si="96"/>
        <v>0.10999999999999999</v>
      </c>
      <c r="Z5606">
        <f>0.191-X5606</f>
        <v>5.4999999999999993E-2</v>
      </c>
      <c r="AA5606" s="6"/>
      <c r="AB5606" s="6"/>
    </row>
    <row r="5607" spans="1:28" x14ac:dyDescent="0.2">
      <c r="A5607" t="s">
        <v>618</v>
      </c>
      <c r="B5607">
        <v>2008</v>
      </c>
      <c r="C5607" t="s">
        <v>807</v>
      </c>
      <c r="D5607" t="s">
        <v>825</v>
      </c>
      <c r="E5607" t="s">
        <v>35</v>
      </c>
      <c r="F5607" t="s">
        <v>627</v>
      </c>
      <c r="G5607">
        <v>33.717582</v>
      </c>
      <c r="H5607">
        <v>-118.278361</v>
      </c>
      <c r="I5607" t="s">
        <v>772</v>
      </c>
      <c r="J5607" s="2" t="s">
        <v>14</v>
      </c>
      <c r="K5607" t="s">
        <v>144</v>
      </c>
      <c r="L5607" t="s">
        <v>144</v>
      </c>
      <c r="M5607" t="s">
        <v>637</v>
      </c>
      <c r="N5607" t="s">
        <v>86</v>
      </c>
      <c r="O5607" t="s">
        <v>233</v>
      </c>
      <c r="Q5607">
        <f t="shared" si="95"/>
        <v>4.1666666666666664E-2</v>
      </c>
      <c r="R5607" t="s">
        <v>213</v>
      </c>
      <c r="S5607" s="2" t="s">
        <v>27</v>
      </c>
      <c r="T5607">
        <v>4</v>
      </c>
      <c r="U5607" t="s">
        <v>28</v>
      </c>
      <c r="V5607" t="s">
        <v>28</v>
      </c>
      <c r="W5607">
        <v>22</v>
      </c>
      <c r="X5607">
        <v>2.2080000000000002</v>
      </c>
      <c r="Y5607" s="6">
        <f t="shared" si="96"/>
        <v>3.218</v>
      </c>
      <c r="Z5607">
        <f>3.817-X5607</f>
        <v>1.609</v>
      </c>
      <c r="AA5607" s="6"/>
      <c r="AB5607" s="6"/>
    </row>
    <row r="5608" spans="1:28" x14ac:dyDescent="0.2">
      <c r="A5608" t="s">
        <v>618</v>
      </c>
      <c r="B5608">
        <v>2008</v>
      </c>
      <c r="C5608" t="s">
        <v>807</v>
      </c>
      <c r="D5608" t="s">
        <v>825</v>
      </c>
      <c r="E5608" t="s">
        <v>35</v>
      </c>
      <c r="F5608" t="s">
        <v>628</v>
      </c>
      <c r="G5608">
        <v>33.406094000000003</v>
      </c>
      <c r="H5608">
        <v>-118.36655</v>
      </c>
      <c r="I5608" t="s">
        <v>772</v>
      </c>
      <c r="J5608" s="2" t="s">
        <v>14</v>
      </c>
      <c r="K5608" t="s">
        <v>144</v>
      </c>
      <c r="L5608" t="s">
        <v>144</v>
      </c>
      <c r="M5608" t="s">
        <v>637</v>
      </c>
      <c r="N5608" t="s">
        <v>86</v>
      </c>
      <c r="O5608" t="s">
        <v>233</v>
      </c>
      <c r="Q5608">
        <f t="shared" si="95"/>
        <v>4.1666666666666664E-2</v>
      </c>
      <c r="R5608" t="s">
        <v>213</v>
      </c>
      <c r="S5608" s="2" t="s">
        <v>27</v>
      </c>
      <c r="T5608">
        <v>3</v>
      </c>
      <c r="U5608" t="s">
        <v>28</v>
      </c>
      <c r="V5608" t="s">
        <v>28</v>
      </c>
      <c r="W5608">
        <v>22</v>
      </c>
      <c r="X5608">
        <v>7.6609999999999996</v>
      </c>
      <c r="Y5608" s="6">
        <f t="shared" si="96"/>
        <v>11.616864766364461</v>
      </c>
      <c r="Z5608">
        <f>14.368-X5608</f>
        <v>6.7070000000000007</v>
      </c>
      <c r="AA5608" s="6"/>
      <c r="AB5608" s="6"/>
    </row>
    <row r="5609" spans="1:28" x14ac:dyDescent="0.2">
      <c r="A5609" t="s">
        <v>618</v>
      </c>
      <c r="B5609">
        <v>2008</v>
      </c>
      <c r="C5609" t="s">
        <v>807</v>
      </c>
      <c r="D5609" t="s">
        <v>825</v>
      </c>
      <c r="E5609" t="s">
        <v>35</v>
      </c>
      <c r="F5609" t="s">
        <v>629</v>
      </c>
      <c r="G5609">
        <v>32.677660000000003</v>
      </c>
      <c r="H5609">
        <v>-117.181724</v>
      </c>
      <c r="I5609" t="s">
        <v>772</v>
      </c>
      <c r="J5609" s="2" t="s">
        <v>14</v>
      </c>
      <c r="K5609" t="s">
        <v>144</v>
      </c>
      <c r="L5609" t="s">
        <v>144</v>
      </c>
      <c r="M5609" t="s">
        <v>637</v>
      </c>
      <c r="N5609" t="s">
        <v>86</v>
      </c>
      <c r="O5609" t="s">
        <v>233</v>
      </c>
      <c r="Q5609">
        <f t="shared" si="95"/>
        <v>4.1666666666666664E-2</v>
      </c>
      <c r="R5609" t="s">
        <v>213</v>
      </c>
      <c r="S5609" s="2" t="s">
        <v>27</v>
      </c>
      <c r="T5609">
        <v>4</v>
      </c>
      <c r="U5609" t="s">
        <v>28</v>
      </c>
      <c r="V5609" t="s">
        <v>28</v>
      </c>
      <c r="W5609">
        <v>22</v>
      </c>
      <c r="X5609">
        <v>1.2809999999999999</v>
      </c>
      <c r="Y5609" s="6">
        <f t="shared" si="96"/>
        <v>0.71</v>
      </c>
      <c r="Z5609">
        <f>1.636-X5609</f>
        <v>0.35499999999999998</v>
      </c>
      <c r="AA5609" s="6"/>
      <c r="AB5609" s="6"/>
    </row>
    <row r="5610" spans="1:28" x14ac:dyDescent="0.2">
      <c r="A5610" t="s">
        <v>618</v>
      </c>
      <c r="B5610">
        <v>2008</v>
      </c>
      <c r="C5610" t="s">
        <v>807</v>
      </c>
      <c r="D5610" t="s">
        <v>825</v>
      </c>
      <c r="E5610" t="s">
        <v>35</v>
      </c>
      <c r="F5610" t="s">
        <v>624</v>
      </c>
      <c r="G5610">
        <v>31.800343000000002</v>
      </c>
      <c r="H5610">
        <v>-116.794392</v>
      </c>
      <c r="I5610" t="s">
        <v>772</v>
      </c>
      <c r="J5610" s="2" t="s">
        <v>14</v>
      </c>
      <c r="K5610" t="s">
        <v>144</v>
      </c>
      <c r="L5610" t="s">
        <v>144</v>
      </c>
      <c r="M5610" t="s">
        <v>637</v>
      </c>
      <c r="N5610" t="s">
        <v>86</v>
      </c>
      <c r="O5610" t="s">
        <v>233</v>
      </c>
      <c r="Q5610">
        <f t="shared" si="95"/>
        <v>4.1666666666666664E-2</v>
      </c>
      <c r="R5610" t="s">
        <v>213</v>
      </c>
      <c r="S5610" s="2" t="s">
        <v>27</v>
      </c>
      <c r="T5610">
        <v>4</v>
      </c>
      <c r="U5610" t="s">
        <v>28</v>
      </c>
      <c r="V5610" t="s">
        <v>28</v>
      </c>
      <c r="W5610">
        <v>22</v>
      </c>
      <c r="X5610">
        <v>7.2519999999999998</v>
      </c>
      <c r="Y5610" s="6">
        <f t="shared" si="96"/>
        <v>12.485999999999999</v>
      </c>
      <c r="Z5610">
        <f>13.495-X5610</f>
        <v>6.2429999999999994</v>
      </c>
      <c r="AA5610" s="6"/>
      <c r="AB5610" s="6"/>
    </row>
    <row r="5611" spans="1:28" x14ac:dyDescent="0.2">
      <c r="A5611" t="s">
        <v>618</v>
      </c>
      <c r="B5611">
        <v>2008</v>
      </c>
      <c r="C5611" t="s">
        <v>807</v>
      </c>
      <c r="D5611" t="s">
        <v>825</v>
      </c>
      <c r="E5611" t="s">
        <v>35</v>
      </c>
      <c r="F5611" t="s">
        <v>625</v>
      </c>
      <c r="G5611">
        <v>36.611918000000003</v>
      </c>
      <c r="H5611">
        <v>-121.89604199999999</v>
      </c>
      <c r="I5611" t="s">
        <v>772</v>
      </c>
      <c r="J5611" s="2" t="s">
        <v>14</v>
      </c>
      <c r="K5611" t="s">
        <v>144</v>
      </c>
      <c r="L5611" t="s">
        <v>144</v>
      </c>
      <c r="M5611" t="s">
        <v>637</v>
      </c>
      <c r="N5611" t="s">
        <v>86</v>
      </c>
      <c r="O5611" t="s">
        <v>233</v>
      </c>
      <c r="Q5611">
        <f t="shared" si="95"/>
        <v>4.1666666666666664E-2</v>
      </c>
      <c r="R5611" t="s">
        <v>213</v>
      </c>
      <c r="S5611" s="2" t="s">
        <v>13</v>
      </c>
      <c r="T5611">
        <v>4</v>
      </c>
      <c r="U5611" t="s">
        <v>28</v>
      </c>
      <c r="V5611" t="s">
        <v>28</v>
      </c>
      <c r="W5611">
        <v>26</v>
      </c>
      <c r="X5611">
        <v>12.923</v>
      </c>
      <c r="Y5611" s="6">
        <f t="shared" si="96"/>
        <v>19.738000000000003</v>
      </c>
      <c r="Z5611">
        <f>22.792-X5611</f>
        <v>9.8690000000000015</v>
      </c>
      <c r="AA5611" s="6"/>
      <c r="AB5611" s="6"/>
    </row>
    <row r="5612" spans="1:28" x14ac:dyDescent="0.2">
      <c r="A5612" t="s">
        <v>618</v>
      </c>
      <c r="B5612">
        <v>2008</v>
      </c>
      <c r="C5612" t="s">
        <v>807</v>
      </c>
      <c r="D5612" t="s">
        <v>825</v>
      </c>
      <c r="E5612" t="s">
        <v>35</v>
      </c>
      <c r="F5612" t="s">
        <v>626</v>
      </c>
      <c r="G5612">
        <v>34.405175999999997</v>
      </c>
      <c r="H5612">
        <v>-119.69196100000001</v>
      </c>
      <c r="I5612" t="s">
        <v>772</v>
      </c>
      <c r="J5612" s="2" t="s">
        <v>14</v>
      </c>
      <c r="K5612" t="s">
        <v>144</v>
      </c>
      <c r="L5612" t="s">
        <v>144</v>
      </c>
      <c r="M5612" t="s">
        <v>637</v>
      </c>
      <c r="N5612" t="s">
        <v>86</v>
      </c>
      <c r="O5612" t="s">
        <v>233</v>
      </c>
      <c r="Q5612">
        <f t="shared" si="95"/>
        <v>4.1666666666666664E-2</v>
      </c>
      <c r="R5612" t="s">
        <v>213</v>
      </c>
      <c r="S5612" s="2" t="s">
        <v>13</v>
      </c>
      <c r="T5612">
        <v>4</v>
      </c>
      <c r="U5612" t="s">
        <v>28</v>
      </c>
      <c r="V5612" t="s">
        <v>28</v>
      </c>
      <c r="W5612">
        <v>26</v>
      </c>
      <c r="X5612">
        <v>0.81799999999999995</v>
      </c>
      <c r="Y5612" s="6">
        <f t="shared" si="96"/>
        <v>1.0360000000000003</v>
      </c>
      <c r="Z5612">
        <f>1.336-X5612</f>
        <v>0.51800000000000013</v>
      </c>
      <c r="AA5612" s="6"/>
      <c r="AB5612" s="6"/>
    </row>
    <row r="5613" spans="1:28" x14ac:dyDescent="0.2">
      <c r="A5613" t="s">
        <v>618</v>
      </c>
      <c r="B5613">
        <v>2008</v>
      </c>
      <c r="C5613" t="s">
        <v>807</v>
      </c>
      <c r="D5613" t="s">
        <v>825</v>
      </c>
      <c r="E5613" t="s">
        <v>35</v>
      </c>
      <c r="F5613" t="s">
        <v>627</v>
      </c>
      <c r="G5613">
        <v>33.717582</v>
      </c>
      <c r="H5613">
        <v>-118.278361</v>
      </c>
      <c r="I5613" t="s">
        <v>772</v>
      </c>
      <c r="J5613" s="2" t="s">
        <v>14</v>
      </c>
      <c r="K5613" t="s">
        <v>144</v>
      </c>
      <c r="L5613" t="s">
        <v>144</v>
      </c>
      <c r="M5613" t="s">
        <v>637</v>
      </c>
      <c r="N5613" t="s">
        <v>86</v>
      </c>
      <c r="O5613" t="s">
        <v>233</v>
      </c>
      <c r="Q5613">
        <f t="shared" si="95"/>
        <v>4.1666666666666664E-2</v>
      </c>
      <c r="R5613" t="s">
        <v>213</v>
      </c>
      <c r="S5613" s="2" t="s">
        <v>13</v>
      </c>
      <c r="T5613">
        <v>4</v>
      </c>
      <c r="U5613" t="s">
        <v>28</v>
      </c>
      <c r="V5613" t="s">
        <v>28</v>
      </c>
      <c r="W5613">
        <v>26</v>
      </c>
      <c r="X5613">
        <v>1.9630000000000001</v>
      </c>
      <c r="Y5613" s="6">
        <f t="shared" si="96"/>
        <v>1.0899999999999999</v>
      </c>
      <c r="Z5613">
        <f>2.508-X5613</f>
        <v>0.54499999999999993</v>
      </c>
      <c r="AA5613" s="6"/>
      <c r="AB5613" s="6"/>
    </row>
    <row r="5614" spans="1:28" x14ac:dyDescent="0.2">
      <c r="A5614" t="s">
        <v>618</v>
      </c>
      <c r="B5614">
        <v>2008</v>
      </c>
      <c r="C5614" t="s">
        <v>807</v>
      </c>
      <c r="D5614" t="s">
        <v>825</v>
      </c>
      <c r="E5614" t="s">
        <v>35</v>
      </c>
      <c r="F5614" t="s">
        <v>628</v>
      </c>
      <c r="G5614">
        <v>33.406094000000003</v>
      </c>
      <c r="H5614">
        <v>-118.36655</v>
      </c>
      <c r="I5614" t="s">
        <v>772</v>
      </c>
      <c r="J5614" s="2" t="s">
        <v>14</v>
      </c>
      <c r="K5614" t="s">
        <v>144</v>
      </c>
      <c r="L5614" t="s">
        <v>144</v>
      </c>
      <c r="M5614" t="s">
        <v>637</v>
      </c>
      <c r="N5614" t="s">
        <v>86</v>
      </c>
      <c r="O5614" t="s">
        <v>233</v>
      </c>
      <c r="Q5614">
        <f t="shared" si="95"/>
        <v>4.1666666666666664E-2</v>
      </c>
      <c r="R5614" t="s">
        <v>213</v>
      </c>
      <c r="S5614" s="2" t="s">
        <v>13</v>
      </c>
      <c r="T5614">
        <v>3</v>
      </c>
      <c r="U5614" t="s">
        <v>28</v>
      </c>
      <c r="V5614" t="s">
        <v>28</v>
      </c>
      <c r="W5614">
        <v>26</v>
      </c>
      <c r="X5614">
        <v>10.087</v>
      </c>
      <c r="Y5614" s="6">
        <f t="shared" si="96"/>
        <v>5.2896831663153518</v>
      </c>
      <c r="Z5614">
        <f>13.141-X5614</f>
        <v>3.0540000000000003</v>
      </c>
      <c r="AA5614" s="6"/>
      <c r="AB5614" s="6"/>
    </row>
    <row r="5615" spans="1:28" x14ac:dyDescent="0.2">
      <c r="A5615" t="s">
        <v>618</v>
      </c>
      <c r="B5615">
        <v>2008</v>
      </c>
      <c r="C5615" t="s">
        <v>807</v>
      </c>
      <c r="D5615" t="s">
        <v>825</v>
      </c>
      <c r="E5615" t="s">
        <v>35</v>
      </c>
      <c r="F5615" t="s">
        <v>629</v>
      </c>
      <c r="G5615">
        <v>32.677660000000003</v>
      </c>
      <c r="H5615">
        <v>-117.181724</v>
      </c>
      <c r="I5615" t="s">
        <v>772</v>
      </c>
      <c r="J5615" s="2" t="s">
        <v>14</v>
      </c>
      <c r="K5615" t="s">
        <v>144</v>
      </c>
      <c r="L5615" t="s">
        <v>144</v>
      </c>
      <c r="M5615" t="s">
        <v>637</v>
      </c>
      <c r="N5615" t="s">
        <v>86</v>
      </c>
      <c r="O5615" t="s">
        <v>233</v>
      </c>
      <c r="Q5615">
        <f t="shared" si="95"/>
        <v>4.1666666666666664E-2</v>
      </c>
      <c r="R5615" t="s">
        <v>213</v>
      </c>
      <c r="S5615" s="2" t="s">
        <v>13</v>
      </c>
      <c r="T5615">
        <v>4</v>
      </c>
      <c r="U5615" t="s">
        <v>28</v>
      </c>
      <c r="V5615" t="s">
        <v>28</v>
      </c>
      <c r="W5615">
        <v>26</v>
      </c>
      <c r="X5615">
        <v>7.415</v>
      </c>
      <c r="Y5615" s="6">
        <f t="shared" si="96"/>
        <v>8.1259999999999994</v>
      </c>
      <c r="Z5615">
        <f>11.478-X5615</f>
        <v>4.0629999999999997</v>
      </c>
      <c r="AA5615" s="6"/>
      <c r="AB5615" s="6"/>
    </row>
    <row r="5616" spans="1:28" x14ac:dyDescent="0.2">
      <c r="A5616" t="s">
        <v>618</v>
      </c>
      <c r="B5616">
        <v>2008</v>
      </c>
      <c r="C5616" t="s">
        <v>807</v>
      </c>
      <c r="D5616" t="s">
        <v>825</v>
      </c>
      <c r="E5616" t="s">
        <v>35</v>
      </c>
      <c r="F5616" t="s">
        <v>624</v>
      </c>
      <c r="G5616">
        <v>31.800343000000002</v>
      </c>
      <c r="H5616">
        <v>-116.794392</v>
      </c>
      <c r="I5616" t="s">
        <v>772</v>
      </c>
      <c r="J5616" s="2" t="s">
        <v>14</v>
      </c>
      <c r="K5616" t="s">
        <v>144</v>
      </c>
      <c r="L5616" t="s">
        <v>144</v>
      </c>
      <c r="M5616" t="s">
        <v>637</v>
      </c>
      <c r="N5616" t="s">
        <v>86</v>
      </c>
      <c r="O5616" t="s">
        <v>233</v>
      </c>
      <c r="Q5616">
        <f t="shared" si="95"/>
        <v>4.1666666666666664E-2</v>
      </c>
      <c r="R5616" t="s">
        <v>213</v>
      </c>
      <c r="S5616" s="2" t="s">
        <v>13</v>
      </c>
      <c r="T5616">
        <v>4</v>
      </c>
      <c r="U5616" t="s">
        <v>28</v>
      </c>
      <c r="V5616" t="s">
        <v>28</v>
      </c>
      <c r="W5616">
        <v>26</v>
      </c>
      <c r="X5616">
        <v>10.032999999999999</v>
      </c>
      <c r="Y5616" s="6">
        <f t="shared" si="96"/>
        <v>13.576000000000004</v>
      </c>
      <c r="Z5616">
        <f>16.821-X5616</f>
        <v>6.788000000000002</v>
      </c>
      <c r="AA5616" s="6"/>
      <c r="AB5616" s="6"/>
    </row>
    <row r="5617" spans="1:28" x14ac:dyDescent="0.2">
      <c r="A5617" t="s">
        <v>618</v>
      </c>
      <c r="B5617">
        <v>2008</v>
      </c>
      <c r="C5617" t="s">
        <v>807</v>
      </c>
      <c r="D5617" t="s">
        <v>825</v>
      </c>
      <c r="E5617" t="s">
        <v>35</v>
      </c>
      <c r="F5617" t="s">
        <v>625</v>
      </c>
      <c r="G5617">
        <v>36.611918000000003</v>
      </c>
      <c r="H5617">
        <v>-121.89604199999999</v>
      </c>
      <c r="I5617" t="s">
        <v>772</v>
      </c>
      <c r="J5617" s="2" t="s">
        <v>14</v>
      </c>
      <c r="K5617" t="s">
        <v>144</v>
      </c>
      <c r="L5617" t="s">
        <v>144</v>
      </c>
      <c r="M5617" t="s">
        <v>637</v>
      </c>
      <c r="N5617" t="s">
        <v>86</v>
      </c>
      <c r="O5617" t="s">
        <v>233</v>
      </c>
      <c r="Q5617">
        <f t="shared" si="95"/>
        <v>4.1666666666666664E-2</v>
      </c>
      <c r="R5617" t="s">
        <v>213</v>
      </c>
      <c r="S5617" s="2" t="s">
        <v>15</v>
      </c>
      <c r="T5617">
        <v>4</v>
      </c>
      <c r="U5617" t="s">
        <v>28</v>
      </c>
      <c r="V5617" t="s">
        <v>28</v>
      </c>
      <c r="W5617">
        <v>31</v>
      </c>
      <c r="X5617">
        <v>0.68200000000000005</v>
      </c>
      <c r="Y5617" s="6">
        <f t="shared" si="96"/>
        <v>1.0359999999999998</v>
      </c>
      <c r="Z5617">
        <f>1.2-X5617</f>
        <v>0.5179999999999999</v>
      </c>
      <c r="AA5617" s="6"/>
      <c r="AB5617" s="6"/>
    </row>
    <row r="5618" spans="1:28" x14ac:dyDescent="0.2">
      <c r="A5618" t="s">
        <v>618</v>
      </c>
      <c r="B5618">
        <v>2008</v>
      </c>
      <c r="C5618" t="s">
        <v>807</v>
      </c>
      <c r="D5618" t="s">
        <v>825</v>
      </c>
      <c r="E5618" t="s">
        <v>35</v>
      </c>
      <c r="F5618" t="s">
        <v>626</v>
      </c>
      <c r="G5618">
        <v>34.405175999999997</v>
      </c>
      <c r="H5618">
        <v>-119.69196100000001</v>
      </c>
      <c r="I5618" t="s">
        <v>772</v>
      </c>
      <c r="J5618" s="2" t="s">
        <v>14</v>
      </c>
      <c r="K5618" t="s">
        <v>144</v>
      </c>
      <c r="L5618" t="s">
        <v>144</v>
      </c>
      <c r="M5618" t="s">
        <v>637</v>
      </c>
      <c r="N5618" t="s">
        <v>86</v>
      </c>
      <c r="O5618" t="s">
        <v>233</v>
      </c>
      <c r="Q5618">
        <f t="shared" si="95"/>
        <v>4.1666666666666664E-2</v>
      </c>
      <c r="R5618" t="s">
        <v>213</v>
      </c>
      <c r="S5618" s="2" t="s">
        <v>15</v>
      </c>
      <c r="T5618">
        <v>3</v>
      </c>
      <c r="U5618" t="s">
        <v>28</v>
      </c>
      <c r="V5618" t="s">
        <v>28</v>
      </c>
      <c r="W5618">
        <v>31</v>
      </c>
      <c r="X5618">
        <v>2.7E-2</v>
      </c>
      <c r="Y5618" s="6">
        <f t="shared" si="96"/>
        <v>0</v>
      </c>
      <c r="Z5618">
        <v>0</v>
      </c>
      <c r="AA5618" s="6"/>
      <c r="AB5618" s="6"/>
    </row>
    <row r="5619" spans="1:28" x14ac:dyDescent="0.2">
      <c r="A5619" t="s">
        <v>618</v>
      </c>
      <c r="B5619">
        <v>2008</v>
      </c>
      <c r="C5619" t="s">
        <v>807</v>
      </c>
      <c r="D5619" t="s">
        <v>825</v>
      </c>
      <c r="E5619" t="s">
        <v>35</v>
      </c>
      <c r="F5619" t="s">
        <v>627</v>
      </c>
      <c r="G5619">
        <v>33.717582</v>
      </c>
      <c r="H5619">
        <v>-118.278361</v>
      </c>
      <c r="I5619" t="s">
        <v>772</v>
      </c>
      <c r="J5619" s="2" t="s">
        <v>14</v>
      </c>
      <c r="K5619" t="s">
        <v>144</v>
      </c>
      <c r="L5619" t="s">
        <v>144</v>
      </c>
      <c r="M5619" t="s">
        <v>637</v>
      </c>
      <c r="N5619" t="s">
        <v>86</v>
      </c>
      <c r="O5619" t="s">
        <v>233</v>
      </c>
      <c r="Q5619">
        <f t="shared" si="95"/>
        <v>4.1666666666666664E-2</v>
      </c>
      <c r="R5619" t="s">
        <v>213</v>
      </c>
      <c r="S5619" s="2" t="s">
        <v>15</v>
      </c>
      <c r="T5619">
        <v>4</v>
      </c>
      <c r="U5619" t="s">
        <v>28</v>
      </c>
      <c r="V5619" t="s">
        <v>28</v>
      </c>
      <c r="W5619">
        <v>31</v>
      </c>
      <c r="X5619">
        <v>0.109</v>
      </c>
      <c r="Y5619" s="6">
        <f t="shared" ref="Y5619:Y5650" si="97">Z5619*SQRT(T5619)</f>
        <v>5.400000000000002E-2</v>
      </c>
      <c r="Z5619">
        <f>0.136-X5619</f>
        <v>2.700000000000001E-2</v>
      </c>
      <c r="AA5619" s="6"/>
      <c r="AB5619" s="6"/>
    </row>
    <row r="5620" spans="1:28" x14ac:dyDescent="0.2">
      <c r="A5620" t="s">
        <v>618</v>
      </c>
      <c r="B5620">
        <v>2008</v>
      </c>
      <c r="C5620" t="s">
        <v>807</v>
      </c>
      <c r="D5620" t="s">
        <v>825</v>
      </c>
      <c r="E5620" t="s">
        <v>35</v>
      </c>
      <c r="F5620" t="s">
        <v>628</v>
      </c>
      <c r="G5620">
        <v>33.406094000000003</v>
      </c>
      <c r="H5620">
        <v>-118.36655</v>
      </c>
      <c r="I5620" t="s">
        <v>772</v>
      </c>
      <c r="J5620" s="2" t="s">
        <v>14</v>
      </c>
      <c r="K5620" t="s">
        <v>144</v>
      </c>
      <c r="L5620" t="s">
        <v>144</v>
      </c>
      <c r="M5620" t="s">
        <v>637</v>
      </c>
      <c r="N5620" t="s">
        <v>86</v>
      </c>
      <c r="O5620" t="s">
        <v>233</v>
      </c>
      <c r="Q5620">
        <f t="shared" si="95"/>
        <v>4.1666666666666664E-2</v>
      </c>
      <c r="R5620" t="s">
        <v>213</v>
      </c>
      <c r="S5620" s="2" t="s">
        <v>15</v>
      </c>
      <c r="T5620">
        <v>3</v>
      </c>
      <c r="U5620" t="s">
        <v>28</v>
      </c>
      <c r="V5620" t="s">
        <v>28</v>
      </c>
      <c r="W5620">
        <v>31</v>
      </c>
      <c r="X5620">
        <v>1.036</v>
      </c>
      <c r="Y5620" s="6">
        <f t="shared" si="97"/>
        <v>0.61314598587938229</v>
      </c>
      <c r="Z5620">
        <f>1.39-X5620</f>
        <v>0.35399999999999987</v>
      </c>
      <c r="AA5620" s="6"/>
      <c r="AB5620" s="6"/>
    </row>
    <row r="5621" spans="1:28" x14ac:dyDescent="0.2">
      <c r="A5621" t="s">
        <v>618</v>
      </c>
      <c r="B5621">
        <v>2008</v>
      </c>
      <c r="C5621" t="s">
        <v>807</v>
      </c>
      <c r="D5621" t="s">
        <v>825</v>
      </c>
      <c r="E5621" t="s">
        <v>35</v>
      </c>
      <c r="F5621" t="s">
        <v>629</v>
      </c>
      <c r="G5621">
        <v>32.677660000000003</v>
      </c>
      <c r="H5621">
        <v>-117.181724</v>
      </c>
      <c r="I5621" t="s">
        <v>772</v>
      </c>
      <c r="J5621" s="2" t="s">
        <v>14</v>
      </c>
      <c r="K5621" t="s">
        <v>144</v>
      </c>
      <c r="L5621" t="s">
        <v>144</v>
      </c>
      <c r="M5621" t="s">
        <v>637</v>
      </c>
      <c r="N5621" t="s">
        <v>86</v>
      </c>
      <c r="O5621" t="s">
        <v>233</v>
      </c>
      <c r="Q5621">
        <f t="shared" si="95"/>
        <v>4.1666666666666664E-2</v>
      </c>
      <c r="R5621" t="s">
        <v>213</v>
      </c>
      <c r="S5621" s="2" t="s">
        <v>15</v>
      </c>
      <c r="T5621">
        <v>4</v>
      </c>
      <c r="U5621" t="s">
        <v>28</v>
      </c>
      <c r="V5621" t="s">
        <v>28</v>
      </c>
      <c r="W5621">
        <v>31</v>
      </c>
      <c r="X5621">
        <v>0.245</v>
      </c>
      <c r="Y5621" s="6">
        <f t="shared" si="97"/>
        <v>0.10999999999999999</v>
      </c>
      <c r="Z5621">
        <f>0.3-X5621</f>
        <v>5.4999999999999993E-2</v>
      </c>
      <c r="AA5621" s="6"/>
      <c r="AB5621" s="6"/>
    </row>
    <row r="5622" spans="1:28" x14ac:dyDescent="0.2">
      <c r="A5622" t="s">
        <v>618</v>
      </c>
      <c r="B5622">
        <v>2008</v>
      </c>
      <c r="C5622" t="s">
        <v>807</v>
      </c>
      <c r="D5622" t="s">
        <v>825</v>
      </c>
      <c r="E5622" t="s">
        <v>35</v>
      </c>
      <c r="F5622" t="s">
        <v>624</v>
      </c>
      <c r="G5622">
        <v>31.800343000000002</v>
      </c>
      <c r="H5622">
        <v>-116.794392</v>
      </c>
      <c r="I5622" t="s">
        <v>772</v>
      </c>
      <c r="J5622" s="2" t="s">
        <v>14</v>
      </c>
      <c r="K5622" t="s">
        <v>144</v>
      </c>
      <c r="L5622" t="s">
        <v>144</v>
      </c>
      <c r="M5622" t="s">
        <v>637</v>
      </c>
      <c r="N5622" t="s">
        <v>86</v>
      </c>
      <c r="O5622" t="s">
        <v>233</v>
      </c>
      <c r="Q5622">
        <f t="shared" ref="Q5622:Q5628" si="98">1/24</f>
        <v>4.1666666666666664E-2</v>
      </c>
      <c r="R5622" t="s">
        <v>213</v>
      </c>
      <c r="S5622" s="2" t="s">
        <v>15</v>
      </c>
      <c r="T5622">
        <v>4</v>
      </c>
      <c r="U5622" t="s">
        <v>28</v>
      </c>
      <c r="V5622" t="s">
        <v>28</v>
      </c>
      <c r="W5622">
        <v>31</v>
      </c>
      <c r="X5622">
        <v>0.51800000000000002</v>
      </c>
      <c r="Y5622" s="6">
        <f t="shared" si="97"/>
        <v>0.87199999999999989</v>
      </c>
      <c r="Z5622">
        <f>0.954-X5622</f>
        <v>0.43599999999999994</v>
      </c>
      <c r="AA5622" s="6"/>
      <c r="AB5622" s="6"/>
    </row>
    <row r="5623" spans="1:28" x14ac:dyDescent="0.2">
      <c r="A5623" t="s">
        <v>618</v>
      </c>
      <c r="B5623">
        <v>2008</v>
      </c>
      <c r="C5623" t="s">
        <v>807</v>
      </c>
      <c r="D5623" t="s">
        <v>825</v>
      </c>
      <c r="E5623" t="s">
        <v>35</v>
      </c>
      <c r="F5623" t="s">
        <v>625</v>
      </c>
      <c r="G5623">
        <v>36.611918000000003</v>
      </c>
      <c r="H5623">
        <v>-121.89604199999999</v>
      </c>
      <c r="I5623" t="s">
        <v>772</v>
      </c>
      <c r="J5623" s="2" t="s">
        <v>14</v>
      </c>
      <c r="K5623" t="s">
        <v>144</v>
      </c>
      <c r="L5623" t="s">
        <v>144</v>
      </c>
      <c r="M5623" t="s">
        <v>637</v>
      </c>
      <c r="N5623" t="s">
        <v>86</v>
      </c>
      <c r="O5623" t="s">
        <v>233</v>
      </c>
      <c r="Q5623">
        <f t="shared" si="98"/>
        <v>4.1666666666666664E-2</v>
      </c>
      <c r="R5623" t="s">
        <v>213</v>
      </c>
      <c r="S5623" s="2" t="s">
        <v>37</v>
      </c>
      <c r="T5623">
        <v>4</v>
      </c>
      <c r="U5623" t="s">
        <v>28</v>
      </c>
      <c r="V5623" t="s">
        <v>28</v>
      </c>
      <c r="W5623">
        <v>33</v>
      </c>
      <c r="X5623">
        <v>0.79100000000000004</v>
      </c>
      <c r="Y5623" s="6">
        <f t="shared" si="97"/>
        <v>1.3080000000000001</v>
      </c>
      <c r="Z5623">
        <f>1.445-X5623</f>
        <v>0.65400000000000003</v>
      </c>
      <c r="AA5623" s="6"/>
      <c r="AB5623" s="6"/>
    </row>
    <row r="5624" spans="1:28" x14ac:dyDescent="0.2">
      <c r="A5624" t="s">
        <v>618</v>
      </c>
      <c r="B5624">
        <v>2008</v>
      </c>
      <c r="C5624" t="s">
        <v>807</v>
      </c>
      <c r="D5624" t="s">
        <v>825</v>
      </c>
      <c r="E5624" t="s">
        <v>35</v>
      </c>
      <c r="F5624" t="s">
        <v>626</v>
      </c>
      <c r="G5624">
        <v>34.405175999999997</v>
      </c>
      <c r="H5624">
        <v>-119.69196100000001</v>
      </c>
      <c r="I5624" t="s">
        <v>772</v>
      </c>
      <c r="J5624" s="2" t="s">
        <v>14</v>
      </c>
      <c r="K5624" t="s">
        <v>144</v>
      </c>
      <c r="L5624" t="s">
        <v>144</v>
      </c>
      <c r="M5624" t="s">
        <v>637</v>
      </c>
      <c r="N5624" t="s">
        <v>86</v>
      </c>
      <c r="O5624" t="s">
        <v>233</v>
      </c>
      <c r="Q5624">
        <f t="shared" si="98"/>
        <v>4.1666666666666664E-2</v>
      </c>
      <c r="R5624" t="s">
        <v>213</v>
      </c>
      <c r="S5624" s="2" t="s">
        <v>37</v>
      </c>
      <c r="T5624">
        <v>3</v>
      </c>
      <c r="U5624" t="s">
        <v>28</v>
      </c>
      <c r="V5624" t="s">
        <v>28</v>
      </c>
      <c r="W5624">
        <v>33</v>
      </c>
      <c r="X5624">
        <v>2.7E-2</v>
      </c>
      <c r="Y5624" s="6">
        <f t="shared" si="97"/>
        <v>0</v>
      </c>
      <c r="Z5624">
        <v>0</v>
      </c>
      <c r="AA5624" s="6"/>
      <c r="AB5624" s="6"/>
    </row>
    <row r="5625" spans="1:28" x14ac:dyDescent="0.2">
      <c r="A5625" t="s">
        <v>618</v>
      </c>
      <c r="B5625">
        <v>2008</v>
      </c>
      <c r="C5625" t="s">
        <v>807</v>
      </c>
      <c r="D5625" t="s">
        <v>825</v>
      </c>
      <c r="E5625" t="s">
        <v>35</v>
      </c>
      <c r="F5625" t="s">
        <v>627</v>
      </c>
      <c r="G5625">
        <v>33.717582</v>
      </c>
      <c r="H5625">
        <v>-118.278361</v>
      </c>
      <c r="I5625" t="s">
        <v>772</v>
      </c>
      <c r="J5625" s="2" t="s">
        <v>14</v>
      </c>
      <c r="K5625" t="s">
        <v>144</v>
      </c>
      <c r="L5625" t="s">
        <v>144</v>
      </c>
      <c r="M5625" t="s">
        <v>637</v>
      </c>
      <c r="N5625" t="s">
        <v>86</v>
      </c>
      <c r="O5625" t="s">
        <v>233</v>
      </c>
      <c r="Q5625">
        <f t="shared" si="98"/>
        <v>4.1666666666666664E-2</v>
      </c>
      <c r="R5625" t="s">
        <v>213</v>
      </c>
      <c r="S5625" s="2" t="s">
        <v>37</v>
      </c>
      <c r="T5625">
        <v>4</v>
      </c>
      <c r="U5625" t="s">
        <v>28</v>
      </c>
      <c r="V5625" t="s">
        <v>28</v>
      </c>
      <c r="W5625">
        <v>33</v>
      </c>
      <c r="X5625">
        <v>2.7E-2</v>
      </c>
      <c r="Y5625" s="6">
        <f t="shared" si="97"/>
        <v>0</v>
      </c>
      <c r="Z5625">
        <v>0</v>
      </c>
      <c r="AA5625" s="6"/>
      <c r="AB5625" s="6"/>
    </row>
    <row r="5626" spans="1:28" x14ac:dyDescent="0.2">
      <c r="A5626" t="s">
        <v>618</v>
      </c>
      <c r="B5626">
        <v>2008</v>
      </c>
      <c r="C5626" t="s">
        <v>807</v>
      </c>
      <c r="D5626" t="s">
        <v>825</v>
      </c>
      <c r="E5626" t="s">
        <v>35</v>
      </c>
      <c r="F5626" t="s">
        <v>628</v>
      </c>
      <c r="G5626">
        <v>33.406094000000003</v>
      </c>
      <c r="H5626">
        <v>-118.36655</v>
      </c>
      <c r="I5626" t="s">
        <v>772</v>
      </c>
      <c r="J5626" s="2" t="s">
        <v>14</v>
      </c>
      <c r="K5626" t="s">
        <v>144</v>
      </c>
      <c r="L5626" t="s">
        <v>144</v>
      </c>
      <c r="M5626" t="s">
        <v>637</v>
      </c>
      <c r="N5626" t="s">
        <v>86</v>
      </c>
      <c r="O5626" t="s">
        <v>233</v>
      </c>
      <c r="Q5626">
        <f t="shared" si="98"/>
        <v>4.1666666666666664E-2</v>
      </c>
      <c r="R5626" t="s">
        <v>213</v>
      </c>
      <c r="S5626" s="2" t="s">
        <v>37</v>
      </c>
      <c r="T5626">
        <v>3</v>
      </c>
      <c r="U5626" t="s">
        <v>28</v>
      </c>
      <c r="V5626" t="s">
        <v>28</v>
      </c>
      <c r="W5626">
        <v>33</v>
      </c>
      <c r="X5626">
        <v>0.92700000000000005</v>
      </c>
      <c r="Y5626" s="6">
        <f t="shared" si="97"/>
        <v>1.6056110986163492</v>
      </c>
      <c r="Z5626">
        <f>1.854-X5626</f>
        <v>0.92700000000000005</v>
      </c>
      <c r="AA5626" s="6"/>
      <c r="AB5626" s="6"/>
    </row>
    <row r="5627" spans="1:28" x14ac:dyDescent="0.2">
      <c r="A5627" t="s">
        <v>618</v>
      </c>
      <c r="B5627">
        <v>2008</v>
      </c>
      <c r="C5627" t="s">
        <v>807</v>
      </c>
      <c r="D5627" t="s">
        <v>825</v>
      </c>
      <c r="E5627" t="s">
        <v>35</v>
      </c>
      <c r="F5627" t="s">
        <v>629</v>
      </c>
      <c r="G5627">
        <v>32.677660000000003</v>
      </c>
      <c r="H5627">
        <v>-117.181724</v>
      </c>
      <c r="I5627" t="s">
        <v>772</v>
      </c>
      <c r="J5627" s="2" t="s">
        <v>14</v>
      </c>
      <c r="K5627" t="s">
        <v>144</v>
      </c>
      <c r="L5627" t="s">
        <v>144</v>
      </c>
      <c r="M5627" t="s">
        <v>637</v>
      </c>
      <c r="N5627" t="s">
        <v>86</v>
      </c>
      <c r="O5627" t="s">
        <v>233</v>
      </c>
      <c r="Q5627">
        <f t="shared" si="98"/>
        <v>4.1666666666666664E-2</v>
      </c>
      <c r="R5627" t="s">
        <v>213</v>
      </c>
      <c r="S5627" s="2" t="s">
        <v>37</v>
      </c>
      <c r="T5627">
        <v>4</v>
      </c>
      <c r="U5627" t="s">
        <v>28</v>
      </c>
      <c r="V5627" t="s">
        <v>28</v>
      </c>
      <c r="W5627">
        <v>33</v>
      </c>
      <c r="X5627">
        <v>8.2000000000000003E-2</v>
      </c>
      <c r="Y5627" s="6">
        <f t="shared" si="97"/>
        <v>5.3999999999999992E-2</v>
      </c>
      <c r="Z5627">
        <f>0.109-X5627</f>
        <v>2.6999999999999996E-2</v>
      </c>
      <c r="AA5627" s="6"/>
      <c r="AB5627" s="6"/>
    </row>
    <row r="5628" spans="1:28" x14ac:dyDescent="0.2">
      <c r="A5628" t="s">
        <v>618</v>
      </c>
      <c r="B5628">
        <v>2008</v>
      </c>
      <c r="C5628" t="s">
        <v>807</v>
      </c>
      <c r="D5628" t="s">
        <v>825</v>
      </c>
      <c r="E5628" t="s">
        <v>35</v>
      </c>
      <c r="F5628" t="s">
        <v>624</v>
      </c>
      <c r="G5628">
        <v>31.800343000000002</v>
      </c>
      <c r="H5628">
        <v>-116.794392</v>
      </c>
      <c r="I5628" t="s">
        <v>772</v>
      </c>
      <c r="J5628" s="2" t="s">
        <v>14</v>
      </c>
      <c r="K5628" t="s">
        <v>144</v>
      </c>
      <c r="L5628" t="s">
        <v>144</v>
      </c>
      <c r="M5628" t="s">
        <v>637</v>
      </c>
      <c r="N5628" t="s">
        <v>86</v>
      </c>
      <c r="O5628" t="s">
        <v>233</v>
      </c>
      <c r="Q5628">
        <f t="shared" si="98"/>
        <v>4.1666666666666664E-2</v>
      </c>
      <c r="R5628" t="s">
        <v>213</v>
      </c>
      <c r="S5628" s="2" t="s">
        <v>37</v>
      </c>
      <c r="T5628">
        <v>4</v>
      </c>
      <c r="U5628" t="s">
        <v>28</v>
      </c>
      <c r="V5628" t="s">
        <v>28</v>
      </c>
      <c r="W5628">
        <v>33</v>
      </c>
      <c r="X5628">
        <v>0.109</v>
      </c>
      <c r="Y5628" s="6">
        <f t="shared" si="97"/>
        <v>5.400000000000002E-2</v>
      </c>
      <c r="Z5628">
        <f>0.136-X5628</f>
        <v>2.700000000000001E-2</v>
      </c>
      <c r="AA5628" s="6"/>
      <c r="AB5628" s="6"/>
    </row>
    <row r="5629" spans="1:28" x14ac:dyDescent="0.2">
      <c r="A5629" t="s">
        <v>630</v>
      </c>
      <c r="B5629">
        <v>2008</v>
      </c>
      <c r="C5629" t="s">
        <v>807</v>
      </c>
      <c r="D5629" t="s">
        <v>825</v>
      </c>
      <c r="E5629" t="s">
        <v>35</v>
      </c>
      <c r="F5629" t="s">
        <v>625</v>
      </c>
      <c r="G5629">
        <v>36.611918000000003</v>
      </c>
      <c r="H5629">
        <v>-121.89604199999999</v>
      </c>
      <c r="I5629" t="s">
        <v>772</v>
      </c>
      <c r="J5629" s="2" t="s">
        <v>7</v>
      </c>
      <c r="K5629" t="s">
        <v>3</v>
      </c>
      <c r="L5629" t="s">
        <v>3</v>
      </c>
      <c r="M5629" t="s">
        <v>637</v>
      </c>
      <c r="N5629" t="s">
        <v>86</v>
      </c>
      <c r="O5629" t="s">
        <v>233</v>
      </c>
      <c r="P5629" t="s">
        <v>287</v>
      </c>
      <c r="Q5629">
        <v>0.04</v>
      </c>
      <c r="R5629" t="s">
        <v>213</v>
      </c>
      <c r="S5629" s="2" t="s">
        <v>7</v>
      </c>
      <c r="T5629">
        <v>4</v>
      </c>
      <c r="U5629" t="s">
        <v>28</v>
      </c>
      <c r="V5629" t="s">
        <v>28</v>
      </c>
      <c r="W5629">
        <v>12</v>
      </c>
      <c r="X5629">
        <v>3.057E-2</v>
      </c>
      <c r="Y5629" s="6">
        <f t="shared" si="97"/>
        <v>5.7639999999999997E-2</v>
      </c>
      <c r="Z5629">
        <f>0.05939-X5629</f>
        <v>2.8819999999999998E-2</v>
      </c>
      <c r="AA5629" s="6"/>
      <c r="AB5629" s="6"/>
    </row>
    <row r="5630" spans="1:28" x14ac:dyDescent="0.2">
      <c r="A5630" t="s">
        <v>630</v>
      </c>
      <c r="B5630">
        <v>2008</v>
      </c>
      <c r="C5630" t="s">
        <v>807</v>
      </c>
      <c r="D5630" t="s">
        <v>825</v>
      </c>
      <c r="E5630" t="s">
        <v>35</v>
      </c>
      <c r="F5630" t="s">
        <v>626</v>
      </c>
      <c r="G5630">
        <v>34.405175999999997</v>
      </c>
      <c r="H5630">
        <v>-119.69196100000001</v>
      </c>
      <c r="I5630" t="s">
        <v>772</v>
      </c>
      <c r="J5630" s="2" t="s">
        <v>7</v>
      </c>
      <c r="K5630" t="s">
        <v>3</v>
      </c>
      <c r="L5630" t="s">
        <v>3</v>
      </c>
      <c r="M5630" t="s">
        <v>637</v>
      </c>
      <c r="N5630" t="s">
        <v>86</v>
      </c>
      <c r="O5630" t="s">
        <v>233</v>
      </c>
      <c r="P5630" t="s">
        <v>287</v>
      </c>
      <c r="Q5630">
        <v>0.04</v>
      </c>
      <c r="R5630" t="s">
        <v>213</v>
      </c>
      <c r="S5630" s="2" t="s">
        <v>7</v>
      </c>
      <c r="T5630">
        <v>4</v>
      </c>
      <c r="U5630" t="s">
        <v>28</v>
      </c>
      <c r="V5630" t="s">
        <v>28</v>
      </c>
      <c r="W5630">
        <v>12</v>
      </c>
      <c r="X5630">
        <v>1.537E-2</v>
      </c>
      <c r="Y5630" s="6">
        <f t="shared" si="97"/>
        <v>1.2219999999999998E-2</v>
      </c>
      <c r="Z5630">
        <f>0.02148-X5630</f>
        <v>6.1099999999999991E-3</v>
      </c>
      <c r="AA5630" s="6"/>
      <c r="AB5630" s="6"/>
    </row>
    <row r="5631" spans="1:28" x14ac:dyDescent="0.2">
      <c r="A5631" t="s">
        <v>630</v>
      </c>
      <c r="B5631">
        <v>2008</v>
      </c>
      <c r="C5631" t="s">
        <v>807</v>
      </c>
      <c r="D5631" t="s">
        <v>825</v>
      </c>
      <c r="E5631" t="s">
        <v>35</v>
      </c>
      <c r="F5631" t="s">
        <v>627</v>
      </c>
      <c r="G5631">
        <v>33.717582</v>
      </c>
      <c r="H5631">
        <v>-118.278361</v>
      </c>
      <c r="I5631" t="s">
        <v>772</v>
      </c>
      <c r="J5631" s="2" t="s">
        <v>7</v>
      </c>
      <c r="K5631" t="s">
        <v>3</v>
      </c>
      <c r="L5631" t="s">
        <v>3</v>
      </c>
      <c r="M5631" t="s">
        <v>637</v>
      </c>
      <c r="N5631" t="s">
        <v>86</v>
      </c>
      <c r="O5631" t="s">
        <v>233</v>
      </c>
      <c r="P5631" t="s">
        <v>287</v>
      </c>
      <c r="Q5631">
        <v>0.04</v>
      </c>
      <c r="R5631" t="s">
        <v>213</v>
      </c>
      <c r="S5631" s="2" t="s">
        <v>7</v>
      </c>
      <c r="T5631">
        <v>4</v>
      </c>
      <c r="U5631" t="s">
        <v>28</v>
      </c>
      <c r="V5631" t="s">
        <v>28</v>
      </c>
      <c r="W5631">
        <v>12</v>
      </c>
      <c r="X5631">
        <v>1.013E-2</v>
      </c>
      <c r="Y5631" s="6">
        <f t="shared" si="97"/>
        <v>9.0800000000000013E-3</v>
      </c>
      <c r="Z5631">
        <f>0.01467-X5631</f>
        <v>4.5400000000000006E-3</v>
      </c>
      <c r="AA5631" s="6"/>
      <c r="AB5631" s="6"/>
    </row>
    <row r="5632" spans="1:28" x14ac:dyDescent="0.2">
      <c r="A5632" t="s">
        <v>630</v>
      </c>
      <c r="B5632">
        <v>2008</v>
      </c>
      <c r="C5632" t="s">
        <v>807</v>
      </c>
      <c r="D5632" t="s">
        <v>825</v>
      </c>
      <c r="E5632" t="s">
        <v>35</v>
      </c>
      <c r="F5632" t="s">
        <v>629</v>
      </c>
      <c r="G5632">
        <v>32.677660000000003</v>
      </c>
      <c r="H5632">
        <v>-117.181724</v>
      </c>
      <c r="I5632" t="s">
        <v>772</v>
      </c>
      <c r="J5632" s="2" t="s">
        <v>7</v>
      </c>
      <c r="K5632" t="s">
        <v>3</v>
      </c>
      <c r="L5632" t="s">
        <v>3</v>
      </c>
      <c r="M5632" t="s">
        <v>637</v>
      </c>
      <c r="N5632" t="s">
        <v>86</v>
      </c>
      <c r="O5632" t="s">
        <v>233</v>
      </c>
      <c r="P5632" t="s">
        <v>287</v>
      </c>
      <c r="Q5632">
        <v>0.04</v>
      </c>
      <c r="R5632" t="s">
        <v>213</v>
      </c>
      <c r="S5632" s="2" t="s">
        <v>7</v>
      </c>
      <c r="T5632">
        <v>4</v>
      </c>
      <c r="U5632" t="s">
        <v>28</v>
      </c>
      <c r="V5632" t="s">
        <v>28</v>
      </c>
      <c r="W5632">
        <v>12</v>
      </c>
      <c r="X5632">
        <v>1.9040000000000001E-2</v>
      </c>
      <c r="Y5632" s="6">
        <f t="shared" si="97"/>
        <v>8.0399999999999985E-3</v>
      </c>
      <c r="Z5632">
        <f>0.02306-X5632</f>
        <v>4.0199999999999993E-3</v>
      </c>
      <c r="AA5632" s="6"/>
      <c r="AB5632" s="6"/>
    </row>
    <row r="5633" spans="1:28" x14ac:dyDescent="0.2">
      <c r="A5633" t="s">
        <v>630</v>
      </c>
      <c r="B5633">
        <v>2008</v>
      </c>
      <c r="C5633" t="s">
        <v>807</v>
      </c>
      <c r="D5633" t="s">
        <v>825</v>
      </c>
      <c r="E5633" t="s">
        <v>35</v>
      </c>
      <c r="F5633" t="s">
        <v>625</v>
      </c>
      <c r="G5633">
        <v>36.611918000000003</v>
      </c>
      <c r="H5633">
        <v>-121.89604199999999</v>
      </c>
      <c r="I5633" t="s">
        <v>772</v>
      </c>
      <c r="J5633" s="2" t="s">
        <v>14</v>
      </c>
      <c r="K5633" t="s">
        <v>3</v>
      </c>
      <c r="L5633" t="s">
        <v>3</v>
      </c>
      <c r="M5633" t="s">
        <v>637</v>
      </c>
      <c r="N5633" t="s">
        <v>86</v>
      </c>
      <c r="O5633" t="s">
        <v>233</v>
      </c>
      <c r="P5633" t="s">
        <v>287</v>
      </c>
      <c r="Q5633">
        <v>0.04</v>
      </c>
      <c r="R5633" t="s">
        <v>213</v>
      </c>
      <c r="S5633" s="2" t="s">
        <v>9</v>
      </c>
      <c r="T5633">
        <v>4</v>
      </c>
      <c r="U5633" t="s">
        <v>28</v>
      </c>
      <c r="V5633" t="s">
        <v>28</v>
      </c>
      <c r="W5633">
        <v>17</v>
      </c>
      <c r="X5633">
        <v>7.1599999999999997E-3</v>
      </c>
      <c r="Y5633" s="6">
        <f t="shared" si="97"/>
        <v>1.048E-2</v>
      </c>
      <c r="Z5633">
        <f>0.0124-X5633</f>
        <v>5.2399999999999999E-3</v>
      </c>
      <c r="AA5633" s="6"/>
      <c r="AB5633" s="6"/>
    </row>
    <row r="5634" spans="1:28" x14ac:dyDescent="0.2">
      <c r="A5634" t="s">
        <v>630</v>
      </c>
      <c r="B5634">
        <v>2008</v>
      </c>
      <c r="C5634" t="s">
        <v>807</v>
      </c>
      <c r="D5634" t="s">
        <v>825</v>
      </c>
      <c r="E5634" t="s">
        <v>35</v>
      </c>
      <c r="F5634" t="s">
        <v>626</v>
      </c>
      <c r="G5634">
        <v>34.405175999999997</v>
      </c>
      <c r="H5634">
        <v>-119.69196100000001</v>
      </c>
      <c r="I5634" t="s">
        <v>772</v>
      </c>
      <c r="J5634" s="2" t="s">
        <v>14</v>
      </c>
      <c r="K5634" t="s">
        <v>3</v>
      </c>
      <c r="L5634" t="s">
        <v>3</v>
      </c>
      <c r="M5634" t="s">
        <v>637</v>
      </c>
      <c r="N5634" t="s">
        <v>86</v>
      </c>
      <c r="O5634" t="s">
        <v>233</v>
      </c>
      <c r="P5634" t="s">
        <v>287</v>
      </c>
      <c r="Q5634">
        <v>0.04</v>
      </c>
      <c r="R5634" t="s">
        <v>213</v>
      </c>
      <c r="S5634" s="2" t="s">
        <v>9</v>
      </c>
      <c r="T5634">
        <v>4</v>
      </c>
      <c r="U5634" t="s">
        <v>28</v>
      </c>
      <c r="V5634" t="s">
        <v>28</v>
      </c>
      <c r="W5634">
        <v>17</v>
      </c>
      <c r="X5634">
        <v>2.9170000000000001E-2</v>
      </c>
      <c r="Y5634" s="6">
        <f t="shared" si="97"/>
        <v>2.3059999999999997E-2</v>
      </c>
      <c r="Z5634">
        <f>0.0407-X5634</f>
        <v>1.1529999999999999E-2</v>
      </c>
      <c r="AA5634" s="6"/>
      <c r="AB5634" s="6"/>
    </row>
    <row r="5635" spans="1:28" x14ac:dyDescent="0.2">
      <c r="A5635" t="s">
        <v>630</v>
      </c>
      <c r="B5635">
        <v>2008</v>
      </c>
      <c r="C5635" t="s">
        <v>807</v>
      </c>
      <c r="D5635" t="s">
        <v>825</v>
      </c>
      <c r="E5635" t="s">
        <v>35</v>
      </c>
      <c r="F5635" t="s">
        <v>627</v>
      </c>
      <c r="G5635">
        <v>33.717582</v>
      </c>
      <c r="H5635">
        <v>-118.278361</v>
      </c>
      <c r="I5635" t="s">
        <v>772</v>
      </c>
      <c r="J5635" s="2" t="s">
        <v>14</v>
      </c>
      <c r="K5635" t="s">
        <v>3</v>
      </c>
      <c r="L5635" t="s">
        <v>3</v>
      </c>
      <c r="M5635" t="s">
        <v>637</v>
      </c>
      <c r="N5635" t="s">
        <v>86</v>
      </c>
      <c r="O5635" t="s">
        <v>233</v>
      </c>
      <c r="P5635" t="s">
        <v>287</v>
      </c>
      <c r="Q5635">
        <v>0.04</v>
      </c>
      <c r="R5635" t="s">
        <v>213</v>
      </c>
      <c r="S5635" s="2" t="s">
        <v>9</v>
      </c>
      <c r="T5635">
        <v>4</v>
      </c>
      <c r="U5635" t="s">
        <v>28</v>
      </c>
      <c r="V5635" t="s">
        <v>28</v>
      </c>
      <c r="W5635">
        <v>17</v>
      </c>
      <c r="X5635">
        <v>2.044E-2</v>
      </c>
      <c r="Y5635" s="6">
        <f t="shared" si="97"/>
        <v>1.8160000000000003E-2</v>
      </c>
      <c r="Z5635">
        <f>0.02952-X5635</f>
        <v>9.0800000000000013E-3</v>
      </c>
      <c r="AA5635" s="6"/>
      <c r="AB5635" s="6"/>
    </row>
    <row r="5636" spans="1:28" x14ac:dyDescent="0.2">
      <c r="A5636" t="s">
        <v>630</v>
      </c>
      <c r="B5636">
        <v>2008</v>
      </c>
      <c r="C5636" t="s">
        <v>807</v>
      </c>
      <c r="D5636" t="s">
        <v>825</v>
      </c>
      <c r="E5636" t="s">
        <v>35</v>
      </c>
      <c r="F5636" t="s">
        <v>629</v>
      </c>
      <c r="G5636">
        <v>32.677660000000003</v>
      </c>
      <c r="H5636">
        <v>-117.181724</v>
      </c>
      <c r="I5636" t="s">
        <v>772</v>
      </c>
      <c r="J5636" s="2" t="s">
        <v>14</v>
      </c>
      <c r="K5636" t="s">
        <v>3</v>
      </c>
      <c r="L5636" t="s">
        <v>3</v>
      </c>
      <c r="M5636" t="s">
        <v>637</v>
      </c>
      <c r="N5636" t="s">
        <v>86</v>
      </c>
      <c r="O5636" t="s">
        <v>233</v>
      </c>
      <c r="P5636" t="s">
        <v>287</v>
      </c>
      <c r="Q5636">
        <v>0.04</v>
      </c>
      <c r="R5636" t="s">
        <v>213</v>
      </c>
      <c r="S5636" s="2" t="s">
        <v>9</v>
      </c>
      <c r="T5636">
        <v>4</v>
      </c>
      <c r="U5636" t="s">
        <v>28</v>
      </c>
      <c r="V5636" t="s">
        <v>28</v>
      </c>
      <c r="W5636">
        <v>17</v>
      </c>
      <c r="X5636">
        <v>1.3100000000000001E-2</v>
      </c>
      <c r="Y5636" s="6">
        <f t="shared" si="97"/>
        <v>2.4399999999999977E-3</v>
      </c>
      <c r="Z5636">
        <f>0.01432-X5636</f>
        <v>1.2199999999999989E-3</v>
      </c>
      <c r="AA5636" s="6"/>
      <c r="AB5636" s="6"/>
    </row>
    <row r="5637" spans="1:28" x14ac:dyDescent="0.2">
      <c r="A5637" t="s">
        <v>630</v>
      </c>
      <c r="B5637">
        <v>2008</v>
      </c>
      <c r="C5637" t="s">
        <v>807</v>
      </c>
      <c r="D5637" t="s">
        <v>825</v>
      </c>
      <c r="E5637" t="s">
        <v>35</v>
      </c>
      <c r="F5637" t="s">
        <v>625</v>
      </c>
      <c r="G5637">
        <v>36.611918000000003</v>
      </c>
      <c r="H5637">
        <v>-121.89604199999999</v>
      </c>
      <c r="I5637" t="s">
        <v>772</v>
      </c>
      <c r="J5637" s="2" t="s">
        <v>14</v>
      </c>
      <c r="K5637" t="s">
        <v>3</v>
      </c>
      <c r="L5637" t="s">
        <v>3</v>
      </c>
      <c r="M5637" t="s">
        <v>637</v>
      </c>
      <c r="N5637" t="s">
        <v>86</v>
      </c>
      <c r="O5637" t="s">
        <v>233</v>
      </c>
      <c r="P5637" t="s">
        <v>287</v>
      </c>
      <c r="Q5637">
        <v>0.04</v>
      </c>
      <c r="R5637" t="s">
        <v>213</v>
      </c>
      <c r="S5637" s="2" t="s">
        <v>27</v>
      </c>
      <c r="T5637">
        <v>4</v>
      </c>
      <c r="U5637" t="s">
        <v>28</v>
      </c>
      <c r="V5637" t="s">
        <v>28</v>
      </c>
      <c r="W5637">
        <v>22</v>
      </c>
      <c r="X5637">
        <v>1.0659999999999999E-2</v>
      </c>
      <c r="Y5637" s="6">
        <f t="shared" si="97"/>
        <v>2.026E-2</v>
      </c>
      <c r="Z5637">
        <f>0.02079-X5637</f>
        <v>1.013E-2</v>
      </c>
      <c r="AA5637" s="6"/>
      <c r="AB5637" s="6"/>
    </row>
    <row r="5638" spans="1:28" x14ac:dyDescent="0.2">
      <c r="A5638" t="s">
        <v>630</v>
      </c>
      <c r="B5638">
        <v>2008</v>
      </c>
      <c r="C5638" t="s">
        <v>807</v>
      </c>
      <c r="D5638" t="s">
        <v>825</v>
      </c>
      <c r="E5638" t="s">
        <v>35</v>
      </c>
      <c r="F5638" t="s">
        <v>626</v>
      </c>
      <c r="G5638">
        <v>34.405175999999997</v>
      </c>
      <c r="H5638">
        <v>-119.69196100000001</v>
      </c>
      <c r="I5638" t="s">
        <v>772</v>
      </c>
      <c r="J5638" s="2" t="s">
        <v>14</v>
      </c>
      <c r="K5638" t="s">
        <v>3</v>
      </c>
      <c r="L5638" t="s">
        <v>3</v>
      </c>
      <c r="M5638" t="s">
        <v>637</v>
      </c>
      <c r="N5638" t="s">
        <v>86</v>
      </c>
      <c r="O5638" t="s">
        <v>233</v>
      </c>
      <c r="P5638" t="s">
        <v>287</v>
      </c>
      <c r="Q5638">
        <v>0.04</v>
      </c>
      <c r="R5638" t="s">
        <v>213</v>
      </c>
      <c r="S5638" s="2" t="s">
        <v>27</v>
      </c>
      <c r="T5638">
        <v>4</v>
      </c>
      <c r="U5638" t="s">
        <v>28</v>
      </c>
      <c r="V5638" t="s">
        <v>28</v>
      </c>
      <c r="W5638">
        <v>22</v>
      </c>
      <c r="X5638">
        <v>4.7160000000000001E-2</v>
      </c>
      <c r="Y5638" s="6">
        <f t="shared" si="97"/>
        <v>7.3719999999999994E-2</v>
      </c>
      <c r="Z5638">
        <f>0.08402-X5638</f>
        <v>3.6859999999999997E-2</v>
      </c>
      <c r="AA5638" s="6"/>
      <c r="AB5638" s="6"/>
    </row>
    <row r="5639" spans="1:28" x14ac:dyDescent="0.2">
      <c r="A5639" t="s">
        <v>630</v>
      </c>
      <c r="B5639">
        <v>2008</v>
      </c>
      <c r="C5639" t="s">
        <v>807</v>
      </c>
      <c r="D5639" t="s">
        <v>825</v>
      </c>
      <c r="E5639" t="s">
        <v>35</v>
      </c>
      <c r="F5639" t="s">
        <v>627</v>
      </c>
      <c r="G5639">
        <v>33.717582</v>
      </c>
      <c r="H5639">
        <v>-118.278361</v>
      </c>
      <c r="I5639" t="s">
        <v>772</v>
      </c>
      <c r="J5639" s="2" t="s">
        <v>14</v>
      </c>
      <c r="K5639" t="s">
        <v>3</v>
      </c>
      <c r="L5639" t="s">
        <v>3</v>
      </c>
      <c r="M5639" t="s">
        <v>637</v>
      </c>
      <c r="N5639" t="s">
        <v>86</v>
      </c>
      <c r="O5639" t="s">
        <v>233</v>
      </c>
      <c r="P5639" t="s">
        <v>287</v>
      </c>
      <c r="Q5639">
        <v>0.04</v>
      </c>
      <c r="R5639" t="s">
        <v>213</v>
      </c>
      <c r="S5639" s="2" t="s">
        <v>27</v>
      </c>
      <c r="T5639">
        <v>4</v>
      </c>
      <c r="U5639" t="s">
        <v>28</v>
      </c>
      <c r="V5639" t="s">
        <v>28</v>
      </c>
      <c r="W5639">
        <v>22</v>
      </c>
      <c r="X5639">
        <v>1.205E-2</v>
      </c>
      <c r="Y5639" s="6">
        <f t="shared" si="97"/>
        <v>9.4400000000000005E-3</v>
      </c>
      <c r="Z5639">
        <f>0.01677-X5639</f>
        <v>4.7200000000000002E-3</v>
      </c>
      <c r="AA5639" s="6"/>
      <c r="AB5639" s="6"/>
    </row>
    <row r="5640" spans="1:28" x14ac:dyDescent="0.2">
      <c r="A5640" t="s">
        <v>630</v>
      </c>
      <c r="B5640">
        <v>2008</v>
      </c>
      <c r="C5640" t="s">
        <v>807</v>
      </c>
      <c r="D5640" t="s">
        <v>825</v>
      </c>
      <c r="E5640" t="s">
        <v>35</v>
      </c>
      <c r="F5640" t="s">
        <v>629</v>
      </c>
      <c r="G5640">
        <v>32.677660000000003</v>
      </c>
      <c r="H5640">
        <v>-117.181724</v>
      </c>
      <c r="I5640" t="s">
        <v>772</v>
      </c>
      <c r="J5640" s="2" t="s">
        <v>14</v>
      </c>
      <c r="K5640" t="s">
        <v>3</v>
      </c>
      <c r="L5640" t="s">
        <v>3</v>
      </c>
      <c r="M5640" t="s">
        <v>637</v>
      </c>
      <c r="N5640" t="s">
        <v>86</v>
      </c>
      <c r="O5640" t="s">
        <v>233</v>
      </c>
      <c r="P5640" t="s">
        <v>287</v>
      </c>
      <c r="Q5640">
        <v>0.04</v>
      </c>
      <c r="R5640" t="s">
        <v>213</v>
      </c>
      <c r="S5640" s="2" t="s">
        <v>27</v>
      </c>
      <c r="T5640">
        <v>4</v>
      </c>
      <c r="U5640" t="s">
        <v>28</v>
      </c>
      <c r="V5640" t="s">
        <v>28</v>
      </c>
      <c r="W5640">
        <v>22</v>
      </c>
      <c r="X5640">
        <v>3.4410000000000003E-2</v>
      </c>
      <c r="Y5640" s="6">
        <f t="shared" si="97"/>
        <v>3.5979999999999998E-2</v>
      </c>
      <c r="Z5640">
        <f>0.0524-X5640</f>
        <v>1.7989999999999999E-2</v>
      </c>
      <c r="AA5640" s="6"/>
      <c r="AB5640" s="6"/>
    </row>
    <row r="5641" spans="1:28" x14ac:dyDescent="0.2">
      <c r="A5641" t="s">
        <v>630</v>
      </c>
      <c r="B5641">
        <v>2008</v>
      </c>
      <c r="C5641" t="s">
        <v>807</v>
      </c>
      <c r="D5641" t="s">
        <v>825</v>
      </c>
      <c r="E5641" t="s">
        <v>35</v>
      </c>
      <c r="F5641" t="s">
        <v>625</v>
      </c>
      <c r="G5641">
        <v>36.611918000000003</v>
      </c>
      <c r="H5641">
        <v>-121.89604199999999</v>
      </c>
      <c r="I5641" t="s">
        <v>772</v>
      </c>
      <c r="J5641" s="2" t="s">
        <v>14</v>
      </c>
      <c r="K5641" t="s">
        <v>3</v>
      </c>
      <c r="L5641" t="s">
        <v>3</v>
      </c>
      <c r="M5641" t="s">
        <v>637</v>
      </c>
      <c r="N5641" t="s">
        <v>86</v>
      </c>
      <c r="O5641" t="s">
        <v>233</v>
      </c>
      <c r="P5641" t="s">
        <v>287</v>
      </c>
      <c r="Q5641">
        <v>0.04</v>
      </c>
      <c r="R5641" t="s">
        <v>213</v>
      </c>
      <c r="S5641" s="2" t="s">
        <v>13</v>
      </c>
      <c r="T5641">
        <v>4</v>
      </c>
      <c r="U5641" t="s">
        <v>28</v>
      </c>
      <c r="V5641" t="s">
        <v>28</v>
      </c>
      <c r="W5641">
        <v>26</v>
      </c>
      <c r="X5641">
        <v>6.6549999999999998E-2</v>
      </c>
      <c r="Y5641" s="6">
        <f t="shared" si="97"/>
        <v>9.5019999999999993E-2</v>
      </c>
      <c r="Z5641">
        <f>0.11406-X5641</f>
        <v>4.7509999999999997E-2</v>
      </c>
      <c r="AA5641" s="6"/>
      <c r="AB5641" s="6"/>
    </row>
    <row r="5642" spans="1:28" x14ac:dyDescent="0.2">
      <c r="A5642" t="s">
        <v>630</v>
      </c>
      <c r="B5642">
        <v>2008</v>
      </c>
      <c r="C5642" t="s">
        <v>807</v>
      </c>
      <c r="D5642" t="s">
        <v>825</v>
      </c>
      <c r="E5642" t="s">
        <v>35</v>
      </c>
      <c r="F5642" t="s">
        <v>626</v>
      </c>
      <c r="G5642">
        <v>34.405175999999997</v>
      </c>
      <c r="H5642">
        <v>-119.69196100000001</v>
      </c>
      <c r="I5642" t="s">
        <v>772</v>
      </c>
      <c r="J5642" s="2" t="s">
        <v>14</v>
      </c>
      <c r="K5642" t="s">
        <v>3</v>
      </c>
      <c r="L5642" t="s">
        <v>3</v>
      </c>
      <c r="M5642" t="s">
        <v>637</v>
      </c>
      <c r="N5642" t="s">
        <v>86</v>
      </c>
      <c r="O5642" t="s">
        <v>233</v>
      </c>
      <c r="P5642" t="s">
        <v>287</v>
      </c>
      <c r="Q5642">
        <v>0.04</v>
      </c>
      <c r="R5642" t="s">
        <v>213</v>
      </c>
      <c r="S5642" s="2" t="s">
        <v>13</v>
      </c>
      <c r="T5642">
        <v>4</v>
      </c>
      <c r="U5642" t="s">
        <v>28</v>
      </c>
      <c r="V5642" t="s">
        <v>28</v>
      </c>
      <c r="W5642">
        <v>26</v>
      </c>
      <c r="X5642">
        <v>1.6420000000000001E-2</v>
      </c>
      <c r="Y5642" s="6">
        <f t="shared" si="97"/>
        <v>9.0799999999999978E-3</v>
      </c>
      <c r="Z5642">
        <f>0.02096-X5642</f>
        <v>4.5399999999999989E-3</v>
      </c>
      <c r="AA5642" s="6"/>
      <c r="AB5642" s="6"/>
    </row>
    <row r="5643" spans="1:28" x14ac:dyDescent="0.2">
      <c r="A5643" t="s">
        <v>630</v>
      </c>
      <c r="B5643">
        <v>2008</v>
      </c>
      <c r="C5643" t="s">
        <v>807</v>
      </c>
      <c r="D5643" t="s">
        <v>825</v>
      </c>
      <c r="E5643" t="s">
        <v>35</v>
      </c>
      <c r="F5643" t="s">
        <v>627</v>
      </c>
      <c r="G5643">
        <v>33.717582</v>
      </c>
      <c r="H5643">
        <v>-118.278361</v>
      </c>
      <c r="I5643" t="s">
        <v>772</v>
      </c>
      <c r="J5643" s="2" t="s">
        <v>14</v>
      </c>
      <c r="K5643" t="s">
        <v>3</v>
      </c>
      <c r="L5643" t="s">
        <v>3</v>
      </c>
      <c r="M5643" t="s">
        <v>637</v>
      </c>
      <c r="N5643" t="s">
        <v>86</v>
      </c>
      <c r="O5643" t="s">
        <v>233</v>
      </c>
      <c r="P5643" t="s">
        <v>287</v>
      </c>
      <c r="Q5643">
        <v>0.04</v>
      </c>
      <c r="R5643" t="s">
        <v>213</v>
      </c>
      <c r="S5643" s="2" t="s">
        <v>13</v>
      </c>
      <c r="T5643">
        <v>4</v>
      </c>
      <c r="U5643" t="s">
        <v>28</v>
      </c>
      <c r="V5643" t="s">
        <v>28</v>
      </c>
      <c r="W5643">
        <v>26</v>
      </c>
      <c r="X5643">
        <v>1.7819999999999999E-2</v>
      </c>
      <c r="Y5643" s="6">
        <f t="shared" si="97"/>
        <v>1.7460000000000003E-2</v>
      </c>
      <c r="Z5643">
        <f>0.02655-X5643</f>
        <v>8.7300000000000016E-3</v>
      </c>
      <c r="AA5643" s="6"/>
      <c r="AB5643" s="6"/>
    </row>
    <row r="5644" spans="1:28" x14ac:dyDescent="0.2">
      <c r="A5644" t="s">
        <v>630</v>
      </c>
      <c r="B5644">
        <v>2008</v>
      </c>
      <c r="C5644" t="s">
        <v>807</v>
      </c>
      <c r="D5644" t="s">
        <v>825</v>
      </c>
      <c r="E5644" t="s">
        <v>35</v>
      </c>
      <c r="F5644" t="s">
        <v>629</v>
      </c>
      <c r="G5644">
        <v>32.677660000000003</v>
      </c>
      <c r="H5644">
        <v>-117.181724</v>
      </c>
      <c r="I5644" t="s">
        <v>772</v>
      </c>
      <c r="J5644" s="2" t="s">
        <v>14</v>
      </c>
      <c r="K5644" t="s">
        <v>3</v>
      </c>
      <c r="L5644" t="s">
        <v>3</v>
      </c>
      <c r="M5644" t="s">
        <v>637</v>
      </c>
      <c r="N5644" t="s">
        <v>86</v>
      </c>
      <c r="O5644" t="s">
        <v>233</v>
      </c>
      <c r="P5644" t="s">
        <v>287</v>
      </c>
      <c r="Q5644">
        <v>0.04</v>
      </c>
      <c r="R5644" t="s">
        <v>213</v>
      </c>
      <c r="S5644" s="2" t="s">
        <v>13</v>
      </c>
      <c r="T5644">
        <v>4</v>
      </c>
      <c r="U5644" t="s">
        <v>28</v>
      </c>
      <c r="V5644" t="s">
        <v>28</v>
      </c>
      <c r="W5644">
        <v>26</v>
      </c>
      <c r="X5644">
        <v>3.1269999999999999E-2</v>
      </c>
      <c r="Y5644" s="6">
        <f t="shared" si="97"/>
        <v>1.6060000000000005E-2</v>
      </c>
      <c r="Z5644">
        <f>0.0393-X5644</f>
        <v>8.0300000000000024E-3</v>
      </c>
      <c r="AA5644" s="6"/>
      <c r="AB5644" s="6"/>
    </row>
    <row r="5645" spans="1:28" x14ac:dyDescent="0.2">
      <c r="A5645" t="s">
        <v>630</v>
      </c>
      <c r="B5645">
        <v>2008</v>
      </c>
      <c r="C5645" t="s">
        <v>807</v>
      </c>
      <c r="D5645" t="s">
        <v>825</v>
      </c>
      <c r="E5645" t="s">
        <v>35</v>
      </c>
      <c r="F5645" t="s">
        <v>625</v>
      </c>
      <c r="G5645">
        <v>36.611918000000003</v>
      </c>
      <c r="H5645">
        <v>-121.89604199999999</v>
      </c>
      <c r="I5645" t="s">
        <v>772</v>
      </c>
      <c r="J5645" s="2" t="s">
        <v>14</v>
      </c>
      <c r="K5645" t="s">
        <v>3</v>
      </c>
      <c r="L5645" t="s">
        <v>3</v>
      </c>
      <c r="M5645" t="s">
        <v>637</v>
      </c>
      <c r="N5645" t="s">
        <v>86</v>
      </c>
      <c r="O5645" t="s">
        <v>233</v>
      </c>
      <c r="P5645" t="s">
        <v>287</v>
      </c>
      <c r="Q5645">
        <v>0.04</v>
      </c>
      <c r="R5645" t="s">
        <v>213</v>
      </c>
      <c r="S5645" s="2" t="s">
        <v>15</v>
      </c>
      <c r="T5645">
        <v>4</v>
      </c>
      <c r="U5645" t="s">
        <v>28</v>
      </c>
      <c r="V5645" t="s">
        <v>28</v>
      </c>
      <c r="W5645">
        <v>31</v>
      </c>
      <c r="X5645">
        <v>5.3100000000000001E-2</v>
      </c>
      <c r="Y5645" s="6">
        <f t="shared" si="97"/>
        <v>8.7679999999999994E-2</v>
      </c>
      <c r="Z5645">
        <f>0.09694-X5645</f>
        <v>4.3839999999999997E-2</v>
      </c>
      <c r="AA5645" s="6"/>
      <c r="AB5645" s="6"/>
    </row>
    <row r="5646" spans="1:28" x14ac:dyDescent="0.2">
      <c r="A5646" t="s">
        <v>630</v>
      </c>
      <c r="B5646">
        <v>2008</v>
      </c>
      <c r="C5646" t="s">
        <v>807</v>
      </c>
      <c r="D5646" t="s">
        <v>825</v>
      </c>
      <c r="E5646" t="s">
        <v>35</v>
      </c>
      <c r="F5646" t="s">
        <v>626</v>
      </c>
      <c r="G5646">
        <v>34.405175999999997</v>
      </c>
      <c r="H5646">
        <v>-119.69196100000001</v>
      </c>
      <c r="I5646" t="s">
        <v>772</v>
      </c>
      <c r="J5646" s="2" t="s">
        <v>14</v>
      </c>
      <c r="K5646" t="s">
        <v>3</v>
      </c>
      <c r="L5646" t="s">
        <v>3</v>
      </c>
      <c r="M5646" t="s">
        <v>637</v>
      </c>
      <c r="N5646" t="s">
        <v>86</v>
      </c>
      <c r="O5646" t="s">
        <v>233</v>
      </c>
      <c r="P5646" t="s">
        <v>287</v>
      </c>
      <c r="Q5646">
        <v>0.04</v>
      </c>
      <c r="R5646" t="s">
        <v>213</v>
      </c>
      <c r="S5646" s="2" t="s">
        <v>15</v>
      </c>
      <c r="T5646">
        <v>4</v>
      </c>
      <c r="U5646" t="s">
        <v>28</v>
      </c>
      <c r="V5646" t="s">
        <v>28</v>
      </c>
      <c r="W5646">
        <v>31</v>
      </c>
      <c r="X5646">
        <v>2.6720000000000001E-2</v>
      </c>
      <c r="Y5646" s="6">
        <f t="shared" si="97"/>
        <v>1.1539999999999995E-2</v>
      </c>
      <c r="Z5646">
        <f>0.03249-X5646</f>
        <v>5.7699999999999974E-3</v>
      </c>
      <c r="AA5646" s="6"/>
      <c r="AB5646" s="6"/>
    </row>
    <row r="5647" spans="1:28" x14ac:dyDescent="0.2">
      <c r="A5647" t="s">
        <v>630</v>
      </c>
      <c r="B5647">
        <v>2008</v>
      </c>
      <c r="C5647" t="s">
        <v>807</v>
      </c>
      <c r="D5647" t="s">
        <v>825</v>
      </c>
      <c r="E5647" t="s">
        <v>35</v>
      </c>
      <c r="F5647" t="s">
        <v>627</v>
      </c>
      <c r="G5647">
        <v>33.717582</v>
      </c>
      <c r="H5647">
        <v>-118.278361</v>
      </c>
      <c r="I5647" t="s">
        <v>772</v>
      </c>
      <c r="J5647" s="2" t="s">
        <v>14</v>
      </c>
      <c r="K5647" t="s">
        <v>3</v>
      </c>
      <c r="L5647" t="s">
        <v>3</v>
      </c>
      <c r="M5647" t="s">
        <v>637</v>
      </c>
      <c r="N5647" t="s">
        <v>86</v>
      </c>
      <c r="O5647" t="s">
        <v>233</v>
      </c>
      <c r="P5647" t="s">
        <v>287</v>
      </c>
      <c r="Q5647">
        <v>0.04</v>
      </c>
      <c r="R5647" t="s">
        <v>213</v>
      </c>
      <c r="S5647" s="2" t="s">
        <v>15</v>
      </c>
      <c r="T5647">
        <v>4</v>
      </c>
      <c r="U5647" t="s">
        <v>28</v>
      </c>
      <c r="V5647" t="s">
        <v>28</v>
      </c>
      <c r="W5647">
        <v>31</v>
      </c>
      <c r="X5647">
        <v>9.7800000000000005E-3</v>
      </c>
      <c r="Y5647" s="6">
        <f t="shared" si="97"/>
        <v>1.2580000000000001E-2</v>
      </c>
      <c r="Z5647">
        <f>0.01607-X5647</f>
        <v>6.2900000000000005E-3</v>
      </c>
      <c r="AA5647" s="6"/>
      <c r="AB5647" s="6"/>
    </row>
    <row r="5648" spans="1:28" x14ac:dyDescent="0.2">
      <c r="A5648" t="s">
        <v>630</v>
      </c>
      <c r="B5648">
        <v>2008</v>
      </c>
      <c r="C5648" t="s">
        <v>807</v>
      </c>
      <c r="D5648" t="s">
        <v>825</v>
      </c>
      <c r="E5648" t="s">
        <v>35</v>
      </c>
      <c r="F5648" t="s">
        <v>629</v>
      </c>
      <c r="G5648">
        <v>32.677660000000003</v>
      </c>
      <c r="H5648">
        <v>-117.181724</v>
      </c>
      <c r="I5648" t="s">
        <v>772</v>
      </c>
      <c r="J5648" s="2" t="s">
        <v>14</v>
      </c>
      <c r="K5648" t="s">
        <v>3</v>
      </c>
      <c r="L5648" t="s">
        <v>3</v>
      </c>
      <c r="M5648" t="s">
        <v>637</v>
      </c>
      <c r="N5648" t="s">
        <v>86</v>
      </c>
      <c r="O5648" t="s">
        <v>233</v>
      </c>
      <c r="P5648" t="s">
        <v>287</v>
      </c>
      <c r="Q5648">
        <v>0.04</v>
      </c>
      <c r="R5648" t="s">
        <v>213</v>
      </c>
      <c r="S5648" s="2" t="s">
        <v>15</v>
      </c>
      <c r="T5648">
        <v>4</v>
      </c>
      <c r="U5648" t="s">
        <v>28</v>
      </c>
      <c r="V5648" t="s">
        <v>28</v>
      </c>
      <c r="W5648">
        <v>31</v>
      </c>
      <c r="X5648">
        <v>1.362E-2</v>
      </c>
      <c r="Y5648" s="6">
        <f t="shared" si="97"/>
        <v>2.4460000000000003E-2</v>
      </c>
      <c r="Z5648">
        <f>0.02585-X5648</f>
        <v>1.2230000000000001E-2</v>
      </c>
      <c r="AA5648" s="6"/>
      <c r="AB5648" s="6"/>
    </row>
    <row r="5649" spans="1:28" x14ac:dyDescent="0.2">
      <c r="A5649" t="s">
        <v>630</v>
      </c>
      <c r="B5649">
        <v>2008</v>
      </c>
      <c r="C5649" t="s">
        <v>807</v>
      </c>
      <c r="D5649" t="s">
        <v>825</v>
      </c>
      <c r="E5649" t="s">
        <v>35</v>
      </c>
      <c r="F5649" t="s">
        <v>625</v>
      </c>
      <c r="G5649">
        <v>36.611918000000003</v>
      </c>
      <c r="H5649">
        <v>-121.89604199999999</v>
      </c>
      <c r="I5649" t="s">
        <v>772</v>
      </c>
      <c r="J5649" s="2" t="s">
        <v>14</v>
      </c>
      <c r="K5649" t="s">
        <v>3</v>
      </c>
      <c r="L5649" t="s">
        <v>3</v>
      </c>
      <c r="M5649" t="s">
        <v>637</v>
      </c>
      <c r="N5649" t="s">
        <v>86</v>
      </c>
      <c r="O5649" t="s">
        <v>233</v>
      </c>
      <c r="P5649" t="s">
        <v>287</v>
      </c>
      <c r="Q5649">
        <v>0.04</v>
      </c>
      <c r="R5649" t="s">
        <v>213</v>
      </c>
      <c r="S5649" s="2" t="s">
        <v>37</v>
      </c>
      <c r="T5649">
        <v>4</v>
      </c>
      <c r="U5649" t="s">
        <v>28</v>
      </c>
      <c r="V5649" t="s">
        <v>28</v>
      </c>
      <c r="W5649">
        <v>33</v>
      </c>
      <c r="X5649">
        <v>3.14E-3</v>
      </c>
      <c r="Y5649" s="6">
        <f t="shared" si="97"/>
        <v>2.4599999999999995E-3</v>
      </c>
      <c r="Z5649">
        <f>0.00437-X5649</f>
        <v>1.2299999999999998E-3</v>
      </c>
      <c r="AA5649" s="6"/>
      <c r="AB5649" s="6"/>
    </row>
    <row r="5650" spans="1:28" x14ac:dyDescent="0.2">
      <c r="A5650" t="s">
        <v>630</v>
      </c>
      <c r="B5650">
        <v>2008</v>
      </c>
      <c r="C5650" t="s">
        <v>807</v>
      </c>
      <c r="D5650" t="s">
        <v>825</v>
      </c>
      <c r="E5650" t="s">
        <v>35</v>
      </c>
      <c r="F5650" t="s">
        <v>626</v>
      </c>
      <c r="G5650">
        <v>34.405175999999997</v>
      </c>
      <c r="H5650">
        <v>-119.69196100000001</v>
      </c>
      <c r="I5650" t="s">
        <v>772</v>
      </c>
      <c r="J5650" s="2" t="s">
        <v>14</v>
      </c>
      <c r="K5650" t="s">
        <v>3</v>
      </c>
      <c r="L5650" t="s">
        <v>3</v>
      </c>
      <c r="M5650" t="s">
        <v>637</v>
      </c>
      <c r="N5650" t="s">
        <v>86</v>
      </c>
      <c r="O5650" t="s">
        <v>233</v>
      </c>
      <c r="P5650" t="s">
        <v>287</v>
      </c>
      <c r="Q5650">
        <v>0.04</v>
      </c>
      <c r="R5650" t="s">
        <v>213</v>
      </c>
      <c r="S5650" s="2" t="s">
        <v>37</v>
      </c>
      <c r="T5650">
        <v>4</v>
      </c>
      <c r="U5650" t="s">
        <v>28</v>
      </c>
      <c r="V5650" t="s">
        <v>28</v>
      </c>
      <c r="W5650">
        <v>33</v>
      </c>
      <c r="X5650">
        <v>7.4060000000000001E-2</v>
      </c>
      <c r="Y5650" s="6">
        <f t="shared" si="97"/>
        <v>0.13065999999999997</v>
      </c>
      <c r="Z5650">
        <f>0.13939-X5650</f>
        <v>6.5329999999999985E-2</v>
      </c>
      <c r="AA5650" s="6"/>
      <c r="AB5650" s="6"/>
    </row>
    <row r="5651" spans="1:28" x14ac:dyDescent="0.2">
      <c r="A5651" t="s">
        <v>630</v>
      </c>
      <c r="B5651">
        <v>2008</v>
      </c>
      <c r="C5651" t="s">
        <v>807</v>
      </c>
      <c r="D5651" t="s">
        <v>825</v>
      </c>
      <c r="E5651" t="s">
        <v>35</v>
      </c>
      <c r="F5651" t="s">
        <v>627</v>
      </c>
      <c r="G5651">
        <v>33.717582</v>
      </c>
      <c r="H5651">
        <v>-118.278361</v>
      </c>
      <c r="I5651" t="s">
        <v>772</v>
      </c>
      <c r="J5651" s="2" t="s">
        <v>14</v>
      </c>
      <c r="K5651" t="s">
        <v>3</v>
      </c>
      <c r="L5651" t="s">
        <v>3</v>
      </c>
      <c r="M5651" t="s">
        <v>637</v>
      </c>
      <c r="N5651" t="s">
        <v>86</v>
      </c>
      <c r="O5651" t="s">
        <v>233</v>
      </c>
      <c r="P5651" t="s">
        <v>287</v>
      </c>
      <c r="Q5651">
        <v>0.04</v>
      </c>
      <c r="R5651" t="s">
        <v>213</v>
      </c>
      <c r="S5651" s="2" t="s">
        <v>37</v>
      </c>
      <c r="T5651">
        <v>4</v>
      </c>
      <c r="U5651" t="s">
        <v>28</v>
      </c>
      <c r="V5651" t="s">
        <v>28</v>
      </c>
      <c r="W5651">
        <v>33</v>
      </c>
      <c r="X5651">
        <v>8.7299999999999999E-3</v>
      </c>
      <c r="Y5651" s="6">
        <f t="shared" ref="Y5651:Y5656" si="99">Z5651*SQRT(T5651)</f>
        <v>7.6999999999999985E-3</v>
      </c>
      <c r="Z5651">
        <f>0.01258-X5651</f>
        <v>3.8499999999999993E-3</v>
      </c>
      <c r="AA5651" s="6"/>
      <c r="AB5651" s="6"/>
    </row>
    <row r="5652" spans="1:28" x14ac:dyDescent="0.2">
      <c r="A5652" t="s">
        <v>630</v>
      </c>
      <c r="B5652">
        <v>2008</v>
      </c>
      <c r="C5652" t="s">
        <v>807</v>
      </c>
      <c r="D5652" t="s">
        <v>825</v>
      </c>
      <c r="E5652" t="s">
        <v>35</v>
      </c>
      <c r="F5652" t="s">
        <v>629</v>
      </c>
      <c r="G5652">
        <v>32.677660000000003</v>
      </c>
      <c r="H5652">
        <v>-117.181724</v>
      </c>
      <c r="I5652" t="s">
        <v>772</v>
      </c>
      <c r="J5652" s="2" t="s">
        <v>14</v>
      </c>
      <c r="K5652" t="s">
        <v>3</v>
      </c>
      <c r="L5652" t="s">
        <v>3</v>
      </c>
      <c r="M5652" t="s">
        <v>637</v>
      </c>
      <c r="N5652" t="s">
        <v>86</v>
      </c>
      <c r="O5652" t="s">
        <v>233</v>
      </c>
      <c r="P5652" t="s">
        <v>287</v>
      </c>
      <c r="Q5652">
        <v>0.04</v>
      </c>
      <c r="R5652" t="s">
        <v>213</v>
      </c>
      <c r="S5652" s="2" t="s">
        <v>37</v>
      </c>
      <c r="T5652">
        <v>4</v>
      </c>
      <c r="U5652" t="s">
        <v>28</v>
      </c>
      <c r="V5652" t="s">
        <v>28</v>
      </c>
      <c r="W5652">
        <v>33</v>
      </c>
      <c r="X5652">
        <v>1.345E-2</v>
      </c>
      <c r="Y5652" s="6">
        <f t="shared" si="99"/>
        <v>6.2800000000000009E-3</v>
      </c>
      <c r="Z5652">
        <f>0.01659-X5652</f>
        <v>3.1400000000000004E-3</v>
      </c>
      <c r="AA5652" s="6"/>
      <c r="AB5652" s="6"/>
    </row>
    <row r="5653" spans="1:28" x14ac:dyDescent="0.2">
      <c r="A5653" t="s">
        <v>630</v>
      </c>
      <c r="B5653">
        <v>2008</v>
      </c>
      <c r="C5653" t="s">
        <v>807</v>
      </c>
      <c r="D5653" t="s">
        <v>825</v>
      </c>
      <c r="E5653" t="s">
        <v>35</v>
      </c>
      <c r="F5653" t="s">
        <v>625</v>
      </c>
      <c r="G5653">
        <v>36.611918000000003</v>
      </c>
      <c r="H5653">
        <v>-121.89604199999999</v>
      </c>
      <c r="I5653" t="s">
        <v>772</v>
      </c>
      <c r="J5653" s="2" t="s">
        <v>14</v>
      </c>
      <c r="K5653" t="s">
        <v>3</v>
      </c>
      <c r="L5653" t="s">
        <v>3</v>
      </c>
      <c r="M5653" t="s">
        <v>637</v>
      </c>
      <c r="N5653" t="s">
        <v>86</v>
      </c>
      <c r="O5653" t="s">
        <v>233</v>
      </c>
      <c r="P5653" t="s">
        <v>287</v>
      </c>
      <c r="Q5653">
        <v>0.04</v>
      </c>
      <c r="R5653" t="s">
        <v>213</v>
      </c>
      <c r="S5653" s="2" t="s">
        <v>116</v>
      </c>
      <c r="T5653">
        <v>4</v>
      </c>
      <c r="U5653" t="s">
        <v>28</v>
      </c>
      <c r="V5653" t="s">
        <v>28</v>
      </c>
      <c r="W5653">
        <v>36</v>
      </c>
      <c r="X5653">
        <v>2.7899999999999999E-3</v>
      </c>
      <c r="Y5653" s="6">
        <f t="shared" si="99"/>
        <v>4.2000000000000006E-3</v>
      </c>
      <c r="Z5653">
        <f>0.00489-X5653</f>
        <v>2.1000000000000003E-3</v>
      </c>
      <c r="AA5653" s="6"/>
      <c r="AB5653" s="6"/>
    </row>
    <row r="5654" spans="1:28" x14ac:dyDescent="0.2">
      <c r="A5654" t="s">
        <v>630</v>
      </c>
      <c r="B5654">
        <v>2008</v>
      </c>
      <c r="C5654" t="s">
        <v>807</v>
      </c>
      <c r="D5654" t="s">
        <v>825</v>
      </c>
      <c r="E5654" t="s">
        <v>35</v>
      </c>
      <c r="F5654" t="s">
        <v>626</v>
      </c>
      <c r="G5654">
        <v>34.405175999999997</v>
      </c>
      <c r="H5654">
        <v>-119.69196100000001</v>
      </c>
      <c r="I5654" t="s">
        <v>772</v>
      </c>
      <c r="J5654" s="2" t="s">
        <v>14</v>
      </c>
      <c r="K5654" t="s">
        <v>3</v>
      </c>
      <c r="L5654" t="s">
        <v>3</v>
      </c>
      <c r="M5654" t="s">
        <v>637</v>
      </c>
      <c r="N5654" t="s">
        <v>86</v>
      </c>
      <c r="O5654" t="s">
        <v>233</v>
      </c>
      <c r="P5654" t="s">
        <v>287</v>
      </c>
      <c r="Q5654">
        <v>0.04</v>
      </c>
      <c r="R5654" t="s">
        <v>213</v>
      </c>
      <c r="S5654" s="2" t="s">
        <v>116</v>
      </c>
      <c r="T5654">
        <v>4</v>
      </c>
      <c r="U5654" t="s">
        <v>28</v>
      </c>
      <c r="V5654" t="s">
        <v>28</v>
      </c>
      <c r="W5654">
        <v>36</v>
      </c>
      <c r="X5654">
        <v>1.9910000000000001E-2</v>
      </c>
      <c r="Y5654" s="6">
        <f t="shared" si="99"/>
        <v>1.8180000000000002E-2</v>
      </c>
      <c r="Z5654">
        <f>0.029-X5654</f>
        <v>9.0900000000000009E-3</v>
      </c>
      <c r="AA5654" s="6"/>
      <c r="AB5654" s="6"/>
    </row>
    <row r="5655" spans="1:28" x14ac:dyDescent="0.2">
      <c r="A5655" t="s">
        <v>630</v>
      </c>
      <c r="B5655">
        <v>2008</v>
      </c>
      <c r="C5655" t="s">
        <v>807</v>
      </c>
      <c r="D5655" t="s">
        <v>825</v>
      </c>
      <c r="E5655" t="s">
        <v>35</v>
      </c>
      <c r="F5655" t="s">
        <v>627</v>
      </c>
      <c r="G5655">
        <v>33.717582</v>
      </c>
      <c r="H5655">
        <v>-118.278361</v>
      </c>
      <c r="I5655" t="s">
        <v>772</v>
      </c>
      <c r="J5655" s="2" t="s">
        <v>14</v>
      </c>
      <c r="K5655" t="s">
        <v>3</v>
      </c>
      <c r="L5655" t="s">
        <v>3</v>
      </c>
      <c r="M5655" t="s">
        <v>637</v>
      </c>
      <c r="N5655" t="s">
        <v>86</v>
      </c>
      <c r="O5655" t="s">
        <v>233</v>
      </c>
      <c r="P5655" t="s">
        <v>287</v>
      </c>
      <c r="Q5655">
        <v>0.04</v>
      </c>
      <c r="R5655" t="s">
        <v>213</v>
      </c>
      <c r="S5655" s="2" t="s">
        <v>116</v>
      </c>
      <c r="T5655">
        <v>4</v>
      </c>
      <c r="U5655" t="s">
        <v>28</v>
      </c>
      <c r="V5655" t="s">
        <v>28</v>
      </c>
      <c r="W5655">
        <v>36</v>
      </c>
      <c r="X5655">
        <v>1.048E-2</v>
      </c>
      <c r="Y5655" s="6">
        <f t="shared" si="99"/>
        <v>1.9560000000000001E-2</v>
      </c>
      <c r="Z5655">
        <f>0.02026-X5655</f>
        <v>9.7800000000000005E-3</v>
      </c>
      <c r="AA5655" s="6"/>
      <c r="AB5655" s="6"/>
    </row>
    <row r="5656" spans="1:28" x14ac:dyDescent="0.2">
      <c r="A5656" t="s">
        <v>630</v>
      </c>
      <c r="B5656">
        <v>2008</v>
      </c>
      <c r="C5656" t="s">
        <v>807</v>
      </c>
      <c r="D5656" t="s">
        <v>825</v>
      </c>
      <c r="E5656" t="s">
        <v>35</v>
      </c>
      <c r="F5656" t="s">
        <v>629</v>
      </c>
      <c r="G5656">
        <v>32.677660000000003</v>
      </c>
      <c r="H5656">
        <v>-117.181724</v>
      </c>
      <c r="I5656" t="s">
        <v>772</v>
      </c>
      <c r="J5656" s="2" t="s">
        <v>14</v>
      </c>
      <c r="K5656" t="s">
        <v>3</v>
      </c>
      <c r="L5656" t="s">
        <v>3</v>
      </c>
      <c r="M5656" t="s">
        <v>637</v>
      </c>
      <c r="N5656" t="s">
        <v>86</v>
      </c>
      <c r="O5656" t="s">
        <v>233</v>
      </c>
      <c r="P5656" t="s">
        <v>287</v>
      </c>
      <c r="Q5656">
        <v>0.04</v>
      </c>
      <c r="R5656" t="s">
        <v>213</v>
      </c>
      <c r="S5656" t="s">
        <v>116</v>
      </c>
      <c r="T5656">
        <v>4</v>
      </c>
      <c r="U5656" t="s">
        <v>28</v>
      </c>
      <c r="V5656" t="s">
        <v>28</v>
      </c>
      <c r="W5656">
        <v>36</v>
      </c>
      <c r="X5656">
        <v>5.4850000000000003E-2</v>
      </c>
      <c r="Y5656" s="6">
        <f t="shared" si="99"/>
        <v>1.0819999999999996E-2</v>
      </c>
      <c r="Z5656">
        <f>0.06026-X5656</f>
        <v>5.4099999999999981E-3</v>
      </c>
      <c r="AA5656" s="6"/>
      <c r="AB5656" s="6"/>
    </row>
    <row r="5657" spans="1:28" x14ac:dyDescent="0.2">
      <c r="A5657" t="s">
        <v>639</v>
      </c>
      <c r="B5657">
        <v>2016</v>
      </c>
      <c r="C5657" t="s">
        <v>826</v>
      </c>
      <c r="D5657" t="s">
        <v>812</v>
      </c>
      <c r="E5657" t="s">
        <v>338</v>
      </c>
      <c r="F5657" t="s">
        <v>640</v>
      </c>
      <c r="G5657">
        <v>32.24</v>
      </c>
      <c r="H5657">
        <v>130.158333</v>
      </c>
      <c r="I5657" t="s">
        <v>771</v>
      </c>
      <c r="J5657" s="2" t="s">
        <v>7</v>
      </c>
      <c r="K5657" t="s">
        <v>144</v>
      </c>
      <c r="L5657" t="s">
        <v>144</v>
      </c>
      <c r="M5657" t="s">
        <v>726</v>
      </c>
      <c r="N5657" t="s">
        <v>85</v>
      </c>
      <c r="O5657" t="s">
        <v>84</v>
      </c>
      <c r="Q5657">
        <f>0.5/24</f>
        <v>2.0833333333333332E-2</v>
      </c>
      <c r="R5657" t="s">
        <v>213</v>
      </c>
      <c r="S5657" s="2" t="s">
        <v>7</v>
      </c>
      <c r="T5657">
        <v>10</v>
      </c>
      <c r="U5657" t="s">
        <v>28</v>
      </c>
      <c r="V5657" t="s">
        <v>28</v>
      </c>
      <c r="W5657">
        <v>20</v>
      </c>
      <c r="X5657" s="3"/>
      <c r="Y5657" s="3"/>
      <c r="Z5657" s="3"/>
    </row>
    <row r="5658" spans="1:28" x14ac:dyDescent="0.2">
      <c r="A5658" t="s">
        <v>639</v>
      </c>
      <c r="B5658">
        <v>2016</v>
      </c>
      <c r="C5658" t="s">
        <v>826</v>
      </c>
      <c r="D5658" t="s">
        <v>812</v>
      </c>
      <c r="E5658" t="s">
        <v>338</v>
      </c>
      <c r="F5658" t="s">
        <v>640</v>
      </c>
      <c r="G5658">
        <v>32.24</v>
      </c>
      <c r="H5658">
        <v>130.158333</v>
      </c>
      <c r="I5658" t="s">
        <v>771</v>
      </c>
      <c r="J5658" s="2" t="s">
        <v>14</v>
      </c>
      <c r="K5658" t="s">
        <v>144</v>
      </c>
      <c r="L5658" t="s">
        <v>144</v>
      </c>
      <c r="M5658" t="s">
        <v>726</v>
      </c>
      <c r="N5658" t="s">
        <v>85</v>
      </c>
      <c r="O5658" t="s">
        <v>84</v>
      </c>
      <c r="Q5658">
        <f>0.5/24</f>
        <v>2.0833333333333332E-2</v>
      </c>
      <c r="R5658" t="s">
        <v>213</v>
      </c>
      <c r="S5658" s="2" t="s">
        <v>9</v>
      </c>
      <c r="T5658">
        <v>10</v>
      </c>
      <c r="U5658" t="s">
        <v>28</v>
      </c>
      <c r="V5658" t="s">
        <v>28</v>
      </c>
      <c r="W5658">
        <v>22</v>
      </c>
      <c r="X5658" s="3"/>
      <c r="Y5658" s="3"/>
      <c r="Z5658" s="3"/>
    </row>
    <row r="5659" spans="1:28" x14ac:dyDescent="0.2">
      <c r="A5659" t="s">
        <v>639</v>
      </c>
      <c r="B5659">
        <v>2016</v>
      </c>
      <c r="C5659" t="s">
        <v>826</v>
      </c>
      <c r="D5659" t="s">
        <v>812</v>
      </c>
      <c r="E5659" t="s">
        <v>338</v>
      </c>
      <c r="F5659" t="s">
        <v>640</v>
      </c>
      <c r="G5659">
        <v>32.24</v>
      </c>
      <c r="H5659">
        <v>130.158333</v>
      </c>
      <c r="I5659" t="s">
        <v>771</v>
      </c>
      <c r="J5659" s="2" t="s">
        <v>14</v>
      </c>
      <c r="K5659" t="s">
        <v>144</v>
      </c>
      <c r="L5659" t="s">
        <v>144</v>
      </c>
      <c r="M5659" t="s">
        <v>726</v>
      </c>
      <c r="N5659" t="s">
        <v>85</v>
      </c>
      <c r="O5659" t="s">
        <v>84</v>
      </c>
      <c r="Q5659">
        <f t="shared" ref="Q5659:Q5722" si="100">0.5/24</f>
        <v>2.0833333333333332E-2</v>
      </c>
      <c r="R5659" t="s">
        <v>213</v>
      </c>
      <c r="S5659" s="2" t="s">
        <v>27</v>
      </c>
      <c r="T5659">
        <v>10</v>
      </c>
      <c r="U5659" t="s">
        <v>28</v>
      </c>
      <c r="V5659" t="s">
        <v>28</v>
      </c>
      <c r="W5659">
        <v>24</v>
      </c>
      <c r="X5659" s="3"/>
      <c r="Y5659" s="3"/>
      <c r="Z5659" s="3"/>
    </row>
    <row r="5660" spans="1:28" x14ac:dyDescent="0.2">
      <c r="A5660" t="s">
        <v>639</v>
      </c>
      <c r="B5660">
        <v>2016</v>
      </c>
      <c r="C5660" t="s">
        <v>826</v>
      </c>
      <c r="D5660" t="s">
        <v>812</v>
      </c>
      <c r="E5660" t="s">
        <v>338</v>
      </c>
      <c r="F5660" t="s">
        <v>640</v>
      </c>
      <c r="G5660">
        <v>32.24</v>
      </c>
      <c r="H5660">
        <v>130.158333</v>
      </c>
      <c r="I5660" t="s">
        <v>771</v>
      </c>
      <c r="J5660" s="2" t="s">
        <v>14</v>
      </c>
      <c r="K5660" t="s">
        <v>144</v>
      </c>
      <c r="L5660" t="s">
        <v>144</v>
      </c>
      <c r="M5660" t="s">
        <v>726</v>
      </c>
      <c r="N5660" t="s">
        <v>85</v>
      </c>
      <c r="O5660" t="s">
        <v>84</v>
      </c>
      <c r="Q5660">
        <f t="shared" si="100"/>
        <v>2.0833333333333332E-2</v>
      </c>
      <c r="R5660" t="s">
        <v>213</v>
      </c>
      <c r="S5660" s="2" t="s">
        <v>13</v>
      </c>
      <c r="T5660">
        <v>10</v>
      </c>
      <c r="U5660" t="s">
        <v>28</v>
      </c>
      <c r="V5660" t="s">
        <v>28</v>
      </c>
      <c r="W5660">
        <v>26</v>
      </c>
      <c r="X5660" s="3"/>
      <c r="Y5660" s="3"/>
      <c r="Z5660" s="3"/>
    </row>
    <row r="5661" spans="1:28" x14ac:dyDescent="0.2">
      <c r="A5661" t="s">
        <v>639</v>
      </c>
      <c r="B5661">
        <v>2016</v>
      </c>
      <c r="C5661" t="s">
        <v>826</v>
      </c>
      <c r="D5661" t="s">
        <v>812</v>
      </c>
      <c r="E5661" t="s">
        <v>338</v>
      </c>
      <c r="F5661" t="s">
        <v>640</v>
      </c>
      <c r="G5661">
        <v>32.24</v>
      </c>
      <c r="H5661">
        <v>130.158333</v>
      </c>
      <c r="I5661" t="s">
        <v>771</v>
      </c>
      <c r="J5661" s="2" t="s">
        <v>14</v>
      </c>
      <c r="K5661" t="s">
        <v>144</v>
      </c>
      <c r="L5661" t="s">
        <v>144</v>
      </c>
      <c r="M5661" t="s">
        <v>726</v>
      </c>
      <c r="N5661" t="s">
        <v>85</v>
      </c>
      <c r="O5661" t="s">
        <v>84</v>
      </c>
      <c r="Q5661">
        <f t="shared" si="100"/>
        <v>2.0833333333333332E-2</v>
      </c>
      <c r="R5661" t="s">
        <v>213</v>
      </c>
      <c r="S5661" s="2" t="s">
        <v>15</v>
      </c>
      <c r="T5661">
        <v>10</v>
      </c>
      <c r="U5661" t="s">
        <v>28</v>
      </c>
      <c r="V5661" t="s">
        <v>28</v>
      </c>
      <c r="W5661">
        <v>28</v>
      </c>
      <c r="X5661" s="3"/>
      <c r="Y5661" s="3"/>
      <c r="Z5661" s="3"/>
    </row>
    <row r="5662" spans="1:28" x14ac:dyDescent="0.2">
      <c r="A5662" t="s">
        <v>639</v>
      </c>
      <c r="B5662">
        <v>2016</v>
      </c>
      <c r="C5662" t="s">
        <v>826</v>
      </c>
      <c r="D5662" t="s">
        <v>812</v>
      </c>
      <c r="E5662" t="s">
        <v>338</v>
      </c>
      <c r="F5662" t="s">
        <v>640</v>
      </c>
      <c r="G5662">
        <v>32.24</v>
      </c>
      <c r="H5662">
        <v>130.158333</v>
      </c>
      <c r="I5662" t="s">
        <v>771</v>
      </c>
      <c r="J5662" s="2" t="s">
        <v>14</v>
      </c>
      <c r="K5662" t="s">
        <v>144</v>
      </c>
      <c r="L5662" t="s">
        <v>144</v>
      </c>
      <c r="M5662" t="s">
        <v>726</v>
      </c>
      <c r="N5662" t="s">
        <v>85</v>
      </c>
      <c r="O5662" t="s">
        <v>84</v>
      </c>
      <c r="Q5662">
        <f t="shared" si="100"/>
        <v>2.0833333333333332E-2</v>
      </c>
      <c r="R5662" t="s">
        <v>213</v>
      </c>
      <c r="S5662" s="2" t="s">
        <v>37</v>
      </c>
      <c r="T5662">
        <v>10</v>
      </c>
      <c r="U5662" t="s">
        <v>28</v>
      </c>
      <c r="V5662" t="s">
        <v>28</v>
      </c>
      <c r="W5662">
        <v>30</v>
      </c>
      <c r="X5662" s="3"/>
      <c r="Y5662" s="3"/>
      <c r="Z5662" s="3"/>
    </row>
    <row r="5663" spans="1:28" x14ac:dyDescent="0.2">
      <c r="A5663" t="s">
        <v>639</v>
      </c>
      <c r="B5663">
        <v>2016</v>
      </c>
      <c r="C5663" t="s">
        <v>826</v>
      </c>
      <c r="D5663" t="s">
        <v>812</v>
      </c>
      <c r="E5663" t="s">
        <v>338</v>
      </c>
      <c r="F5663" t="s">
        <v>640</v>
      </c>
      <c r="G5663">
        <v>32.24</v>
      </c>
      <c r="H5663">
        <v>130.158333</v>
      </c>
      <c r="I5663" t="s">
        <v>771</v>
      </c>
      <c r="J5663" s="2" t="s">
        <v>14</v>
      </c>
      <c r="K5663" t="s">
        <v>144</v>
      </c>
      <c r="L5663" t="s">
        <v>144</v>
      </c>
      <c r="M5663" t="s">
        <v>726</v>
      </c>
      <c r="N5663" t="s">
        <v>85</v>
      </c>
      <c r="O5663" t="s">
        <v>84</v>
      </c>
      <c r="Q5663">
        <f t="shared" si="100"/>
        <v>2.0833333333333332E-2</v>
      </c>
      <c r="R5663" t="s">
        <v>213</v>
      </c>
      <c r="S5663" s="2" t="s">
        <v>116</v>
      </c>
      <c r="T5663">
        <v>10</v>
      </c>
      <c r="U5663" t="s">
        <v>28</v>
      </c>
      <c r="V5663" t="s">
        <v>28</v>
      </c>
      <c r="W5663">
        <v>32</v>
      </c>
      <c r="X5663" s="3"/>
      <c r="Y5663" s="3"/>
      <c r="Z5663" s="3"/>
    </row>
    <row r="5664" spans="1:28" x14ac:dyDescent="0.2">
      <c r="A5664" t="s">
        <v>639</v>
      </c>
      <c r="B5664">
        <v>2016</v>
      </c>
      <c r="C5664" t="s">
        <v>826</v>
      </c>
      <c r="D5664" t="s">
        <v>812</v>
      </c>
      <c r="E5664" t="s">
        <v>338</v>
      </c>
      <c r="F5664" t="s">
        <v>640</v>
      </c>
      <c r="G5664">
        <v>32.24</v>
      </c>
      <c r="H5664">
        <v>130.158333</v>
      </c>
      <c r="I5664" t="s">
        <v>771</v>
      </c>
      <c r="J5664" s="2" t="s">
        <v>14</v>
      </c>
      <c r="K5664" t="s">
        <v>144</v>
      </c>
      <c r="L5664" t="s">
        <v>144</v>
      </c>
      <c r="M5664" t="s">
        <v>726</v>
      </c>
      <c r="N5664" t="s">
        <v>85</v>
      </c>
      <c r="O5664" t="s">
        <v>84</v>
      </c>
      <c r="Q5664">
        <f t="shared" si="100"/>
        <v>2.0833333333333332E-2</v>
      </c>
      <c r="R5664" t="s">
        <v>213</v>
      </c>
      <c r="S5664" s="2" t="s">
        <v>117</v>
      </c>
      <c r="T5664">
        <v>10</v>
      </c>
      <c r="U5664" t="s">
        <v>28</v>
      </c>
      <c r="V5664" t="s">
        <v>28</v>
      </c>
      <c r="W5664">
        <v>34</v>
      </c>
      <c r="X5664" s="3"/>
      <c r="Y5664" s="3"/>
      <c r="Z5664" s="3"/>
    </row>
    <row r="5665" spans="1:28" x14ac:dyDescent="0.2">
      <c r="A5665" t="s">
        <v>639</v>
      </c>
      <c r="B5665">
        <v>2016</v>
      </c>
      <c r="C5665" t="s">
        <v>826</v>
      </c>
      <c r="D5665" t="s">
        <v>812</v>
      </c>
      <c r="E5665" t="s">
        <v>338</v>
      </c>
      <c r="F5665" t="s">
        <v>640</v>
      </c>
      <c r="G5665">
        <v>32.24</v>
      </c>
      <c r="H5665">
        <v>130.158333</v>
      </c>
      <c r="I5665" t="s">
        <v>771</v>
      </c>
      <c r="J5665" s="2" t="s">
        <v>14</v>
      </c>
      <c r="K5665" t="s">
        <v>144</v>
      </c>
      <c r="L5665" t="s">
        <v>144</v>
      </c>
      <c r="M5665" t="s">
        <v>726</v>
      </c>
      <c r="N5665" t="s">
        <v>85</v>
      </c>
      <c r="O5665" t="s">
        <v>84</v>
      </c>
      <c r="Q5665">
        <f t="shared" si="100"/>
        <v>2.0833333333333332E-2</v>
      </c>
      <c r="R5665" t="s">
        <v>213</v>
      </c>
      <c r="S5665" s="2" t="s">
        <v>118</v>
      </c>
      <c r="T5665">
        <v>10</v>
      </c>
      <c r="U5665" t="s">
        <v>28</v>
      </c>
      <c r="V5665" t="s">
        <v>28</v>
      </c>
      <c r="W5665">
        <v>36</v>
      </c>
      <c r="X5665" s="3"/>
      <c r="Y5665" s="3"/>
      <c r="Z5665" s="3"/>
    </row>
    <row r="5666" spans="1:28" x14ac:dyDescent="0.2">
      <c r="A5666" t="s">
        <v>639</v>
      </c>
      <c r="B5666">
        <v>2016</v>
      </c>
      <c r="C5666" t="s">
        <v>826</v>
      </c>
      <c r="D5666" t="s">
        <v>812</v>
      </c>
      <c r="E5666" t="s">
        <v>338</v>
      </c>
      <c r="F5666" t="s">
        <v>640</v>
      </c>
      <c r="G5666">
        <v>32.24</v>
      </c>
      <c r="H5666">
        <v>130.158333</v>
      </c>
      <c r="I5666" t="s">
        <v>771</v>
      </c>
      <c r="J5666" s="2" t="s">
        <v>7</v>
      </c>
      <c r="K5666" t="s">
        <v>144</v>
      </c>
      <c r="L5666" t="s">
        <v>144</v>
      </c>
      <c r="M5666" t="s">
        <v>73</v>
      </c>
      <c r="N5666" t="s">
        <v>85</v>
      </c>
      <c r="O5666" t="s">
        <v>146</v>
      </c>
      <c r="P5666" t="s">
        <v>641</v>
      </c>
      <c r="Q5666">
        <f t="shared" si="100"/>
        <v>2.0833333333333332E-2</v>
      </c>
      <c r="R5666" t="s">
        <v>213</v>
      </c>
      <c r="S5666" s="2" t="s">
        <v>7</v>
      </c>
      <c r="T5666">
        <v>5</v>
      </c>
      <c r="U5666" t="s">
        <v>28</v>
      </c>
      <c r="V5666" t="s">
        <v>28</v>
      </c>
      <c r="W5666">
        <v>20</v>
      </c>
      <c r="X5666">
        <v>1.589</v>
      </c>
      <c r="Y5666">
        <v>0.82495211982272021</v>
      </c>
    </row>
    <row r="5667" spans="1:28" x14ac:dyDescent="0.2">
      <c r="A5667" t="s">
        <v>639</v>
      </c>
      <c r="B5667">
        <v>2016</v>
      </c>
      <c r="C5667" t="s">
        <v>826</v>
      </c>
      <c r="D5667" t="s">
        <v>812</v>
      </c>
      <c r="E5667" t="s">
        <v>338</v>
      </c>
      <c r="F5667" t="s">
        <v>640</v>
      </c>
      <c r="G5667">
        <v>32.24</v>
      </c>
      <c r="H5667">
        <v>130.158333</v>
      </c>
      <c r="I5667" t="s">
        <v>771</v>
      </c>
      <c r="J5667" s="2" t="s">
        <v>14</v>
      </c>
      <c r="K5667" t="s">
        <v>144</v>
      </c>
      <c r="L5667" t="s">
        <v>144</v>
      </c>
      <c r="M5667" t="s">
        <v>73</v>
      </c>
      <c r="N5667" t="s">
        <v>85</v>
      </c>
      <c r="O5667" t="s">
        <v>146</v>
      </c>
      <c r="P5667" t="s">
        <v>641</v>
      </c>
      <c r="Q5667">
        <f t="shared" si="100"/>
        <v>2.0833333333333332E-2</v>
      </c>
      <c r="R5667" t="s">
        <v>213</v>
      </c>
      <c r="S5667" s="2" t="s">
        <v>27</v>
      </c>
      <c r="T5667">
        <v>5</v>
      </c>
      <c r="U5667" t="s">
        <v>28</v>
      </c>
      <c r="V5667" t="s">
        <v>28</v>
      </c>
      <c r="W5667">
        <v>24</v>
      </c>
      <c r="X5667">
        <v>2.7770000000000001</v>
      </c>
      <c r="Y5667">
        <v>1.2960893101943249</v>
      </c>
    </row>
    <row r="5668" spans="1:28" x14ac:dyDescent="0.2">
      <c r="A5668" t="s">
        <v>639</v>
      </c>
      <c r="B5668">
        <v>2016</v>
      </c>
      <c r="C5668" t="s">
        <v>826</v>
      </c>
      <c r="D5668" t="s">
        <v>812</v>
      </c>
      <c r="E5668" t="s">
        <v>338</v>
      </c>
      <c r="F5668" t="s">
        <v>640</v>
      </c>
      <c r="G5668">
        <v>32.24</v>
      </c>
      <c r="H5668">
        <v>130.158333</v>
      </c>
      <c r="I5668" t="s">
        <v>771</v>
      </c>
      <c r="J5668" s="2" t="s">
        <v>14</v>
      </c>
      <c r="K5668" t="s">
        <v>144</v>
      </c>
      <c r="L5668" t="s">
        <v>144</v>
      </c>
      <c r="M5668" t="s">
        <v>73</v>
      </c>
      <c r="N5668" t="s">
        <v>85</v>
      </c>
      <c r="O5668" t="s">
        <v>146</v>
      </c>
      <c r="P5668" t="s">
        <v>641</v>
      </c>
      <c r="Q5668">
        <f t="shared" si="100"/>
        <v>2.0833333333333332E-2</v>
      </c>
      <c r="R5668" t="s">
        <v>213</v>
      </c>
      <c r="S5668" s="2" t="s">
        <v>15</v>
      </c>
      <c r="T5668">
        <v>5</v>
      </c>
      <c r="U5668" t="s">
        <v>28</v>
      </c>
      <c r="V5668" t="s">
        <v>28</v>
      </c>
      <c r="W5668">
        <v>28</v>
      </c>
      <c r="X5668">
        <v>2.5676000000000001</v>
      </c>
      <c r="Y5668">
        <v>1.2385020387548822</v>
      </c>
    </row>
    <row r="5669" spans="1:28" x14ac:dyDescent="0.2">
      <c r="A5669" t="s">
        <v>639</v>
      </c>
      <c r="B5669">
        <v>2016</v>
      </c>
      <c r="C5669" t="s">
        <v>826</v>
      </c>
      <c r="D5669" t="s">
        <v>812</v>
      </c>
      <c r="E5669" t="s">
        <v>338</v>
      </c>
      <c r="F5669" t="s">
        <v>640</v>
      </c>
      <c r="G5669">
        <v>32.24</v>
      </c>
      <c r="H5669">
        <v>130.158333</v>
      </c>
      <c r="I5669" t="s">
        <v>771</v>
      </c>
      <c r="J5669" s="2" t="s">
        <v>14</v>
      </c>
      <c r="K5669" t="s">
        <v>144</v>
      </c>
      <c r="L5669" t="s">
        <v>144</v>
      </c>
      <c r="M5669" t="s">
        <v>73</v>
      </c>
      <c r="N5669" t="s">
        <v>85</v>
      </c>
      <c r="O5669" t="s">
        <v>146</v>
      </c>
      <c r="P5669" t="s">
        <v>641</v>
      </c>
      <c r="Q5669">
        <f t="shared" si="100"/>
        <v>2.0833333333333332E-2</v>
      </c>
      <c r="R5669" t="s">
        <v>213</v>
      </c>
      <c r="S5669" s="2" t="s">
        <v>116</v>
      </c>
      <c r="T5669">
        <v>5</v>
      </c>
      <c r="U5669" t="s">
        <v>28</v>
      </c>
      <c r="V5669" t="s">
        <v>28</v>
      </c>
      <c r="W5669">
        <v>32</v>
      </c>
      <c r="X5669">
        <v>0.88080000000000014</v>
      </c>
      <c r="Y5669">
        <v>2.2222931174802301</v>
      </c>
    </row>
    <row r="5670" spans="1:28" x14ac:dyDescent="0.2">
      <c r="A5670" t="s">
        <v>639</v>
      </c>
      <c r="B5670">
        <v>2016</v>
      </c>
      <c r="C5670" t="s">
        <v>826</v>
      </c>
      <c r="D5670" t="s">
        <v>812</v>
      </c>
      <c r="E5670" t="s">
        <v>338</v>
      </c>
      <c r="F5670" t="s">
        <v>640</v>
      </c>
      <c r="G5670">
        <v>32.24</v>
      </c>
      <c r="H5670">
        <v>130.158333</v>
      </c>
      <c r="I5670" t="s">
        <v>771</v>
      </c>
      <c r="J5670" s="2" t="s">
        <v>14</v>
      </c>
      <c r="K5670" t="s">
        <v>144</v>
      </c>
      <c r="L5670" t="s">
        <v>144</v>
      </c>
      <c r="M5670" t="s">
        <v>73</v>
      </c>
      <c r="N5670" t="s">
        <v>85</v>
      </c>
      <c r="O5670" t="s">
        <v>146</v>
      </c>
      <c r="P5670" t="s">
        <v>641</v>
      </c>
      <c r="Q5670">
        <f t="shared" si="100"/>
        <v>2.0833333333333332E-2</v>
      </c>
      <c r="R5670" t="s">
        <v>213</v>
      </c>
      <c r="S5670" s="2" t="s">
        <v>118</v>
      </c>
      <c r="T5670">
        <v>5</v>
      </c>
      <c r="U5670" t="s">
        <v>28</v>
      </c>
      <c r="V5670" t="s">
        <v>28</v>
      </c>
      <c r="W5670">
        <v>36</v>
      </c>
      <c r="X5670">
        <v>-3.8058000000000001</v>
      </c>
      <c r="Y5670">
        <v>2.0179357521982704</v>
      </c>
    </row>
    <row r="5671" spans="1:28" x14ac:dyDescent="0.2">
      <c r="A5671" t="s">
        <v>639</v>
      </c>
      <c r="B5671">
        <v>2016</v>
      </c>
      <c r="C5671" t="s">
        <v>826</v>
      </c>
      <c r="D5671" t="s">
        <v>812</v>
      </c>
      <c r="E5671" t="s">
        <v>338</v>
      </c>
      <c r="F5671" t="s">
        <v>640</v>
      </c>
      <c r="G5671">
        <v>32.24</v>
      </c>
      <c r="H5671">
        <v>130.158333</v>
      </c>
      <c r="I5671" t="s">
        <v>771</v>
      </c>
      <c r="J5671" s="2" t="s">
        <v>7</v>
      </c>
      <c r="K5671" t="s">
        <v>144</v>
      </c>
      <c r="L5671" t="s">
        <v>144</v>
      </c>
      <c r="M5671" t="s">
        <v>172</v>
      </c>
      <c r="N5671" t="s">
        <v>86</v>
      </c>
      <c r="O5671" t="s">
        <v>62</v>
      </c>
      <c r="P5671" t="s">
        <v>641</v>
      </c>
      <c r="Q5671">
        <f t="shared" si="100"/>
        <v>2.0833333333333332E-2</v>
      </c>
      <c r="R5671" t="s">
        <v>213</v>
      </c>
      <c r="S5671" s="2" t="s">
        <v>7</v>
      </c>
      <c r="T5671">
        <v>5</v>
      </c>
      <c r="U5671" t="s">
        <v>28</v>
      </c>
      <c r="V5671" t="s">
        <v>28</v>
      </c>
      <c r="W5671">
        <v>20</v>
      </c>
      <c r="X5671">
        <v>1.4918</v>
      </c>
      <c r="Y5671">
        <v>1.4918</v>
      </c>
    </row>
    <row r="5672" spans="1:28" x14ac:dyDescent="0.2">
      <c r="A5672" t="s">
        <v>639</v>
      </c>
      <c r="B5672">
        <v>2016</v>
      </c>
      <c r="C5672" t="s">
        <v>826</v>
      </c>
      <c r="D5672" t="s">
        <v>812</v>
      </c>
      <c r="E5672" t="s">
        <v>338</v>
      </c>
      <c r="F5672" t="s">
        <v>640</v>
      </c>
      <c r="G5672">
        <v>32.24</v>
      </c>
      <c r="H5672">
        <v>130.158333</v>
      </c>
      <c r="I5672" t="s">
        <v>771</v>
      </c>
      <c r="J5672" s="2" t="s">
        <v>14</v>
      </c>
      <c r="K5672" t="s">
        <v>144</v>
      </c>
      <c r="L5672" t="s">
        <v>144</v>
      </c>
      <c r="M5672" t="s">
        <v>172</v>
      </c>
      <c r="N5672" t="s">
        <v>86</v>
      </c>
      <c r="O5672" t="s">
        <v>62</v>
      </c>
      <c r="P5672" t="s">
        <v>641</v>
      </c>
      <c r="Q5672">
        <f t="shared" si="100"/>
        <v>2.0833333333333332E-2</v>
      </c>
      <c r="R5672" t="s">
        <v>213</v>
      </c>
      <c r="S5672" s="2" t="s">
        <v>27</v>
      </c>
      <c r="T5672">
        <v>5</v>
      </c>
      <c r="U5672" t="s">
        <v>28</v>
      </c>
      <c r="V5672" t="s">
        <v>28</v>
      </c>
      <c r="W5672">
        <v>24</v>
      </c>
      <c r="X5672">
        <v>1.7611999999999999</v>
      </c>
      <c r="Y5672">
        <v>1.7611999999999999</v>
      </c>
    </row>
    <row r="5673" spans="1:28" x14ac:dyDescent="0.2">
      <c r="A5673" t="s">
        <v>639</v>
      </c>
      <c r="B5673">
        <v>2016</v>
      </c>
      <c r="C5673" t="s">
        <v>826</v>
      </c>
      <c r="D5673" t="s">
        <v>812</v>
      </c>
      <c r="E5673" t="s">
        <v>338</v>
      </c>
      <c r="F5673" t="s">
        <v>640</v>
      </c>
      <c r="G5673">
        <v>32.24</v>
      </c>
      <c r="H5673">
        <v>130.158333</v>
      </c>
      <c r="I5673" t="s">
        <v>771</v>
      </c>
      <c r="J5673" s="2" t="s">
        <v>14</v>
      </c>
      <c r="K5673" t="s">
        <v>144</v>
      </c>
      <c r="L5673" t="s">
        <v>144</v>
      </c>
      <c r="M5673" t="s">
        <v>172</v>
      </c>
      <c r="N5673" t="s">
        <v>86</v>
      </c>
      <c r="O5673" t="s">
        <v>62</v>
      </c>
      <c r="P5673" t="s">
        <v>641</v>
      </c>
      <c r="Q5673">
        <f t="shared" si="100"/>
        <v>2.0833333333333332E-2</v>
      </c>
      <c r="R5673" t="s">
        <v>213</v>
      </c>
      <c r="S5673" s="2" t="s">
        <v>15</v>
      </c>
      <c r="T5673">
        <v>5</v>
      </c>
      <c r="U5673" t="s">
        <v>28</v>
      </c>
      <c r="V5673" t="s">
        <v>28</v>
      </c>
      <c r="W5673">
        <v>28</v>
      </c>
      <c r="X5673">
        <v>2.0114000000000005</v>
      </c>
      <c r="Y5673">
        <v>2.0114000000000005</v>
      </c>
    </row>
    <row r="5674" spans="1:28" x14ac:dyDescent="0.2">
      <c r="A5674" t="s">
        <v>639</v>
      </c>
      <c r="B5674">
        <v>2016</v>
      </c>
      <c r="C5674" t="s">
        <v>826</v>
      </c>
      <c r="D5674" t="s">
        <v>812</v>
      </c>
      <c r="E5674" t="s">
        <v>338</v>
      </c>
      <c r="F5674" t="s">
        <v>640</v>
      </c>
      <c r="G5674">
        <v>32.24</v>
      </c>
      <c r="H5674">
        <v>130.158333</v>
      </c>
      <c r="I5674" t="s">
        <v>771</v>
      </c>
      <c r="J5674" s="2" t="s">
        <v>14</v>
      </c>
      <c r="K5674" t="s">
        <v>144</v>
      </c>
      <c r="L5674" t="s">
        <v>144</v>
      </c>
      <c r="M5674" t="s">
        <v>172</v>
      </c>
      <c r="N5674" t="s">
        <v>86</v>
      </c>
      <c r="O5674" t="s">
        <v>62</v>
      </c>
      <c r="P5674" t="s">
        <v>641</v>
      </c>
      <c r="Q5674">
        <f t="shared" si="100"/>
        <v>2.0833333333333332E-2</v>
      </c>
      <c r="R5674" t="s">
        <v>213</v>
      </c>
      <c r="S5674" s="2" t="s">
        <v>116</v>
      </c>
      <c r="T5674">
        <v>5</v>
      </c>
      <c r="U5674" t="s">
        <v>28</v>
      </c>
      <c r="V5674" t="s">
        <v>28</v>
      </c>
      <c r="W5674">
        <v>32</v>
      </c>
      <c r="X5674">
        <v>1.8821999999999999</v>
      </c>
      <c r="Y5674">
        <v>1.8821999999999999</v>
      </c>
    </row>
    <row r="5675" spans="1:28" x14ac:dyDescent="0.2">
      <c r="A5675" t="s">
        <v>639</v>
      </c>
      <c r="B5675">
        <v>2016</v>
      </c>
      <c r="C5675" t="s">
        <v>826</v>
      </c>
      <c r="D5675" t="s">
        <v>812</v>
      </c>
      <c r="E5675" t="s">
        <v>338</v>
      </c>
      <c r="F5675" t="s">
        <v>640</v>
      </c>
      <c r="G5675">
        <v>32.24</v>
      </c>
      <c r="H5675">
        <v>130.158333</v>
      </c>
      <c r="I5675" t="s">
        <v>771</v>
      </c>
      <c r="J5675" s="2" t="s">
        <v>14</v>
      </c>
      <c r="K5675" t="s">
        <v>144</v>
      </c>
      <c r="L5675" t="s">
        <v>144</v>
      </c>
      <c r="M5675" t="s">
        <v>172</v>
      </c>
      <c r="N5675" t="s">
        <v>86</v>
      </c>
      <c r="O5675" t="s">
        <v>62</v>
      </c>
      <c r="P5675" t="s">
        <v>641</v>
      </c>
      <c r="Q5675">
        <f t="shared" si="100"/>
        <v>2.0833333333333332E-2</v>
      </c>
      <c r="R5675" t="s">
        <v>213</v>
      </c>
      <c r="S5675" s="2" t="s">
        <v>118</v>
      </c>
      <c r="T5675">
        <v>5</v>
      </c>
      <c r="U5675" t="s">
        <v>28</v>
      </c>
      <c r="V5675" t="s">
        <v>28</v>
      </c>
      <c r="W5675">
        <v>36</v>
      </c>
      <c r="X5675">
        <v>5.8063999999999991</v>
      </c>
      <c r="Y5675">
        <v>5.8063999999999991</v>
      </c>
    </row>
    <row r="5676" spans="1:28" x14ac:dyDescent="0.2">
      <c r="A5676" t="s">
        <v>642</v>
      </c>
      <c r="B5676">
        <v>2018</v>
      </c>
      <c r="C5676" t="s">
        <v>805</v>
      </c>
      <c r="D5676" t="s">
        <v>809</v>
      </c>
      <c r="E5676" t="s">
        <v>154</v>
      </c>
      <c r="F5676" t="s">
        <v>643</v>
      </c>
      <c r="G5676">
        <v>42.307222000000003</v>
      </c>
      <c r="H5676">
        <v>140.99111099999999</v>
      </c>
      <c r="I5676" t="s">
        <v>764</v>
      </c>
      <c r="J5676" s="2" t="s">
        <v>7</v>
      </c>
      <c r="K5676" t="s">
        <v>144</v>
      </c>
      <c r="L5676" t="s">
        <v>144</v>
      </c>
      <c r="M5676" t="s">
        <v>726</v>
      </c>
      <c r="N5676" t="s">
        <v>85</v>
      </c>
      <c r="O5676" t="s">
        <v>84</v>
      </c>
      <c r="Q5676">
        <f t="shared" si="100"/>
        <v>2.0833333333333332E-2</v>
      </c>
      <c r="R5676" t="s">
        <v>213</v>
      </c>
      <c r="S5676" s="2" t="s">
        <v>7</v>
      </c>
      <c r="T5676">
        <v>10</v>
      </c>
      <c r="U5676" t="s">
        <v>28</v>
      </c>
      <c r="V5676" t="s">
        <v>28</v>
      </c>
      <c r="W5676">
        <v>16</v>
      </c>
      <c r="X5676">
        <v>0.71799999999999997</v>
      </c>
      <c r="Y5676">
        <v>1.14E-2</v>
      </c>
      <c r="Z5676">
        <v>2.5500000000000002E-3</v>
      </c>
      <c r="AA5676">
        <v>0.69599999999999995</v>
      </c>
      <c r="AB5676">
        <v>0.74099999999999999</v>
      </c>
    </row>
    <row r="5677" spans="1:28" x14ac:dyDescent="0.2">
      <c r="A5677" t="s">
        <v>642</v>
      </c>
      <c r="B5677">
        <v>2018</v>
      </c>
      <c r="C5677" t="s">
        <v>805</v>
      </c>
      <c r="D5677" t="s">
        <v>809</v>
      </c>
      <c r="E5677" t="s">
        <v>154</v>
      </c>
      <c r="F5677" t="s">
        <v>643</v>
      </c>
      <c r="G5677">
        <v>42.307222000000003</v>
      </c>
      <c r="H5677">
        <v>140.99111099999999</v>
      </c>
      <c r="I5677" t="s">
        <v>764</v>
      </c>
      <c r="J5677" s="2" t="s">
        <v>14</v>
      </c>
      <c r="K5677" t="s">
        <v>144</v>
      </c>
      <c r="L5677" t="s">
        <v>144</v>
      </c>
      <c r="M5677" t="s">
        <v>726</v>
      </c>
      <c r="N5677" t="s">
        <v>85</v>
      </c>
      <c r="O5677" t="s">
        <v>84</v>
      </c>
      <c r="Q5677">
        <f t="shared" si="100"/>
        <v>2.0833333333333332E-2</v>
      </c>
      <c r="R5677" t="s">
        <v>213</v>
      </c>
      <c r="S5677" s="2" t="s">
        <v>13</v>
      </c>
      <c r="T5677">
        <v>10</v>
      </c>
      <c r="U5677" t="s">
        <v>28</v>
      </c>
      <c r="V5677" t="s">
        <v>28</v>
      </c>
      <c r="W5677">
        <v>18</v>
      </c>
      <c r="X5677">
        <v>0.70599999999999996</v>
      </c>
      <c r="Y5677">
        <v>1.26E-2</v>
      </c>
      <c r="Z5677">
        <v>3.98E-3</v>
      </c>
      <c r="AA5677">
        <v>0.68100000000000005</v>
      </c>
      <c r="AB5677">
        <v>0.73099999999999998</v>
      </c>
    </row>
    <row r="5678" spans="1:28" x14ac:dyDescent="0.2">
      <c r="A5678" t="s">
        <v>642</v>
      </c>
      <c r="B5678">
        <v>2018</v>
      </c>
      <c r="C5678" t="s">
        <v>805</v>
      </c>
      <c r="D5678" t="s">
        <v>809</v>
      </c>
      <c r="E5678" t="s">
        <v>154</v>
      </c>
      <c r="F5678" t="s">
        <v>643</v>
      </c>
      <c r="G5678">
        <v>42.307222000000003</v>
      </c>
      <c r="H5678">
        <v>140.99111099999999</v>
      </c>
      <c r="I5678" t="s">
        <v>764</v>
      </c>
      <c r="J5678" s="2" t="s">
        <v>14</v>
      </c>
      <c r="K5678" t="s">
        <v>144</v>
      </c>
      <c r="L5678" t="s">
        <v>144</v>
      </c>
      <c r="M5678" t="s">
        <v>726</v>
      </c>
      <c r="N5678" t="s">
        <v>85</v>
      </c>
      <c r="O5678" t="s">
        <v>84</v>
      </c>
      <c r="Q5678">
        <f t="shared" si="100"/>
        <v>2.0833333333333332E-2</v>
      </c>
      <c r="R5678" t="s">
        <v>213</v>
      </c>
      <c r="S5678" s="2" t="s">
        <v>15</v>
      </c>
      <c r="T5678">
        <v>10</v>
      </c>
      <c r="U5678" t="s">
        <v>28</v>
      </c>
      <c r="V5678" t="s">
        <v>28</v>
      </c>
      <c r="W5678">
        <v>20</v>
      </c>
      <c r="X5678">
        <v>0.69399999999999995</v>
      </c>
      <c r="Y5678">
        <v>1.41E-2</v>
      </c>
      <c r="Z5678">
        <v>4.4600000000000004E-3</v>
      </c>
      <c r="AA5678">
        <v>0.66600000000000004</v>
      </c>
      <c r="AB5678">
        <v>0.72199999999999998</v>
      </c>
    </row>
    <row r="5679" spans="1:28" x14ac:dyDescent="0.2">
      <c r="A5679" t="s">
        <v>642</v>
      </c>
      <c r="B5679">
        <v>2018</v>
      </c>
      <c r="C5679" t="s">
        <v>805</v>
      </c>
      <c r="D5679" t="s">
        <v>809</v>
      </c>
      <c r="E5679" t="s">
        <v>154</v>
      </c>
      <c r="F5679" t="s">
        <v>643</v>
      </c>
      <c r="G5679">
        <v>42.307222000000003</v>
      </c>
      <c r="H5679">
        <v>140.99111099999999</v>
      </c>
      <c r="I5679" t="s">
        <v>764</v>
      </c>
      <c r="J5679" s="2" t="s">
        <v>14</v>
      </c>
      <c r="K5679" t="s">
        <v>144</v>
      </c>
      <c r="L5679" t="s">
        <v>144</v>
      </c>
      <c r="M5679" t="s">
        <v>726</v>
      </c>
      <c r="N5679" t="s">
        <v>85</v>
      </c>
      <c r="O5679" t="s">
        <v>84</v>
      </c>
      <c r="Q5679">
        <f t="shared" si="100"/>
        <v>2.0833333333333332E-2</v>
      </c>
      <c r="R5679" t="s">
        <v>213</v>
      </c>
      <c r="S5679" s="2" t="s">
        <v>37</v>
      </c>
      <c r="T5679">
        <v>10</v>
      </c>
      <c r="U5679" t="s">
        <v>28</v>
      </c>
      <c r="V5679" t="s">
        <v>28</v>
      </c>
      <c r="W5679">
        <v>22</v>
      </c>
      <c r="X5679">
        <v>0.68400000000000005</v>
      </c>
      <c r="Y5679">
        <v>1.21E-2</v>
      </c>
      <c r="Z5679">
        <v>3.8300000000000001E-3</v>
      </c>
      <c r="AA5679">
        <v>0.66</v>
      </c>
      <c r="AB5679">
        <v>0.70699999999999996</v>
      </c>
    </row>
    <row r="5680" spans="1:28" x14ac:dyDescent="0.2">
      <c r="A5680" t="s">
        <v>642</v>
      </c>
      <c r="B5680">
        <v>2018</v>
      </c>
      <c r="C5680" t="s">
        <v>805</v>
      </c>
      <c r="D5680" t="s">
        <v>809</v>
      </c>
      <c r="E5680" t="s">
        <v>154</v>
      </c>
      <c r="F5680" t="s">
        <v>643</v>
      </c>
      <c r="G5680">
        <v>42.307222000000003</v>
      </c>
      <c r="H5680">
        <v>140.99111099999999</v>
      </c>
      <c r="I5680" t="s">
        <v>764</v>
      </c>
      <c r="J5680" s="2" t="s">
        <v>14</v>
      </c>
      <c r="K5680" t="s">
        <v>144</v>
      </c>
      <c r="L5680" t="s">
        <v>144</v>
      </c>
      <c r="M5680" t="s">
        <v>726</v>
      </c>
      <c r="N5680" t="s">
        <v>85</v>
      </c>
      <c r="O5680" t="s">
        <v>84</v>
      </c>
      <c r="Q5680">
        <f t="shared" si="100"/>
        <v>2.0833333333333332E-2</v>
      </c>
      <c r="R5680" t="s">
        <v>213</v>
      </c>
      <c r="S5680" s="2" t="s">
        <v>116</v>
      </c>
      <c r="T5680">
        <v>10</v>
      </c>
      <c r="U5680" t="s">
        <v>28</v>
      </c>
      <c r="V5680" t="s">
        <v>28</v>
      </c>
      <c r="W5680">
        <v>24</v>
      </c>
      <c r="X5680">
        <v>0.67</v>
      </c>
      <c r="Y5680">
        <v>1.2999999999999999E-2</v>
      </c>
      <c r="Z5680">
        <v>4.1200000000000004E-3</v>
      </c>
      <c r="AA5680">
        <v>0.64500000000000002</v>
      </c>
      <c r="AB5680">
        <v>0.69599999999999995</v>
      </c>
    </row>
    <row r="5681" spans="1:28" x14ac:dyDescent="0.2">
      <c r="A5681" t="s">
        <v>642</v>
      </c>
      <c r="B5681">
        <v>2018</v>
      </c>
      <c r="C5681" t="s">
        <v>805</v>
      </c>
      <c r="D5681" t="s">
        <v>809</v>
      </c>
      <c r="E5681" t="s">
        <v>154</v>
      </c>
      <c r="F5681" t="s">
        <v>643</v>
      </c>
      <c r="G5681">
        <v>42.307222000000003</v>
      </c>
      <c r="H5681">
        <v>140.99111099999999</v>
      </c>
      <c r="I5681" t="s">
        <v>764</v>
      </c>
      <c r="J5681" s="2" t="s">
        <v>14</v>
      </c>
      <c r="K5681" t="s">
        <v>144</v>
      </c>
      <c r="L5681" t="s">
        <v>144</v>
      </c>
      <c r="M5681" t="s">
        <v>726</v>
      </c>
      <c r="N5681" t="s">
        <v>85</v>
      </c>
      <c r="O5681" t="s">
        <v>84</v>
      </c>
      <c r="Q5681">
        <f t="shared" si="100"/>
        <v>2.0833333333333332E-2</v>
      </c>
      <c r="R5681" t="s">
        <v>213</v>
      </c>
      <c r="S5681" s="2" t="s">
        <v>117</v>
      </c>
      <c r="T5681">
        <v>10</v>
      </c>
      <c r="U5681" t="s">
        <v>28</v>
      </c>
      <c r="V5681" t="s">
        <v>28</v>
      </c>
      <c r="W5681">
        <v>26</v>
      </c>
      <c r="X5681">
        <v>0.624</v>
      </c>
      <c r="Y5681">
        <v>1.7100000000000001E-2</v>
      </c>
      <c r="Z5681">
        <v>5.4099999999999999E-3</v>
      </c>
      <c r="AA5681">
        <v>0.59</v>
      </c>
      <c r="AB5681">
        <v>0.65700000000000003</v>
      </c>
    </row>
    <row r="5682" spans="1:28" x14ac:dyDescent="0.2">
      <c r="A5682" t="s">
        <v>642</v>
      </c>
      <c r="B5682">
        <v>2018</v>
      </c>
      <c r="C5682" t="s">
        <v>805</v>
      </c>
      <c r="D5682" t="s">
        <v>809</v>
      </c>
      <c r="E5682" t="s">
        <v>154</v>
      </c>
      <c r="F5682" t="s">
        <v>643</v>
      </c>
      <c r="G5682">
        <v>42.307222000000003</v>
      </c>
      <c r="H5682">
        <v>140.99111099999999</v>
      </c>
      <c r="I5682" t="s">
        <v>764</v>
      </c>
      <c r="J5682" s="2" t="s">
        <v>14</v>
      </c>
      <c r="K5682" t="s">
        <v>144</v>
      </c>
      <c r="L5682" t="s">
        <v>144</v>
      </c>
      <c r="M5682" t="s">
        <v>726</v>
      </c>
      <c r="N5682" t="s">
        <v>85</v>
      </c>
      <c r="O5682" t="s">
        <v>84</v>
      </c>
      <c r="Q5682">
        <f t="shared" si="100"/>
        <v>2.0833333333333332E-2</v>
      </c>
      <c r="R5682" t="s">
        <v>213</v>
      </c>
      <c r="S5682" s="2" t="s">
        <v>118</v>
      </c>
      <c r="T5682">
        <v>10</v>
      </c>
      <c r="U5682" t="s">
        <v>28</v>
      </c>
      <c r="V5682" t="s">
        <v>28</v>
      </c>
      <c r="W5682">
        <v>28</v>
      </c>
      <c r="X5682">
        <v>0.59099999999999997</v>
      </c>
      <c r="Y5682">
        <v>1.6400000000000001E-2</v>
      </c>
      <c r="Z5682">
        <v>5.1900000000000002E-3</v>
      </c>
      <c r="AA5682">
        <v>0.55900000000000005</v>
      </c>
      <c r="AB5682">
        <v>0.624</v>
      </c>
    </row>
    <row r="5683" spans="1:28" x14ac:dyDescent="0.2">
      <c r="A5683" t="s">
        <v>642</v>
      </c>
      <c r="B5683">
        <v>2018</v>
      </c>
      <c r="C5683" t="s">
        <v>805</v>
      </c>
      <c r="D5683" t="s">
        <v>809</v>
      </c>
      <c r="E5683" t="s">
        <v>154</v>
      </c>
      <c r="F5683" t="s">
        <v>643</v>
      </c>
      <c r="G5683">
        <v>42.307222000000003</v>
      </c>
      <c r="H5683">
        <v>140.99111099999999</v>
      </c>
      <c r="I5683" t="s">
        <v>764</v>
      </c>
      <c r="J5683" s="2" t="s">
        <v>14</v>
      </c>
      <c r="K5683" t="s">
        <v>144</v>
      </c>
      <c r="L5683" t="s">
        <v>144</v>
      </c>
      <c r="M5683" t="s">
        <v>726</v>
      </c>
      <c r="N5683" t="s">
        <v>85</v>
      </c>
      <c r="O5683" t="s">
        <v>84</v>
      </c>
      <c r="Q5683">
        <f t="shared" si="100"/>
        <v>2.0833333333333332E-2</v>
      </c>
      <c r="R5683" t="s">
        <v>213</v>
      </c>
      <c r="S5683" s="2" t="s">
        <v>177</v>
      </c>
      <c r="T5683">
        <v>10</v>
      </c>
      <c r="U5683" t="s">
        <v>28</v>
      </c>
      <c r="V5683" t="s">
        <v>28</v>
      </c>
      <c r="W5683">
        <v>30</v>
      </c>
      <c r="X5683">
        <v>0.54500000000000004</v>
      </c>
      <c r="Y5683">
        <v>3.4500000000000003E-2</v>
      </c>
      <c r="Z5683">
        <v>1.09E-2</v>
      </c>
      <c r="AA5683">
        <v>0.47799999999999998</v>
      </c>
      <c r="AB5683">
        <v>0.61299999999999999</v>
      </c>
    </row>
    <row r="5684" spans="1:28" x14ac:dyDescent="0.2">
      <c r="A5684" t="s">
        <v>642</v>
      </c>
      <c r="B5684">
        <v>2018</v>
      </c>
      <c r="C5684" t="s">
        <v>805</v>
      </c>
      <c r="D5684" t="s">
        <v>809</v>
      </c>
      <c r="E5684" t="s">
        <v>154</v>
      </c>
      <c r="F5684" t="s">
        <v>643</v>
      </c>
      <c r="G5684">
        <v>42.307222000000003</v>
      </c>
      <c r="H5684">
        <v>140.99111099999999</v>
      </c>
      <c r="I5684" t="s">
        <v>764</v>
      </c>
      <c r="J5684" s="2" t="s">
        <v>14</v>
      </c>
      <c r="K5684" t="s">
        <v>144</v>
      </c>
      <c r="L5684" t="s">
        <v>144</v>
      </c>
      <c r="M5684" t="s">
        <v>726</v>
      </c>
      <c r="N5684" t="s">
        <v>85</v>
      </c>
      <c r="O5684" t="s">
        <v>84</v>
      </c>
      <c r="Q5684">
        <f t="shared" si="100"/>
        <v>2.0833333333333332E-2</v>
      </c>
      <c r="R5684" t="s">
        <v>213</v>
      </c>
      <c r="S5684" s="2" t="s">
        <v>178</v>
      </c>
      <c r="T5684">
        <v>10</v>
      </c>
      <c r="U5684" t="s">
        <v>28</v>
      </c>
      <c r="V5684" t="s">
        <v>28</v>
      </c>
      <c r="W5684">
        <v>32</v>
      </c>
      <c r="X5684">
        <v>0.40799999999999997</v>
      </c>
      <c r="Y5684">
        <v>8.8900000000000007E-2</v>
      </c>
      <c r="Z5684">
        <v>2.81E-2</v>
      </c>
      <c r="AA5684">
        <v>0.23400000000000001</v>
      </c>
      <c r="AB5684">
        <v>0.58199999999999996</v>
      </c>
    </row>
    <row r="5685" spans="1:28" x14ac:dyDescent="0.2">
      <c r="A5685" t="s">
        <v>642</v>
      </c>
      <c r="B5685">
        <v>2018</v>
      </c>
      <c r="C5685" t="s">
        <v>805</v>
      </c>
      <c r="D5685" t="s">
        <v>809</v>
      </c>
      <c r="E5685" t="s">
        <v>154</v>
      </c>
      <c r="F5685" t="s">
        <v>643</v>
      </c>
      <c r="G5685">
        <v>42.307222000000003</v>
      </c>
      <c r="H5685">
        <v>140.99111099999999</v>
      </c>
      <c r="I5685" t="s">
        <v>764</v>
      </c>
      <c r="J5685" s="2" t="s">
        <v>14</v>
      </c>
      <c r="K5685" t="s">
        <v>144</v>
      </c>
      <c r="L5685" t="s">
        <v>144</v>
      </c>
      <c r="M5685" t="s">
        <v>726</v>
      </c>
      <c r="N5685" t="s">
        <v>85</v>
      </c>
      <c r="O5685" t="s">
        <v>84</v>
      </c>
      <c r="Q5685">
        <f t="shared" si="100"/>
        <v>2.0833333333333332E-2</v>
      </c>
      <c r="R5685" t="s">
        <v>213</v>
      </c>
      <c r="S5685" s="2" t="s">
        <v>179</v>
      </c>
      <c r="T5685">
        <v>10</v>
      </c>
      <c r="U5685" t="s">
        <v>28</v>
      </c>
      <c r="V5685" t="s">
        <v>28</v>
      </c>
      <c r="W5685">
        <v>34</v>
      </c>
      <c r="X5685">
        <v>8.0100000000000005E-2</v>
      </c>
      <c r="Y5685">
        <v>0.02</v>
      </c>
      <c r="Z5685">
        <v>6.3200000000000001E-3</v>
      </c>
      <c r="AA5685">
        <v>4.0899999999999999E-2</v>
      </c>
      <c r="AB5685">
        <v>0.11899999999999999</v>
      </c>
    </row>
    <row r="5686" spans="1:28" x14ac:dyDescent="0.2">
      <c r="A5686" t="s">
        <v>642</v>
      </c>
      <c r="B5686">
        <v>2018</v>
      </c>
      <c r="C5686" t="s">
        <v>805</v>
      </c>
      <c r="D5686" t="s">
        <v>809</v>
      </c>
      <c r="E5686" t="s">
        <v>154</v>
      </c>
      <c r="F5686" t="s">
        <v>643</v>
      </c>
      <c r="G5686">
        <v>42.307222000000003</v>
      </c>
      <c r="H5686">
        <v>140.99111099999999</v>
      </c>
      <c r="I5686" t="s">
        <v>764</v>
      </c>
      <c r="J5686" s="2" t="s">
        <v>14</v>
      </c>
      <c r="K5686" t="s">
        <v>144</v>
      </c>
      <c r="L5686" t="s">
        <v>144</v>
      </c>
      <c r="M5686" t="s">
        <v>726</v>
      </c>
      <c r="N5686" t="s">
        <v>85</v>
      </c>
      <c r="O5686" t="s">
        <v>84</v>
      </c>
      <c r="Q5686">
        <f t="shared" si="100"/>
        <v>2.0833333333333332E-2</v>
      </c>
      <c r="R5686" t="s">
        <v>213</v>
      </c>
      <c r="S5686" s="2" t="s">
        <v>180</v>
      </c>
      <c r="T5686">
        <v>10</v>
      </c>
      <c r="U5686" t="s">
        <v>28</v>
      </c>
      <c r="V5686" t="s">
        <v>28</v>
      </c>
      <c r="W5686">
        <v>36</v>
      </c>
      <c r="X5686">
        <v>6.2399999999999997E-2</v>
      </c>
      <c r="Y5686">
        <v>8.6E-3</v>
      </c>
      <c r="Z5686">
        <v>2.7200000000000002E-3</v>
      </c>
      <c r="AA5686">
        <v>4.5499999999999999E-2</v>
      </c>
      <c r="AB5686">
        <v>7.9299999999999995E-2</v>
      </c>
    </row>
    <row r="5687" spans="1:28" x14ac:dyDescent="0.2">
      <c r="A5687" t="s">
        <v>642</v>
      </c>
      <c r="B5687">
        <v>2018</v>
      </c>
      <c r="C5687" t="s">
        <v>805</v>
      </c>
      <c r="D5687" t="s">
        <v>809</v>
      </c>
      <c r="E5687" t="s">
        <v>154</v>
      </c>
      <c r="F5687" t="s">
        <v>643</v>
      </c>
      <c r="G5687">
        <v>42.307222000000003</v>
      </c>
      <c r="H5687">
        <v>140.99111099999999</v>
      </c>
      <c r="I5687" t="s">
        <v>764</v>
      </c>
      <c r="J5687" s="2" t="s">
        <v>7</v>
      </c>
      <c r="K5687" t="s">
        <v>3</v>
      </c>
      <c r="L5687" t="s">
        <v>3</v>
      </c>
      <c r="M5687" t="s">
        <v>726</v>
      </c>
      <c r="N5687" t="s">
        <v>85</v>
      </c>
      <c r="O5687" t="s">
        <v>84</v>
      </c>
      <c r="Q5687">
        <f t="shared" si="100"/>
        <v>2.0833333333333332E-2</v>
      </c>
      <c r="R5687" t="s">
        <v>213</v>
      </c>
      <c r="S5687" t="s">
        <v>7</v>
      </c>
      <c r="T5687">
        <v>10</v>
      </c>
      <c r="U5687" t="s">
        <v>28</v>
      </c>
      <c r="V5687" t="s">
        <v>28</v>
      </c>
      <c r="W5687">
        <v>12</v>
      </c>
      <c r="X5687">
        <v>0.69499999999999995</v>
      </c>
      <c r="Y5687">
        <v>3.2199999999999999E-2</v>
      </c>
      <c r="Z5687">
        <v>7.1900000000000002E-3</v>
      </c>
      <c r="AA5687">
        <v>0.63200000000000001</v>
      </c>
      <c r="AB5687">
        <v>0.75800000000000001</v>
      </c>
    </row>
    <row r="5688" spans="1:28" x14ac:dyDescent="0.2">
      <c r="A5688" t="s">
        <v>642</v>
      </c>
      <c r="B5688">
        <v>2018</v>
      </c>
      <c r="C5688" t="s">
        <v>805</v>
      </c>
      <c r="D5688" t="s">
        <v>809</v>
      </c>
      <c r="E5688" t="s">
        <v>154</v>
      </c>
      <c r="F5688" t="s">
        <v>643</v>
      </c>
      <c r="G5688">
        <v>42.307222000000003</v>
      </c>
      <c r="H5688">
        <v>140.99111099999999</v>
      </c>
      <c r="I5688" t="s">
        <v>764</v>
      </c>
      <c r="J5688" s="2" t="s">
        <v>14</v>
      </c>
      <c r="K5688" t="s">
        <v>3</v>
      </c>
      <c r="L5688" t="s">
        <v>3</v>
      </c>
      <c r="M5688" t="s">
        <v>726</v>
      </c>
      <c r="N5688" t="s">
        <v>85</v>
      </c>
      <c r="O5688" t="s">
        <v>84</v>
      </c>
      <c r="Q5688">
        <f t="shared" si="100"/>
        <v>2.0833333333333332E-2</v>
      </c>
      <c r="R5688" t="s">
        <v>213</v>
      </c>
      <c r="S5688" s="2" t="s">
        <v>9</v>
      </c>
      <c r="T5688">
        <v>10</v>
      </c>
      <c r="U5688" t="s">
        <v>28</v>
      </c>
      <c r="V5688" t="s">
        <v>28</v>
      </c>
      <c r="W5688">
        <v>14</v>
      </c>
      <c r="X5688">
        <v>0.7</v>
      </c>
      <c r="Y5688">
        <v>1.6199999999999999E-2</v>
      </c>
      <c r="Z5688">
        <v>5.1200000000000004E-3</v>
      </c>
      <c r="AA5688">
        <v>0.66800000000000004</v>
      </c>
      <c r="AB5688">
        <v>0.73199999999999998</v>
      </c>
    </row>
    <row r="5689" spans="1:28" x14ac:dyDescent="0.2">
      <c r="A5689" t="s">
        <v>642</v>
      </c>
      <c r="B5689">
        <v>2018</v>
      </c>
      <c r="C5689" t="s">
        <v>805</v>
      </c>
      <c r="D5689" t="s">
        <v>809</v>
      </c>
      <c r="E5689" t="s">
        <v>154</v>
      </c>
      <c r="F5689" t="s">
        <v>643</v>
      </c>
      <c r="G5689">
        <v>42.307222000000003</v>
      </c>
      <c r="H5689">
        <v>140.99111099999999</v>
      </c>
      <c r="I5689" t="s">
        <v>764</v>
      </c>
      <c r="J5689" s="2" t="s">
        <v>14</v>
      </c>
      <c r="K5689" t="s">
        <v>3</v>
      </c>
      <c r="L5689" t="s">
        <v>3</v>
      </c>
      <c r="M5689" t="s">
        <v>726</v>
      </c>
      <c r="N5689" t="s">
        <v>85</v>
      </c>
      <c r="O5689" t="s">
        <v>84</v>
      </c>
      <c r="Q5689">
        <f t="shared" si="100"/>
        <v>2.0833333333333332E-2</v>
      </c>
      <c r="R5689" t="s">
        <v>213</v>
      </c>
      <c r="S5689" s="2" t="s">
        <v>27</v>
      </c>
      <c r="T5689">
        <v>10</v>
      </c>
      <c r="U5689" t="s">
        <v>28</v>
      </c>
      <c r="V5689" t="s">
        <v>28</v>
      </c>
      <c r="W5689">
        <v>16</v>
      </c>
      <c r="X5689">
        <v>0.69799999999999995</v>
      </c>
      <c r="Y5689">
        <v>1.83E-2</v>
      </c>
      <c r="Z5689">
        <v>5.77E-3</v>
      </c>
      <c r="AA5689">
        <v>0.66200000000000003</v>
      </c>
      <c r="AB5689">
        <v>0.73299999999999998</v>
      </c>
    </row>
    <row r="5690" spans="1:28" x14ac:dyDescent="0.2">
      <c r="A5690" t="s">
        <v>642</v>
      </c>
      <c r="B5690">
        <v>2018</v>
      </c>
      <c r="C5690" t="s">
        <v>805</v>
      </c>
      <c r="D5690" t="s">
        <v>809</v>
      </c>
      <c r="E5690" t="s">
        <v>154</v>
      </c>
      <c r="F5690" t="s">
        <v>643</v>
      </c>
      <c r="G5690">
        <v>42.307222000000003</v>
      </c>
      <c r="H5690">
        <v>140.99111099999999</v>
      </c>
      <c r="I5690" t="s">
        <v>764</v>
      </c>
      <c r="J5690" s="2" t="s">
        <v>14</v>
      </c>
      <c r="K5690" t="s">
        <v>3</v>
      </c>
      <c r="L5690" t="s">
        <v>3</v>
      </c>
      <c r="M5690" t="s">
        <v>726</v>
      </c>
      <c r="N5690" t="s">
        <v>85</v>
      </c>
      <c r="O5690" t="s">
        <v>84</v>
      </c>
      <c r="Q5690">
        <f t="shared" si="100"/>
        <v>2.0833333333333332E-2</v>
      </c>
      <c r="R5690" t="s">
        <v>213</v>
      </c>
      <c r="S5690" s="2" t="s">
        <v>13</v>
      </c>
      <c r="T5690">
        <v>10</v>
      </c>
      <c r="U5690" t="s">
        <v>28</v>
      </c>
      <c r="V5690" t="s">
        <v>28</v>
      </c>
      <c r="W5690">
        <v>18</v>
      </c>
      <c r="X5690">
        <v>0.67800000000000005</v>
      </c>
      <c r="Y5690">
        <v>1.5599999999999999E-2</v>
      </c>
      <c r="Z5690">
        <v>4.9199999999999999E-3</v>
      </c>
      <c r="AA5690">
        <v>0.64700000000000002</v>
      </c>
      <c r="AB5690">
        <v>0.70799999999999996</v>
      </c>
    </row>
    <row r="5691" spans="1:28" x14ac:dyDescent="0.2">
      <c r="A5691" t="s">
        <v>642</v>
      </c>
      <c r="B5691">
        <v>2018</v>
      </c>
      <c r="C5691" t="s">
        <v>805</v>
      </c>
      <c r="D5691" t="s">
        <v>809</v>
      </c>
      <c r="E5691" t="s">
        <v>154</v>
      </c>
      <c r="F5691" t="s">
        <v>643</v>
      </c>
      <c r="G5691">
        <v>42.307222000000003</v>
      </c>
      <c r="H5691">
        <v>140.99111099999999</v>
      </c>
      <c r="I5691" t="s">
        <v>764</v>
      </c>
      <c r="J5691" s="2" t="s">
        <v>14</v>
      </c>
      <c r="K5691" t="s">
        <v>3</v>
      </c>
      <c r="L5691" t="s">
        <v>3</v>
      </c>
      <c r="M5691" t="s">
        <v>726</v>
      </c>
      <c r="N5691" t="s">
        <v>85</v>
      </c>
      <c r="O5691" t="s">
        <v>84</v>
      </c>
      <c r="Q5691">
        <f t="shared" si="100"/>
        <v>2.0833333333333332E-2</v>
      </c>
      <c r="R5691" t="s">
        <v>213</v>
      </c>
      <c r="S5691" s="2" t="s">
        <v>15</v>
      </c>
      <c r="T5691">
        <v>10</v>
      </c>
      <c r="U5691" t="s">
        <v>28</v>
      </c>
      <c r="V5691" t="s">
        <v>28</v>
      </c>
      <c r="W5691">
        <v>20</v>
      </c>
      <c r="X5691">
        <v>0.66</v>
      </c>
      <c r="Y5691">
        <v>1.2999999999999999E-2</v>
      </c>
      <c r="Z5691">
        <v>4.1200000000000004E-3</v>
      </c>
      <c r="AA5691">
        <v>0.63500000000000001</v>
      </c>
      <c r="AB5691">
        <v>0.68600000000000005</v>
      </c>
    </row>
    <row r="5692" spans="1:28" x14ac:dyDescent="0.2">
      <c r="A5692" t="s">
        <v>642</v>
      </c>
      <c r="B5692">
        <v>2018</v>
      </c>
      <c r="C5692" t="s">
        <v>805</v>
      </c>
      <c r="D5692" t="s">
        <v>809</v>
      </c>
      <c r="E5692" t="s">
        <v>154</v>
      </c>
      <c r="F5692" t="s">
        <v>643</v>
      </c>
      <c r="G5692">
        <v>42.307222000000003</v>
      </c>
      <c r="H5692">
        <v>140.99111099999999</v>
      </c>
      <c r="I5692" t="s">
        <v>764</v>
      </c>
      <c r="J5692" s="2" t="s">
        <v>14</v>
      </c>
      <c r="K5692" t="s">
        <v>3</v>
      </c>
      <c r="L5692" t="s">
        <v>3</v>
      </c>
      <c r="M5692" t="s">
        <v>726</v>
      </c>
      <c r="N5692" t="s">
        <v>85</v>
      </c>
      <c r="O5692" t="s">
        <v>84</v>
      </c>
      <c r="Q5692">
        <f t="shared" si="100"/>
        <v>2.0833333333333332E-2</v>
      </c>
      <c r="R5692" t="s">
        <v>213</v>
      </c>
      <c r="S5692" s="2" t="s">
        <v>37</v>
      </c>
      <c r="T5692">
        <v>10</v>
      </c>
      <c r="U5692" t="s">
        <v>28</v>
      </c>
      <c r="V5692" t="s">
        <v>28</v>
      </c>
      <c r="W5692">
        <v>22</v>
      </c>
      <c r="X5692">
        <v>0.63900000000000001</v>
      </c>
      <c r="Y5692">
        <v>2.0500000000000001E-2</v>
      </c>
      <c r="Z5692">
        <v>6.4799999999999996E-3</v>
      </c>
      <c r="AA5692">
        <v>0.59899999999999998</v>
      </c>
      <c r="AB5692">
        <v>0.67900000000000005</v>
      </c>
    </row>
    <row r="5693" spans="1:28" x14ac:dyDescent="0.2">
      <c r="A5693" t="s">
        <v>642</v>
      </c>
      <c r="B5693">
        <v>2018</v>
      </c>
      <c r="C5693" t="s">
        <v>805</v>
      </c>
      <c r="D5693" t="s">
        <v>809</v>
      </c>
      <c r="E5693" t="s">
        <v>154</v>
      </c>
      <c r="F5693" t="s">
        <v>643</v>
      </c>
      <c r="G5693">
        <v>42.307222000000003</v>
      </c>
      <c r="H5693">
        <v>140.99111099999999</v>
      </c>
      <c r="I5693" t="s">
        <v>764</v>
      </c>
      <c r="J5693" s="2" t="s">
        <v>14</v>
      </c>
      <c r="K5693" t="s">
        <v>3</v>
      </c>
      <c r="L5693" t="s">
        <v>3</v>
      </c>
      <c r="M5693" t="s">
        <v>726</v>
      </c>
      <c r="N5693" t="s">
        <v>85</v>
      </c>
      <c r="O5693" t="s">
        <v>84</v>
      </c>
      <c r="Q5693">
        <f t="shared" si="100"/>
        <v>2.0833333333333332E-2</v>
      </c>
      <c r="R5693" t="s">
        <v>213</v>
      </c>
      <c r="S5693" s="2" t="s">
        <v>116</v>
      </c>
      <c r="T5693">
        <v>10</v>
      </c>
      <c r="U5693" t="s">
        <v>28</v>
      </c>
      <c r="V5693" t="s">
        <v>28</v>
      </c>
      <c r="W5693">
        <v>24</v>
      </c>
      <c r="X5693">
        <v>0.60499999999999998</v>
      </c>
      <c r="Y5693">
        <v>1.6799999999999999E-2</v>
      </c>
      <c r="Z5693">
        <v>5.3200000000000001E-3</v>
      </c>
      <c r="AA5693">
        <v>0.57199999999999995</v>
      </c>
      <c r="AB5693">
        <v>0.63800000000000001</v>
      </c>
    </row>
    <row r="5694" spans="1:28" x14ac:dyDescent="0.2">
      <c r="A5694" t="s">
        <v>642</v>
      </c>
      <c r="B5694">
        <v>2018</v>
      </c>
      <c r="C5694" t="s">
        <v>805</v>
      </c>
      <c r="D5694" t="s">
        <v>809</v>
      </c>
      <c r="E5694" t="s">
        <v>154</v>
      </c>
      <c r="F5694" t="s">
        <v>643</v>
      </c>
      <c r="G5694">
        <v>42.307222000000003</v>
      </c>
      <c r="H5694">
        <v>140.99111099999999</v>
      </c>
      <c r="I5694" t="s">
        <v>764</v>
      </c>
      <c r="J5694" s="2" t="s">
        <v>14</v>
      </c>
      <c r="K5694" t="s">
        <v>3</v>
      </c>
      <c r="L5694" t="s">
        <v>3</v>
      </c>
      <c r="M5694" t="s">
        <v>726</v>
      </c>
      <c r="N5694" t="s">
        <v>85</v>
      </c>
      <c r="O5694" t="s">
        <v>84</v>
      </c>
      <c r="Q5694">
        <f t="shared" si="100"/>
        <v>2.0833333333333332E-2</v>
      </c>
      <c r="R5694" t="s">
        <v>213</v>
      </c>
      <c r="S5694" s="2" t="s">
        <v>117</v>
      </c>
      <c r="T5694">
        <v>10</v>
      </c>
      <c r="U5694" t="s">
        <v>28</v>
      </c>
      <c r="V5694" t="s">
        <v>28</v>
      </c>
      <c r="W5694">
        <v>26</v>
      </c>
      <c r="X5694">
        <v>0.58899999999999997</v>
      </c>
      <c r="Y5694">
        <v>1.4E-2</v>
      </c>
      <c r="Z5694">
        <v>4.4200000000000003E-3</v>
      </c>
      <c r="AA5694">
        <v>0.56100000000000005</v>
      </c>
      <c r="AB5694">
        <v>0.61599999999999999</v>
      </c>
    </row>
    <row r="5695" spans="1:28" x14ac:dyDescent="0.2">
      <c r="A5695" t="s">
        <v>642</v>
      </c>
      <c r="B5695">
        <v>2018</v>
      </c>
      <c r="C5695" t="s">
        <v>805</v>
      </c>
      <c r="D5695" t="s">
        <v>809</v>
      </c>
      <c r="E5695" t="s">
        <v>154</v>
      </c>
      <c r="F5695" t="s">
        <v>643</v>
      </c>
      <c r="G5695">
        <v>42.307222000000003</v>
      </c>
      <c r="H5695">
        <v>140.99111099999999</v>
      </c>
      <c r="I5695" t="s">
        <v>764</v>
      </c>
      <c r="J5695" s="2" t="s">
        <v>14</v>
      </c>
      <c r="K5695" t="s">
        <v>3</v>
      </c>
      <c r="L5695" t="s">
        <v>3</v>
      </c>
      <c r="M5695" t="s">
        <v>726</v>
      </c>
      <c r="N5695" t="s">
        <v>85</v>
      </c>
      <c r="O5695" t="s">
        <v>84</v>
      </c>
      <c r="Q5695">
        <f t="shared" si="100"/>
        <v>2.0833333333333332E-2</v>
      </c>
      <c r="R5695" t="s">
        <v>213</v>
      </c>
      <c r="S5695" s="2" t="s">
        <v>118</v>
      </c>
      <c r="T5695">
        <v>10</v>
      </c>
      <c r="U5695" t="s">
        <v>28</v>
      </c>
      <c r="V5695" t="s">
        <v>28</v>
      </c>
      <c r="W5695">
        <v>28</v>
      </c>
      <c r="X5695">
        <v>0.55300000000000005</v>
      </c>
      <c r="Y5695">
        <v>2.23E-2</v>
      </c>
      <c r="Z5695">
        <v>7.0499999999999998E-3</v>
      </c>
      <c r="AA5695">
        <v>0.50900000000000001</v>
      </c>
      <c r="AB5695">
        <v>0.59699999999999998</v>
      </c>
    </row>
    <row r="5696" spans="1:28" x14ac:dyDescent="0.2">
      <c r="A5696" t="s">
        <v>642</v>
      </c>
      <c r="B5696">
        <v>2018</v>
      </c>
      <c r="C5696" t="s">
        <v>805</v>
      </c>
      <c r="D5696" t="s">
        <v>809</v>
      </c>
      <c r="E5696" t="s">
        <v>154</v>
      </c>
      <c r="F5696" t="s">
        <v>643</v>
      </c>
      <c r="G5696">
        <v>42.307222000000003</v>
      </c>
      <c r="H5696">
        <v>140.99111099999999</v>
      </c>
      <c r="I5696" t="s">
        <v>764</v>
      </c>
      <c r="J5696" s="2" t="s">
        <v>14</v>
      </c>
      <c r="K5696" t="s">
        <v>3</v>
      </c>
      <c r="L5696" t="s">
        <v>3</v>
      </c>
      <c r="M5696" t="s">
        <v>726</v>
      </c>
      <c r="N5696" t="s">
        <v>85</v>
      </c>
      <c r="O5696" t="s">
        <v>84</v>
      </c>
      <c r="Q5696">
        <f t="shared" si="100"/>
        <v>2.0833333333333332E-2</v>
      </c>
      <c r="R5696" t="s">
        <v>213</v>
      </c>
      <c r="S5696" s="2" t="s">
        <v>177</v>
      </c>
      <c r="T5696">
        <v>10</v>
      </c>
      <c r="U5696" t="s">
        <v>28</v>
      </c>
      <c r="V5696" t="s">
        <v>28</v>
      </c>
      <c r="W5696">
        <v>30</v>
      </c>
      <c r="X5696">
        <v>0.53300000000000003</v>
      </c>
      <c r="Y5696">
        <v>2.0500000000000001E-2</v>
      </c>
      <c r="Z5696">
        <v>6.4700000000000001E-3</v>
      </c>
      <c r="AA5696">
        <v>0.49299999999999999</v>
      </c>
      <c r="AB5696">
        <v>0.57299999999999995</v>
      </c>
    </row>
    <row r="5697" spans="1:28" x14ac:dyDescent="0.2">
      <c r="A5697" t="s">
        <v>642</v>
      </c>
      <c r="B5697">
        <v>2018</v>
      </c>
      <c r="C5697" t="s">
        <v>805</v>
      </c>
      <c r="D5697" t="s">
        <v>809</v>
      </c>
      <c r="E5697" t="s">
        <v>154</v>
      </c>
      <c r="F5697" t="s">
        <v>643</v>
      </c>
      <c r="G5697">
        <v>42.307222000000003</v>
      </c>
      <c r="H5697">
        <v>140.99111099999999</v>
      </c>
      <c r="I5697" t="s">
        <v>764</v>
      </c>
      <c r="J5697" s="2" t="s">
        <v>14</v>
      </c>
      <c r="K5697" t="s">
        <v>3</v>
      </c>
      <c r="L5697" t="s">
        <v>3</v>
      </c>
      <c r="M5697" t="s">
        <v>726</v>
      </c>
      <c r="N5697" t="s">
        <v>85</v>
      </c>
      <c r="O5697" t="s">
        <v>84</v>
      </c>
      <c r="Q5697">
        <f t="shared" si="100"/>
        <v>2.0833333333333332E-2</v>
      </c>
      <c r="R5697" t="s">
        <v>213</v>
      </c>
      <c r="S5697" s="2" t="s">
        <v>178</v>
      </c>
      <c r="T5697">
        <v>10</v>
      </c>
      <c r="U5697" t="s">
        <v>28</v>
      </c>
      <c r="V5697" t="s">
        <v>28</v>
      </c>
      <c r="W5697">
        <v>32</v>
      </c>
      <c r="X5697">
        <v>0.52600000000000002</v>
      </c>
      <c r="Y5697">
        <v>2.7099999999999999E-2</v>
      </c>
      <c r="Z5697">
        <v>8.5699999999999995E-3</v>
      </c>
      <c r="AA5697">
        <v>0.47299999999999998</v>
      </c>
      <c r="AB5697">
        <v>0.57899999999999996</v>
      </c>
    </row>
    <row r="5698" spans="1:28" x14ac:dyDescent="0.2">
      <c r="A5698" t="s">
        <v>642</v>
      </c>
      <c r="B5698">
        <v>2018</v>
      </c>
      <c r="C5698" t="s">
        <v>805</v>
      </c>
      <c r="D5698" t="s">
        <v>809</v>
      </c>
      <c r="E5698" t="s">
        <v>154</v>
      </c>
      <c r="F5698" t="s">
        <v>643</v>
      </c>
      <c r="G5698">
        <v>42.307222000000003</v>
      </c>
      <c r="H5698">
        <v>140.99111099999999</v>
      </c>
      <c r="I5698" t="s">
        <v>764</v>
      </c>
      <c r="J5698" s="2" t="s">
        <v>14</v>
      </c>
      <c r="K5698" t="s">
        <v>3</v>
      </c>
      <c r="L5698" t="s">
        <v>3</v>
      </c>
      <c r="M5698" t="s">
        <v>726</v>
      </c>
      <c r="N5698" t="s">
        <v>85</v>
      </c>
      <c r="O5698" t="s">
        <v>84</v>
      </c>
      <c r="Q5698">
        <f t="shared" si="100"/>
        <v>2.0833333333333332E-2</v>
      </c>
      <c r="R5698" t="s">
        <v>213</v>
      </c>
      <c r="S5698" s="2" t="s">
        <v>179</v>
      </c>
      <c r="T5698">
        <v>10</v>
      </c>
      <c r="U5698" t="s">
        <v>28</v>
      </c>
      <c r="V5698" t="s">
        <v>28</v>
      </c>
      <c r="W5698">
        <v>34</v>
      </c>
      <c r="X5698">
        <v>0.497</v>
      </c>
      <c r="Y5698">
        <v>2.3300000000000001E-2</v>
      </c>
      <c r="Z5698">
        <v>7.3699999999999998E-3</v>
      </c>
      <c r="AA5698">
        <v>0.45100000000000001</v>
      </c>
      <c r="AB5698">
        <v>0.54300000000000004</v>
      </c>
    </row>
    <row r="5699" spans="1:28" x14ac:dyDescent="0.2">
      <c r="A5699" t="s">
        <v>642</v>
      </c>
      <c r="B5699">
        <v>2018</v>
      </c>
      <c r="C5699" t="s">
        <v>805</v>
      </c>
      <c r="D5699" t="s">
        <v>809</v>
      </c>
      <c r="E5699" t="s">
        <v>154</v>
      </c>
      <c r="F5699" t="s">
        <v>643</v>
      </c>
      <c r="G5699">
        <v>42.307222000000003</v>
      </c>
      <c r="H5699">
        <v>140.99111099999999</v>
      </c>
      <c r="I5699" t="s">
        <v>764</v>
      </c>
      <c r="J5699" s="2" t="s">
        <v>14</v>
      </c>
      <c r="K5699" t="s">
        <v>3</v>
      </c>
      <c r="L5699" t="s">
        <v>3</v>
      </c>
      <c r="M5699" t="s">
        <v>726</v>
      </c>
      <c r="N5699" t="s">
        <v>85</v>
      </c>
      <c r="O5699" t="s">
        <v>84</v>
      </c>
      <c r="Q5699">
        <f t="shared" si="100"/>
        <v>2.0833333333333332E-2</v>
      </c>
      <c r="R5699" t="s">
        <v>213</v>
      </c>
      <c r="S5699" s="2" t="s">
        <v>180</v>
      </c>
      <c r="T5699">
        <v>10</v>
      </c>
      <c r="U5699" t="s">
        <v>28</v>
      </c>
      <c r="V5699" t="s">
        <v>28</v>
      </c>
      <c r="W5699">
        <v>36</v>
      </c>
      <c r="X5699">
        <v>0.39500000000000002</v>
      </c>
      <c r="Y5699">
        <v>3.7499999999999999E-2</v>
      </c>
      <c r="Z5699">
        <v>1.18E-2</v>
      </c>
      <c r="AA5699">
        <v>0.32200000000000001</v>
      </c>
      <c r="AB5699">
        <v>0.46899999999999997</v>
      </c>
    </row>
    <row r="5700" spans="1:28" x14ac:dyDescent="0.2">
      <c r="A5700" t="s">
        <v>642</v>
      </c>
      <c r="B5700">
        <v>2018</v>
      </c>
      <c r="C5700" t="s">
        <v>805</v>
      </c>
      <c r="D5700" t="s">
        <v>809</v>
      </c>
      <c r="E5700" t="s">
        <v>154</v>
      </c>
      <c r="F5700" t="s">
        <v>643</v>
      </c>
      <c r="G5700">
        <v>42.307222000000003</v>
      </c>
      <c r="H5700">
        <v>140.99111099999999</v>
      </c>
      <c r="I5700" t="s">
        <v>764</v>
      </c>
      <c r="J5700" s="2" t="s">
        <v>7</v>
      </c>
      <c r="K5700" t="s">
        <v>144</v>
      </c>
      <c r="L5700" t="s">
        <v>144</v>
      </c>
      <c r="M5700" t="s">
        <v>73</v>
      </c>
      <c r="N5700" t="s">
        <v>85</v>
      </c>
      <c r="O5700" t="s">
        <v>146</v>
      </c>
      <c r="P5700" t="s">
        <v>641</v>
      </c>
      <c r="Q5700">
        <f t="shared" si="100"/>
        <v>2.0833333333333332E-2</v>
      </c>
      <c r="R5700" t="s">
        <v>213</v>
      </c>
      <c r="S5700" s="2" t="s">
        <v>7</v>
      </c>
      <c r="T5700">
        <v>5</v>
      </c>
      <c r="U5700" t="s">
        <v>28</v>
      </c>
      <c r="V5700" t="s">
        <v>28</v>
      </c>
      <c r="W5700">
        <v>16</v>
      </c>
      <c r="X5700">
        <v>6.2929919999999999</v>
      </c>
      <c r="Y5700">
        <v>1.8349964999999999</v>
      </c>
      <c r="Z5700">
        <v>0.58027680000000004</v>
      </c>
      <c r="AA5700">
        <v>5.1556499999999996</v>
      </c>
      <c r="AB5700">
        <v>7.4303350000000004</v>
      </c>
    </row>
    <row r="5701" spans="1:28" x14ac:dyDescent="0.2">
      <c r="A5701" t="s">
        <v>642</v>
      </c>
      <c r="B5701">
        <v>2018</v>
      </c>
      <c r="C5701" t="s">
        <v>805</v>
      </c>
      <c r="D5701" t="s">
        <v>809</v>
      </c>
      <c r="E5701" t="s">
        <v>154</v>
      </c>
      <c r="F5701" t="s">
        <v>643</v>
      </c>
      <c r="G5701">
        <v>42.307222000000003</v>
      </c>
      <c r="H5701">
        <v>140.99111099999999</v>
      </c>
      <c r="I5701" t="s">
        <v>764</v>
      </c>
      <c r="J5701" s="2" t="s">
        <v>14</v>
      </c>
      <c r="K5701" t="s">
        <v>144</v>
      </c>
      <c r="L5701" t="s">
        <v>144</v>
      </c>
      <c r="M5701" t="s">
        <v>73</v>
      </c>
      <c r="N5701" t="s">
        <v>85</v>
      </c>
      <c r="O5701" t="s">
        <v>146</v>
      </c>
      <c r="P5701" t="s">
        <v>641</v>
      </c>
      <c r="Q5701">
        <f t="shared" si="100"/>
        <v>2.0833333333333332E-2</v>
      </c>
      <c r="R5701" t="s">
        <v>213</v>
      </c>
      <c r="S5701" s="2" t="s">
        <v>15</v>
      </c>
      <c r="T5701">
        <v>5</v>
      </c>
      <c r="U5701" t="s">
        <v>28</v>
      </c>
      <c r="V5701" t="s">
        <v>28</v>
      </c>
      <c r="W5701">
        <v>20</v>
      </c>
      <c r="X5701">
        <v>5.4078169999999997</v>
      </c>
      <c r="Y5701">
        <v>0.98685820000000002</v>
      </c>
      <c r="Z5701">
        <v>0.44133640000000002</v>
      </c>
      <c r="AA5701">
        <v>4.5427980000000003</v>
      </c>
      <c r="AB5701">
        <v>6.2728359999999999</v>
      </c>
    </row>
    <row r="5702" spans="1:28" x14ac:dyDescent="0.2">
      <c r="A5702" t="s">
        <v>642</v>
      </c>
      <c r="B5702">
        <v>2018</v>
      </c>
      <c r="C5702" t="s">
        <v>805</v>
      </c>
      <c r="D5702" t="s">
        <v>809</v>
      </c>
      <c r="E5702" t="s">
        <v>154</v>
      </c>
      <c r="F5702" t="s">
        <v>643</v>
      </c>
      <c r="G5702">
        <v>42.307222000000003</v>
      </c>
      <c r="H5702">
        <v>140.99111099999999</v>
      </c>
      <c r="I5702" t="s">
        <v>764</v>
      </c>
      <c r="J5702" s="2" t="s">
        <v>14</v>
      </c>
      <c r="K5702" t="s">
        <v>144</v>
      </c>
      <c r="L5702" t="s">
        <v>144</v>
      </c>
      <c r="M5702" t="s">
        <v>73</v>
      </c>
      <c r="N5702" t="s">
        <v>85</v>
      </c>
      <c r="O5702" t="s">
        <v>146</v>
      </c>
      <c r="P5702" t="s">
        <v>641</v>
      </c>
      <c r="Q5702">
        <f t="shared" si="100"/>
        <v>2.0833333333333332E-2</v>
      </c>
      <c r="R5702" t="s">
        <v>213</v>
      </c>
      <c r="S5702" s="2" t="s">
        <v>116</v>
      </c>
      <c r="T5702">
        <v>5</v>
      </c>
      <c r="U5702" t="s">
        <v>28</v>
      </c>
      <c r="V5702" t="s">
        <v>28</v>
      </c>
      <c r="W5702">
        <v>24</v>
      </c>
      <c r="X5702">
        <v>5.7560789999999997</v>
      </c>
      <c r="Y5702">
        <v>0.9924172</v>
      </c>
      <c r="Z5702">
        <v>0.44382250000000001</v>
      </c>
      <c r="AA5702">
        <v>4.8861869999999996</v>
      </c>
      <c r="AB5702">
        <v>6.625972</v>
      </c>
    </row>
    <row r="5703" spans="1:28" x14ac:dyDescent="0.2">
      <c r="A5703" t="s">
        <v>642</v>
      </c>
      <c r="B5703">
        <v>2018</v>
      </c>
      <c r="C5703" t="s">
        <v>805</v>
      </c>
      <c r="D5703" t="s">
        <v>809</v>
      </c>
      <c r="E5703" t="s">
        <v>154</v>
      </c>
      <c r="F5703" t="s">
        <v>643</v>
      </c>
      <c r="G5703">
        <v>42.307222000000003</v>
      </c>
      <c r="H5703">
        <v>140.99111099999999</v>
      </c>
      <c r="I5703" t="s">
        <v>764</v>
      </c>
      <c r="J5703" s="2" t="s">
        <v>14</v>
      </c>
      <c r="K5703" t="s">
        <v>144</v>
      </c>
      <c r="L5703" t="s">
        <v>144</v>
      </c>
      <c r="M5703" t="s">
        <v>73</v>
      </c>
      <c r="N5703" t="s">
        <v>85</v>
      </c>
      <c r="O5703" t="s">
        <v>146</v>
      </c>
      <c r="P5703" t="s">
        <v>641</v>
      </c>
      <c r="Q5703">
        <f t="shared" si="100"/>
        <v>2.0833333333333332E-2</v>
      </c>
      <c r="R5703" t="s">
        <v>213</v>
      </c>
      <c r="S5703" s="2" t="s">
        <v>118</v>
      </c>
      <c r="T5703">
        <v>5</v>
      </c>
      <c r="U5703" t="s">
        <v>28</v>
      </c>
      <c r="V5703" t="s">
        <v>28</v>
      </c>
      <c r="W5703">
        <v>28</v>
      </c>
      <c r="X5703">
        <v>2.9003359999999998</v>
      </c>
      <c r="Y5703">
        <v>0.49972369999999999</v>
      </c>
      <c r="Z5703">
        <v>0.22348319999999999</v>
      </c>
      <c r="AA5703">
        <v>2.4623089999999999</v>
      </c>
      <c r="AB5703">
        <v>3.3383630000000002</v>
      </c>
    </row>
    <row r="5704" spans="1:28" x14ac:dyDescent="0.2">
      <c r="A5704" t="s">
        <v>642</v>
      </c>
      <c r="B5704">
        <v>2018</v>
      </c>
      <c r="C5704" t="s">
        <v>805</v>
      </c>
      <c r="D5704" t="s">
        <v>809</v>
      </c>
      <c r="E5704" t="s">
        <v>154</v>
      </c>
      <c r="F5704" t="s">
        <v>643</v>
      </c>
      <c r="G5704">
        <v>42.307222000000003</v>
      </c>
      <c r="H5704">
        <v>140.99111099999999</v>
      </c>
      <c r="I5704" t="s">
        <v>764</v>
      </c>
      <c r="J5704" s="2" t="s">
        <v>14</v>
      </c>
      <c r="K5704" t="s">
        <v>144</v>
      </c>
      <c r="L5704" t="s">
        <v>144</v>
      </c>
      <c r="M5704" t="s">
        <v>73</v>
      </c>
      <c r="N5704" t="s">
        <v>85</v>
      </c>
      <c r="O5704" t="s">
        <v>146</v>
      </c>
      <c r="P5704" t="s">
        <v>641</v>
      </c>
      <c r="Q5704">
        <f t="shared" si="100"/>
        <v>2.0833333333333332E-2</v>
      </c>
      <c r="R5704" t="s">
        <v>213</v>
      </c>
      <c r="S5704" s="2" t="s">
        <v>178</v>
      </c>
      <c r="T5704">
        <v>5</v>
      </c>
      <c r="U5704" t="s">
        <v>28</v>
      </c>
      <c r="V5704" t="s">
        <v>28</v>
      </c>
      <c r="W5704">
        <v>32</v>
      </c>
      <c r="X5704">
        <v>-3.8392759999999999</v>
      </c>
      <c r="Y5704">
        <v>0.28232259999999998</v>
      </c>
      <c r="Z5704">
        <v>0.1262585</v>
      </c>
      <c r="AA5704">
        <v>-4.0867430000000002</v>
      </c>
      <c r="AB5704">
        <v>-3.591809</v>
      </c>
    </row>
    <row r="5705" spans="1:28" x14ac:dyDescent="0.2">
      <c r="A5705" t="s">
        <v>642</v>
      </c>
      <c r="B5705">
        <v>2018</v>
      </c>
      <c r="C5705" t="s">
        <v>805</v>
      </c>
      <c r="D5705" t="s">
        <v>809</v>
      </c>
      <c r="E5705" t="s">
        <v>154</v>
      </c>
      <c r="F5705" t="s">
        <v>643</v>
      </c>
      <c r="G5705">
        <v>42.307222000000003</v>
      </c>
      <c r="H5705">
        <v>140.99111099999999</v>
      </c>
      <c r="I5705" t="s">
        <v>764</v>
      </c>
      <c r="J5705" s="2" t="s">
        <v>14</v>
      </c>
      <c r="K5705" t="s">
        <v>144</v>
      </c>
      <c r="L5705" t="s">
        <v>144</v>
      </c>
      <c r="M5705" t="s">
        <v>73</v>
      </c>
      <c r="N5705" t="s">
        <v>85</v>
      </c>
      <c r="O5705" t="s">
        <v>146</v>
      </c>
      <c r="P5705" t="s">
        <v>641</v>
      </c>
      <c r="Q5705">
        <f t="shared" si="100"/>
        <v>2.0833333333333332E-2</v>
      </c>
      <c r="R5705" t="s">
        <v>213</v>
      </c>
      <c r="S5705" s="2" t="s">
        <v>180</v>
      </c>
      <c r="T5705">
        <v>5</v>
      </c>
      <c r="U5705" t="s">
        <v>28</v>
      </c>
      <c r="V5705" t="s">
        <v>28</v>
      </c>
      <c r="W5705">
        <v>36</v>
      </c>
      <c r="X5705">
        <v>-5.6684950000000001</v>
      </c>
      <c r="Y5705">
        <v>0.25180209999999997</v>
      </c>
      <c r="Z5705">
        <v>0.1126093</v>
      </c>
      <c r="AA5705">
        <v>-5.8892090000000001</v>
      </c>
      <c r="AB5705">
        <v>-5.4477799999999998</v>
      </c>
    </row>
    <row r="5706" spans="1:28" x14ac:dyDescent="0.2">
      <c r="A5706" t="s">
        <v>642</v>
      </c>
      <c r="B5706">
        <v>2018</v>
      </c>
      <c r="C5706" t="s">
        <v>805</v>
      </c>
      <c r="D5706" t="s">
        <v>809</v>
      </c>
      <c r="E5706" t="s">
        <v>154</v>
      </c>
      <c r="F5706" t="s">
        <v>643</v>
      </c>
      <c r="G5706">
        <v>42.307222000000003</v>
      </c>
      <c r="H5706">
        <v>140.99111099999999</v>
      </c>
      <c r="I5706" t="s">
        <v>764</v>
      </c>
      <c r="J5706" s="2" t="s">
        <v>7</v>
      </c>
      <c r="K5706" t="s">
        <v>3</v>
      </c>
      <c r="L5706" t="s">
        <v>3</v>
      </c>
      <c r="M5706" t="s">
        <v>73</v>
      </c>
      <c r="N5706" t="s">
        <v>85</v>
      </c>
      <c r="O5706" t="s">
        <v>146</v>
      </c>
      <c r="P5706" t="s">
        <v>641</v>
      </c>
      <c r="Q5706">
        <f t="shared" si="100"/>
        <v>2.0833333333333332E-2</v>
      </c>
      <c r="R5706" t="s">
        <v>213</v>
      </c>
      <c r="S5706" s="2" t="s">
        <v>7</v>
      </c>
      <c r="T5706">
        <v>5</v>
      </c>
      <c r="U5706" t="s">
        <v>28</v>
      </c>
      <c r="V5706" t="s">
        <v>28</v>
      </c>
      <c r="W5706">
        <v>12</v>
      </c>
      <c r="X5706">
        <v>2.3693379999999999</v>
      </c>
      <c r="Y5706">
        <v>0.64968190000000003</v>
      </c>
      <c r="Z5706">
        <v>0.20544750000000001</v>
      </c>
      <c r="AA5706">
        <v>1.966661</v>
      </c>
      <c r="AB5706">
        <v>2.7720150000000001</v>
      </c>
    </row>
    <row r="5707" spans="1:28" x14ac:dyDescent="0.2">
      <c r="A5707" t="s">
        <v>642</v>
      </c>
      <c r="B5707">
        <v>2018</v>
      </c>
      <c r="C5707" t="s">
        <v>805</v>
      </c>
      <c r="D5707" t="s">
        <v>809</v>
      </c>
      <c r="E5707" t="s">
        <v>154</v>
      </c>
      <c r="F5707" t="s">
        <v>643</v>
      </c>
      <c r="G5707">
        <v>42.307222000000003</v>
      </c>
      <c r="H5707">
        <v>140.99111099999999</v>
      </c>
      <c r="I5707" t="s">
        <v>764</v>
      </c>
      <c r="J5707" s="2" t="s">
        <v>14</v>
      </c>
      <c r="K5707" t="s">
        <v>3</v>
      </c>
      <c r="L5707" t="s">
        <v>3</v>
      </c>
      <c r="M5707" t="s">
        <v>73</v>
      </c>
      <c r="N5707" t="s">
        <v>85</v>
      </c>
      <c r="O5707" t="s">
        <v>146</v>
      </c>
      <c r="P5707" t="s">
        <v>641</v>
      </c>
      <c r="Q5707">
        <f t="shared" si="100"/>
        <v>2.0833333333333332E-2</v>
      </c>
      <c r="R5707" t="s">
        <v>213</v>
      </c>
      <c r="S5707" s="2" t="s">
        <v>27</v>
      </c>
      <c r="T5707">
        <v>5</v>
      </c>
      <c r="U5707" t="s">
        <v>28</v>
      </c>
      <c r="V5707" t="s">
        <v>28</v>
      </c>
      <c r="W5707">
        <v>16</v>
      </c>
      <c r="X5707">
        <v>2.0014889999999999</v>
      </c>
      <c r="Y5707">
        <v>0.66515979999999997</v>
      </c>
      <c r="Z5707">
        <v>0.29746850000000002</v>
      </c>
      <c r="AA5707">
        <v>1.4184509999999999</v>
      </c>
      <c r="AB5707">
        <v>2.584527</v>
      </c>
    </row>
    <row r="5708" spans="1:28" x14ac:dyDescent="0.2">
      <c r="A5708" t="s">
        <v>642</v>
      </c>
      <c r="B5708">
        <v>2018</v>
      </c>
      <c r="C5708" t="s">
        <v>805</v>
      </c>
      <c r="D5708" t="s">
        <v>809</v>
      </c>
      <c r="E5708" t="s">
        <v>154</v>
      </c>
      <c r="F5708" t="s">
        <v>643</v>
      </c>
      <c r="G5708">
        <v>42.307222000000003</v>
      </c>
      <c r="H5708">
        <v>140.99111099999999</v>
      </c>
      <c r="I5708" t="s">
        <v>764</v>
      </c>
      <c r="J5708" s="2" t="s">
        <v>14</v>
      </c>
      <c r="K5708" t="s">
        <v>3</v>
      </c>
      <c r="L5708" t="s">
        <v>3</v>
      </c>
      <c r="M5708" t="s">
        <v>73</v>
      </c>
      <c r="N5708" t="s">
        <v>85</v>
      </c>
      <c r="O5708" t="s">
        <v>146</v>
      </c>
      <c r="P5708" t="s">
        <v>641</v>
      </c>
      <c r="Q5708">
        <f t="shared" si="100"/>
        <v>2.0833333333333332E-2</v>
      </c>
      <c r="R5708" t="s">
        <v>213</v>
      </c>
      <c r="S5708" s="2" t="s">
        <v>15</v>
      </c>
      <c r="T5708">
        <v>5</v>
      </c>
      <c r="U5708" t="s">
        <v>28</v>
      </c>
      <c r="V5708" t="s">
        <v>28</v>
      </c>
      <c r="W5708">
        <v>20</v>
      </c>
      <c r="X5708">
        <v>2.313151</v>
      </c>
      <c r="Y5708">
        <v>0.83987900000000004</v>
      </c>
      <c r="Z5708">
        <v>0.37560529999999998</v>
      </c>
      <c r="AA5708">
        <v>1.576965</v>
      </c>
      <c r="AB5708">
        <v>3.049337</v>
      </c>
    </row>
    <row r="5709" spans="1:28" x14ac:dyDescent="0.2">
      <c r="A5709" t="s">
        <v>642</v>
      </c>
      <c r="B5709">
        <v>2018</v>
      </c>
      <c r="C5709" t="s">
        <v>805</v>
      </c>
      <c r="D5709" t="s">
        <v>809</v>
      </c>
      <c r="E5709" t="s">
        <v>154</v>
      </c>
      <c r="F5709" t="s">
        <v>643</v>
      </c>
      <c r="G5709">
        <v>42.307222000000003</v>
      </c>
      <c r="H5709">
        <v>140.99111099999999</v>
      </c>
      <c r="I5709" t="s">
        <v>764</v>
      </c>
      <c r="J5709" s="2" t="s">
        <v>14</v>
      </c>
      <c r="K5709" t="s">
        <v>3</v>
      </c>
      <c r="L5709" t="s">
        <v>3</v>
      </c>
      <c r="M5709" t="s">
        <v>73</v>
      </c>
      <c r="N5709" t="s">
        <v>85</v>
      </c>
      <c r="O5709" t="s">
        <v>146</v>
      </c>
      <c r="P5709" t="s">
        <v>641</v>
      </c>
      <c r="Q5709">
        <f t="shared" si="100"/>
        <v>2.0833333333333332E-2</v>
      </c>
      <c r="R5709" t="s">
        <v>213</v>
      </c>
      <c r="S5709" s="2" t="s">
        <v>118</v>
      </c>
      <c r="T5709">
        <v>5</v>
      </c>
      <c r="U5709" t="s">
        <v>28</v>
      </c>
      <c r="V5709" t="s">
        <v>28</v>
      </c>
      <c r="W5709">
        <v>24</v>
      </c>
      <c r="X5709">
        <v>2.266702</v>
      </c>
      <c r="Y5709">
        <v>0.95268430000000004</v>
      </c>
      <c r="Z5709">
        <v>0.42605340000000003</v>
      </c>
      <c r="AA5709">
        <v>1.431637</v>
      </c>
      <c r="AB5709">
        <v>3.1017570000000001</v>
      </c>
    </row>
    <row r="5710" spans="1:28" x14ac:dyDescent="0.2">
      <c r="A5710" t="s">
        <v>642</v>
      </c>
      <c r="B5710">
        <v>2018</v>
      </c>
      <c r="C5710" t="s">
        <v>805</v>
      </c>
      <c r="D5710" t="s">
        <v>809</v>
      </c>
      <c r="E5710" t="s">
        <v>154</v>
      </c>
      <c r="F5710" t="s">
        <v>643</v>
      </c>
      <c r="G5710">
        <v>42.307222000000003</v>
      </c>
      <c r="H5710">
        <v>140.99111099999999</v>
      </c>
      <c r="I5710" t="s">
        <v>764</v>
      </c>
      <c r="J5710" s="2" t="s">
        <v>14</v>
      </c>
      <c r="K5710" t="s">
        <v>3</v>
      </c>
      <c r="L5710" t="s">
        <v>3</v>
      </c>
      <c r="M5710" t="s">
        <v>73</v>
      </c>
      <c r="N5710" t="s">
        <v>85</v>
      </c>
      <c r="O5710" t="s">
        <v>146</v>
      </c>
      <c r="P5710" t="s">
        <v>641</v>
      </c>
      <c r="Q5710">
        <f t="shared" si="100"/>
        <v>2.0833333333333332E-2</v>
      </c>
      <c r="R5710" t="s">
        <v>213</v>
      </c>
      <c r="S5710" s="2" t="s">
        <v>118</v>
      </c>
      <c r="T5710">
        <v>5</v>
      </c>
      <c r="U5710" t="s">
        <v>28</v>
      </c>
      <c r="V5710" t="s">
        <v>28</v>
      </c>
      <c r="W5710">
        <v>28</v>
      </c>
      <c r="X5710">
        <v>-1.3500669999999999</v>
      </c>
      <c r="Y5710">
        <v>0.79561369999999998</v>
      </c>
      <c r="Z5710">
        <v>0.3558093</v>
      </c>
      <c r="AA5710">
        <v>-2.047453</v>
      </c>
      <c r="AB5710">
        <v>-0.65268099999999996</v>
      </c>
    </row>
    <row r="5711" spans="1:28" x14ac:dyDescent="0.2">
      <c r="A5711" t="s">
        <v>642</v>
      </c>
      <c r="B5711">
        <v>2018</v>
      </c>
      <c r="C5711" t="s">
        <v>805</v>
      </c>
      <c r="D5711" t="s">
        <v>809</v>
      </c>
      <c r="E5711" t="s">
        <v>154</v>
      </c>
      <c r="F5711" t="s">
        <v>643</v>
      </c>
      <c r="G5711">
        <v>42.307222000000003</v>
      </c>
      <c r="H5711">
        <v>140.99111099999999</v>
      </c>
      <c r="I5711" t="s">
        <v>764</v>
      </c>
      <c r="J5711" s="2" t="s">
        <v>14</v>
      </c>
      <c r="K5711" t="s">
        <v>3</v>
      </c>
      <c r="L5711" t="s">
        <v>3</v>
      </c>
      <c r="M5711" t="s">
        <v>73</v>
      </c>
      <c r="N5711" t="s">
        <v>85</v>
      </c>
      <c r="O5711" t="s">
        <v>146</v>
      </c>
      <c r="P5711" t="s">
        <v>641</v>
      </c>
      <c r="Q5711">
        <f t="shared" si="100"/>
        <v>2.0833333333333332E-2</v>
      </c>
      <c r="R5711" t="s">
        <v>213</v>
      </c>
      <c r="S5711" s="2" t="s">
        <v>178</v>
      </c>
      <c r="T5711">
        <v>5</v>
      </c>
      <c r="U5711" t="s">
        <v>28</v>
      </c>
      <c r="V5711" t="s">
        <v>28</v>
      </c>
      <c r="W5711">
        <v>32</v>
      </c>
      <c r="X5711">
        <v>-4.4856790000000002</v>
      </c>
      <c r="Y5711">
        <v>0.40756110000000001</v>
      </c>
      <c r="Z5711">
        <v>0.18226690000000001</v>
      </c>
      <c r="AA5711">
        <v>-4.8429219999999997</v>
      </c>
      <c r="AB5711">
        <v>-4.1284359999999998</v>
      </c>
    </row>
    <row r="5712" spans="1:28" x14ac:dyDescent="0.2">
      <c r="A5712" t="s">
        <v>642</v>
      </c>
      <c r="B5712">
        <v>2018</v>
      </c>
      <c r="C5712" t="s">
        <v>805</v>
      </c>
      <c r="D5712" t="s">
        <v>809</v>
      </c>
      <c r="E5712" t="s">
        <v>154</v>
      </c>
      <c r="F5712" t="s">
        <v>643</v>
      </c>
      <c r="G5712">
        <v>42.307222000000003</v>
      </c>
      <c r="H5712">
        <v>140.99111099999999</v>
      </c>
      <c r="I5712" t="s">
        <v>764</v>
      </c>
      <c r="J5712" s="2" t="s">
        <v>14</v>
      </c>
      <c r="K5712" t="s">
        <v>3</v>
      </c>
      <c r="L5712" t="s">
        <v>3</v>
      </c>
      <c r="M5712" t="s">
        <v>73</v>
      </c>
      <c r="N5712" t="s">
        <v>85</v>
      </c>
      <c r="O5712" t="s">
        <v>146</v>
      </c>
      <c r="P5712" t="s">
        <v>641</v>
      </c>
      <c r="Q5712">
        <f t="shared" si="100"/>
        <v>2.0833333333333332E-2</v>
      </c>
      <c r="R5712" t="s">
        <v>213</v>
      </c>
      <c r="S5712" s="2" t="s">
        <v>180</v>
      </c>
      <c r="T5712">
        <v>5</v>
      </c>
      <c r="U5712" t="s">
        <v>28</v>
      </c>
      <c r="V5712" t="s">
        <v>28</v>
      </c>
      <c r="W5712">
        <v>36</v>
      </c>
      <c r="X5712">
        <v>-6.1113390000000001</v>
      </c>
      <c r="Y5712">
        <v>1.0626876000000001</v>
      </c>
      <c r="Z5712">
        <v>0.47524840000000002</v>
      </c>
      <c r="AA5712">
        <v>-7.0428249999999997</v>
      </c>
      <c r="AB5712">
        <v>-5.1798520000000003</v>
      </c>
    </row>
    <row r="5713" spans="1:29" x14ac:dyDescent="0.2">
      <c r="A5713" t="s">
        <v>642</v>
      </c>
      <c r="B5713">
        <v>2018</v>
      </c>
      <c r="C5713" t="s">
        <v>805</v>
      </c>
      <c r="D5713" t="s">
        <v>809</v>
      </c>
      <c r="E5713" t="s">
        <v>154</v>
      </c>
      <c r="F5713" t="s">
        <v>643</v>
      </c>
      <c r="G5713">
        <v>42.307222000000003</v>
      </c>
      <c r="H5713">
        <v>140.99111099999999</v>
      </c>
      <c r="I5713" t="s">
        <v>764</v>
      </c>
      <c r="J5713" s="2" t="s">
        <v>7</v>
      </c>
      <c r="K5713" t="s">
        <v>144</v>
      </c>
      <c r="L5713" t="s">
        <v>144</v>
      </c>
      <c r="M5713" t="s">
        <v>172</v>
      </c>
      <c r="N5713" t="s">
        <v>86</v>
      </c>
      <c r="O5713" t="s">
        <v>62</v>
      </c>
      <c r="P5713" t="s">
        <v>641</v>
      </c>
      <c r="Q5713">
        <f t="shared" si="100"/>
        <v>2.0833333333333332E-2</v>
      </c>
      <c r="R5713" t="s">
        <v>213</v>
      </c>
      <c r="S5713" s="2" t="s">
        <v>7</v>
      </c>
      <c r="T5713">
        <v>5</v>
      </c>
      <c r="U5713" t="s">
        <v>28</v>
      </c>
      <c r="V5713" t="s">
        <v>28</v>
      </c>
      <c r="W5713">
        <v>16</v>
      </c>
      <c r="X5713">
        <v>1.4971479999999999</v>
      </c>
      <c r="Y5713">
        <v>0.19854749999999999</v>
      </c>
      <c r="Z5713">
        <v>6.2786239999999993E-2</v>
      </c>
      <c r="AA5713">
        <v>1.3740867999999999</v>
      </c>
      <c r="AB5713">
        <v>1.620209</v>
      </c>
    </row>
    <row r="5714" spans="1:29" x14ac:dyDescent="0.2">
      <c r="A5714" t="s">
        <v>642</v>
      </c>
      <c r="B5714">
        <v>2018</v>
      </c>
      <c r="C5714" t="s">
        <v>805</v>
      </c>
      <c r="D5714" t="s">
        <v>809</v>
      </c>
      <c r="E5714" t="s">
        <v>154</v>
      </c>
      <c r="F5714" t="s">
        <v>643</v>
      </c>
      <c r="G5714">
        <v>42.307222000000003</v>
      </c>
      <c r="H5714">
        <v>140.99111099999999</v>
      </c>
      <c r="I5714" t="s">
        <v>764</v>
      </c>
      <c r="J5714" s="2" t="s">
        <v>14</v>
      </c>
      <c r="K5714" t="s">
        <v>144</v>
      </c>
      <c r="L5714" t="s">
        <v>144</v>
      </c>
      <c r="M5714" t="s">
        <v>172</v>
      </c>
      <c r="N5714" t="s">
        <v>86</v>
      </c>
      <c r="O5714" t="s">
        <v>62</v>
      </c>
      <c r="P5714" t="s">
        <v>641</v>
      </c>
      <c r="Q5714">
        <f t="shared" si="100"/>
        <v>2.0833333333333332E-2</v>
      </c>
      <c r="R5714" t="s">
        <v>213</v>
      </c>
      <c r="S5714" s="2" t="s">
        <v>15</v>
      </c>
      <c r="T5714">
        <v>5</v>
      </c>
      <c r="U5714" t="s">
        <v>28</v>
      </c>
      <c r="V5714" t="s">
        <v>28</v>
      </c>
      <c r="W5714">
        <v>20</v>
      </c>
      <c r="X5714">
        <v>1.3760829999999999</v>
      </c>
      <c r="Y5714">
        <v>0.1550849</v>
      </c>
      <c r="Z5714">
        <v>6.9356070000000006E-2</v>
      </c>
      <c r="AA5714">
        <v>1.2401449</v>
      </c>
      <c r="AB5714">
        <v>1.5120210000000001</v>
      </c>
    </row>
    <row r="5715" spans="1:29" x14ac:dyDescent="0.2">
      <c r="A5715" t="s">
        <v>642</v>
      </c>
      <c r="B5715">
        <v>2018</v>
      </c>
      <c r="C5715" t="s">
        <v>805</v>
      </c>
      <c r="D5715" t="s">
        <v>809</v>
      </c>
      <c r="E5715" t="s">
        <v>154</v>
      </c>
      <c r="F5715" t="s">
        <v>643</v>
      </c>
      <c r="G5715">
        <v>42.307222000000003</v>
      </c>
      <c r="H5715">
        <v>140.99111099999999</v>
      </c>
      <c r="I5715" t="s">
        <v>764</v>
      </c>
      <c r="J5715" s="2" t="s">
        <v>14</v>
      </c>
      <c r="K5715" t="s">
        <v>144</v>
      </c>
      <c r="L5715" t="s">
        <v>144</v>
      </c>
      <c r="M5715" t="s">
        <v>172</v>
      </c>
      <c r="N5715" t="s">
        <v>86</v>
      </c>
      <c r="O5715" t="s">
        <v>62</v>
      </c>
      <c r="P5715" t="s">
        <v>641</v>
      </c>
      <c r="Q5715">
        <f t="shared" si="100"/>
        <v>2.0833333333333332E-2</v>
      </c>
      <c r="R5715" t="s">
        <v>213</v>
      </c>
      <c r="S5715" s="2" t="s">
        <v>116</v>
      </c>
      <c r="T5715">
        <v>5</v>
      </c>
      <c r="U5715" t="s">
        <v>28</v>
      </c>
      <c r="V5715" t="s">
        <v>28</v>
      </c>
      <c r="W5715">
        <v>24</v>
      </c>
      <c r="X5715">
        <v>2.0237769999999999</v>
      </c>
      <c r="Y5715">
        <v>0.32545849999999998</v>
      </c>
      <c r="Z5715">
        <v>0.14554945</v>
      </c>
      <c r="AA5715">
        <v>1.7384995999999999</v>
      </c>
      <c r="AB5715">
        <v>2.309053</v>
      </c>
    </row>
    <row r="5716" spans="1:29" x14ac:dyDescent="0.2">
      <c r="A5716" t="s">
        <v>642</v>
      </c>
      <c r="B5716">
        <v>2018</v>
      </c>
      <c r="C5716" t="s">
        <v>805</v>
      </c>
      <c r="D5716" t="s">
        <v>809</v>
      </c>
      <c r="E5716" t="s">
        <v>154</v>
      </c>
      <c r="F5716" t="s">
        <v>643</v>
      </c>
      <c r="G5716">
        <v>42.307222000000003</v>
      </c>
      <c r="H5716">
        <v>140.99111099999999</v>
      </c>
      <c r="I5716" t="s">
        <v>764</v>
      </c>
      <c r="J5716" s="2" t="s">
        <v>14</v>
      </c>
      <c r="K5716" t="s">
        <v>144</v>
      </c>
      <c r="L5716" t="s">
        <v>144</v>
      </c>
      <c r="M5716" t="s">
        <v>172</v>
      </c>
      <c r="N5716" t="s">
        <v>86</v>
      </c>
      <c r="O5716" t="s">
        <v>62</v>
      </c>
      <c r="P5716" t="s">
        <v>641</v>
      </c>
      <c r="Q5716">
        <f t="shared" si="100"/>
        <v>2.0833333333333332E-2</v>
      </c>
      <c r="R5716" t="s">
        <v>213</v>
      </c>
      <c r="S5716" s="2" t="s">
        <v>118</v>
      </c>
      <c r="T5716">
        <v>5</v>
      </c>
      <c r="U5716" t="s">
        <v>28</v>
      </c>
      <c r="V5716" t="s">
        <v>28</v>
      </c>
      <c r="W5716">
        <v>28</v>
      </c>
      <c r="X5716">
        <v>2.639745</v>
      </c>
      <c r="Y5716">
        <v>0.37057970000000001</v>
      </c>
      <c r="Z5716">
        <v>0.16572825999999999</v>
      </c>
      <c r="AA5716">
        <v>2.3149172</v>
      </c>
      <c r="AB5716">
        <v>2.964572</v>
      </c>
    </row>
    <row r="5717" spans="1:29" x14ac:dyDescent="0.2">
      <c r="A5717" t="s">
        <v>642</v>
      </c>
      <c r="B5717">
        <v>2018</v>
      </c>
      <c r="C5717" t="s">
        <v>805</v>
      </c>
      <c r="D5717" t="s">
        <v>809</v>
      </c>
      <c r="E5717" t="s">
        <v>154</v>
      </c>
      <c r="F5717" t="s">
        <v>643</v>
      </c>
      <c r="G5717">
        <v>42.307222000000003</v>
      </c>
      <c r="H5717">
        <v>140.99111099999999</v>
      </c>
      <c r="I5717" t="s">
        <v>764</v>
      </c>
      <c r="J5717" s="2" t="s">
        <v>14</v>
      </c>
      <c r="K5717" t="s">
        <v>144</v>
      </c>
      <c r="L5717" t="s">
        <v>144</v>
      </c>
      <c r="M5717" t="s">
        <v>172</v>
      </c>
      <c r="N5717" t="s">
        <v>86</v>
      </c>
      <c r="O5717" t="s">
        <v>62</v>
      </c>
      <c r="P5717" t="s">
        <v>641</v>
      </c>
      <c r="Q5717">
        <f t="shared" si="100"/>
        <v>2.0833333333333332E-2</v>
      </c>
      <c r="R5717" t="s">
        <v>213</v>
      </c>
      <c r="S5717" s="2" t="s">
        <v>178</v>
      </c>
      <c r="T5717">
        <v>5</v>
      </c>
      <c r="U5717" t="s">
        <v>28</v>
      </c>
      <c r="V5717" t="s">
        <v>28</v>
      </c>
      <c r="W5717">
        <v>32</v>
      </c>
      <c r="X5717">
        <v>4.3959390000000003</v>
      </c>
      <c r="Y5717">
        <v>0.30445339999999999</v>
      </c>
      <c r="Z5717">
        <v>0.13615569</v>
      </c>
      <c r="AA5717">
        <v>4.1290741999999998</v>
      </c>
      <c r="AB5717">
        <v>4.6628049999999996</v>
      </c>
    </row>
    <row r="5718" spans="1:29" x14ac:dyDescent="0.2">
      <c r="A5718" t="s">
        <v>642</v>
      </c>
      <c r="B5718">
        <v>2018</v>
      </c>
      <c r="C5718" t="s">
        <v>805</v>
      </c>
      <c r="D5718" t="s">
        <v>809</v>
      </c>
      <c r="E5718" t="s">
        <v>154</v>
      </c>
      <c r="F5718" t="s">
        <v>643</v>
      </c>
      <c r="G5718">
        <v>42.307222000000003</v>
      </c>
      <c r="H5718">
        <v>140.99111099999999</v>
      </c>
      <c r="I5718" t="s">
        <v>764</v>
      </c>
      <c r="J5718" s="2" t="s">
        <v>14</v>
      </c>
      <c r="K5718" t="s">
        <v>144</v>
      </c>
      <c r="L5718" t="s">
        <v>144</v>
      </c>
      <c r="M5718" t="s">
        <v>172</v>
      </c>
      <c r="N5718" t="s">
        <v>86</v>
      </c>
      <c r="O5718" t="s">
        <v>62</v>
      </c>
      <c r="P5718" t="s">
        <v>641</v>
      </c>
      <c r="Q5718">
        <f t="shared" si="100"/>
        <v>2.0833333333333332E-2</v>
      </c>
      <c r="R5718" t="s">
        <v>213</v>
      </c>
      <c r="S5718" s="2" t="s">
        <v>180</v>
      </c>
      <c r="T5718">
        <v>5</v>
      </c>
      <c r="U5718" t="s">
        <v>28</v>
      </c>
      <c r="V5718" t="s">
        <v>28</v>
      </c>
      <c r="W5718">
        <v>36</v>
      </c>
      <c r="X5718">
        <v>4.3280500000000002</v>
      </c>
      <c r="Y5718">
        <v>0.15983929999999999</v>
      </c>
      <c r="Z5718">
        <v>7.1482320000000002E-2</v>
      </c>
      <c r="AA5718">
        <v>4.1879445000000004</v>
      </c>
      <c r="AB5718">
        <v>4.4681550000000003</v>
      </c>
    </row>
    <row r="5719" spans="1:29" x14ac:dyDescent="0.2">
      <c r="A5719" t="s">
        <v>642</v>
      </c>
      <c r="B5719">
        <v>2018</v>
      </c>
      <c r="C5719" t="s">
        <v>805</v>
      </c>
      <c r="D5719" t="s">
        <v>809</v>
      </c>
      <c r="E5719" t="s">
        <v>154</v>
      </c>
      <c r="F5719" t="s">
        <v>643</v>
      </c>
      <c r="G5719">
        <v>42.307222000000003</v>
      </c>
      <c r="H5719">
        <v>140.99111099999999</v>
      </c>
      <c r="I5719" t="s">
        <v>764</v>
      </c>
      <c r="J5719" s="2" t="s">
        <v>7</v>
      </c>
      <c r="K5719" t="s">
        <v>3</v>
      </c>
      <c r="L5719" t="s">
        <v>3</v>
      </c>
      <c r="M5719" t="s">
        <v>172</v>
      </c>
      <c r="N5719" t="s">
        <v>86</v>
      </c>
      <c r="O5719" t="s">
        <v>62</v>
      </c>
      <c r="P5719" t="s">
        <v>641</v>
      </c>
      <c r="Q5719">
        <f t="shared" si="100"/>
        <v>2.0833333333333332E-2</v>
      </c>
      <c r="R5719" t="s">
        <v>213</v>
      </c>
      <c r="S5719" s="2" t="s">
        <v>7</v>
      </c>
      <c r="T5719">
        <v>5</v>
      </c>
      <c r="U5719" t="s">
        <v>28</v>
      </c>
      <c r="V5719" t="s">
        <v>28</v>
      </c>
      <c r="W5719">
        <v>12</v>
      </c>
      <c r="X5719">
        <v>0.11543166000000001</v>
      </c>
      <c r="Y5719">
        <v>0.31333336000000001</v>
      </c>
      <c r="Z5719">
        <v>0.99084709999999998</v>
      </c>
      <c r="AA5719">
        <v>-7.8774369999999996E-2</v>
      </c>
      <c r="AB5719">
        <v>0.30963770000000002</v>
      </c>
      <c r="AC5719" s="2"/>
    </row>
    <row r="5720" spans="1:29" x14ac:dyDescent="0.2">
      <c r="A5720" t="s">
        <v>642</v>
      </c>
      <c r="B5720">
        <v>2018</v>
      </c>
      <c r="C5720" t="s">
        <v>805</v>
      </c>
      <c r="D5720" t="s">
        <v>809</v>
      </c>
      <c r="E5720" t="s">
        <v>154</v>
      </c>
      <c r="F5720" t="s">
        <v>643</v>
      </c>
      <c r="G5720">
        <v>42.307222000000003</v>
      </c>
      <c r="H5720">
        <v>140.99111099999999</v>
      </c>
      <c r="I5720" t="s">
        <v>764</v>
      </c>
      <c r="J5720" s="2" t="s">
        <v>14</v>
      </c>
      <c r="K5720" t="s">
        <v>3</v>
      </c>
      <c r="L5720" t="s">
        <v>3</v>
      </c>
      <c r="M5720" t="s">
        <v>172</v>
      </c>
      <c r="N5720" t="s">
        <v>86</v>
      </c>
      <c r="O5720" t="s">
        <v>62</v>
      </c>
      <c r="P5720" t="s">
        <v>641</v>
      </c>
      <c r="Q5720">
        <f t="shared" si="100"/>
        <v>2.0833333333333332E-2</v>
      </c>
      <c r="R5720" t="s">
        <v>213</v>
      </c>
      <c r="S5720" s="2" t="s">
        <v>27</v>
      </c>
      <c r="T5720">
        <v>5</v>
      </c>
      <c r="U5720" t="s">
        <v>28</v>
      </c>
      <c r="V5720" t="s">
        <v>28</v>
      </c>
      <c r="W5720">
        <v>16</v>
      </c>
      <c r="X5720">
        <v>0.29160224000000001</v>
      </c>
      <c r="Y5720">
        <v>8.3181740000000004E-2</v>
      </c>
      <c r="Z5720">
        <v>3.7200009999999999E-2</v>
      </c>
      <c r="AA5720">
        <v>0.21869023000000001</v>
      </c>
      <c r="AB5720">
        <v>0.36451430000000001</v>
      </c>
    </row>
    <row r="5721" spans="1:29" x14ac:dyDescent="0.2">
      <c r="A5721" t="s">
        <v>642</v>
      </c>
      <c r="B5721">
        <v>2018</v>
      </c>
      <c r="C5721" t="s">
        <v>805</v>
      </c>
      <c r="D5721" t="s">
        <v>809</v>
      </c>
      <c r="E5721" t="s">
        <v>154</v>
      </c>
      <c r="F5721" t="s">
        <v>643</v>
      </c>
      <c r="G5721">
        <v>42.307222000000003</v>
      </c>
      <c r="H5721">
        <v>140.99111099999999</v>
      </c>
      <c r="I5721" t="s">
        <v>764</v>
      </c>
      <c r="J5721" s="2" t="s">
        <v>14</v>
      </c>
      <c r="K5721" t="s">
        <v>3</v>
      </c>
      <c r="L5721" t="s">
        <v>3</v>
      </c>
      <c r="M5721" t="s">
        <v>172</v>
      </c>
      <c r="N5721" t="s">
        <v>86</v>
      </c>
      <c r="O5721" t="s">
        <v>62</v>
      </c>
      <c r="P5721" t="s">
        <v>641</v>
      </c>
      <c r="Q5721">
        <f t="shared" si="100"/>
        <v>2.0833333333333332E-2</v>
      </c>
      <c r="R5721" t="s">
        <v>213</v>
      </c>
      <c r="S5721" s="2" t="s">
        <v>15</v>
      </c>
      <c r="T5721">
        <v>5</v>
      </c>
      <c r="U5721" t="s">
        <v>28</v>
      </c>
      <c r="V5721" t="s">
        <v>28</v>
      </c>
      <c r="W5721">
        <v>20</v>
      </c>
      <c r="X5721">
        <v>0.38648389</v>
      </c>
      <c r="Y5721">
        <v>0.32641553000000001</v>
      </c>
      <c r="Z5721">
        <v>0.14597746</v>
      </c>
      <c r="AA5721">
        <v>0.10036806</v>
      </c>
      <c r="AB5721">
        <v>0.67259970000000002</v>
      </c>
    </row>
    <row r="5722" spans="1:29" x14ac:dyDescent="0.2">
      <c r="A5722" t="s">
        <v>642</v>
      </c>
      <c r="B5722">
        <v>2018</v>
      </c>
      <c r="C5722" t="s">
        <v>805</v>
      </c>
      <c r="D5722" t="s">
        <v>809</v>
      </c>
      <c r="E5722" t="s">
        <v>154</v>
      </c>
      <c r="F5722" t="s">
        <v>643</v>
      </c>
      <c r="G5722">
        <v>42.307222000000003</v>
      </c>
      <c r="H5722">
        <v>140.99111099999999</v>
      </c>
      <c r="I5722" t="s">
        <v>764</v>
      </c>
      <c r="J5722" s="2" t="s">
        <v>14</v>
      </c>
      <c r="K5722" t="s">
        <v>3</v>
      </c>
      <c r="L5722" t="s">
        <v>3</v>
      </c>
      <c r="M5722" t="s">
        <v>172</v>
      </c>
      <c r="N5722" t="s">
        <v>86</v>
      </c>
      <c r="O5722" t="s">
        <v>62</v>
      </c>
      <c r="P5722" t="s">
        <v>641</v>
      </c>
      <c r="Q5722">
        <f t="shared" si="100"/>
        <v>2.0833333333333332E-2</v>
      </c>
      <c r="R5722" t="s">
        <v>213</v>
      </c>
      <c r="S5722" s="2" t="s">
        <v>118</v>
      </c>
      <c r="T5722">
        <v>5</v>
      </c>
      <c r="U5722" t="s">
        <v>28</v>
      </c>
      <c r="V5722" t="s">
        <v>28</v>
      </c>
      <c r="W5722">
        <v>24</v>
      </c>
      <c r="X5722">
        <v>0.91306193999999996</v>
      </c>
      <c r="Y5722">
        <v>0.16061132</v>
      </c>
      <c r="Z5722">
        <v>7</v>
      </c>
      <c r="AA5722">
        <v>0.77227990999999996</v>
      </c>
      <c r="AB5722">
        <v>1.053844</v>
      </c>
    </row>
    <row r="5723" spans="1:29" x14ac:dyDescent="0.2">
      <c r="A5723" t="s">
        <v>642</v>
      </c>
      <c r="B5723">
        <v>2018</v>
      </c>
      <c r="C5723" t="s">
        <v>805</v>
      </c>
      <c r="D5723" t="s">
        <v>809</v>
      </c>
      <c r="E5723" t="s">
        <v>154</v>
      </c>
      <c r="F5723" t="s">
        <v>643</v>
      </c>
      <c r="G5723">
        <v>42.307222000000003</v>
      </c>
      <c r="H5723">
        <v>140.99111099999999</v>
      </c>
      <c r="I5723" t="s">
        <v>764</v>
      </c>
      <c r="J5723" s="2" t="s">
        <v>14</v>
      </c>
      <c r="K5723" t="s">
        <v>3</v>
      </c>
      <c r="L5723" t="s">
        <v>3</v>
      </c>
      <c r="M5723" t="s">
        <v>172</v>
      </c>
      <c r="N5723" t="s">
        <v>86</v>
      </c>
      <c r="O5723" t="s">
        <v>62</v>
      </c>
      <c r="P5723" t="s">
        <v>641</v>
      </c>
      <c r="Q5723">
        <f t="shared" ref="Q5723:Q5737" si="101">0.5/24</f>
        <v>2.0833333333333332E-2</v>
      </c>
      <c r="R5723" t="s">
        <v>213</v>
      </c>
      <c r="S5723" s="2" t="s">
        <v>118</v>
      </c>
      <c r="T5723">
        <v>5</v>
      </c>
      <c r="U5723" t="s">
        <v>28</v>
      </c>
      <c r="V5723" t="s">
        <v>28</v>
      </c>
      <c r="W5723">
        <v>28</v>
      </c>
      <c r="X5723">
        <v>3.5439527499999999</v>
      </c>
      <c r="Y5723">
        <v>0.27630926</v>
      </c>
      <c r="Z5723">
        <v>0.12356926</v>
      </c>
      <c r="AA5723">
        <v>3.3017569999999998</v>
      </c>
      <c r="AB5723">
        <v>3.7861484999999999</v>
      </c>
    </row>
    <row r="5724" spans="1:29" x14ac:dyDescent="0.2">
      <c r="A5724" t="s">
        <v>642</v>
      </c>
      <c r="B5724">
        <v>2018</v>
      </c>
      <c r="C5724" t="s">
        <v>805</v>
      </c>
      <c r="D5724" t="s">
        <v>809</v>
      </c>
      <c r="E5724" t="s">
        <v>154</v>
      </c>
      <c r="F5724" t="s">
        <v>643</v>
      </c>
      <c r="G5724">
        <v>42.307222000000003</v>
      </c>
      <c r="H5724">
        <v>140.99111099999999</v>
      </c>
      <c r="I5724" t="s">
        <v>764</v>
      </c>
      <c r="J5724" s="2" t="s">
        <v>14</v>
      </c>
      <c r="K5724" t="s">
        <v>3</v>
      </c>
      <c r="L5724" t="s">
        <v>3</v>
      </c>
      <c r="M5724" t="s">
        <v>172</v>
      </c>
      <c r="N5724" t="s">
        <v>86</v>
      </c>
      <c r="O5724" t="s">
        <v>62</v>
      </c>
      <c r="P5724" t="s">
        <v>641</v>
      </c>
      <c r="Q5724">
        <f t="shared" si="101"/>
        <v>2.0833333333333332E-2</v>
      </c>
      <c r="R5724" t="s">
        <v>213</v>
      </c>
      <c r="S5724" s="2" t="s">
        <v>178</v>
      </c>
      <c r="T5724">
        <v>5</v>
      </c>
      <c r="U5724" t="s">
        <v>28</v>
      </c>
      <c r="V5724" t="s">
        <v>28</v>
      </c>
      <c r="W5724">
        <v>32</v>
      </c>
      <c r="X5724">
        <v>3.9700385699999998</v>
      </c>
      <c r="Y5724">
        <v>0.61023561000000004</v>
      </c>
      <c r="Z5724">
        <v>0.27290565999999999</v>
      </c>
      <c r="AA5724">
        <v>3.4351434799999998</v>
      </c>
      <c r="AB5724">
        <v>4.5049336999999996</v>
      </c>
    </row>
    <row r="5725" spans="1:29" x14ac:dyDescent="0.2">
      <c r="A5725" t="s">
        <v>642</v>
      </c>
      <c r="B5725">
        <v>2018</v>
      </c>
      <c r="C5725" t="s">
        <v>805</v>
      </c>
      <c r="D5725" t="s">
        <v>809</v>
      </c>
      <c r="E5725" t="s">
        <v>154</v>
      </c>
      <c r="F5725" t="s">
        <v>643</v>
      </c>
      <c r="G5725">
        <v>42.307222000000003</v>
      </c>
      <c r="H5725">
        <v>140.99111099999999</v>
      </c>
      <c r="I5725" t="s">
        <v>764</v>
      </c>
      <c r="J5725" s="2" t="s">
        <v>14</v>
      </c>
      <c r="K5725" t="s">
        <v>3</v>
      </c>
      <c r="L5725" t="s">
        <v>3</v>
      </c>
      <c r="M5725" t="s">
        <v>172</v>
      </c>
      <c r="N5725" t="s">
        <v>86</v>
      </c>
      <c r="O5725" t="s">
        <v>62</v>
      </c>
      <c r="P5725" t="s">
        <v>641</v>
      </c>
      <c r="Q5725">
        <f t="shared" si="101"/>
        <v>2.0833333333333332E-2</v>
      </c>
      <c r="R5725" t="s">
        <v>213</v>
      </c>
      <c r="S5725" s="2" t="s">
        <v>180</v>
      </c>
      <c r="T5725">
        <v>5</v>
      </c>
      <c r="U5725" t="s">
        <v>28</v>
      </c>
      <c r="V5725" t="s">
        <v>28</v>
      </c>
      <c r="W5725">
        <v>36</v>
      </c>
      <c r="X5725">
        <v>5.4767744799999996</v>
      </c>
      <c r="Y5725">
        <v>1.05953414</v>
      </c>
      <c r="Z5725">
        <v>0.47383807</v>
      </c>
      <c r="AA5725">
        <v>4.5480518500000002</v>
      </c>
      <c r="AB5725">
        <v>6.4054970999999998</v>
      </c>
    </row>
    <row r="5726" spans="1:29" x14ac:dyDescent="0.2">
      <c r="A5726" t="s">
        <v>648</v>
      </c>
      <c r="B5726">
        <v>2019</v>
      </c>
      <c r="C5726" t="s">
        <v>826</v>
      </c>
      <c r="D5726" t="s">
        <v>824</v>
      </c>
      <c r="E5726" t="s">
        <v>644</v>
      </c>
      <c r="F5726" t="s">
        <v>643</v>
      </c>
      <c r="G5726">
        <v>42.307222000000003</v>
      </c>
      <c r="H5726">
        <v>140.99111099999999</v>
      </c>
      <c r="I5726" t="s">
        <v>764</v>
      </c>
      <c r="J5726" s="2" t="s">
        <v>7</v>
      </c>
      <c r="K5726" t="s">
        <v>144</v>
      </c>
      <c r="L5726" t="s">
        <v>144</v>
      </c>
      <c r="M5726" t="s">
        <v>73</v>
      </c>
      <c r="N5726" t="s">
        <v>85</v>
      </c>
      <c r="O5726" t="s">
        <v>146</v>
      </c>
      <c r="P5726" t="s">
        <v>641</v>
      </c>
      <c r="Q5726">
        <f t="shared" si="101"/>
        <v>2.0833333333333332E-2</v>
      </c>
      <c r="R5726" t="s">
        <v>213</v>
      </c>
      <c r="S5726" s="2" t="s">
        <v>7</v>
      </c>
      <c r="T5726">
        <v>5</v>
      </c>
      <c r="U5726" t="s">
        <v>28</v>
      </c>
      <c r="V5726" t="s">
        <v>28</v>
      </c>
      <c r="W5726">
        <v>16</v>
      </c>
      <c r="X5726">
        <v>5.66</v>
      </c>
      <c r="Y5726">
        <v>1.1000000000000001</v>
      </c>
      <c r="Z5726">
        <v>0.34899999999999998</v>
      </c>
      <c r="AA5726">
        <v>3.5</v>
      </c>
      <c r="AB5726">
        <v>7.82</v>
      </c>
    </row>
    <row r="5727" spans="1:29" x14ac:dyDescent="0.2">
      <c r="A5727" t="s">
        <v>648</v>
      </c>
      <c r="B5727">
        <v>2019</v>
      </c>
      <c r="C5727" t="s">
        <v>826</v>
      </c>
      <c r="D5727" t="s">
        <v>824</v>
      </c>
      <c r="E5727" t="s">
        <v>644</v>
      </c>
      <c r="F5727" t="s">
        <v>643</v>
      </c>
      <c r="G5727">
        <v>42.307222000000003</v>
      </c>
      <c r="H5727">
        <v>140.99111099999999</v>
      </c>
      <c r="I5727" t="s">
        <v>764</v>
      </c>
      <c r="J5727" s="2" t="s">
        <v>14</v>
      </c>
      <c r="K5727" t="s">
        <v>144</v>
      </c>
      <c r="L5727" t="s">
        <v>144</v>
      </c>
      <c r="M5727" t="s">
        <v>73</v>
      </c>
      <c r="N5727" t="s">
        <v>85</v>
      </c>
      <c r="O5727" t="s">
        <v>146</v>
      </c>
      <c r="P5727" t="s">
        <v>641</v>
      </c>
      <c r="Q5727">
        <f t="shared" si="101"/>
        <v>2.0833333333333332E-2</v>
      </c>
      <c r="R5727" t="s">
        <v>213</v>
      </c>
      <c r="S5727" s="2" t="s">
        <v>9</v>
      </c>
      <c r="T5727">
        <v>5</v>
      </c>
      <c r="U5727" t="s">
        <v>28</v>
      </c>
      <c r="V5727" t="s">
        <v>28</v>
      </c>
      <c r="W5727">
        <v>20</v>
      </c>
      <c r="X5727">
        <v>5.07</v>
      </c>
      <c r="Y5727">
        <v>1.1499999999999999</v>
      </c>
      <c r="Z5727">
        <v>0.51400000000000001</v>
      </c>
      <c r="AA5727">
        <v>2.81</v>
      </c>
      <c r="AB5727">
        <v>7.32</v>
      </c>
    </row>
    <row r="5728" spans="1:29" x14ac:dyDescent="0.2">
      <c r="A5728" t="s">
        <v>648</v>
      </c>
      <c r="B5728">
        <v>2019</v>
      </c>
      <c r="C5728" t="s">
        <v>826</v>
      </c>
      <c r="D5728" t="s">
        <v>824</v>
      </c>
      <c r="E5728" t="s">
        <v>644</v>
      </c>
      <c r="F5728" t="s">
        <v>643</v>
      </c>
      <c r="G5728">
        <v>42.307222000000003</v>
      </c>
      <c r="H5728">
        <v>140.99111099999999</v>
      </c>
      <c r="I5728" t="s">
        <v>764</v>
      </c>
      <c r="J5728" s="2" t="s">
        <v>14</v>
      </c>
      <c r="K5728" t="s">
        <v>144</v>
      </c>
      <c r="L5728" t="s">
        <v>144</v>
      </c>
      <c r="M5728" t="s">
        <v>73</v>
      </c>
      <c r="N5728" t="s">
        <v>85</v>
      </c>
      <c r="O5728" t="s">
        <v>146</v>
      </c>
      <c r="P5728" t="s">
        <v>641</v>
      </c>
      <c r="Q5728">
        <f t="shared" si="101"/>
        <v>2.0833333333333332E-2</v>
      </c>
      <c r="R5728" t="s">
        <v>213</v>
      </c>
      <c r="S5728" s="2" t="s">
        <v>27</v>
      </c>
      <c r="T5728">
        <v>5</v>
      </c>
      <c r="U5728" t="s">
        <v>28</v>
      </c>
      <c r="V5728" t="s">
        <v>28</v>
      </c>
      <c r="W5728">
        <v>24</v>
      </c>
      <c r="X5728">
        <v>5.51</v>
      </c>
      <c r="Y5728">
        <v>1.05</v>
      </c>
      <c r="Z5728">
        <v>0.46800000000000003</v>
      </c>
      <c r="AA5728">
        <v>3.46</v>
      </c>
      <c r="AB5728">
        <v>7.56</v>
      </c>
    </row>
    <row r="5729" spans="1:28" x14ac:dyDescent="0.2">
      <c r="A5729" t="s">
        <v>648</v>
      </c>
      <c r="B5729">
        <v>2019</v>
      </c>
      <c r="C5729" t="s">
        <v>826</v>
      </c>
      <c r="D5729" t="s">
        <v>824</v>
      </c>
      <c r="E5729" t="s">
        <v>644</v>
      </c>
      <c r="F5729" t="s">
        <v>643</v>
      </c>
      <c r="G5729">
        <v>42.307222000000003</v>
      </c>
      <c r="H5729">
        <v>140.99111099999999</v>
      </c>
      <c r="I5729" t="s">
        <v>764</v>
      </c>
      <c r="J5729" s="2" t="s">
        <v>14</v>
      </c>
      <c r="K5729" t="s">
        <v>144</v>
      </c>
      <c r="L5729" t="s">
        <v>144</v>
      </c>
      <c r="M5729" t="s">
        <v>73</v>
      </c>
      <c r="N5729" t="s">
        <v>85</v>
      </c>
      <c r="O5729" t="s">
        <v>146</v>
      </c>
      <c r="P5729" t="s">
        <v>641</v>
      </c>
      <c r="Q5729">
        <f t="shared" si="101"/>
        <v>2.0833333333333332E-2</v>
      </c>
      <c r="R5729" t="s">
        <v>213</v>
      </c>
      <c r="S5729" s="2" t="s">
        <v>13</v>
      </c>
      <c r="T5729">
        <v>5</v>
      </c>
      <c r="U5729" t="s">
        <v>28</v>
      </c>
      <c r="V5729" t="s">
        <v>28</v>
      </c>
      <c r="W5729">
        <v>28</v>
      </c>
      <c r="X5729">
        <v>3.23</v>
      </c>
      <c r="Y5729">
        <v>0.39500000000000002</v>
      </c>
      <c r="Z5729">
        <v>0.17699999999999999</v>
      </c>
      <c r="AA5729">
        <v>2.46</v>
      </c>
      <c r="AB5729">
        <v>4.01</v>
      </c>
    </row>
    <row r="5730" spans="1:28" x14ac:dyDescent="0.2">
      <c r="A5730" t="s">
        <v>648</v>
      </c>
      <c r="B5730">
        <v>2019</v>
      </c>
      <c r="C5730" t="s">
        <v>826</v>
      </c>
      <c r="D5730" t="s">
        <v>824</v>
      </c>
      <c r="E5730" t="s">
        <v>644</v>
      </c>
      <c r="F5730" t="s">
        <v>643</v>
      </c>
      <c r="G5730">
        <v>42.307222000000003</v>
      </c>
      <c r="H5730">
        <v>140.99111099999999</v>
      </c>
      <c r="I5730" t="s">
        <v>764</v>
      </c>
      <c r="J5730" s="2" t="s">
        <v>14</v>
      </c>
      <c r="K5730" t="s">
        <v>144</v>
      </c>
      <c r="L5730" t="s">
        <v>144</v>
      </c>
      <c r="M5730" t="s">
        <v>73</v>
      </c>
      <c r="N5730" t="s">
        <v>85</v>
      </c>
      <c r="O5730" t="s">
        <v>146</v>
      </c>
      <c r="P5730" t="s">
        <v>641</v>
      </c>
      <c r="Q5730">
        <f t="shared" si="101"/>
        <v>2.0833333333333332E-2</v>
      </c>
      <c r="R5730" t="s">
        <v>213</v>
      </c>
      <c r="S5730" s="2" t="s">
        <v>15</v>
      </c>
      <c r="T5730">
        <v>5</v>
      </c>
      <c r="U5730" t="s">
        <v>28</v>
      </c>
      <c r="V5730" t="s">
        <v>28</v>
      </c>
      <c r="W5730">
        <v>32</v>
      </c>
      <c r="X5730">
        <v>-0.245</v>
      </c>
      <c r="Y5730">
        <v>0.28999999999999998</v>
      </c>
      <c r="Z5730">
        <v>0.13</v>
      </c>
      <c r="AA5730">
        <v>-0.81299999999999994</v>
      </c>
      <c r="AB5730">
        <v>0.32400000000000001</v>
      </c>
    </row>
    <row r="5731" spans="1:28" x14ac:dyDescent="0.2">
      <c r="A5731" t="s">
        <v>648</v>
      </c>
      <c r="B5731">
        <v>2019</v>
      </c>
      <c r="C5731" t="s">
        <v>826</v>
      </c>
      <c r="D5731" t="s">
        <v>824</v>
      </c>
      <c r="E5731" t="s">
        <v>644</v>
      </c>
      <c r="F5731" t="s">
        <v>643</v>
      </c>
      <c r="G5731">
        <v>42.307222000000003</v>
      </c>
      <c r="H5731">
        <v>140.99111099999999</v>
      </c>
      <c r="I5731" t="s">
        <v>764</v>
      </c>
      <c r="J5731" s="2" t="s">
        <v>14</v>
      </c>
      <c r="K5731" t="s">
        <v>144</v>
      </c>
      <c r="L5731" t="s">
        <v>144</v>
      </c>
      <c r="M5731" t="s">
        <v>73</v>
      </c>
      <c r="N5731" t="s">
        <v>85</v>
      </c>
      <c r="O5731" t="s">
        <v>146</v>
      </c>
      <c r="P5731" t="s">
        <v>641</v>
      </c>
      <c r="Q5731">
        <f t="shared" si="101"/>
        <v>2.0833333333333332E-2</v>
      </c>
      <c r="R5731" t="s">
        <v>213</v>
      </c>
      <c r="S5731" s="2" t="s">
        <v>37</v>
      </c>
      <c r="T5731">
        <v>5</v>
      </c>
      <c r="U5731" t="s">
        <v>28</v>
      </c>
      <c r="V5731" t="s">
        <v>28</v>
      </c>
      <c r="W5731">
        <v>36</v>
      </c>
      <c r="X5731">
        <v>-2.93</v>
      </c>
      <c r="Y5731">
        <v>0.55400000000000005</v>
      </c>
      <c r="Z5731">
        <v>0.248</v>
      </c>
      <c r="AA5731">
        <v>-4.0199999999999996</v>
      </c>
      <c r="AB5731">
        <v>-1.85</v>
      </c>
    </row>
    <row r="5732" spans="1:28" x14ac:dyDescent="0.2">
      <c r="A5732" t="s">
        <v>648</v>
      </c>
      <c r="B5732">
        <v>2019</v>
      </c>
      <c r="C5732" t="s">
        <v>826</v>
      </c>
      <c r="D5732" t="s">
        <v>824</v>
      </c>
      <c r="E5732" t="s">
        <v>644</v>
      </c>
      <c r="F5732" t="s">
        <v>643</v>
      </c>
      <c r="G5732">
        <v>42.307222000000003</v>
      </c>
      <c r="H5732">
        <v>140.99111099999999</v>
      </c>
      <c r="I5732" t="s">
        <v>764</v>
      </c>
      <c r="J5732" s="2" t="s">
        <v>7</v>
      </c>
      <c r="K5732" t="s">
        <v>144</v>
      </c>
      <c r="L5732" t="s">
        <v>144</v>
      </c>
      <c r="M5732" t="s">
        <v>172</v>
      </c>
      <c r="N5732" t="s">
        <v>86</v>
      </c>
      <c r="O5732" t="s">
        <v>62</v>
      </c>
      <c r="P5732" t="s">
        <v>641</v>
      </c>
      <c r="Q5732">
        <f t="shared" si="101"/>
        <v>2.0833333333333332E-2</v>
      </c>
      <c r="R5732" t="s">
        <v>213</v>
      </c>
      <c r="S5732" s="2" t="s">
        <v>7</v>
      </c>
      <c r="T5732">
        <v>5</v>
      </c>
      <c r="U5732" t="s">
        <v>28</v>
      </c>
      <c r="V5732" t="s">
        <v>28</v>
      </c>
      <c r="W5732">
        <v>16</v>
      </c>
      <c r="X5732">
        <v>1.04</v>
      </c>
      <c r="Y5732">
        <v>0.19600000000000001</v>
      </c>
      <c r="Z5732">
        <v>6.1899999999999997E-2</v>
      </c>
      <c r="AA5732">
        <v>0.65600000000000003</v>
      </c>
      <c r="AB5732">
        <v>1.42</v>
      </c>
    </row>
    <row r="5733" spans="1:28" x14ac:dyDescent="0.2">
      <c r="A5733" t="s">
        <v>648</v>
      </c>
      <c r="B5733">
        <v>2019</v>
      </c>
      <c r="C5733" t="s">
        <v>826</v>
      </c>
      <c r="D5733" t="s">
        <v>824</v>
      </c>
      <c r="E5733" t="s">
        <v>644</v>
      </c>
      <c r="F5733" t="s">
        <v>643</v>
      </c>
      <c r="G5733">
        <v>42.307222000000003</v>
      </c>
      <c r="H5733">
        <v>140.99111099999999</v>
      </c>
      <c r="I5733" t="s">
        <v>764</v>
      </c>
      <c r="J5733" s="2" t="s">
        <v>14</v>
      </c>
      <c r="K5733" t="s">
        <v>144</v>
      </c>
      <c r="L5733" t="s">
        <v>144</v>
      </c>
      <c r="M5733" t="s">
        <v>172</v>
      </c>
      <c r="N5733" t="s">
        <v>86</v>
      </c>
      <c r="O5733" t="s">
        <v>62</v>
      </c>
      <c r="P5733" t="s">
        <v>641</v>
      </c>
      <c r="Q5733">
        <f t="shared" si="101"/>
        <v>2.0833333333333332E-2</v>
      </c>
      <c r="R5733" t="s">
        <v>213</v>
      </c>
      <c r="S5733" s="2" t="s">
        <v>9</v>
      </c>
      <c r="T5733">
        <v>5</v>
      </c>
      <c r="U5733" t="s">
        <v>28</v>
      </c>
      <c r="V5733" t="s">
        <v>28</v>
      </c>
      <c r="W5733">
        <v>20</v>
      </c>
      <c r="X5733">
        <v>1.21</v>
      </c>
      <c r="Y5733">
        <v>0.22600000000000001</v>
      </c>
      <c r="Z5733">
        <v>0.10100000000000001</v>
      </c>
      <c r="AA5733">
        <v>0.76800000000000002</v>
      </c>
      <c r="AB5733">
        <v>1.65</v>
      </c>
    </row>
    <row r="5734" spans="1:28" x14ac:dyDescent="0.2">
      <c r="A5734" t="s">
        <v>648</v>
      </c>
      <c r="B5734">
        <v>2019</v>
      </c>
      <c r="C5734" t="s">
        <v>826</v>
      </c>
      <c r="D5734" t="s">
        <v>824</v>
      </c>
      <c r="E5734" t="s">
        <v>644</v>
      </c>
      <c r="F5734" t="s">
        <v>643</v>
      </c>
      <c r="G5734">
        <v>42.307222000000003</v>
      </c>
      <c r="H5734">
        <v>140.99111099999999</v>
      </c>
      <c r="I5734" t="s">
        <v>764</v>
      </c>
      <c r="J5734" s="2" t="s">
        <v>14</v>
      </c>
      <c r="K5734" t="s">
        <v>144</v>
      </c>
      <c r="L5734" t="s">
        <v>144</v>
      </c>
      <c r="M5734" t="s">
        <v>172</v>
      </c>
      <c r="N5734" t="s">
        <v>86</v>
      </c>
      <c r="O5734" t="s">
        <v>62</v>
      </c>
      <c r="P5734" t="s">
        <v>641</v>
      </c>
      <c r="Q5734">
        <f t="shared" si="101"/>
        <v>2.0833333333333332E-2</v>
      </c>
      <c r="R5734" t="s">
        <v>213</v>
      </c>
      <c r="S5734" s="2" t="s">
        <v>27</v>
      </c>
      <c r="T5734">
        <v>5</v>
      </c>
      <c r="U5734" t="s">
        <v>28</v>
      </c>
      <c r="V5734" t="s">
        <v>28</v>
      </c>
      <c r="W5734">
        <v>24</v>
      </c>
      <c r="X5734">
        <v>1.41</v>
      </c>
      <c r="Y5734">
        <v>0.215</v>
      </c>
      <c r="Z5734">
        <v>9.64E-2</v>
      </c>
      <c r="AA5734">
        <v>0.98599999999999999</v>
      </c>
      <c r="AB5734">
        <v>1.83</v>
      </c>
    </row>
    <row r="5735" spans="1:28" x14ac:dyDescent="0.2">
      <c r="A5735" t="s">
        <v>648</v>
      </c>
      <c r="B5735">
        <v>2019</v>
      </c>
      <c r="C5735" t="s">
        <v>826</v>
      </c>
      <c r="D5735" t="s">
        <v>824</v>
      </c>
      <c r="E5735" t="s">
        <v>644</v>
      </c>
      <c r="F5735" t="s">
        <v>643</v>
      </c>
      <c r="G5735">
        <v>42.307222000000003</v>
      </c>
      <c r="H5735">
        <v>140.99111099999999</v>
      </c>
      <c r="I5735" t="s">
        <v>764</v>
      </c>
      <c r="J5735" s="2" t="s">
        <v>14</v>
      </c>
      <c r="K5735" t="s">
        <v>144</v>
      </c>
      <c r="L5735" t="s">
        <v>144</v>
      </c>
      <c r="M5735" t="s">
        <v>172</v>
      </c>
      <c r="N5735" t="s">
        <v>86</v>
      </c>
      <c r="O5735" t="s">
        <v>62</v>
      </c>
      <c r="P5735" t="s">
        <v>641</v>
      </c>
      <c r="Q5735">
        <f t="shared" si="101"/>
        <v>2.0833333333333332E-2</v>
      </c>
      <c r="R5735" t="s">
        <v>213</v>
      </c>
      <c r="S5735" s="2" t="s">
        <v>13</v>
      </c>
      <c r="T5735">
        <v>5</v>
      </c>
      <c r="U5735" t="s">
        <v>28</v>
      </c>
      <c r="V5735" t="s">
        <v>28</v>
      </c>
      <c r="W5735">
        <v>28</v>
      </c>
      <c r="X5735">
        <v>1.59</v>
      </c>
      <c r="Y5735">
        <v>0.25900000000000001</v>
      </c>
      <c r="Z5735">
        <v>0.11600000000000001</v>
      </c>
      <c r="AA5735">
        <v>1.0900000000000001</v>
      </c>
      <c r="AB5735">
        <v>2.1</v>
      </c>
    </row>
    <row r="5736" spans="1:28" x14ac:dyDescent="0.2">
      <c r="A5736" t="s">
        <v>648</v>
      </c>
      <c r="B5736">
        <v>2019</v>
      </c>
      <c r="C5736" t="s">
        <v>826</v>
      </c>
      <c r="D5736" t="s">
        <v>824</v>
      </c>
      <c r="E5736" t="s">
        <v>644</v>
      </c>
      <c r="F5736" t="s">
        <v>643</v>
      </c>
      <c r="G5736">
        <v>42.307222000000003</v>
      </c>
      <c r="H5736">
        <v>140.99111099999999</v>
      </c>
      <c r="I5736" t="s">
        <v>764</v>
      </c>
      <c r="J5736" s="2" t="s">
        <v>14</v>
      </c>
      <c r="K5736" t="s">
        <v>144</v>
      </c>
      <c r="L5736" t="s">
        <v>144</v>
      </c>
      <c r="M5736" t="s">
        <v>172</v>
      </c>
      <c r="N5736" t="s">
        <v>86</v>
      </c>
      <c r="O5736" t="s">
        <v>62</v>
      </c>
      <c r="P5736" t="s">
        <v>641</v>
      </c>
      <c r="Q5736">
        <f t="shared" si="101"/>
        <v>2.0833333333333332E-2</v>
      </c>
      <c r="R5736" t="s">
        <v>213</v>
      </c>
      <c r="S5736" s="2" t="s">
        <v>15</v>
      </c>
      <c r="T5736">
        <v>5</v>
      </c>
      <c r="U5736" t="s">
        <v>28</v>
      </c>
      <c r="V5736" t="s">
        <v>28</v>
      </c>
      <c r="W5736">
        <v>32</v>
      </c>
      <c r="X5736">
        <v>2</v>
      </c>
      <c r="Y5736">
        <v>0.17100000000000001</v>
      </c>
      <c r="Z5736">
        <v>7.6600000000000001E-2</v>
      </c>
      <c r="AA5736">
        <v>1.66</v>
      </c>
      <c r="AB5736">
        <v>2.33</v>
      </c>
    </row>
    <row r="5737" spans="1:28" x14ac:dyDescent="0.2">
      <c r="A5737" t="s">
        <v>648</v>
      </c>
      <c r="B5737">
        <v>2019</v>
      </c>
      <c r="C5737" t="s">
        <v>826</v>
      </c>
      <c r="D5737" t="s">
        <v>824</v>
      </c>
      <c r="E5737" t="s">
        <v>644</v>
      </c>
      <c r="F5737" t="s">
        <v>643</v>
      </c>
      <c r="G5737">
        <v>42.307222000000003</v>
      </c>
      <c r="H5737">
        <v>140.99111099999999</v>
      </c>
      <c r="I5737" t="s">
        <v>764</v>
      </c>
      <c r="J5737" s="2" t="s">
        <v>14</v>
      </c>
      <c r="K5737" t="s">
        <v>144</v>
      </c>
      <c r="L5737" t="s">
        <v>144</v>
      </c>
      <c r="M5737" t="s">
        <v>172</v>
      </c>
      <c r="N5737" t="s">
        <v>86</v>
      </c>
      <c r="O5737" t="s">
        <v>62</v>
      </c>
      <c r="P5737" t="s">
        <v>641</v>
      </c>
      <c r="Q5737">
        <f t="shared" si="101"/>
        <v>2.0833333333333332E-2</v>
      </c>
      <c r="R5737" t="s">
        <v>213</v>
      </c>
      <c r="S5737" s="2" t="s">
        <v>37</v>
      </c>
      <c r="T5737">
        <v>5</v>
      </c>
      <c r="U5737" t="s">
        <v>28</v>
      </c>
      <c r="V5737" t="s">
        <v>28</v>
      </c>
      <c r="W5737">
        <v>36</v>
      </c>
      <c r="X5737">
        <v>3.64</v>
      </c>
      <c r="Y5737">
        <v>1.35</v>
      </c>
      <c r="Z5737">
        <v>0.60299999999999998</v>
      </c>
      <c r="AA5737">
        <v>1</v>
      </c>
      <c r="AB5737">
        <v>6.29</v>
      </c>
    </row>
    <row r="5738" spans="1:28" x14ac:dyDescent="0.2">
      <c r="A5738" t="s">
        <v>648</v>
      </c>
      <c r="B5738">
        <v>2019</v>
      </c>
      <c r="C5738" t="s">
        <v>826</v>
      </c>
      <c r="D5738" t="s">
        <v>824</v>
      </c>
      <c r="E5738" t="s">
        <v>644</v>
      </c>
      <c r="F5738" t="s">
        <v>643</v>
      </c>
      <c r="G5738">
        <v>42.307222000000003</v>
      </c>
      <c r="H5738">
        <v>140.99111099999999</v>
      </c>
      <c r="I5738" t="s">
        <v>764</v>
      </c>
      <c r="J5738" s="2" t="s">
        <v>7</v>
      </c>
      <c r="K5738" t="s">
        <v>144</v>
      </c>
      <c r="L5738" t="s">
        <v>144</v>
      </c>
      <c r="M5738" t="s">
        <v>726</v>
      </c>
      <c r="N5738" t="s">
        <v>85</v>
      </c>
      <c r="O5738" t="s">
        <v>84</v>
      </c>
      <c r="Q5738">
        <v>1</v>
      </c>
      <c r="R5738" t="s">
        <v>214</v>
      </c>
      <c r="S5738" s="2" t="s">
        <v>7</v>
      </c>
      <c r="T5738">
        <v>10</v>
      </c>
      <c r="U5738" t="s">
        <v>28</v>
      </c>
      <c r="V5738" t="s">
        <v>28</v>
      </c>
      <c r="W5738">
        <v>16</v>
      </c>
      <c r="X5738">
        <v>0.53939999999999999</v>
      </c>
      <c r="Y5738">
        <v>6.3473878999999997E-2</v>
      </c>
      <c r="Z5738">
        <v>2.0072203E-2</v>
      </c>
      <c r="AA5738">
        <v>0.4149912</v>
      </c>
      <c r="AB5738">
        <v>0.66380879999999998</v>
      </c>
    </row>
    <row r="5739" spans="1:28" x14ac:dyDescent="0.2">
      <c r="A5739" t="s">
        <v>648</v>
      </c>
      <c r="B5739">
        <v>2019</v>
      </c>
      <c r="C5739" t="s">
        <v>826</v>
      </c>
      <c r="D5739" t="s">
        <v>824</v>
      </c>
      <c r="E5739" t="s">
        <v>644</v>
      </c>
      <c r="F5739" t="s">
        <v>643</v>
      </c>
      <c r="G5739">
        <v>42.307222000000003</v>
      </c>
      <c r="H5739">
        <v>140.99111099999999</v>
      </c>
      <c r="I5739" t="s">
        <v>764</v>
      </c>
      <c r="J5739" s="2" t="s">
        <v>14</v>
      </c>
      <c r="K5739" t="s">
        <v>144</v>
      </c>
      <c r="L5739" t="s">
        <v>144</v>
      </c>
      <c r="M5739" t="s">
        <v>726</v>
      </c>
      <c r="N5739" t="s">
        <v>85</v>
      </c>
      <c r="O5739" t="s">
        <v>84</v>
      </c>
      <c r="Q5739">
        <v>1</v>
      </c>
      <c r="R5739" t="s">
        <v>214</v>
      </c>
      <c r="S5739" s="2" t="s">
        <v>9</v>
      </c>
      <c r="T5739">
        <v>10</v>
      </c>
      <c r="U5739" t="s">
        <v>28</v>
      </c>
      <c r="V5739" t="s">
        <v>28</v>
      </c>
      <c r="W5739">
        <v>20</v>
      </c>
      <c r="X5739">
        <v>0.52200000000000002</v>
      </c>
      <c r="Y5739">
        <v>1.8909138999999998E-2</v>
      </c>
      <c r="Z5739">
        <v>5.9795949999999999E-3</v>
      </c>
      <c r="AA5739">
        <v>0.48493809999999998</v>
      </c>
      <c r="AB5739">
        <v>0.5590619</v>
      </c>
    </row>
    <row r="5740" spans="1:28" x14ac:dyDescent="0.2">
      <c r="A5740" t="s">
        <v>648</v>
      </c>
      <c r="B5740">
        <v>2019</v>
      </c>
      <c r="C5740" t="s">
        <v>826</v>
      </c>
      <c r="D5740" t="s">
        <v>824</v>
      </c>
      <c r="E5740" t="s">
        <v>644</v>
      </c>
      <c r="F5740" t="s">
        <v>643</v>
      </c>
      <c r="G5740">
        <v>42.307222000000003</v>
      </c>
      <c r="H5740">
        <v>140.99111099999999</v>
      </c>
      <c r="I5740" t="s">
        <v>764</v>
      </c>
      <c r="J5740" s="2" t="s">
        <v>14</v>
      </c>
      <c r="K5740" t="s">
        <v>144</v>
      </c>
      <c r="L5740" t="s">
        <v>144</v>
      </c>
      <c r="M5740" t="s">
        <v>726</v>
      </c>
      <c r="N5740" t="s">
        <v>85</v>
      </c>
      <c r="O5740" t="s">
        <v>84</v>
      </c>
      <c r="Q5740">
        <v>1</v>
      </c>
      <c r="R5740" t="s">
        <v>214</v>
      </c>
      <c r="S5740" s="2" t="s">
        <v>27</v>
      </c>
      <c r="T5740">
        <v>10</v>
      </c>
      <c r="U5740" t="s">
        <v>28</v>
      </c>
      <c r="V5740" t="s">
        <v>28</v>
      </c>
      <c r="W5740">
        <v>24</v>
      </c>
      <c r="X5740">
        <v>0.54359999999999997</v>
      </c>
      <c r="Y5740">
        <v>3.5675076999999999E-2</v>
      </c>
      <c r="Z5740">
        <v>1.128145E-2</v>
      </c>
      <c r="AA5740">
        <v>0.47367680000000001</v>
      </c>
      <c r="AB5740">
        <v>0.61352320000000005</v>
      </c>
    </row>
    <row r="5741" spans="1:28" x14ac:dyDescent="0.2">
      <c r="A5741" t="s">
        <v>648</v>
      </c>
      <c r="B5741">
        <v>2019</v>
      </c>
      <c r="C5741" t="s">
        <v>826</v>
      </c>
      <c r="D5741" t="s">
        <v>824</v>
      </c>
      <c r="E5741" t="s">
        <v>644</v>
      </c>
      <c r="F5741" t="s">
        <v>643</v>
      </c>
      <c r="G5741">
        <v>42.307222000000003</v>
      </c>
      <c r="H5741">
        <v>140.99111099999999</v>
      </c>
      <c r="I5741" t="s">
        <v>764</v>
      </c>
      <c r="J5741" s="2" t="s">
        <v>14</v>
      </c>
      <c r="K5741" t="s">
        <v>144</v>
      </c>
      <c r="L5741" t="s">
        <v>144</v>
      </c>
      <c r="M5741" t="s">
        <v>726</v>
      </c>
      <c r="N5741" t="s">
        <v>85</v>
      </c>
      <c r="O5741" t="s">
        <v>84</v>
      </c>
      <c r="Q5741">
        <v>1</v>
      </c>
      <c r="R5741" t="s">
        <v>214</v>
      </c>
      <c r="S5741" s="2" t="s">
        <v>13</v>
      </c>
      <c r="T5741">
        <v>10</v>
      </c>
      <c r="U5741" t="s">
        <v>28</v>
      </c>
      <c r="V5741" t="s">
        <v>28</v>
      </c>
      <c r="W5741">
        <v>28</v>
      </c>
      <c r="X5741">
        <v>0.5333</v>
      </c>
      <c r="Y5741">
        <v>6.2179043000000003E-2</v>
      </c>
      <c r="Z5741">
        <v>1.9662740000000001E-2</v>
      </c>
      <c r="AA5741">
        <v>0.41142909999999999</v>
      </c>
      <c r="AB5741">
        <v>0.6551709</v>
      </c>
    </row>
    <row r="5742" spans="1:28" x14ac:dyDescent="0.2">
      <c r="A5742" t="s">
        <v>648</v>
      </c>
      <c r="B5742">
        <v>2019</v>
      </c>
      <c r="C5742" t="s">
        <v>826</v>
      </c>
      <c r="D5742" t="s">
        <v>824</v>
      </c>
      <c r="E5742" t="s">
        <v>644</v>
      </c>
      <c r="F5742" t="s">
        <v>643</v>
      </c>
      <c r="G5742">
        <v>42.307222000000003</v>
      </c>
      <c r="H5742">
        <v>140.99111099999999</v>
      </c>
      <c r="I5742" t="s">
        <v>764</v>
      </c>
      <c r="J5742" s="2" t="s">
        <v>14</v>
      </c>
      <c r="K5742" t="s">
        <v>144</v>
      </c>
      <c r="L5742" t="s">
        <v>144</v>
      </c>
      <c r="M5742" t="s">
        <v>726</v>
      </c>
      <c r="N5742" t="s">
        <v>85</v>
      </c>
      <c r="O5742" t="s">
        <v>84</v>
      </c>
      <c r="Q5742">
        <v>1</v>
      </c>
      <c r="R5742" t="s">
        <v>214</v>
      </c>
      <c r="S5742" s="2" t="s">
        <v>15</v>
      </c>
      <c r="T5742">
        <v>10</v>
      </c>
      <c r="U5742" t="s">
        <v>28</v>
      </c>
      <c r="V5742" t="s">
        <v>28</v>
      </c>
      <c r="W5742">
        <v>32</v>
      </c>
      <c r="X5742">
        <v>0</v>
      </c>
      <c r="Y5742">
        <v>0</v>
      </c>
      <c r="Z5742">
        <v>0</v>
      </c>
      <c r="AA5742">
        <v>0</v>
      </c>
      <c r="AB5742">
        <v>0</v>
      </c>
    </row>
    <row r="5743" spans="1:28" x14ac:dyDescent="0.2">
      <c r="A5743" t="s">
        <v>648</v>
      </c>
      <c r="B5743">
        <v>2019</v>
      </c>
      <c r="C5743" t="s">
        <v>826</v>
      </c>
      <c r="D5743" t="s">
        <v>824</v>
      </c>
      <c r="E5743" t="s">
        <v>644</v>
      </c>
      <c r="F5743" t="s">
        <v>643</v>
      </c>
      <c r="G5743">
        <v>42.307222000000003</v>
      </c>
      <c r="H5743">
        <v>140.99111099999999</v>
      </c>
      <c r="I5743" t="s">
        <v>764</v>
      </c>
      <c r="J5743" s="2" t="s">
        <v>14</v>
      </c>
      <c r="K5743" t="s">
        <v>144</v>
      </c>
      <c r="L5743" t="s">
        <v>144</v>
      </c>
      <c r="M5743" t="s">
        <v>726</v>
      </c>
      <c r="N5743" t="s">
        <v>85</v>
      </c>
      <c r="O5743" t="s">
        <v>84</v>
      </c>
      <c r="Q5743">
        <v>1</v>
      </c>
      <c r="R5743" t="s">
        <v>214</v>
      </c>
      <c r="S5743" s="2" t="s">
        <v>37</v>
      </c>
      <c r="T5743">
        <v>10</v>
      </c>
      <c r="U5743" t="s">
        <v>28</v>
      </c>
      <c r="V5743" t="s">
        <v>28</v>
      </c>
      <c r="W5743">
        <v>36</v>
      </c>
      <c r="X5743">
        <v>0</v>
      </c>
      <c r="Y5743">
        <v>0</v>
      </c>
      <c r="Z5743">
        <v>0</v>
      </c>
      <c r="AA5743">
        <v>0</v>
      </c>
      <c r="AB5743">
        <v>0</v>
      </c>
    </row>
    <row r="5744" spans="1:28" x14ac:dyDescent="0.2">
      <c r="A5744" t="s">
        <v>648</v>
      </c>
      <c r="B5744">
        <v>2019</v>
      </c>
      <c r="C5744" t="s">
        <v>826</v>
      </c>
      <c r="D5744" t="s">
        <v>824</v>
      </c>
      <c r="E5744" t="s">
        <v>644</v>
      </c>
      <c r="F5744" t="s">
        <v>643</v>
      </c>
      <c r="G5744">
        <v>42.307222000000003</v>
      </c>
      <c r="H5744">
        <v>140.99111099999999</v>
      </c>
      <c r="I5744" t="s">
        <v>764</v>
      </c>
      <c r="J5744" s="2" t="s">
        <v>7</v>
      </c>
      <c r="K5744" t="s">
        <v>144</v>
      </c>
      <c r="L5744" t="s">
        <v>144</v>
      </c>
      <c r="M5744" t="s">
        <v>726</v>
      </c>
      <c r="N5744" t="s">
        <v>85</v>
      </c>
      <c r="O5744" t="s">
        <v>84</v>
      </c>
      <c r="Q5744">
        <v>2</v>
      </c>
      <c r="R5744" t="s">
        <v>214</v>
      </c>
      <c r="S5744" s="2" t="s">
        <v>7</v>
      </c>
      <c r="T5744">
        <v>10</v>
      </c>
      <c r="U5744" t="s">
        <v>28</v>
      </c>
      <c r="V5744" t="s">
        <v>28</v>
      </c>
      <c r="W5744">
        <v>16</v>
      </c>
      <c r="X5744">
        <v>0.52649999999999997</v>
      </c>
      <c r="Y5744">
        <v>4.9549638E-2</v>
      </c>
      <c r="Z5744">
        <v>1.5668971E-2</v>
      </c>
      <c r="AA5744">
        <v>0.42938270000000001</v>
      </c>
      <c r="AB5744">
        <v>0.62361730000000004</v>
      </c>
    </row>
    <row r="5745" spans="1:28" x14ac:dyDescent="0.2">
      <c r="A5745" t="s">
        <v>648</v>
      </c>
      <c r="B5745">
        <v>2019</v>
      </c>
      <c r="C5745" t="s">
        <v>826</v>
      </c>
      <c r="D5745" t="s">
        <v>824</v>
      </c>
      <c r="E5745" t="s">
        <v>644</v>
      </c>
      <c r="F5745" t="s">
        <v>643</v>
      </c>
      <c r="G5745">
        <v>42.307222000000003</v>
      </c>
      <c r="H5745">
        <v>140.99111099999999</v>
      </c>
      <c r="I5745" t="s">
        <v>764</v>
      </c>
      <c r="J5745" s="2" t="s">
        <v>14</v>
      </c>
      <c r="K5745" t="s">
        <v>144</v>
      </c>
      <c r="L5745" t="s">
        <v>144</v>
      </c>
      <c r="M5745" t="s">
        <v>726</v>
      </c>
      <c r="N5745" t="s">
        <v>85</v>
      </c>
      <c r="O5745" t="s">
        <v>84</v>
      </c>
      <c r="Q5745">
        <v>2</v>
      </c>
      <c r="R5745" t="s">
        <v>214</v>
      </c>
      <c r="S5745" s="2" t="s">
        <v>9</v>
      </c>
      <c r="T5745">
        <v>10</v>
      </c>
      <c r="U5745" t="s">
        <v>28</v>
      </c>
      <c r="V5745" t="s">
        <v>28</v>
      </c>
      <c r="W5745">
        <v>20</v>
      </c>
      <c r="X5745">
        <v>0.49230000000000002</v>
      </c>
      <c r="Y5745">
        <v>4.4684201E-2</v>
      </c>
      <c r="Z5745">
        <v>1.4130385000000001E-2</v>
      </c>
      <c r="AA5745">
        <v>0.404719</v>
      </c>
      <c r="AB5745">
        <v>0.57988099999999998</v>
      </c>
    </row>
    <row r="5746" spans="1:28" x14ac:dyDescent="0.2">
      <c r="A5746" t="s">
        <v>648</v>
      </c>
      <c r="B5746">
        <v>2019</v>
      </c>
      <c r="C5746" t="s">
        <v>826</v>
      </c>
      <c r="D5746" t="s">
        <v>824</v>
      </c>
      <c r="E5746" t="s">
        <v>644</v>
      </c>
      <c r="F5746" t="s">
        <v>643</v>
      </c>
      <c r="G5746">
        <v>42.307222000000003</v>
      </c>
      <c r="H5746">
        <v>140.99111099999999</v>
      </c>
      <c r="I5746" t="s">
        <v>764</v>
      </c>
      <c r="J5746" s="2" t="s">
        <v>14</v>
      </c>
      <c r="K5746" t="s">
        <v>144</v>
      </c>
      <c r="L5746" t="s">
        <v>144</v>
      </c>
      <c r="M5746" t="s">
        <v>726</v>
      </c>
      <c r="N5746" t="s">
        <v>85</v>
      </c>
      <c r="O5746" t="s">
        <v>84</v>
      </c>
      <c r="Q5746">
        <v>2</v>
      </c>
      <c r="R5746" t="s">
        <v>214</v>
      </c>
      <c r="S5746" s="2" t="s">
        <v>27</v>
      </c>
      <c r="T5746">
        <v>10</v>
      </c>
      <c r="U5746" t="s">
        <v>28</v>
      </c>
      <c r="V5746" t="s">
        <v>28</v>
      </c>
      <c r="W5746">
        <v>24</v>
      </c>
      <c r="X5746">
        <v>0.33350000000000002</v>
      </c>
      <c r="Y5746">
        <v>0.23431993800000001</v>
      </c>
      <c r="Z5746">
        <v>7.4098470999999999E-2</v>
      </c>
      <c r="AA5746">
        <v>-0.12576709999999999</v>
      </c>
      <c r="AB5746">
        <v>0.79276709999999995</v>
      </c>
    </row>
    <row r="5747" spans="1:28" x14ac:dyDescent="0.2">
      <c r="A5747" t="s">
        <v>648</v>
      </c>
      <c r="B5747">
        <v>2019</v>
      </c>
      <c r="C5747" t="s">
        <v>826</v>
      </c>
      <c r="D5747" t="s">
        <v>824</v>
      </c>
      <c r="E5747" t="s">
        <v>644</v>
      </c>
      <c r="F5747" t="s">
        <v>643</v>
      </c>
      <c r="G5747">
        <v>42.307222000000003</v>
      </c>
      <c r="H5747">
        <v>140.99111099999999</v>
      </c>
      <c r="I5747" t="s">
        <v>764</v>
      </c>
      <c r="J5747" s="2" t="s">
        <v>14</v>
      </c>
      <c r="K5747" t="s">
        <v>144</v>
      </c>
      <c r="L5747" t="s">
        <v>144</v>
      </c>
      <c r="M5747" t="s">
        <v>726</v>
      </c>
      <c r="N5747" t="s">
        <v>85</v>
      </c>
      <c r="O5747" t="s">
        <v>84</v>
      </c>
      <c r="Q5747">
        <v>2</v>
      </c>
      <c r="R5747" t="s">
        <v>214</v>
      </c>
      <c r="S5747" s="2" t="s">
        <v>13</v>
      </c>
      <c r="T5747">
        <v>10</v>
      </c>
      <c r="U5747" t="s">
        <v>28</v>
      </c>
      <c r="V5747" t="s">
        <v>28</v>
      </c>
      <c r="W5747">
        <v>28</v>
      </c>
      <c r="X5747">
        <v>0.20169999999999999</v>
      </c>
      <c r="Y5747">
        <v>0.17339553399999999</v>
      </c>
      <c r="Z5747">
        <v>5.4832482000000002E-2</v>
      </c>
      <c r="AA5747">
        <v>-0.13815520000000001</v>
      </c>
      <c r="AB5747">
        <v>0.54155520000000001</v>
      </c>
    </row>
    <row r="5748" spans="1:28" x14ac:dyDescent="0.2">
      <c r="A5748" t="s">
        <v>648</v>
      </c>
      <c r="B5748">
        <v>2019</v>
      </c>
      <c r="C5748" t="s">
        <v>826</v>
      </c>
      <c r="D5748" t="s">
        <v>824</v>
      </c>
      <c r="E5748" t="s">
        <v>644</v>
      </c>
      <c r="F5748" t="s">
        <v>643</v>
      </c>
      <c r="G5748">
        <v>42.307222000000003</v>
      </c>
      <c r="H5748">
        <v>140.99111099999999</v>
      </c>
      <c r="I5748" t="s">
        <v>764</v>
      </c>
      <c r="J5748" s="2" t="s">
        <v>14</v>
      </c>
      <c r="K5748" t="s">
        <v>144</v>
      </c>
      <c r="L5748" t="s">
        <v>144</v>
      </c>
      <c r="M5748" t="s">
        <v>726</v>
      </c>
      <c r="N5748" t="s">
        <v>85</v>
      </c>
      <c r="O5748" t="s">
        <v>84</v>
      </c>
      <c r="Q5748">
        <v>2</v>
      </c>
      <c r="R5748" t="s">
        <v>214</v>
      </c>
      <c r="S5748" s="2" t="s">
        <v>15</v>
      </c>
      <c r="T5748">
        <v>10</v>
      </c>
      <c r="U5748" t="s">
        <v>28</v>
      </c>
      <c r="V5748" t="s">
        <v>28</v>
      </c>
      <c r="W5748">
        <v>32</v>
      </c>
      <c r="X5748">
        <v>0</v>
      </c>
      <c r="Y5748">
        <v>0</v>
      </c>
      <c r="Z5748">
        <v>0</v>
      </c>
      <c r="AA5748">
        <v>0</v>
      </c>
      <c r="AB5748">
        <v>0</v>
      </c>
    </row>
    <row r="5749" spans="1:28" x14ac:dyDescent="0.2">
      <c r="A5749" t="s">
        <v>648</v>
      </c>
      <c r="B5749">
        <v>2019</v>
      </c>
      <c r="C5749" t="s">
        <v>826</v>
      </c>
      <c r="D5749" t="s">
        <v>824</v>
      </c>
      <c r="E5749" t="s">
        <v>644</v>
      </c>
      <c r="F5749" t="s">
        <v>643</v>
      </c>
      <c r="G5749">
        <v>42.307222000000003</v>
      </c>
      <c r="H5749">
        <v>140.99111099999999</v>
      </c>
      <c r="I5749" t="s">
        <v>764</v>
      </c>
      <c r="J5749" s="2" t="s">
        <v>14</v>
      </c>
      <c r="K5749" t="s">
        <v>144</v>
      </c>
      <c r="L5749" t="s">
        <v>144</v>
      </c>
      <c r="M5749" t="s">
        <v>726</v>
      </c>
      <c r="N5749" t="s">
        <v>85</v>
      </c>
      <c r="O5749" t="s">
        <v>84</v>
      </c>
      <c r="Q5749">
        <v>2</v>
      </c>
      <c r="R5749" t="s">
        <v>214</v>
      </c>
      <c r="S5749" s="2" t="s">
        <v>37</v>
      </c>
      <c r="T5749">
        <v>10</v>
      </c>
      <c r="U5749" t="s">
        <v>28</v>
      </c>
      <c r="V5749" t="s">
        <v>28</v>
      </c>
      <c r="W5749">
        <v>36</v>
      </c>
      <c r="X5749">
        <v>0</v>
      </c>
      <c r="Y5749">
        <v>0</v>
      </c>
      <c r="Z5749">
        <v>0</v>
      </c>
      <c r="AA5749">
        <v>0</v>
      </c>
      <c r="AB5749">
        <v>0</v>
      </c>
    </row>
    <row r="5750" spans="1:28" x14ac:dyDescent="0.2">
      <c r="A5750" t="s">
        <v>648</v>
      </c>
      <c r="B5750">
        <v>2019</v>
      </c>
      <c r="C5750" t="s">
        <v>826</v>
      </c>
      <c r="D5750" t="s">
        <v>824</v>
      </c>
      <c r="E5750" t="s">
        <v>644</v>
      </c>
      <c r="F5750" t="s">
        <v>643</v>
      </c>
      <c r="G5750">
        <v>42.307222000000003</v>
      </c>
      <c r="H5750">
        <v>140.99111099999999</v>
      </c>
      <c r="I5750" t="s">
        <v>764</v>
      </c>
      <c r="J5750" s="2" t="s">
        <v>7</v>
      </c>
      <c r="K5750" t="s">
        <v>144</v>
      </c>
      <c r="L5750" t="s">
        <v>144</v>
      </c>
      <c r="M5750" t="s">
        <v>726</v>
      </c>
      <c r="N5750" t="s">
        <v>85</v>
      </c>
      <c r="O5750" t="s">
        <v>84</v>
      </c>
      <c r="Q5750">
        <v>3</v>
      </c>
      <c r="R5750" t="s">
        <v>213</v>
      </c>
      <c r="S5750" s="2" t="s">
        <v>7</v>
      </c>
      <c r="T5750">
        <v>10</v>
      </c>
      <c r="U5750" t="s">
        <v>28</v>
      </c>
      <c r="V5750" t="s">
        <v>28</v>
      </c>
      <c r="W5750">
        <v>16</v>
      </c>
      <c r="X5750">
        <v>0.53180000000000005</v>
      </c>
      <c r="Y5750">
        <v>5.5816763999999998E-2</v>
      </c>
      <c r="Z5750">
        <v>1.7650809999999999E-2</v>
      </c>
      <c r="AA5750">
        <v>0.42239914299999998</v>
      </c>
      <c r="AB5750">
        <v>0.64120089999999996</v>
      </c>
    </row>
    <row r="5751" spans="1:28" x14ac:dyDescent="0.2">
      <c r="A5751" t="s">
        <v>648</v>
      </c>
      <c r="B5751">
        <v>2019</v>
      </c>
      <c r="C5751" t="s">
        <v>826</v>
      </c>
      <c r="D5751" t="s">
        <v>824</v>
      </c>
      <c r="E5751" t="s">
        <v>644</v>
      </c>
      <c r="F5751" t="s">
        <v>643</v>
      </c>
      <c r="G5751">
        <v>42.307222000000003</v>
      </c>
      <c r="H5751">
        <v>140.99111099999999</v>
      </c>
      <c r="I5751" t="s">
        <v>764</v>
      </c>
      <c r="J5751" s="2" t="s">
        <v>14</v>
      </c>
      <c r="K5751" t="s">
        <v>144</v>
      </c>
      <c r="L5751" t="s">
        <v>144</v>
      </c>
      <c r="M5751" t="s">
        <v>726</v>
      </c>
      <c r="N5751" t="s">
        <v>85</v>
      </c>
      <c r="O5751" t="s">
        <v>84</v>
      </c>
      <c r="Q5751">
        <v>3</v>
      </c>
      <c r="R5751" t="s">
        <v>213</v>
      </c>
      <c r="S5751" s="2" t="s">
        <v>9</v>
      </c>
      <c r="T5751">
        <v>10</v>
      </c>
      <c r="U5751" t="s">
        <v>28</v>
      </c>
      <c r="V5751" t="s">
        <v>28</v>
      </c>
      <c r="W5751">
        <v>20</v>
      </c>
      <c r="X5751">
        <v>0.39739999999999998</v>
      </c>
      <c r="Y5751">
        <v>0.76447803999999997</v>
      </c>
      <c r="Z5751">
        <v>2.4174918E-2</v>
      </c>
      <c r="AA5751">
        <v>0.24756230500000001</v>
      </c>
      <c r="AB5751">
        <v>0.54723770000000005</v>
      </c>
    </row>
    <row r="5752" spans="1:28" x14ac:dyDescent="0.2">
      <c r="A5752" t="s">
        <v>648</v>
      </c>
      <c r="B5752">
        <v>2019</v>
      </c>
      <c r="C5752" t="s">
        <v>826</v>
      </c>
      <c r="D5752" t="s">
        <v>824</v>
      </c>
      <c r="E5752" t="s">
        <v>644</v>
      </c>
      <c r="F5752" t="s">
        <v>643</v>
      </c>
      <c r="G5752">
        <v>42.307222000000003</v>
      </c>
      <c r="H5752">
        <v>140.99111099999999</v>
      </c>
      <c r="I5752" t="s">
        <v>764</v>
      </c>
      <c r="J5752" s="2" t="s">
        <v>14</v>
      </c>
      <c r="K5752" t="s">
        <v>144</v>
      </c>
      <c r="L5752" t="s">
        <v>144</v>
      </c>
      <c r="M5752" t="s">
        <v>726</v>
      </c>
      <c r="N5752" t="s">
        <v>85</v>
      </c>
      <c r="O5752" t="s">
        <v>84</v>
      </c>
      <c r="Q5752">
        <v>3</v>
      </c>
      <c r="R5752" t="s">
        <v>213</v>
      </c>
      <c r="S5752" s="2" t="s">
        <v>27</v>
      </c>
      <c r="T5752">
        <v>10</v>
      </c>
      <c r="U5752" t="s">
        <v>28</v>
      </c>
      <c r="V5752" t="s">
        <v>28</v>
      </c>
      <c r="W5752">
        <v>24</v>
      </c>
      <c r="X5752">
        <v>0.28949999999999998</v>
      </c>
      <c r="Y5752">
        <v>0.14687655399999999</v>
      </c>
      <c r="Z5752">
        <v>4.6446445000000003E-2</v>
      </c>
      <c r="AA5752">
        <v>1.621953E-3</v>
      </c>
      <c r="AB5752">
        <v>0.57737799999999995</v>
      </c>
    </row>
    <row r="5753" spans="1:28" x14ac:dyDescent="0.2">
      <c r="A5753" t="s">
        <v>648</v>
      </c>
      <c r="B5753">
        <v>2019</v>
      </c>
      <c r="C5753" t="s">
        <v>826</v>
      </c>
      <c r="D5753" t="s">
        <v>824</v>
      </c>
      <c r="E5753" t="s">
        <v>644</v>
      </c>
      <c r="F5753" t="s">
        <v>643</v>
      </c>
      <c r="G5753">
        <v>42.307222000000003</v>
      </c>
      <c r="H5753">
        <v>140.99111099999999</v>
      </c>
      <c r="I5753" t="s">
        <v>764</v>
      </c>
      <c r="J5753" s="2" t="s">
        <v>14</v>
      </c>
      <c r="K5753" t="s">
        <v>144</v>
      </c>
      <c r="L5753" t="s">
        <v>144</v>
      </c>
      <c r="M5753" t="s">
        <v>726</v>
      </c>
      <c r="N5753" t="s">
        <v>85</v>
      </c>
      <c r="O5753" t="s">
        <v>84</v>
      </c>
      <c r="Q5753">
        <v>3</v>
      </c>
      <c r="R5753" t="s">
        <v>213</v>
      </c>
      <c r="S5753" s="2" t="s">
        <v>13</v>
      </c>
      <c r="T5753">
        <v>10</v>
      </c>
      <c r="U5753" t="s">
        <v>28</v>
      </c>
      <c r="V5753" t="s">
        <v>28</v>
      </c>
      <c r="W5753">
        <v>28</v>
      </c>
      <c r="X5753">
        <v>0</v>
      </c>
      <c r="Y5753">
        <v>0</v>
      </c>
      <c r="Z5753">
        <v>0</v>
      </c>
      <c r="AA5753">
        <v>0</v>
      </c>
      <c r="AB5753">
        <v>0</v>
      </c>
    </row>
    <row r="5754" spans="1:28" x14ac:dyDescent="0.2">
      <c r="A5754" t="s">
        <v>648</v>
      </c>
      <c r="B5754">
        <v>2019</v>
      </c>
      <c r="C5754" t="s">
        <v>826</v>
      </c>
      <c r="D5754" t="s">
        <v>824</v>
      </c>
      <c r="E5754" t="s">
        <v>644</v>
      </c>
      <c r="F5754" t="s">
        <v>643</v>
      </c>
      <c r="G5754">
        <v>42.307222000000003</v>
      </c>
      <c r="H5754">
        <v>140.99111099999999</v>
      </c>
      <c r="I5754" t="s">
        <v>764</v>
      </c>
      <c r="J5754" s="2" t="s">
        <v>14</v>
      </c>
      <c r="K5754" t="s">
        <v>144</v>
      </c>
      <c r="L5754" t="s">
        <v>144</v>
      </c>
      <c r="M5754" t="s">
        <v>726</v>
      </c>
      <c r="N5754" t="s">
        <v>85</v>
      </c>
      <c r="O5754" t="s">
        <v>84</v>
      </c>
      <c r="Q5754">
        <v>3</v>
      </c>
      <c r="R5754" t="s">
        <v>213</v>
      </c>
      <c r="S5754" s="2" t="s">
        <v>15</v>
      </c>
      <c r="T5754">
        <v>10</v>
      </c>
      <c r="U5754" t="s">
        <v>28</v>
      </c>
      <c r="V5754" t="s">
        <v>28</v>
      </c>
      <c r="W5754">
        <v>32</v>
      </c>
      <c r="X5754">
        <v>0</v>
      </c>
      <c r="Y5754">
        <v>0</v>
      </c>
      <c r="Z5754">
        <v>0</v>
      </c>
      <c r="AA5754">
        <v>0</v>
      </c>
      <c r="AB5754">
        <v>0</v>
      </c>
    </row>
    <row r="5755" spans="1:28" x14ac:dyDescent="0.2">
      <c r="A5755" t="s">
        <v>648</v>
      </c>
      <c r="B5755">
        <v>2019</v>
      </c>
      <c r="C5755" t="s">
        <v>826</v>
      </c>
      <c r="D5755" t="s">
        <v>824</v>
      </c>
      <c r="E5755" t="s">
        <v>644</v>
      </c>
      <c r="F5755" t="s">
        <v>643</v>
      </c>
      <c r="G5755">
        <v>42.307222000000003</v>
      </c>
      <c r="H5755">
        <v>140.99111099999999</v>
      </c>
      <c r="I5755" t="s">
        <v>764</v>
      </c>
      <c r="J5755" s="2" t="s">
        <v>14</v>
      </c>
      <c r="K5755" t="s">
        <v>144</v>
      </c>
      <c r="L5755" t="s">
        <v>144</v>
      </c>
      <c r="M5755" t="s">
        <v>726</v>
      </c>
      <c r="N5755" t="s">
        <v>85</v>
      </c>
      <c r="O5755" t="s">
        <v>84</v>
      </c>
      <c r="Q5755">
        <v>3</v>
      </c>
      <c r="R5755" t="s">
        <v>213</v>
      </c>
      <c r="S5755" s="2" t="s">
        <v>37</v>
      </c>
      <c r="T5755">
        <v>10</v>
      </c>
      <c r="U5755" t="s">
        <v>28</v>
      </c>
      <c r="V5755" t="s">
        <v>28</v>
      </c>
      <c r="W5755">
        <v>36</v>
      </c>
      <c r="X5755">
        <v>0</v>
      </c>
      <c r="Y5755">
        <v>0</v>
      </c>
      <c r="Z5755">
        <v>0</v>
      </c>
      <c r="AA5755">
        <v>0</v>
      </c>
      <c r="AB5755">
        <v>0</v>
      </c>
    </row>
    <row r="5756" spans="1:28" x14ac:dyDescent="0.2">
      <c r="A5756" t="s">
        <v>645</v>
      </c>
      <c r="B5756">
        <v>2020</v>
      </c>
      <c r="C5756" t="s">
        <v>826</v>
      </c>
      <c r="D5756" t="s">
        <v>824</v>
      </c>
      <c r="E5756" t="s">
        <v>114</v>
      </c>
      <c r="F5756" t="s">
        <v>643</v>
      </c>
      <c r="G5756">
        <v>42.307222000000003</v>
      </c>
      <c r="H5756">
        <v>140.99111099999999</v>
      </c>
      <c r="I5756" t="s">
        <v>765</v>
      </c>
      <c r="J5756" s="2" t="s">
        <v>7</v>
      </c>
      <c r="K5756" t="s">
        <v>646</v>
      </c>
      <c r="L5756" t="s">
        <v>144</v>
      </c>
      <c r="M5756" t="s">
        <v>73</v>
      </c>
      <c r="N5756" t="s">
        <v>85</v>
      </c>
      <c r="O5756" t="s">
        <v>146</v>
      </c>
      <c r="P5756" t="s">
        <v>647</v>
      </c>
      <c r="Q5756">
        <f>0.5/24</f>
        <v>2.0833333333333332E-2</v>
      </c>
      <c r="R5756" t="s">
        <v>213</v>
      </c>
      <c r="S5756" s="2" t="s">
        <v>7</v>
      </c>
      <c r="T5756">
        <v>5</v>
      </c>
      <c r="U5756" t="s">
        <v>28</v>
      </c>
      <c r="V5756" t="s">
        <v>28</v>
      </c>
      <c r="W5756">
        <v>16</v>
      </c>
      <c r="X5756">
        <v>2.13</v>
      </c>
      <c r="Y5756">
        <v>0.41599999999999998</v>
      </c>
      <c r="Z5756">
        <v>0.13200000000000001</v>
      </c>
      <c r="AA5756">
        <v>1.31</v>
      </c>
      <c r="AB5756">
        <v>2.94</v>
      </c>
    </row>
    <row r="5757" spans="1:28" x14ac:dyDescent="0.2">
      <c r="A5757" t="s">
        <v>645</v>
      </c>
      <c r="B5757">
        <v>2020</v>
      </c>
      <c r="C5757" t="s">
        <v>826</v>
      </c>
      <c r="D5757" t="s">
        <v>824</v>
      </c>
      <c r="E5757" t="s">
        <v>114</v>
      </c>
      <c r="F5757" t="s">
        <v>643</v>
      </c>
      <c r="G5757">
        <v>42.307222000000003</v>
      </c>
      <c r="H5757">
        <v>140.99111099999999</v>
      </c>
      <c r="I5757" t="s">
        <v>765</v>
      </c>
      <c r="J5757" s="2" t="s">
        <v>14</v>
      </c>
      <c r="K5757" t="s">
        <v>646</v>
      </c>
      <c r="L5757" t="s">
        <v>144</v>
      </c>
      <c r="M5757" t="s">
        <v>73</v>
      </c>
      <c r="N5757" t="s">
        <v>85</v>
      </c>
      <c r="O5757" t="s">
        <v>146</v>
      </c>
      <c r="P5757" t="s">
        <v>647</v>
      </c>
      <c r="Q5757">
        <f t="shared" ref="Q5757:Q5767" si="102">0.5/24</f>
        <v>2.0833333333333332E-2</v>
      </c>
      <c r="R5757" t="s">
        <v>213</v>
      </c>
      <c r="S5757" s="2" t="s">
        <v>27</v>
      </c>
      <c r="T5757">
        <v>5</v>
      </c>
      <c r="U5757" t="s">
        <v>28</v>
      </c>
      <c r="V5757" t="s">
        <v>28</v>
      </c>
      <c r="W5757">
        <v>20</v>
      </c>
      <c r="X5757">
        <v>3.12</v>
      </c>
      <c r="Y5757">
        <v>0.37</v>
      </c>
      <c r="Z5757">
        <v>0.16600000000000001</v>
      </c>
      <c r="AA5757">
        <v>2.39</v>
      </c>
      <c r="AB5757">
        <v>3.85</v>
      </c>
    </row>
    <row r="5758" spans="1:28" x14ac:dyDescent="0.2">
      <c r="A5758" t="s">
        <v>645</v>
      </c>
      <c r="B5758">
        <v>2020</v>
      </c>
      <c r="C5758" t="s">
        <v>826</v>
      </c>
      <c r="D5758" t="s">
        <v>824</v>
      </c>
      <c r="E5758" t="s">
        <v>114</v>
      </c>
      <c r="F5758" t="s">
        <v>643</v>
      </c>
      <c r="G5758">
        <v>42.307222000000003</v>
      </c>
      <c r="H5758">
        <v>140.99111099999999</v>
      </c>
      <c r="I5758" t="s">
        <v>765</v>
      </c>
      <c r="J5758" s="2" t="s">
        <v>14</v>
      </c>
      <c r="K5758" t="s">
        <v>646</v>
      </c>
      <c r="L5758" t="s">
        <v>144</v>
      </c>
      <c r="M5758" t="s">
        <v>73</v>
      </c>
      <c r="N5758" t="s">
        <v>85</v>
      </c>
      <c r="O5758" t="s">
        <v>146</v>
      </c>
      <c r="P5758" t="s">
        <v>647</v>
      </c>
      <c r="Q5758">
        <f t="shared" si="102"/>
        <v>2.0833333333333332E-2</v>
      </c>
      <c r="R5758" t="s">
        <v>213</v>
      </c>
      <c r="S5758" s="2" t="s">
        <v>13</v>
      </c>
      <c r="T5758">
        <v>5</v>
      </c>
      <c r="U5758" t="s">
        <v>28</v>
      </c>
      <c r="V5758" t="s">
        <v>28</v>
      </c>
      <c r="W5758">
        <v>24</v>
      </c>
      <c r="X5758">
        <v>3.19</v>
      </c>
      <c r="Y5758">
        <v>0.33</v>
      </c>
      <c r="Z5758">
        <v>0.14699999999999999</v>
      </c>
      <c r="AA5758">
        <v>2.54</v>
      </c>
      <c r="AB5758">
        <v>3.84</v>
      </c>
    </row>
    <row r="5759" spans="1:28" x14ac:dyDescent="0.2">
      <c r="A5759" t="s">
        <v>645</v>
      </c>
      <c r="B5759">
        <v>2020</v>
      </c>
      <c r="C5759" t="s">
        <v>826</v>
      </c>
      <c r="D5759" t="s">
        <v>824</v>
      </c>
      <c r="E5759" t="s">
        <v>114</v>
      </c>
      <c r="F5759" t="s">
        <v>643</v>
      </c>
      <c r="G5759">
        <v>42.307222000000003</v>
      </c>
      <c r="H5759">
        <v>140.99111099999999</v>
      </c>
      <c r="I5759" t="s">
        <v>765</v>
      </c>
      <c r="J5759" s="2" t="s">
        <v>14</v>
      </c>
      <c r="K5759" t="s">
        <v>646</v>
      </c>
      <c r="L5759" t="s">
        <v>144</v>
      </c>
      <c r="M5759" t="s">
        <v>73</v>
      </c>
      <c r="N5759" t="s">
        <v>85</v>
      </c>
      <c r="O5759" t="s">
        <v>146</v>
      </c>
      <c r="P5759" t="s">
        <v>647</v>
      </c>
      <c r="Q5759">
        <f t="shared" si="102"/>
        <v>2.0833333333333332E-2</v>
      </c>
      <c r="R5759" t="s">
        <v>213</v>
      </c>
      <c r="S5759" s="2" t="s">
        <v>15</v>
      </c>
      <c r="T5759">
        <v>5</v>
      </c>
      <c r="U5759" t="s">
        <v>28</v>
      </c>
      <c r="V5759" t="s">
        <v>28</v>
      </c>
      <c r="W5759">
        <v>28</v>
      </c>
      <c r="X5759">
        <v>1.42</v>
      </c>
      <c r="Y5759">
        <v>0.13700000000000001</v>
      </c>
      <c r="Z5759">
        <v>6.1100000000000002E-2</v>
      </c>
      <c r="AA5759">
        <v>1.1599999999999999</v>
      </c>
      <c r="AB5759">
        <v>1.69</v>
      </c>
    </row>
    <row r="5760" spans="1:28" x14ac:dyDescent="0.2">
      <c r="A5760" t="s">
        <v>645</v>
      </c>
      <c r="B5760">
        <v>2020</v>
      </c>
      <c r="C5760" t="s">
        <v>826</v>
      </c>
      <c r="D5760" t="s">
        <v>824</v>
      </c>
      <c r="E5760" t="s">
        <v>114</v>
      </c>
      <c r="F5760" t="s">
        <v>643</v>
      </c>
      <c r="G5760">
        <v>42.307222000000003</v>
      </c>
      <c r="H5760">
        <v>140.99111099999999</v>
      </c>
      <c r="I5760" t="s">
        <v>765</v>
      </c>
      <c r="J5760" s="2" t="s">
        <v>14</v>
      </c>
      <c r="K5760" t="s">
        <v>646</v>
      </c>
      <c r="L5760" t="s">
        <v>144</v>
      </c>
      <c r="M5760" t="s">
        <v>73</v>
      </c>
      <c r="N5760" t="s">
        <v>85</v>
      </c>
      <c r="O5760" t="s">
        <v>146</v>
      </c>
      <c r="P5760" t="s">
        <v>647</v>
      </c>
      <c r="Q5760">
        <f t="shared" si="102"/>
        <v>2.0833333333333332E-2</v>
      </c>
      <c r="R5760" t="s">
        <v>213</v>
      </c>
      <c r="S5760" s="2" t="s">
        <v>37</v>
      </c>
      <c r="T5760">
        <v>5</v>
      </c>
      <c r="U5760" t="s">
        <v>28</v>
      </c>
      <c r="V5760" t="s">
        <v>28</v>
      </c>
      <c r="W5760">
        <v>32</v>
      </c>
      <c r="X5760">
        <v>-0.309</v>
      </c>
      <c r="Y5760">
        <v>0.17799999999999999</v>
      </c>
      <c r="Z5760">
        <v>7.9799999999999996E-2</v>
      </c>
      <c r="AA5760">
        <v>-0.65800000000000003</v>
      </c>
      <c r="AB5760">
        <v>4.0800000000000003E-2</v>
      </c>
    </row>
    <row r="5761" spans="1:28" x14ac:dyDescent="0.2">
      <c r="A5761" t="s">
        <v>645</v>
      </c>
      <c r="B5761">
        <v>2020</v>
      </c>
      <c r="C5761" t="s">
        <v>826</v>
      </c>
      <c r="D5761" t="s">
        <v>824</v>
      </c>
      <c r="E5761" t="s">
        <v>114</v>
      </c>
      <c r="F5761" t="s">
        <v>643</v>
      </c>
      <c r="G5761">
        <v>42.307222000000003</v>
      </c>
      <c r="H5761">
        <v>140.99111099999999</v>
      </c>
      <c r="I5761" t="s">
        <v>765</v>
      </c>
      <c r="J5761" s="2" t="s">
        <v>14</v>
      </c>
      <c r="K5761" t="s">
        <v>646</v>
      </c>
      <c r="L5761" t="s">
        <v>144</v>
      </c>
      <c r="M5761" t="s">
        <v>73</v>
      </c>
      <c r="N5761" t="s">
        <v>85</v>
      </c>
      <c r="O5761" t="s">
        <v>146</v>
      </c>
      <c r="P5761" t="s">
        <v>647</v>
      </c>
      <c r="Q5761">
        <f t="shared" si="102"/>
        <v>2.0833333333333332E-2</v>
      </c>
      <c r="R5761" t="s">
        <v>213</v>
      </c>
      <c r="S5761" s="2" t="s">
        <v>116</v>
      </c>
      <c r="T5761">
        <v>5</v>
      </c>
      <c r="U5761" t="s">
        <v>28</v>
      </c>
      <c r="V5761" t="s">
        <v>28</v>
      </c>
      <c r="W5761">
        <v>36</v>
      </c>
      <c r="X5761">
        <v>-1.49</v>
      </c>
      <c r="Y5761">
        <v>0.112</v>
      </c>
      <c r="Z5761">
        <v>4.99E-2</v>
      </c>
      <c r="AA5761">
        <v>-1.71</v>
      </c>
      <c r="AB5761">
        <v>-1.27</v>
      </c>
    </row>
    <row r="5762" spans="1:28" x14ac:dyDescent="0.2">
      <c r="A5762" t="s">
        <v>645</v>
      </c>
      <c r="B5762">
        <v>2020</v>
      </c>
      <c r="C5762" t="s">
        <v>826</v>
      </c>
      <c r="D5762" t="s">
        <v>824</v>
      </c>
      <c r="E5762" t="s">
        <v>114</v>
      </c>
      <c r="F5762" t="s">
        <v>643</v>
      </c>
      <c r="G5762">
        <v>42.307222000000003</v>
      </c>
      <c r="H5762">
        <v>140.99111099999999</v>
      </c>
      <c r="I5762" t="s">
        <v>765</v>
      </c>
      <c r="J5762" s="2" t="s">
        <v>7</v>
      </c>
      <c r="K5762" t="s">
        <v>3</v>
      </c>
      <c r="L5762" t="s">
        <v>3</v>
      </c>
      <c r="M5762" t="s">
        <v>73</v>
      </c>
      <c r="N5762" t="s">
        <v>85</v>
      </c>
      <c r="O5762" t="s">
        <v>146</v>
      </c>
      <c r="P5762" t="s">
        <v>647</v>
      </c>
      <c r="Q5762">
        <f>0.5/24</f>
        <v>2.0833333333333332E-2</v>
      </c>
      <c r="R5762" t="s">
        <v>213</v>
      </c>
      <c r="S5762" s="2" t="s">
        <v>7</v>
      </c>
      <c r="T5762">
        <v>5</v>
      </c>
      <c r="U5762" t="s">
        <v>28</v>
      </c>
      <c r="V5762" t="s">
        <v>28</v>
      </c>
      <c r="W5762">
        <v>12</v>
      </c>
      <c r="X5762">
        <v>3.06</v>
      </c>
      <c r="Y5762">
        <v>0.67300000000000004</v>
      </c>
      <c r="Z5762">
        <v>0.21299999999999999</v>
      </c>
      <c r="AA5762">
        <v>1.74</v>
      </c>
      <c r="AB5762">
        <v>4.37</v>
      </c>
    </row>
    <row r="5763" spans="1:28" x14ac:dyDescent="0.2">
      <c r="A5763" t="s">
        <v>645</v>
      </c>
      <c r="B5763">
        <v>2020</v>
      </c>
      <c r="C5763" t="s">
        <v>826</v>
      </c>
      <c r="D5763" t="s">
        <v>824</v>
      </c>
      <c r="E5763" t="s">
        <v>114</v>
      </c>
      <c r="F5763" t="s">
        <v>643</v>
      </c>
      <c r="G5763">
        <v>42.307222000000003</v>
      </c>
      <c r="H5763">
        <v>140.99111099999999</v>
      </c>
      <c r="I5763" t="s">
        <v>765</v>
      </c>
      <c r="J5763" s="2" t="s">
        <v>14</v>
      </c>
      <c r="K5763" t="s">
        <v>3</v>
      </c>
      <c r="L5763" t="s">
        <v>3</v>
      </c>
      <c r="M5763" t="s">
        <v>73</v>
      </c>
      <c r="N5763" t="s">
        <v>85</v>
      </c>
      <c r="O5763" t="s">
        <v>146</v>
      </c>
      <c r="P5763" t="s">
        <v>647</v>
      </c>
      <c r="Q5763">
        <f t="shared" si="102"/>
        <v>2.0833333333333332E-2</v>
      </c>
      <c r="R5763" t="s">
        <v>213</v>
      </c>
      <c r="S5763" s="2" t="s">
        <v>9</v>
      </c>
      <c r="T5763">
        <v>5</v>
      </c>
      <c r="U5763" t="s">
        <v>28</v>
      </c>
      <c r="V5763" t="s">
        <v>28</v>
      </c>
      <c r="W5763">
        <v>16</v>
      </c>
      <c r="X5763">
        <v>3.52</v>
      </c>
      <c r="Y5763">
        <v>0.96299999999999997</v>
      </c>
      <c r="Z5763">
        <v>0.43099999999999999</v>
      </c>
      <c r="AA5763">
        <v>1.63</v>
      </c>
      <c r="AB5763">
        <v>5.41</v>
      </c>
    </row>
    <row r="5764" spans="1:28" x14ac:dyDescent="0.2">
      <c r="A5764" t="s">
        <v>645</v>
      </c>
      <c r="B5764">
        <v>2020</v>
      </c>
      <c r="C5764" t="s">
        <v>826</v>
      </c>
      <c r="D5764" t="s">
        <v>824</v>
      </c>
      <c r="E5764" t="s">
        <v>114</v>
      </c>
      <c r="F5764" t="s">
        <v>643</v>
      </c>
      <c r="G5764">
        <v>42.307222000000003</v>
      </c>
      <c r="H5764">
        <v>140.99111099999999</v>
      </c>
      <c r="I5764" t="s">
        <v>765</v>
      </c>
      <c r="J5764" s="2" t="s">
        <v>14</v>
      </c>
      <c r="K5764" t="s">
        <v>3</v>
      </c>
      <c r="L5764" t="s">
        <v>3</v>
      </c>
      <c r="M5764" t="s">
        <v>73</v>
      </c>
      <c r="N5764" t="s">
        <v>85</v>
      </c>
      <c r="O5764" t="s">
        <v>146</v>
      </c>
      <c r="P5764" t="s">
        <v>647</v>
      </c>
      <c r="Q5764">
        <f t="shared" si="102"/>
        <v>2.0833333333333332E-2</v>
      </c>
      <c r="R5764" t="s">
        <v>213</v>
      </c>
      <c r="S5764" s="2" t="s">
        <v>27</v>
      </c>
      <c r="T5764">
        <v>5</v>
      </c>
      <c r="U5764" t="s">
        <v>28</v>
      </c>
      <c r="V5764" t="s">
        <v>28</v>
      </c>
      <c r="W5764">
        <v>20</v>
      </c>
      <c r="X5764">
        <v>3.49</v>
      </c>
      <c r="Y5764">
        <v>0.318</v>
      </c>
      <c r="Z5764">
        <v>0.14199999999999999</v>
      </c>
      <c r="AA5764">
        <v>2.86</v>
      </c>
      <c r="AB5764">
        <v>4.1100000000000003</v>
      </c>
    </row>
    <row r="5765" spans="1:28" x14ac:dyDescent="0.2">
      <c r="A5765" t="s">
        <v>645</v>
      </c>
      <c r="B5765">
        <v>2020</v>
      </c>
      <c r="C5765" t="s">
        <v>826</v>
      </c>
      <c r="D5765" t="s">
        <v>824</v>
      </c>
      <c r="E5765" t="s">
        <v>114</v>
      </c>
      <c r="F5765" t="s">
        <v>643</v>
      </c>
      <c r="G5765">
        <v>42.307222000000003</v>
      </c>
      <c r="H5765">
        <v>140.99111099999999</v>
      </c>
      <c r="I5765" t="s">
        <v>765</v>
      </c>
      <c r="J5765" s="2" t="s">
        <v>14</v>
      </c>
      <c r="K5765" t="s">
        <v>3</v>
      </c>
      <c r="L5765" t="s">
        <v>3</v>
      </c>
      <c r="M5765" t="s">
        <v>73</v>
      </c>
      <c r="N5765" t="s">
        <v>85</v>
      </c>
      <c r="O5765" t="s">
        <v>146</v>
      </c>
      <c r="P5765" t="s">
        <v>647</v>
      </c>
      <c r="Q5765">
        <f t="shared" si="102"/>
        <v>2.0833333333333332E-2</v>
      </c>
      <c r="R5765" t="s">
        <v>213</v>
      </c>
      <c r="S5765" s="2" t="s">
        <v>13</v>
      </c>
      <c r="T5765">
        <v>5</v>
      </c>
      <c r="U5765" t="s">
        <v>28</v>
      </c>
      <c r="V5765" t="s">
        <v>28</v>
      </c>
      <c r="W5765">
        <v>24</v>
      </c>
      <c r="X5765">
        <v>2.72</v>
      </c>
      <c r="Y5765">
        <v>0.50600000000000001</v>
      </c>
      <c r="Z5765">
        <v>0.22600000000000001</v>
      </c>
      <c r="AA5765">
        <v>1.73</v>
      </c>
      <c r="AB5765">
        <v>3.71</v>
      </c>
    </row>
    <row r="5766" spans="1:28" x14ac:dyDescent="0.2">
      <c r="A5766" t="s">
        <v>645</v>
      </c>
      <c r="B5766">
        <v>2020</v>
      </c>
      <c r="C5766" t="s">
        <v>826</v>
      </c>
      <c r="D5766" t="s">
        <v>824</v>
      </c>
      <c r="E5766" t="s">
        <v>114</v>
      </c>
      <c r="F5766" t="s">
        <v>643</v>
      </c>
      <c r="G5766">
        <v>42.307222000000003</v>
      </c>
      <c r="H5766">
        <v>140.99111099999999</v>
      </c>
      <c r="I5766" t="s">
        <v>765</v>
      </c>
      <c r="J5766" s="2" t="s">
        <v>14</v>
      </c>
      <c r="K5766" t="s">
        <v>3</v>
      </c>
      <c r="L5766" t="s">
        <v>3</v>
      </c>
      <c r="M5766" t="s">
        <v>73</v>
      </c>
      <c r="N5766" t="s">
        <v>85</v>
      </c>
      <c r="O5766" t="s">
        <v>146</v>
      </c>
      <c r="P5766" t="s">
        <v>647</v>
      </c>
      <c r="Q5766">
        <f t="shared" si="102"/>
        <v>2.0833333333333332E-2</v>
      </c>
      <c r="R5766" t="s">
        <v>213</v>
      </c>
      <c r="S5766" s="2" t="s">
        <v>15</v>
      </c>
      <c r="T5766">
        <v>5</v>
      </c>
      <c r="U5766" t="s">
        <v>28</v>
      </c>
      <c r="V5766" t="s">
        <v>28</v>
      </c>
      <c r="W5766">
        <v>28</v>
      </c>
      <c r="X5766">
        <v>1.66</v>
      </c>
      <c r="Y5766">
        <v>0.879</v>
      </c>
      <c r="Z5766">
        <v>0.39300000000000002</v>
      </c>
      <c r="AA5766">
        <v>-6.6199999999999995E-2</v>
      </c>
      <c r="AB5766">
        <v>3.38</v>
      </c>
    </row>
    <row r="5767" spans="1:28" x14ac:dyDescent="0.2">
      <c r="A5767" t="s">
        <v>645</v>
      </c>
      <c r="B5767">
        <v>2020</v>
      </c>
      <c r="C5767" t="s">
        <v>826</v>
      </c>
      <c r="D5767" t="s">
        <v>824</v>
      </c>
      <c r="E5767" t="s">
        <v>114</v>
      </c>
      <c r="F5767" t="s">
        <v>643</v>
      </c>
      <c r="G5767">
        <v>42.307222000000003</v>
      </c>
      <c r="H5767">
        <v>140.99111099999999</v>
      </c>
      <c r="I5767" t="s">
        <v>765</v>
      </c>
      <c r="J5767" s="2" t="s">
        <v>14</v>
      </c>
      <c r="K5767" t="s">
        <v>3</v>
      </c>
      <c r="L5767" t="s">
        <v>3</v>
      </c>
      <c r="M5767" t="s">
        <v>73</v>
      </c>
      <c r="N5767" t="s">
        <v>85</v>
      </c>
      <c r="O5767" t="s">
        <v>146</v>
      </c>
      <c r="P5767" t="s">
        <v>647</v>
      </c>
      <c r="Q5767">
        <f t="shared" si="102"/>
        <v>2.0833333333333332E-2</v>
      </c>
      <c r="R5767" t="s">
        <v>213</v>
      </c>
      <c r="S5767" s="2" t="s">
        <v>37</v>
      </c>
      <c r="T5767">
        <v>5</v>
      </c>
      <c r="U5767" t="s">
        <v>28</v>
      </c>
      <c r="V5767" t="s">
        <v>28</v>
      </c>
      <c r="W5767">
        <v>32</v>
      </c>
      <c r="X5767">
        <v>-0.54300000000000004</v>
      </c>
      <c r="Y5767">
        <v>0.42899999999999999</v>
      </c>
      <c r="Z5767">
        <v>0.192</v>
      </c>
      <c r="AA5767">
        <v>-1.38</v>
      </c>
      <c r="AB5767">
        <v>0.29799999999999999</v>
      </c>
    </row>
    <row r="5768" spans="1:28" x14ac:dyDescent="0.2">
      <c r="A5768" t="s">
        <v>645</v>
      </c>
      <c r="B5768">
        <v>2020</v>
      </c>
      <c r="C5768" t="s">
        <v>826</v>
      </c>
      <c r="D5768" t="s">
        <v>824</v>
      </c>
      <c r="E5768" t="s">
        <v>114</v>
      </c>
      <c r="F5768" t="s">
        <v>643</v>
      </c>
      <c r="G5768">
        <v>42.307222000000003</v>
      </c>
      <c r="H5768">
        <v>140.99111099999999</v>
      </c>
      <c r="I5768" t="s">
        <v>765</v>
      </c>
      <c r="J5768" s="2" t="s">
        <v>14</v>
      </c>
      <c r="K5768" t="s">
        <v>3</v>
      </c>
      <c r="L5768" t="s">
        <v>3</v>
      </c>
      <c r="M5768" t="s">
        <v>73</v>
      </c>
      <c r="N5768" t="s">
        <v>85</v>
      </c>
      <c r="O5768" t="s">
        <v>146</v>
      </c>
      <c r="P5768" t="s">
        <v>647</v>
      </c>
      <c r="Q5768">
        <f>0.5/24</f>
        <v>2.0833333333333332E-2</v>
      </c>
      <c r="R5768" t="s">
        <v>213</v>
      </c>
      <c r="S5768" s="2" t="s">
        <v>116</v>
      </c>
      <c r="T5768">
        <v>5</v>
      </c>
      <c r="U5768" t="s">
        <v>28</v>
      </c>
      <c r="V5768" t="s">
        <v>28</v>
      </c>
      <c r="W5768">
        <v>36</v>
      </c>
      <c r="X5768">
        <v>-3.91</v>
      </c>
      <c r="Y5768">
        <v>0.79100000000000004</v>
      </c>
      <c r="Z5768">
        <v>0.35399999999999998</v>
      </c>
      <c r="AA5768">
        <v>-5.46</v>
      </c>
      <c r="AB5768">
        <v>-2.36</v>
      </c>
    </row>
    <row r="5769" spans="1:28" x14ac:dyDescent="0.2">
      <c r="A5769" t="s">
        <v>645</v>
      </c>
      <c r="B5769">
        <v>2020</v>
      </c>
      <c r="C5769" t="s">
        <v>826</v>
      </c>
      <c r="D5769" t="s">
        <v>824</v>
      </c>
      <c r="E5769" t="s">
        <v>114</v>
      </c>
      <c r="F5769" t="s">
        <v>643</v>
      </c>
      <c r="G5769">
        <v>42.307222000000003</v>
      </c>
      <c r="H5769">
        <v>140.99111099999999</v>
      </c>
      <c r="I5769" t="s">
        <v>765</v>
      </c>
      <c r="J5769" s="2" t="s">
        <v>7</v>
      </c>
      <c r="K5769" t="s">
        <v>646</v>
      </c>
      <c r="L5769" t="s">
        <v>144</v>
      </c>
      <c r="M5769" t="s">
        <v>172</v>
      </c>
      <c r="N5769" t="s">
        <v>86</v>
      </c>
      <c r="O5769" t="s">
        <v>62</v>
      </c>
      <c r="P5769" t="s">
        <v>647</v>
      </c>
      <c r="Q5769">
        <f>0.5/24</f>
        <v>2.0833333333333332E-2</v>
      </c>
      <c r="R5769" t="s">
        <v>213</v>
      </c>
      <c r="S5769" s="2" t="s">
        <v>7</v>
      </c>
      <c r="T5769">
        <v>5</v>
      </c>
      <c r="U5769" t="s">
        <v>28</v>
      </c>
      <c r="V5769" t="s">
        <v>28</v>
      </c>
      <c r="W5769">
        <v>16</v>
      </c>
      <c r="X5769">
        <v>0.73799999999999999</v>
      </c>
      <c r="Y5769">
        <v>0.154</v>
      </c>
      <c r="Z5769">
        <v>4.8599999999999997E-2</v>
      </c>
      <c r="AA5769">
        <v>0.437</v>
      </c>
      <c r="AB5769">
        <v>1.04</v>
      </c>
    </row>
    <row r="5770" spans="1:28" x14ac:dyDescent="0.2">
      <c r="A5770" t="s">
        <v>645</v>
      </c>
      <c r="B5770">
        <v>2020</v>
      </c>
      <c r="C5770" t="s">
        <v>826</v>
      </c>
      <c r="D5770" t="s">
        <v>824</v>
      </c>
      <c r="E5770" t="s">
        <v>114</v>
      </c>
      <c r="F5770" t="s">
        <v>643</v>
      </c>
      <c r="G5770">
        <v>42.307222000000003</v>
      </c>
      <c r="H5770">
        <v>140.99111099999999</v>
      </c>
      <c r="I5770" t="s">
        <v>765</v>
      </c>
      <c r="J5770" s="2" t="s">
        <v>14</v>
      </c>
      <c r="K5770" t="s">
        <v>646</v>
      </c>
      <c r="L5770" t="s">
        <v>144</v>
      </c>
      <c r="M5770" t="s">
        <v>172</v>
      </c>
      <c r="N5770" t="s">
        <v>86</v>
      </c>
      <c r="O5770" t="s">
        <v>62</v>
      </c>
      <c r="P5770" t="s">
        <v>647</v>
      </c>
      <c r="Q5770">
        <f t="shared" ref="Q5770:Q5780" si="103">0.5/24</f>
        <v>2.0833333333333332E-2</v>
      </c>
      <c r="R5770" t="s">
        <v>213</v>
      </c>
      <c r="S5770" s="2" t="s">
        <v>27</v>
      </c>
      <c r="T5770">
        <v>5</v>
      </c>
      <c r="U5770" t="s">
        <v>28</v>
      </c>
      <c r="V5770" t="s">
        <v>28</v>
      </c>
      <c r="W5770">
        <v>20</v>
      </c>
      <c r="X5770">
        <v>0.88900000000000001</v>
      </c>
      <c r="Y5770">
        <v>8.6599999999999996E-2</v>
      </c>
      <c r="Z5770">
        <v>3.8699999999999998E-2</v>
      </c>
      <c r="AA5770">
        <v>0.72</v>
      </c>
      <c r="AB5770">
        <v>1.06</v>
      </c>
    </row>
    <row r="5771" spans="1:28" x14ac:dyDescent="0.2">
      <c r="A5771" t="s">
        <v>645</v>
      </c>
      <c r="B5771">
        <v>2020</v>
      </c>
      <c r="C5771" t="s">
        <v>826</v>
      </c>
      <c r="D5771" t="s">
        <v>824</v>
      </c>
      <c r="E5771" t="s">
        <v>114</v>
      </c>
      <c r="F5771" t="s">
        <v>643</v>
      </c>
      <c r="G5771">
        <v>42.307222000000003</v>
      </c>
      <c r="H5771">
        <v>140.99111099999999</v>
      </c>
      <c r="I5771" t="s">
        <v>765</v>
      </c>
      <c r="J5771" s="2" t="s">
        <v>14</v>
      </c>
      <c r="K5771" t="s">
        <v>646</v>
      </c>
      <c r="L5771" t="s">
        <v>144</v>
      </c>
      <c r="M5771" t="s">
        <v>172</v>
      </c>
      <c r="N5771" t="s">
        <v>86</v>
      </c>
      <c r="O5771" t="s">
        <v>62</v>
      </c>
      <c r="P5771" t="s">
        <v>647</v>
      </c>
      <c r="Q5771">
        <f t="shared" si="103"/>
        <v>2.0833333333333332E-2</v>
      </c>
      <c r="R5771" t="s">
        <v>213</v>
      </c>
      <c r="S5771" s="2" t="s">
        <v>13</v>
      </c>
      <c r="T5771">
        <v>5</v>
      </c>
      <c r="U5771" t="s">
        <v>28</v>
      </c>
      <c r="V5771" t="s">
        <v>28</v>
      </c>
      <c r="W5771">
        <v>24</v>
      </c>
      <c r="X5771">
        <v>0.98399999999999999</v>
      </c>
      <c r="Y5771">
        <v>9.7299999999999998E-2</v>
      </c>
      <c r="Z5771">
        <v>4.3499999999999997E-2</v>
      </c>
      <c r="AA5771">
        <v>0.79300000000000004</v>
      </c>
      <c r="AB5771">
        <v>1.17</v>
      </c>
    </row>
    <row r="5772" spans="1:28" x14ac:dyDescent="0.2">
      <c r="A5772" t="s">
        <v>645</v>
      </c>
      <c r="B5772">
        <v>2020</v>
      </c>
      <c r="C5772" t="s">
        <v>826</v>
      </c>
      <c r="D5772" t="s">
        <v>824</v>
      </c>
      <c r="E5772" t="s">
        <v>114</v>
      </c>
      <c r="F5772" t="s">
        <v>643</v>
      </c>
      <c r="G5772">
        <v>42.307222000000003</v>
      </c>
      <c r="H5772">
        <v>140.99111099999999</v>
      </c>
      <c r="I5772" t="s">
        <v>765</v>
      </c>
      <c r="J5772" s="2" t="s">
        <v>14</v>
      </c>
      <c r="K5772" t="s">
        <v>646</v>
      </c>
      <c r="L5772" t="s">
        <v>144</v>
      </c>
      <c r="M5772" t="s">
        <v>172</v>
      </c>
      <c r="N5772" t="s">
        <v>86</v>
      </c>
      <c r="O5772" t="s">
        <v>62</v>
      </c>
      <c r="P5772" t="s">
        <v>647</v>
      </c>
      <c r="Q5772">
        <f t="shared" si="103"/>
        <v>2.0833333333333332E-2</v>
      </c>
      <c r="R5772" t="s">
        <v>213</v>
      </c>
      <c r="S5772" s="2" t="s">
        <v>15</v>
      </c>
      <c r="T5772">
        <v>5</v>
      </c>
      <c r="U5772" t="s">
        <v>28</v>
      </c>
      <c r="V5772" t="s">
        <v>28</v>
      </c>
      <c r="W5772">
        <v>28</v>
      </c>
      <c r="X5772">
        <v>1.1399999999999999</v>
      </c>
      <c r="Y5772">
        <v>0.128</v>
      </c>
      <c r="Z5772">
        <v>5.7299999999999997E-2</v>
      </c>
      <c r="AA5772">
        <v>0.88600000000000001</v>
      </c>
      <c r="AB5772">
        <v>1.39</v>
      </c>
    </row>
    <row r="5773" spans="1:28" x14ac:dyDescent="0.2">
      <c r="A5773" t="s">
        <v>645</v>
      </c>
      <c r="B5773">
        <v>2020</v>
      </c>
      <c r="C5773" t="s">
        <v>826</v>
      </c>
      <c r="D5773" t="s">
        <v>824</v>
      </c>
      <c r="E5773" t="s">
        <v>114</v>
      </c>
      <c r="F5773" t="s">
        <v>643</v>
      </c>
      <c r="G5773">
        <v>42.307222000000003</v>
      </c>
      <c r="H5773">
        <v>140.99111099999999</v>
      </c>
      <c r="I5773" t="s">
        <v>765</v>
      </c>
      <c r="J5773" s="2" t="s">
        <v>14</v>
      </c>
      <c r="K5773" t="s">
        <v>646</v>
      </c>
      <c r="L5773" t="s">
        <v>144</v>
      </c>
      <c r="M5773" t="s">
        <v>172</v>
      </c>
      <c r="N5773" t="s">
        <v>86</v>
      </c>
      <c r="O5773" t="s">
        <v>62</v>
      </c>
      <c r="P5773" t="s">
        <v>647</v>
      </c>
      <c r="Q5773">
        <f t="shared" si="103"/>
        <v>2.0833333333333332E-2</v>
      </c>
      <c r="R5773" t="s">
        <v>213</v>
      </c>
      <c r="S5773" s="2" t="s">
        <v>37</v>
      </c>
      <c r="T5773">
        <v>5</v>
      </c>
      <c r="U5773" t="s">
        <v>28</v>
      </c>
      <c r="V5773" t="s">
        <v>28</v>
      </c>
      <c r="W5773">
        <v>32</v>
      </c>
      <c r="X5773">
        <v>1.38</v>
      </c>
      <c r="Y5773">
        <v>0.19900000000000001</v>
      </c>
      <c r="Z5773">
        <v>8.8999999999999996E-2</v>
      </c>
      <c r="AA5773">
        <v>0.98799999999999999</v>
      </c>
      <c r="AB5773">
        <v>1.77</v>
      </c>
    </row>
    <row r="5774" spans="1:28" x14ac:dyDescent="0.2">
      <c r="A5774" t="s">
        <v>645</v>
      </c>
      <c r="B5774">
        <v>2020</v>
      </c>
      <c r="C5774" t="s">
        <v>826</v>
      </c>
      <c r="D5774" t="s">
        <v>824</v>
      </c>
      <c r="E5774" t="s">
        <v>114</v>
      </c>
      <c r="F5774" t="s">
        <v>643</v>
      </c>
      <c r="G5774">
        <v>42.307222000000003</v>
      </c>
      <c r="H5774">
        <v>140.99111099999999</v>
      </c>
      <c r="I5774" t="s">
        <v>765</v>
      </c>
      <c r="J5774" s="2" t="s">
        <v>14</v>
      </c>
      <c r="K5774" t="s">
        <v>646</v>
      </c>
      <c r="L5774" t="s">
        <v>144</v>
      </c>
      <c r="M5774" t="s">
        <v>172</v>
      </c>
      <c r="N5774" t="s">
        <v>86</v>
      </c>
      <c r="O5774" t="s">
        <v>62</v>
      </c>
      <c r="P5774" t="s">
        <v>647</v>
      </c>
      <c r="Q5774">
        <f t="shared" si="103"/>
        <v>2.0833333333333332E-2</v>
      </c>
      <c r="R5774" t="s">
        <v>213</v>
      </c>
      <c r="S5774" s="2" t="s">
        <v>116</v>
      </c>
      <c r="T5774">
        <v>5</v>
      </c>
      <c r="U5774" t="s">
        <v>28</v>
      </c>
      <c r="V5774" t="s">
        <v>28</v>
      </c>
      <c r="W5774">
        <v>36</v>
      </c>
      <c r="X5774">
        <v>0.81200000000000006</v>
      </c>
      <c r="Y5774">
        <v>0.16400000000000001</v>
      </c>
      <c r="Z5774">
        <v>7.3200000000000001E-2</v>
      </c>
      <c r="AA5774">
        <v>0.49199999999999999</v>
      </c>
      <c r="AB5774">
        <v>1.1299999999999999</v>
      </c>
    </row>
    <row r="5775" spans="1:28" x14ac:dyDescent="0.2">
      <c r="A5775" t="s">
        <v>645</v>
      </c>
      <c r="B5775">
        <v>2020</v>
      </c>
      <c r="C5775" t="s">
        <v>826</v>
      </c>
      <c r="D5775" t="s">
        <v>824</v>
      </c>
      <c r="E5775" t="s">
        <v>114</v>
      </c>
      <c r="F5775" t="s">
        <v>643</v>
      </c>
      <c r="G5775">
        <v>42.307222000000003</v>
      </c>
      <c r="H5775">
        <v>140.99111099999999</v>
      </c>
      <c r="I5775" t="s">
        <v>765</v>
      </c>
      <c r="J5775" s="2" t="s">
        <v>7</v>
      </c>
      <c r="K5775" t="s">
        <v>3</v>
      </c>
      <c r="L5775" t="s">
        <v>3</v>
      </c>
      <c r="M5775" t="s">
        <v>172</v>
      </c>
      <c r="N5775" t="s">
        <v>86</v>
      </c>
      <c r="O5775" t="s">
        <v>62</v>
      </c>
      <c r="P5775" t="s">
        <v>647</v>
      </c>
      <c r="Q5775">
        <f>0.5/24</f>
        <v>2.0833333333333332E-2</v>
      </c>
      <c r="R5775" t="s">
        <v>213</v>
      </c>
      <c r="S5775" s="2" t="s">
        <v>7</v>
      </c>
      <c r="T5775">
        <v>5</v>
      </c>
      <c r="U5775" t="s">
        <v>28</v>
      </c>
      <c r="V5775" t="s">
        <v>28</v>
      </c>
      <c r="W5775">
        <v>12</v>
      </c>
      <c r="X5775">
        <v>0.41699999999999998</v>
      </c>
      <c r="Y5775">
        <v>0.27900000000000003</v>
      </c>
      <c r="Z5775">
        <v>8.8400000000000006E-2</v>
      </c>
      <c r="AA5775">
        <v>-0.13100000000000001</v>
      </c>
      <c r="AB5775">
        <v>0.96399999999999997</v>
      </c>
    </row>
    <row r="5776" spans="1:28" x14ac:dyDescent="0.2">
      <c r="A5776" t="s">
        <v>645</v>
      </c>
      <c r="B5776">
        <v>2020</v>
      </c>
      <c r="C5776" t="s">
        <v>826</v>
      </c>
      <c r="D5776" t="s">
        <v>824</v>
      </c>
      <c r="E5776" t="s">
        <v>114</v>
      </c>
      <c r="F5776" t="s">
        <v>643</v>
      </c>
      <c r="G5776">
        <v>42.307222000000003</v>
      </c>
      <c r="H5776">
        <v>140.99111099999999</v>
      </c>
      <c r="I5776" t="s">
        <v>765</v>
      </c>
      <c r="J5776" s="2" t="s">
        <v>14</v>
      </c>
      <c r="K5776" t="s">
        <v>3</v>
      </c>
      <c r="L5776" t="s">
        <v>3</v>
      </c>
      <c r="M5776" t="s">
        <v>172</v>
      </c>
      <c r="N5776" t="s">
        <v>86</v>
      </c>
      <c r="O5776" t="s">
        <v>62</v>
      </c>
      <c r="P5776" t="s">
        <v>647</v>
      </c>
      <c r="Q5776">
        <f t="shared" si="103"/>
        <v>2.0833333333333332E-2</v>
      </c>
      <c r="R5776" t="s">
        <v>213</v>
      </c>
      <c r="S5776" s="2" t="s">
        <v>9</v>
      </c>
      <c r="T5776">
        <v>5</v>
      </c>
      <c r="U5776" t="s">
        <v>28</v>
      </c>
      <c r="V5776" t="s">
        <v>28</v>
      </c>
      <c r="W5776">
        <v>16</v>
      </c>
      <c r="X5776">
        <v>7.4700000000000003E-2</v>
      </c>
      <c r="Y5776">
        <v>0.47499999999999998</v>
      </c>
      <c r="Z5776">
        <v>0.21199999999999999</v>
      </c>
      <c r="AA5776">
        <v>-0.85599999999999998</v>
      </c>
      <c r="AB5776">
        <v>1.01</v>
      </c>
    </row>
    <row r="5777" spans="1:28" x14ac:dyDescent="0.2">
      <c r="A5777" t="s">
        <v>645</v>
      </c>
      <c r="B5777">
        <v>2020</v>
      </c>
      <c r="C5777" t="s">
        <v>826</v>
      </c>
      <c r="D5777" t="s">
        <v>824</v>
      </c>
      <c r="E5777" t="s">
        <v>114</v>
      </c>
      <c r="F5777" t="s">
        <v>643</v>
      </c>
      <c r="G5777">
        <v>42.307222000000003</v>
      </c>
      <c r="H5777">
        <v>140.99111099999999</v>
      </c>
      <c r="I5777" t="s">
        <v>765</v>
      </c>
      <c r="J5777" s="2" t="s">
        <v>14</v>
      </c>
      <c r="K5777" t="s">
        <v>3</v>
      </c>
      <c r="L5777" t="s">
        <v>3</v>
      </c>
      <c r="M5777" t="s">
        <v>172</v>
      </c>
      <c r="N5777" t="s">
        <v>86</v>
      </c>
      <c r="O5777" t="s">
        <v>62</v>
      </c>
      <c r="P5777" t="s">
        <v>647</v>
      </c>
      <c r="Q5777">
        <f t="shared" si="103"/>
        <v>2.0833333333333332E-2</v>
      </c>
      <c r="R5777" t="s">
        <v>213</v>
      </c>
      <c r="S5777" s="2" t="s">
        <v>27</v>
      </c>
      <c r="T5777">
        <v>5</v>
      </c>
      <c r="U5777" t="s">
        <v>28</v>
      </c>
      <c r="V5777" t="s">
        <v>28</v>
      </c>
      <c r="W5777">
        <v>20</v>
      </c>
      <c r="X5777">
        <v>0.187</v>
      </c>
      <c r="Y5777">
        <v>0.29399999999999998</v>
      </c>
      <c r="Z5777">
        <v>0.13200000000000001</v>
      </c>
      <c r="AA5777">
        <v>-0.39</v>
      </c>
      <c r="AB5777">
        <v>0.76400000000000001</v>
      </c>
    </row>
    <row r="5778" spans="1:28" x14ac:dyDescent="0.2">
      <c r="A5778" t="s">
        <v>645</v>
      </c>
      <c r="B5778">
        <v>2020</v>
      </c>
      <c r="C5778" t="s">
        <v>826</v>
      </c>
      <c r="D5778" t="s">
        <v>824</v>
      </c>
      <c r="E5778" t="s">
        <v>114</v>
      </c>
      <c r="F5778" t="s">
        <v>643</v>
      </c>
      <c r="G5778">
        <v>42.307222000000003</v>
      </c>
      <c r="H5778">
        <v>140.99111099999999</v>
      </c>
      <c r="I5778" t="s">
        <v>765</v>
      </c>
      <c r="J5778" s="2" t="s">
        <v>14</v>
      </c>
      <c r="K5778" t="s">
        <v>3</v>
      </c>
      <c r="L5778" t="s">
        <v>3</v>
      </c>
      <c r="M5778" t="s">
        <v>172</v>
      </c>
      <c r="N5778" t="s">
        <v>86</v>
      </c>
      <c r="O5778" t="s">
        <v>62</v>
      </c>
      <c r="P5778" t="s">
        <v>647</v>
      </c>
      <c r="Q5778">
        <f t="shared" si="103"/>
        <v>2.0833333333333332E-2</v>
      </c>
      <c r="R5778" t="s">
        <v>213</v>
      </c>
      <c r="S5778" s="2" t="s">
        <v>13</v>
      </c>
      <c r="T5778">
        <v>5</v>
      </c>
      <c r="U5778" t="s">
        <v>28</v>
      </c>
      <c r="V5778" t="s">
        <v>28</v>
      </c>
      <c r="W5778">
        <v>24</v>
      </c>
      <c r="X5778">
        <v>0.63200000000000001</v>
      </c>
      <c r="Y5778">
        <v>0.39700000000000002</v>
      </c>
      <c r="Z5778">
        <v>0.17799999999999999</v>
      </c>
      <c r="AA5778">
        <v>-0.14599999999999999</v>
      </c>
      <c r="AB5778">
        <v>1.41</v>
      </c>
    </row>
    <row r="5779" spans="1:28" x14ac:dyDescent="0.2">
      <c r="A5779" t="s">
        <v>645</v>
      </c>
      <c r="B5779">
        <v>2020</v>
      </c>
      <c r="C5779" t="s">
        <v>826</v>
      </c>
      <c r="D5779" t="s">
        <v>824</v>
      </c>
      <c r="E5779" t="s">
        <v>114</v>
      </c>
      <c r="F5779" t="s">
        <v>643</v>
      </c>
      <c r="G5779">
        <v>42.307222000000003</v>
      </c>
      <c r="H5779">
        <v>140.99111099999999</v>
      </c>
      <c r="I5779" t="s">
        <v>765</v>
      </c>
      <c r="J5779" s="2" t="s">
        <v>14</v>
      </c>
      <c r="K5779" t="s">
        <v>3</v>
      </c>
      <c r="L5779" t="s">
        <v>3</v>
      </c>
      <c r="M5779" t="s">
        <v>172</v>
      </c>
      <c r="N5779" t="s">
        <v>86</v>
      </c>
      <c r="O5779" t="s">
        <v>62</v>
      </c>
      <c r="P5779" t="s">
        <v>647</v>
      </c>
      <c r="Q5779">
        <f t="shared" si="103"/>
        <v>2.0833333333333332E-2</v>
      </c>
      <c r="R5779" t="s">
        <v>213</v>
      </c>
      <c r="S5779" s="2" t="s">
        <v>15</v>
      </c>
      <c r="T5779">
        <v>5</v>
      </c>
      <c r="U5779" t="s">
        <v>28</v>
      </c>
      <c r="V5779" t="s">
        <v>28</v>
      </c>
      <c r="W5779">
        <v>28</v>
      </c>
      <c r="X5779">
        <v>1.17</v>
      </c>
      <c r="Y5779">
        <v>0.40200000000000002</v>
      </c>
      <c r="Z5779">
        <v>0.18</v>
      </c>
      <c r="AA5779">
        <v>0.38500000000000001</v>
      </c>
      <c r="AB5779">
        <v>1.96</v>
      </c>
    </row>
    <row r="5780" spans="1:28" x14ac:dyDescent="0.2">
      <c r="A5780" t="s">
        <v>645</v>
      </c>
      <c r="B5780">
        <v>2020</v>
      </c>
      <c r="C5780" t="s">
        <v>826</v>
      </c>
      <c r="D5780" t="s">
        <v>824</v>
      </c>
      <c r="E5780" t="s">
        <v>114</v>
      </c>
      <c r="F5780" t="s">
        <v>643</v>
      </c>
      <c r="G5780">
        <v>42.307222000000003</v>
      </c>
      <c r="H5780">
        <v>140.99111099999999</v>
      </c>
      <c r="I5780" t="s">
        <v>765</v>
      </c>
      <c r="J5780" s="2" t="s">
        <v>14</v>
      </c>
      <c r="K5780" t="s">
        <v>3</v>
      </c>
      <c r="L5780" t="s">
        <v>3</v>
      </c>
      <c r="M5780" t="s">
        <v>172</v>
      </c>
      <c r="N5780" t="s">
        <v>86</v>
      </c>
      <c r="O5780" t="s">
        <v>62</v>
      </c>
      <c r="P5780" t="s">
        <v>647</v>
      </c>
      <c r="Q5780">
        <f t="shared" si="103"/>
        <v>2.0833333333333332E-2</v>
      </c>
      <c r="R5780" t="s">
        <v>213</v>
      </c>
      <c r="S5780" s="2" t="s">
        <v>37</v>
      </c>
      <c r="T5780">
        <v>5</v>
      </c>
      <c r="U5780" t="s">
        <v>28</v>
      </c>
      <c r="V5780" t="s">
        <v>28</v>
      </c>
      <c r="W5780">
        <v>32</v>
      </c>
      <c r="X5780">
        <v>1.61</v>
      </c>
      <c r="Y5780">
        <v>0.54700000000000004</v>
      </c>
      <c r="Z5780">
        <v>0.245</v>
      </c>
      <c r="AA5780">
        <v>0.54</v>
      </c>
      <c r="AB5780">
        <v>2.68</v>
      </c>
    </row>
    <row r="5781" spans="1:28" x14ac:dyDescent="0.2">
      <c r="A5781" t="s">
        <v>645</v>
      </c>
      <c r="B5781">
        <v>2020</v>
      </c>
      <c r="C5781" t="s">
        <v>826</v>
      </c>
      <c r="D5781" t="s">
        <v>824</v>
      </c>
      <c r="E5781" t="s">
        <v>114</v>
      </c>
      <c r="F5781" t="s">
        <v>643</v>
      </c>
      <c r="G5781">
        <v>42.307222000000003</v>
      </c>
      <c r="H5781">
        <v>140.99111099999999</v>
      </c>
      <c r="I5781" t="s">
        <v>765</v>
      </c>
      <c r="J5781" s="2" t="s">
        <v>14</v>
      </c>
      <c r="K5781" t="s">
        <v>3</v>
      </c>
      <c r="L5781" t="s">
        <v>3</v>
      </c>
      <c r="M5781" t="s">
        <v>172</v>
      </c>
      <c r="N5781" t="s">
        <v>86</v>
      </c>
      <c r="O5781" t="s">
        <v>62</v>
      </c>
      <c r="P5781" t="s">
        <v>647</v>
      </c>
      <c r="Q5781">
        <f>0.5/24</f>
        <v>2.0833333333333332E-2</v>
      </c>
      <c r="R5781" t="s">
        <v>213</v>
      </c>
      <c r="S5781" s="2" t="s">
        <v>116</v>
      </c>
      <c r="T5781">
        <v>5</v>
      </c>
      <c r="U5781" t="s">
        <v>28</v>
      </c>
      <c r="V5781" t="s">
        <v>28</v>
      </c>
      <c r="W5781">
        <v>36</v>
      </c>
      <c r="X5781">
        <v>4.28</v>
      </c>
      <c r="Y5781">
        <v>0.78800000000000003</v>
      </c>
      <c r="Z5781">
        <v>0.35299999999999998</v>
      </c>
      <c r="AA5781">
        <v>2.73</v>
      </c>
      <c r="AB5781">
        <v>5.82</v>
      </c>
    </row>
    <row r="5782" spans="1:28" x14ac:dyDescent="0.2">
      <c r="A5782" t="s">
        <v>645</v>
      </c>
      <c r="B5782">
        <v>2020</v>
      </c>
      <c r="C5782" t="s">
        <v>826</v>
      </c>
      <c r="D5782" t="s">
        <v>824</v>
      </c>
      <c r="E5782" t="s">
        <v>114</v>
      </c>
      <c r="F5782" t="s">
        <v>643</v>
      </c>
      <c r="G5782">
        <v>42.307222000000003</v>
      </c>
      <c r="H5782">
        <v>140.99111099999999</v>
      </c>
      <c r="I5782" t="s">
        <v>765</v>
      </c>
      <c r="J5782" s="2" t="s">
        <v>7</v>
      </c>
      <c r="K5782" t="s">
        <v>646</v>
      </c>
      <c r="L5782" t="s">
        <v>144</v>
      </c>
      <c r="M5782" t="s">
        <v>726</v>
      </c>
      <c r="N5782" t="s">
        <v>85</v>
      </c>
      <c r="O5782" t="s">
        <v>84</v>
      </c>
      <c r="Q5782">
        <v>1</v>
      </c>
      <c r="R5782" t="s">
        <v>214</v>
      </c>
      <c r="S5782" s="2" t="s">
        <v>7</v>
      </c>
      <c r="T5782">
        <v>5</v>
      </c>
      <c r="U5782" t="s">
        <v>28</v>
      </c>
      <c r="V5782" t="s">
        <v>28</v>
      </c>
      <c r="W5782">
        <v>16</v>
      </c>
      <c r="X5782">
        <v>0.67900000000000005</v>
      </c>
      <c r="Y5782">
        <v>1.32E-2</v>
      </c>
      <c r="Z5782">
        <v>4.1599999999999996E-3</v>
      </c>
      <c r="AA5782">
        <v>0.65400000000000003</v>
      </c>
      <c r="AB5782">
        <v>0.70499999999999996</v>
      </c>
    </row>
    <row r="5783" spans="1:28" x14ac:dyDescent="0.2">
      <c r="A5783" t="s">
        <v>645</v>
      </c>
      <c r="B5783">
        <v>2020</v>
      </c>
      <c r="C5783" t="s">
        <v>826</v>
      </c>
      <c r="D5783" t="s">
        <v>824</v>
      </c>
      <c r="E5783" t="s">
        <v>114</v>
      </c>
      <c r="F5783" t="s">
        <v>643</v>
      </c>
      <c r="G5783">
        <v>42.307222000000003</v>
      </c>
      <c r="H5783">
        <v>140.99111099999999</v>
      </c>
      <c r="I5783" t="s">
        <v>765</v>
      </c>
      <c r="J5783" s="2" t="s">
        <v>14</v>
      </c>
      <c r="K5783" t="s">
        <v>646</v>
      </c>
      <c r="L5783" t="s">
        <v>144</v>
      </c>
      <c r="M5783" t="s">
        <v>726</v>
      </c>
      <c r="N5783" t="s">
        <v>85</v>
      </c>
      <c r="O5783" t="s">
        <v>84</v>
      </c>
      <c r="Q5783">
        <v>1</v>
      </c>
      <c r="R5783" t="s">
        <v>214</v>
      </c>
      <c r="S5783" s="2" t="s">
        <v>27</v>
      </c>
      <c r="T5783">
        <v>5</v>
      </c>
      <c r="U5783" t="s">
        <v>28</v>
      </c>
      <c r="V5783" t="s">
        <v>28</v>
      </c>
      <c r="W5783">
        <v>20</v>
      </c>
      <c r="X5783">
        <v>0.65300000000000002</v>
      </c>
      <c r="Y5783">
        <v>1.14E-2</v>
      </c>
      <c r="Z5783">
        <v>3.5999999999999999E-3</v>
      </c>
      <c r="AA5783">
        <v>0.63100000000000001</v>
      </c>
      <c r="AB5783">
        <v>0.67500000000000004</v>
      </c>
    </row>
    <row r="5784" spans="1:28" x14ac:dyDescent="0.2">
      <c r="A5784" t="s">
        <v>645</v>
      </c>
      <c r="B5784">
        <v>2020</v>
      </c>
      <c r="C5784" t="s">
        <v>826</v>
      </c>
      <c r="D5784" t="s">
        <v>824</v>
      </c>
      <c r="E5784" t="s">
        <v>114</v>
      </c>
      <c r="F5784" t="s">
        <v>643</v>
      </c>
      <c r="G5784">
        <v>42.307222000000003</v>
      </c>
      <c r="H5784">
        <v>140.99111099999999</v>
      </c>
      <c r="I5784" t="s">
        <v>765</v>
      </c>
      <c r="J5784" s="2" t="s">
        <v>14</v>
      </c>
      <c r="K5784" t="s">
        <v>646</v>
      </c>
      <c r="L5784" t="s">
        <v>144</v>
      </c>
      <c r="M5784" t="s">
        <v>726</v>
      </c>
      <c r="N5784" t="s">
        <v>85</v>
      </c>
      <c r="O5784" t="s">
        <v>84</v>
      </c>
      <c r="Q5784">
        <v>1</v>
      </c>
      <c r="R5784" t="s">
        <v>214</v>
      </c>
      <c r="S5784" s="2" t="s">
        <v>13</v>
      </c>
      <c r="T5784">
        <v>5</v>
      </c>
      <c r="U5784" t="s">
        <v>28</v>
      </c>
      <c r="V5784" t="s">
        <v>28</v>
      </c>
      <c r="W5784">
        <v>24</v>
      </c>
      <c r="X5784">
        <v>0.58799999999999997</v>
      </c>
      <c r="Y5784">
        <v>3.4000000000000002E-2</v>
      </c>
      <c r="Z5784">
        <v>1.0699999999999999E-2</v>
      </c>
      <c r="AA5784">
        <v>0.52100000000000002</v>
      </c>
      <c r="AB5784">
        <v>0.65400000000000003</v>
      </c>
    </row>
    <row r="5785" spans="1:28" x14ac:dyDescent="0.2">
      <c r="A5785" t="s">
        <v>645</v>
      </c>
      <c r="B5785">
        <v>2020</v>
      </c>
      <c r="C5785" t="s">
        <v>826</v>
      </c>
      <c r="D5785" t="s">
        <v>824</v>
      </c>
      <c r="E5785" t="s">
        <v>114</v>
      </c>
      <c r="F5785" t="s">
        <v>643</v>
      </c>
      <c r="G5785">
        <v>42.307222000000003</v>
      </c>
      <c r="H5785">
        <v>140.99111099999999</v>
      </c>
      <c r="I5785" t="s">
        <v>765</v>
      </c>
      <c r="J5785" s="2" t="s">
        <v>14</v>
      </c>
      <c r="K5785" t="s">
        <v>646</v>
      </c>
      <c r="L5785" t="s">
        <v>144</v>
      </c>
      <c r="M5785" t="s">
        <v>726</v>
      </c>
      <c r="N5785" t="s">
        <v>85</v>
      </c>
      <c r="O5785" t="s">
        <v>84</v>
      </c>
      <c r="Q5785">
        <v>1</v>
      </c>
      <c r="R5785" t="s">
        <v>214</v>
      </c>
      <c r="S5785" s="2" t="s">
        <v>15</v>
      </c>
      <c r="T5785">
        <v>5</v>
      </c>
      <c r="U5785" t="s">
        <v>28</v>
      </c>
      <c r="V5785" t="s">
        <v>28</v>
      </c>
      <c r="W5785">
        <v>28</v>
      </c>
      <c r="X5785">
        <v>0.47899999999999998</v>
      </c>
      <c r="Y5785">
        <v>8.3799999999999999E-2</v>
      </c>
      <c r="Z5785">
        <v>2.6499999999999999E-2</v>
      </c>
      <c r="AA5785">
        <v>0.315</v>
      </c>
      <c r="AB5785">
        <v>0.64300000000000002</v>
      </c>
    </row>
    <row r="5786" spans="1:28" x14ac:dyDescent="0.2">
      <c r="A5786" t="s">
        <v>645</v>
      </c>
      <c r="B5786">
        <v>2020</v>
      </c>
      <c r="C5786" t="s">
        <v>826</v>
      </c>
      <c r="D5786" t="s">
        <v>824</v>
      </c>
      <c r="E5786" t="s">
        <v>114</v>
      </c>
      <c r="F5786" t="s">
        <v>643</v>
      </c>
      <c r="G5786">
        <v>42.307222000000003</v>
      </c>
      <c r="H5786">
        <v>140.99111099999999</v>
      </c>
      <c r="I5786" t="s">
        <v>765</v>
      </c>
      <c r="J5786" s="2" t="s">
        <v>14</v>
      </c>
      <c r="K5786" t="s">
        <v>646</v>
      </c>
      <c r="L5786" t="s">
        <v>144</v>
      </c>
      <c r="M5786" t="s">
        <v>726</v>
      </c>
      <c r="N5786" t="s">
        <v>85</v>
      </c>
      <c r="O5786" t="s">
        <v>84</v>
      </c>
      <c r="Q5786">
        <v>1</v>
      </c>
      <c r="R5786" t="s">
        <v>214</v>
      </c>
      <c r="S5786" s="2" t="s">
        <v>37</v>
      </c>
      <c r="T5786">
        <v>5</v>
      </c>
      <c r="U5786" t="s">
        <v>28</v>
      </c>
      <c r="V5786" t="s">
        <v>28</v>
      </c>
      <c r="W5786">
        <v>32</v>
      </c>
      <c r="X5786">
        <v>3.7600000000000001E-2</v>
      </c>
      <c r="Y5786">
        <v>4.0800000000000003E-2</v>
      </c>
      <c r="Z5786">
        <v>1.29E-2</v>
      </c>
      <c r="AA5786">
        <v>-4.24E-2</v>
      </c>
      <c r="AB5786">
        <v>0.11799999999999999</v>
      </c>
    </row>
    <row r="5787" spans="1:28" x14ac:dyDescent="0.2">
      <c r="A5787" t="s">
        <v>645</v>
      </c>
      <c r="B5787">
        <v>2020</v>
      </c>
      <c r="C5787" t="s">
        <v>826</v>
      </c>
      <c r="D5787" t="s">
        <v>824</v>
      </c>
      <c r="E5787" t="s">
        <v>114</v>
      </c>
      <c r="F5787" t="s">
        <v>643</v>
      </c>
      <c r="G5787">
        <v>42.307222000000003</v>
      </c>
      <c r="H5787">
        <v>140.99111099999999</v>
      </c>
      <c r="I5787" t="s">
        <v>765</v>
      </c>
      <c r="J5787" s="2" t="s">
        <v>14</v>
      </c>
      <c r="K5787" t="s">
        <v>646</v>
      </c>
      <c r="L5787" t="s">
        <v>144</v>
      </c>
      <c r="M5787" t="s">
        <v>726</v>
      </c>
      <c r="N5787" t="s">
        <v>85</v>
      </c>
      <c r="O5787" t="s">
        <v>84</v>
      </c>
      <c r="Q5787">
        <v>1</v>
      </c>
      <c r="R5787" t="s">
        <v>214</v>
      </c>
      <c r="S5787" s="2" t="s">
        <v>116</v>
      </c>
      <c r="T5787">
        <v>5</v>
      </c>
      <c r="U5787" t="s">
        <v>28</v>
      </c>
      <c r="V5787" t="s">
        <v>28</v>
      </c>
      <c r="W5787">
        <v>36</v>
      </c>
      <c r="X5787">
        <v>3.2899999999999999E-2</v>
      </c>
      <c r="Y5787">
        <v>2.9100000000000001E-2</v>
      </c>
      <c r="Z5787">
        <v>9.2099999999999994E-3</v>
      </c>
      <c r="AA5787">
        <v>-2.4199999999999999E-2</v>
      </c>
      <c r="AB5787">
        <v>0.09</v>
      </c>
    </row>
    <row r="5788" spans="1:28" x14ac:dyDescent="0.2">
      <c r="A5788" t="s">
        <v>645</v>
      </c>
      <c r="B5788">
        <v>2020</v>
      </c>
      <c r="C5788" t="s">
        <v>826</v>
      </c>
      <c r="D5788" t="s">
        <v>824</v>
      </c>
      <c r="E5788" t="s">
        <v>114</v>
      </c>
      <c r="F5788" t="s">
        <v>643</v>
      </c>
      <c r="G5788">
        <v>42.307222000000003</v>
      </c>
      <c r="H5788">
        <v>140.99111099999999</v>
      </c>
      <c r="I5788" t="s">
        <v>765</v>
      </c>
      <c r="J5788" s="2" t="s">
        <v>7</v>
      </c>
      <c r="K5788" t="s">
        <v>3</v>
      </c>
      <c r="L5788" t="s">
        <v>3</v>
      </c>
      <c r="M5788" t="s">
        <v>726</v>
      </c>
      <c r="N5788" t="s">
        <v>85</v>
      </c>
      <c r="O5788" t="s">
        <v>84</v>
      </c>
      <c r="Q5788">
        <v>1</v>
      </c>
      <c r="R5788" t="s">
        <v>214</v>
      </c>
      <c r="S5788" s="2" t="s">
        <v>7</v>
      </c>
      <c r="T5788">
        <v>5</v>
      </c>
      <c r="U5788" t="s">
        <v>28</v>
      </c>
      <c r="V5788" t="s">
        <v>28</v>
      </c>
      <c r="W5788">
        <v>12</v>
      </c>
      <c r="X5788">
        <v>0.5</v>
      </c>
      <c r="Y5788">
        <v>2.1100000000000001E-2</v>
      </c>
      <c r="Z5788">
        <v>6.6899999999999998E-3</v>
      </c>
      <c r="AA5788">
        <v>0.45800000000000002</v>
      </c>
      <c r="AB5788">
        <v>0.54100000000000004</v>
      </c>
    </row>
    <row r="5789" spans="1:28" x14ac:dyDescent="0.2">
      <c r="A5789" t="s">
        <v>645</v>
      </c>
      <c r="B5789">
        <v>2020</v>
      </c>
      <c r="C5789" t="s">
        <v>826</v>
      </c>
      <c r="D5789" t="s">
        <v>824</v>
      </c>
      <c r="E5789" t="s">
        <v>114</v>
      </c>
      <c r="F5789" t="s">
        <v>643</v>
      </c>
      <c r="G5789">
        <v>42.307222000000003</v>
      </c>
      <c r="H5789">
        <v>140.99111099999999</v>
      </c>
      <c r="I5789" t="s">
        <v>765</v>
      </c>
      <c r="J5789" s="2" t="s">
        <v>14</v>
      </c>
      <c r="K5789" t="s">
        <v>3</v>
      </c>
      <c r="L5789" t="s">
        <v>3</v>
      </c>
      <c r="M5789" t="s">
        <v>726</v>
      </c>
      <c r="N5789" t="s">
        <v>85</v>
      </c>
      <c r="O5789" t="s">
        <v>84</v>
      </c>
      <c r="Q5789">
        <v>1</v>
      </c>
      <c r="R5789" t="s">
        <v>214</v>
      </c>
      <c r="S5789" s="2" t="s">
        <v>9</v>
      </c>
      <c r="T5789">
        <v>5</v>
      </c>
      <c r="U5789" t="s">
        <v>28</v>
      </c>
      <c r="V5789" t="s">
        <v>28</v>
      </c>
      <c r="W5789">
        <v>16</v>
      </c>
      <c r="X5789">
        <v>0.54500000000000004</v>
      </c>
      <c r="Y5789">
        <v>1.2500000000000001E-2</v>
      </c>
      <c r="Z5789">
        <v>3.9500000000000004E-3</v>
      </c>
      <c r="AA5789">
        <v>0.52</v>
      </c>
      <c r="AB5789">
        <v>0.56899999999999995</v>
      </c>
    </row>
    <row r="5790" spans="1:28" x14ac:dyDescent="0.2">
      <c r="A5790" t="s">
        <v>645</v>
      </c>
      <c r="B5790">
        <v>2020</v>
      </c>
      <c r="C5790" t="s">
        <v>826</v>
      </c>
      <c r="D5790" t="s">
        <v>824</v>
      </c>
      <c r="E5790" t="s">
        <v>114</v>
      </c>
      <c r="F5790" t="s">
        <v>643</v>
      </c>
      <c r="G5790">
        <v>42.307222000000003</v>
      </c>
      <c r="H5790">
        <v>140.99111099999999</v>
      </c>
      <c r="I5790" t="s">
        <v>765</v>
      </c>
      <c r="J5790" s="2" t="s">
        <v>14</v>
      </c>
      <c r="K5790" t="s">
        <v>3</v>
      </c>
      <c r="L5790" t="s">
        <v>3</v>
      </c>
      <c r="M5790" t="s">
        <v>726</v>
      </c>
      <c r="N5790" t="s">
        <v>85</v>
      </c>
      <c r="O5790" t="s">
        <v>84</v>
      </c>
      <c r="Q5790">
        <v>1</v>
      </c>
      <c r="R5790" t="s">
        <v>214</v>
      </c>
      <c r="S5790" s="2" t="s">
        <v>27</v>
      </c>
      <c r="T5790">
        <v>5</v>
      </c>
      <c r="U5790" t="s">
        <v>28</v>
      </c>
      <c r="V5790" t="s">
        <v>28</v>
      </c>
      <c r="W5790">
        <v>20</v>
      </c>
      <c r="X5790">
        <v>0.44800000000000001</v>
      </c>
      <c r="Y5790">
        <v>3.61E-2</v>
      </c>
      <c r="Z5790">
        <v>1.14E-2</v>
      </c>
      <c r="AA5790">
        <v>0.377</v>
      </c>
      <c r="AB5790">
        <v>0.51800000000000002</v>
      </c>
    </row>
    <row r="5791" spans="1:28" x14ac:dyDescent="0.2">
      <c r="A5791" t="s">
        <v>645</v>
      </c>
      <c r="B5791">
        <v>2020</v>
      </c>
      <c r="C5791" t="s">
        <v>826</v>
      </c>
      <c r="D5791" t="s">
        <v>824</v>
      </c>
      <c r="E5791" t="s">
        <v>114</v>
      </c>
      <c r="F5791" t="s">
        <v>643</v>
      </c>
      <c r="G5791">
        <v>42.307222000000003</v>
      </c>
      <c r="H5791">
        <v>140.99111099999999</v>
      </c>
      <c r="I5791" t="s">
        <v>765</v>
      </c>
      <c r="J5791" s="2" t="s">
        <v>14</v>
      </c>
      <c r="K5791" t="s">
        <v>3</v>
      </c>
      <c r="L5791" t="s">
        <v>3</v>
      </c>
      <c r="M5791" t="s">
        <v>726</v>
      </c>
      <c r="N5791" t="s">
        <v>85</v>
      </c>
      <c r="O5791" t="s">
        <v>84</v>
      </c>
      <c r="Q5791">
        <v>1</v>
      </c>
      <c r="R5791" t="s">
        <v>214</v>
      </c>
      <c r="S5791" s="2" t="s">
        <v>13</v>
      </c>
      <c r="T5791">
        <v>5</v>
      </c>
      <c r="U5791" t="s">
        <v>28</v>
      </c>
      <c r="V5791" t="s">
        <v>28</v>
      </c>
      <c r="W5791">
        <v>24</v>
      </c>
      <c r="X5791">
        <v>0.433</v>
      </c>
      <c r="Y5791">
        <v>0.03</v>
      </c>
      <c r="Z5791">
        <v>9.4999999999999998E-3</v>
      </c>
      <c r="AA5791">
        <v>0.375</v>
      </c>
      <c r="AB5791">
        <v>0.49199999999999999</v>
      </c>
    </row>
    <row r="5792" spans="1:28" x14ac:dyDescent="0.2">
      <c r="A5792" t="s">
        <v>645</v>
      </c>
      <c r="B5792">
        <v>2020</v>
      </c>
      <c r="C5792" t="s">
        <v>826</v>
      </c>
      <c r="D5792" t="s">
        <v>824</v>
      </c>
      <c r="E5792" t="s">
        <v>114</v>
      </c>
      <c r="F5792" t="s">
        <v>643</v>
      </c>
      <c r="G5792">
        <v>42.307222000000003</v>
      </c>
      <c r="H5792">
        <v>140.99111099999999</v>
      </c>
      <c r="I5792" t="s">
        <v>765</v>
      </c>
      <c r="J5792" s="2" t="s">
        <v>14</v>
      </c>
      <c r="K5792" t="s">
        <v>3</v>
      </c>
      <c r="L5792" t="s">
        <v>3</v>
      </c>
      <c r="M5792" t="s">
        <v>726</v>
      </c>
      <c r="N5792" t="s">
        <v>85</v>
      </c>
      <c r="O5792" t="s">
        <v>84</v>
      </c>
      <c r="Q5792">
        <v>1</v>
      </c>
      <c r="R5792" t="s">
        <v>214</v>
      </c>
      <c r="S5792" s="2" t="s">
        <v>15</v>
      </c>
      <c r="T5792">
        <v>5</v>
      </c>
      <c r="U5792" t="s">
        <v>28</v>
      </c>
      <c r="V5792" t="s">
        <v>28</v>
      </c>
      <c r="W5792">
        <v>28</v>
      </c>
      <c r="X5792">
        <v>0.28899999999999998</v>
      </c>
      <c r="Y5792">
        <v>0.14499999999999999</v>
      </c>
      <c r="Z5792">
        <v>4.58E-2</v>
      </c>
      <c r="AA5792">
        <v>4.9199999999999999E-3</v>
      </c>
      <c r="AB5792">
        <v>0.57299999999999995</v>
      </c>
    </row>
    <row r="5793" spans="1:28" x14ac:dyDescent="0.2">
      <c r="A5793" t="s">
        <v>645</v>
      </c>
      <c r="B5793">
        <v>2020</v>
      </c>
      <c r="C5793" t="s">
        <v>826</v>
      </c>
      <c r="D5793" t="s">
        <v>824</v>
      </c>
      <c r="E5793" t="s">
        <v>114</v>
      </c>
      <c r="F5793" t="s">
        <v>643</v>
      </c>
      <c r="G5793">
        <v>42.307222000000003</v>
      </c>
      <c r="H5793">
        <v>140.99111099999999</v>
      </c>
      <c r="I5793" t="s">
        <v>765</v>
      </c>
      <c r="J5793" s="2" t="s">
        <v>14</v>
      </c>
      <c r="K5793" t="s">
        <v>3</v>
      </c>
      <c r="L5793" t="s">
        <v>3</v>
      </c>
      <c r="M5793" t="s">
        <v>726</v>
      </c>
      <c r="N5793" t="s">
        <v>85</v>
      </c>
      <c r="O5793" t="s">
        <v>84</v>
      </c>
      <c r="Q5793">
        <v>1</v>
      </c>
      <c r="R5793" t="s">
        <v>214</v>
      </c>
      <c r="S5793" s="2" t="s">
        <v>37</v>
      </c>
      <c r="T5793">
        <v>5</v>
      </c>
      <c r="U5793" t="s">
        <v>28</v>
      </c>
      <c r="V5793" t="s">
        <v>28</v>
      </c>
      <c r="W5793">
        <v>32</v>
      </c>
      <c r="X5793">
        <v>0</v>
      </c>
      <c r="Y5793">
        <v>0</v>
      </c>
      <c r="Z5793">
        <v>0</v>
      </c>
      <c r="AA5793">
        <v>0</v>
      </c>
      <c r="AB5793">
        <v>0</v>
      </c>
    </row>
    <row r="5794" spans="1:28" x14ac:dyDescent="0.2">
      <c r="A5794" t="s">
        <v>645</v>
      </c>
      <c r="B5794">
        <v>2020</v>
      </c>
      <c r="C5794" t="s">
        <v>826</v>
      </c>
      <c r="D5794" t="s">
        <v>824</v>
      </c>
      <c r="E5794" t="s">
        <v>114</v>
      </c>
      <c r="F5794" t="s">
        <v>643</v>
      </c>
      <c r="G5794">
        <v>42.307222000000003</v>
      </c>
      <c r="H5794">
        <v>140.99111099999999</v>
      </c>
      <c r="I5794" t="s">
        <v>765</v>
      </c>
      <c r="J5794" s="2" t="s">
        <v>14</v>
      </c>
      <c r="K5794" t="s">
        <v>3</v>
      </c>
      <c r="L5794" t="s">
        <v>3</v>
      </c>
      <c r="M5794" t="s">
        <v>726</v>
      </c>
      <c r="N5794" t="s">
        <v>85</v>
      </c>
      <c r="O5794" t="s">
        <v>84</v>
      </c>
      <c r="Q5794">
        <v>1</v>
      </c>
      <c r="R5794" t="s">
        <v>214</v>
      </c>
      <c r="S5794" s="2" t="s">
        <v>116</v>
      </c>
      <c r="T5794">
        <v>5</v>
      </c>
      <c r="U5794" t="s">
        <v>28</v>
      </c>
      <c r="V5794" t="s">
        <v>28</v>
      </c>
      <c r="W5794">
        <v>36</v>
      </c>
      <c r="X5794">
        <v>0</v>
      </c>
      <c r="Y5794">
        <v>0</v>
      </c>
      <c r="Z5794">
        <v>0</v>
      </c>
      <c r="AA5794">
        <v>0</v>
      </c>
      <c r="AB5794">
        <v>0</v>
      </c>
    </row>
    <row r="5795" spans="1:28" x14ac:dyDescent="0.2">
      <c r="A5795" t="s">
        <v>645</v>
      </c>
      <c r="B5795">
        <v>2020</v>
      </c>
      <c r="C5795" t="s">
        <v>826</v>
      </c>
      <c r="D5795" t="s">
        <v>824</v>
      </c>
      <c r="E5795" t="s">
        <v>114</v>
      </c>
      <c r="F5795" t="s">
        <v>643</v>
      </c>
      <c r="G5795">
        <v>42.307222000000003</v>
      </c>
      <c r="H5795">
        <v>140.99111099999999</v>
      </c>
      <c r="I5795" t="s">
        <v>765</v>
      </c>
      <c r="J5795" s="2" t="s">
        <v>7</v>
      </c>
      <c r="K5795" t="s">
        <v>646</v>
      </c>
      <c r="L5795" t="s">
        <v>144</v>
      </c>
      <c r="M5795" t="s">
        <v>726</v>
      </c>
      <c r="N5795" t="s">
        <v>85</v>
      </c>
      <c r="O5795" t="s">
        <v>84</v>
      </c>
      <c r="Q5795">
        <v>2</v>
      </c>
      <c r="R5795" t="s">
        <v>214</v>
      </c>
      <c r="S5795" s="2" t="s">
        <v>7</v>
      </c>
      <c r="T5795">
        <v>5</v>
      </c>
      <c r="U5795" t="s">
        <v>28</v>
      </c>
      <c r="V5795" t="s">
        <v>28</v>
      </c>
      <c r="W5795">
        <v>16</v>
      </c>
      <c r="X5795">
        <v>0.66300000000000003</v>
      </c>
      <c r="Y5795">
        <v>1.5599999999999999E-2</v>
      </c>
      <c r="Z5795">
        <v>4.9300000000000004E-3</v>
      </c>
      <c r="AA5795">
        <v>0.63300000000000001</v>
      </c>
      <c r="AB5795">
        <v>0.69399999999999995</v>
      </c>
    </row>
    <row r="5796" spans="1:28" x14ac:dyDescent="0.2">
      <c r="A5796" t="s">
        <v>645</v>
      </c>
      <c r="B5796">
        <v>2020</v>
      </c>
      <c r="C5796" t="s">
        <v>826</v>
      </c>
      <c r="D5796" t="s">
        <v>824</v>
      </c>
      <c r="E5796" t="s">
        <v>114</v>
      </c>
      <c r="F5796" t="s">
        <v>643</v>
      </c>
      <c r="G5796">
        <v>42.307222000000003</v>
      </c>
      <c r="H5796">
        <v>140.99111099999999</v>
      </c>
      <c r="I5796" t="s">
        <v>765</v>
      </c>
      <c r="J5796" s="2" t="s">
        <v>14</v>
      </c>
      <c r="K5796" t="s">
        <v>646</v>
      </c>
      <c r="L5796" t="s">
        <v>144</v>
      </c>
      <c r="M5796" t="s">
        <v>726</v>
      </c>
      <c r="N5796" t="s">
        <v>85</v>
      </c>
      <c r="O5796" t="s">
        <v>84</v>
      </c>
      <c r="Q5796">
        <v>2</v>
      </c>
      <c r="R5796" t="s">
        <v>214</v>
      </c>
      <c r="S5796" s="2" t="s">
        <v>27</v>
      </c>
      <c r="T5796">
        <v>5</v>
      </c>
      <c r="U5796" t="s">
        <v>28</v>
      </c>
      <c r="V5796" t="s">
        <v>28</v>
      </c>
      <c r="W5796">
        <v>20</v>
      </c>
      <c r="X5796">
        <v>0.63900000000000001</v>
      </c>
      <c r="Y5796">
        <v>2.0500000000000001E-2</v>
      </c>
      <c r="Z5796">
        <v>6.4799999999999996E-3</v>
      </c>
      <c r="AA5796">
        <v>0.59899999999999998</v>
      </c>
      <c r="AB5796">
        <v>0.67900000000000005</v>
      </c>
    </row>
    <row r="5797" spans="1:28" x14ac:dyDescent="0.2">
      <c r="A5797" t="s">
        <v>645</v>
      </c>
      <c r="B5797">
        <v>2020</v>
      </c>
      <c r="C5797" t="s">
        <v>826</v>
      </c>
      <c r="D5797" t="s">
        <v>824</v>
      </c>
      <c r="E5797" t="s">
        <v>114</v>
      </c>
      <c r="F5797" t="s">
        <v>643</v>
      </c>
      <c r="G5797">
        <v>42.307222000000003</v>
      </c>
      <c r="H5797">
        <v>140.99111099999999</v>
      </c>
      <c r="I5797" t="s">
        <v>765</v>
      </c>
      <c r="J5797" s="2" t="s">
        <v>14</v>
      </c>
      <c r="K5797" t="s">
        <v>646</v>
      </c>
      <c r="L5797" t="s">
        <v>144</v>
      </c>
      <c r="M5797" t="s">
        <v>726</v>
      </c>
      <c r="N5797" t="s">
        <v>85</v>
      </c>
      <c r="O5797" t="s">
        <v>84</v>
      </c>
      <c r="Q5797">
        <v>2</v>
      </c>
      <c r="R5797" t="s">
        <v>214</v>
      </c>
      <c r="S5797" s="2" t="s">
        <v>13</v>
      </c>
      <c r="T5797">
        <v>5</v>
      </c>
      <c r="U5797" t="s">
        <v>28</v>
      </c>
      <c r="V5797" t="s">
        <v>28</v>
      </c>
      <c r="W5797">
        <v>24</v>
      </c>
      <c r="X5797">
        <v>0.55100000000000005</v>
      </c>
      <c r="Y5797">
        <v>7.4399999999999994E-2</v>
      </c>
      <c r="Z5797">
        <v>2.35E-2</v>
      </c>
      <c r="AA5797">
        <v>0.40500000000000003</v>
      </c>
      <c r="AB5797">
        <v>0.69699999999999995</v>
      </c>
    </row>
    <row r="5798" spans="1:28" x14ac:dyDescent="0.2">
      <c r="A5798" t="s">
        <v>645</v>
      </c>
      <c r="B5798">
        <v>2020</v>
      </c>
      <c r="C5798" t="s">
        <v>826</v>
      </c>
      <c r="D5798" t="s">
        <v>824</v>
      </c>
      <c r="E5798" t="s">
        <v>114</v>
      </c>
      <c r="F5798" t="s">
        <v>643</v>
      </c>
      <c r="G5798">
        <v>42.307222000000003</v>
      </c>
      <c r="H5798">
        <v>140.99111099999999</v>
      </c>
      <c r="I5798" t="s">
        <v>765</v>
      </c>
      <c r="J5798" s="2" t="s">
        <v>14</v>
      </c>
      <c r="K5798" t="s">
        <v>646</v>
      </c>
      <c r="L5798" t="s">
        <v>144</v>
      </c>
      <c r="M5798" t="s">
        <v>726</v>
      </c>
      <c r="N5798" t="s">
        <v>85</v>
      </c>
      <c r="O5798" t="s">
        <v>84</v>
      </c>
      <c r="Q5798">
        <v>2</v>
      </c>
      <c r="R5798" t="s">
        <v>214</v>
      </c>
      <c r="S5798" s="2" t="s">
        <v>15</v>
      </c>
      <c r="T5798">
        <v>5</v>
      </c>
      <c r="U5798" t="s">
        <v>28</v>
      </c>
      <c r="V5798" t="s">
        <v>28</v>
      </c>
      <c r="W5798">
        <v>28</v>
      </c>
      <c r="X5798">
        <v>3.27E-2</v>
      </c>
      <c r="Y5798">
        <v>4.02E-2</v>
      </c>
      <c r="Z5798">
        <v>1.2699999999999999E-2</v>
      </c>
      <c r="AA5798">
        <v>-4.6100000000000002E-2</v>
      </c>
      <c r="AB5798">
        <v>0.112</v>
      </c>
    </row>
    <row r="5799" spans="1:28" x14ac:dyDescent="0.2">
      <c r="A5799" t="s">
        <v>645</v>
      </c>
      <c r="B5799">
        <v>2020</v>
      </c>
      <c r="C5799" t="s">
        <v>826</v>
      </c>
      <c r="D5799" t="s">
        <v>824</v>
      </c>
      <c r="E5799" t="s">
        <v>114</v>
      </c>
      <c r="F5799" t="s">
        <v>643</v>
      </c>
      <c r="G5799">
        <v>42.307222000000003</v>
      </c>
      <c r="H5799">
        <v>140.99111099999999</v>
      </c>
      <c r="I5799" t="s">
        <v>765</v>
      </c>
      <c r="J5799" s="2" t="s">
        <v>14</v>
      </c>
      <c r="K5799" t="s">
        <v>646</v>
      </c>
      <c r="L5799" t="s">
        <v>144</v>
      </c>
      <c r="M5799" t="s">
        <v>726</v>
      </c>
      <c r="N5799" t="s">
        <v>85</v>
      </c>
      <c r="O5799" t="s">
        <v>84</v>
      </c>
      <c r="Q5799">
        <v>2</v>
      </c>
      <c r="R5799" t="s">
        <v>214</v>
      </c>
      <c r="S5799" s="2" t="s">
        <v>37</v>
      </c>
      <c r="T5799">
        <v>5</v>
      </c>
      <c r="U5799" t="s">
        <v>28</v>
      </c>
      <c r="V5799" t="s">
        <v>28</v>
      </c>
      <c r="W5799">
        <v>32</v>
      </c>
      <c r="X5799">
        <v>0.113</v>
      </c>
      <c r="Y5799">
        <v>1.6199999999999999E-2</v>
      </c>
      <c r="Z5799">
        <v>5.11E-3</v>
      </c>
      <c r="AA5799">
        <v>8.1699999999999995E-2</v>
      </c>
      <c r="AB5799">
        <v>0.14499999999999999</v>
      </c>
    </row>
    <row r="5800" spans="1:28" x14ac:dyDescent="0.2">
      <c r="A5800" t="s">
        <v>645</v>
      </c>
      <c r="B5800">
        <v>2020</v>
      </c>
      <c r="C5800" t="s">
        <v>826</v>
      </c>
      <c r="D5800" t="s">
        <v>824</v>
      </c>
      <c r="E5800" t="s">
        <v>114</v>
      </c>
      <c r="F5800" t="s">
        <v>643</v>
      </c>
      <c r="G5800">
        <v>42.307222000000003</v>
      </c>
      <c r="H5800">
        <v>140.99111099999999</v>
      </c>
      <c r="I5800" t="s">
        <v>765</v>
      </c>
      <c r="J5800" s="2" t="s">
        <v>14</v>
      </c>
      <c r="K5800" t="s">
        <v>646</v>
      </c>
      <c r="L5800" t="s">
        <v>144</v>
      </c>
      <c r="M5800" t="s">
        <v>726</v>
      </c>
      <c r="N5800" t="s">
        <v>85</v>
      </c>
      <c r="O5800" t="s">
        <v>84</v>
      </c>
      <c r="Q5800">
        <v>2</v>
      </c>
      <c r="R5800" t="s">
        <v>214</v>
      </c>
      <c r="S5800" s="2" t="s">
        <v>116</v>
      </c>
      <c r="T5800">
        <v>5</v>
      </c>
      <c r="U5800" t="s">
        <v>28</v>
      </c>
      <c r="V5800" t="s">
        <v>28</v>
      </c>
      <c r="W5800">
        <v>36</v>
      </c>
      <c r="X5800">
        <v>8.1699999999999995E-2</v>
      </c>
      <c r="Y5800">
        <v>1.41E-2</v>
      </c>
      <c r="Z5800">
        <v>4.4600000000000004E-3</v>
      </c>
      <c r="AA5800">
        <v>5.4100000000000002E-2</v>
      </c>
      <c r="AB5800">
        <v>0.109</v>
      </c>
    </row>
    <row r="5801" spans="1:28" x14ac:dyDescent="0.2">
      <c r="A5801" t="s">
        <v>645</v>
      </c>
      <c r="B5801">
        <v>2020</v>
      </c>
      <c r="C5801" t="s">
        <v>826</v>
      </c>
      <c r="D5801" t="s">
        <v>824</v>
      </c>
      <c r="E5801" t="s">
        <v>114</v>
      </c>
      <c r="F5801" t="s">
        <v>643</v>
      </c>
      <c r="G5801">
        <v>42.307222000000003</v>
      </c>
      <c r="H5801">
        <v>140.99111099999999</v>
      </c>
      <c r="I5801" t="s">
        <v>765</v>
      </c>
      <c r="J5801" s="2" t="s">
        <v>7</v>
      </c>
      <c r="K5801" t="s">
        <v>3</v>
      </c>
      <c r="L5801" t="s">
        <v>3</v>
      </c>
      <c r="M5801" t="s">
        <v>726</v>
      </c>
      <c r="N5801" t="s">
        <v>85</v>
      </c>
      <c r="O5801" t="s">
        <v>84</v>
      </c>
      <c r="Q5801">
        <v>2</v>
      </c>
      <c r="R5801" t="s">
        <v>214</v>
      </c>
      <c r="S5801" s="2" t="s">
        <v>7</v>
      </c>
      <c r="T5801">
        <v>5</v>
      </c>
      <c r="U5801" t="s">
        <v>28</v>
      </c>
      <c r="V5801" t="s">
        <v>28</v>
      </c>
      <c r="W5801">
        <v>12</v>
      </c>
      <c r="X5801">
        <v>0.53300000000000003</v>
      </c>
      <c r="Y5801">
        <v>1.2500000000000001E-2</v>
      </c>
      <c r="Z5801">
        <v>3.9399999999999999E-3</v>
      </c>
      <c r="AA5801">
        <v>0.50900000000000001</v>
      </c>
      <c r="AB5801">
        <v>0.55800000000000005</v>
      </c>
    </row>
    <row r="5802" spans="1:28" x14ac:dyDescent="0.2">
      <c r="A5802" t="s">
        <v>645</v>
      </c>
      <c r="B5802">
        <v>2020</v>
      </c>
      <c r="C5802" t="s">
        <v>826</v>
      </c>
      <c r="D5802" t="s">
        <v>824</v>
      </c>
      <c r="E5802" t="s">
        <v>114</v>
      </c>
      <c r="F5802" t="s">
        <v>643</v>
      </c>
      <c r="G5802">
        <v>42.307222000000003</v>
      </c>
      <c r="H5802">
        <v>140.99111099999999</v>
      </c>
      <c r="I5802" t="s">
        <v>765</v>
      </c>
      <c r="J5802" s="2" t="s">
        <v>14</v>
      </c>
      <c r="K5802" t="s">
        <v>3</v>
      </c>
      <c r="L5802" t="s">
        <v>3</v>
      </c>
      <c r="M5802" t="s">
        <v>726</v>
      </c>
      <c r="N5802" t="s">
        <v>85</v>
      </c>
      <c r="O5802" t="s">
        <v>84</v>
      </c>
      <c r="Q5802">
        <v>2</v>
      </c>
      <c r="R5802" t="s">
        <v>214</v>
      </c>
      <c r="S5802" s="2" t="s">
        <v>9</v>
      </c>
      <c r="T5802">
        <v>5</v>
      </c>
      <c r="U5802" t="s">
        <v>28</v>
      </c>
      <c r="V5802" t="s">
        <v>28</v>
      </c>
      <c r="W5802">
        <v>16</v>
      </c>
      <c r="X5802">
        <v>0.54800000000000004</v>
      </c>
      <c r="Y5802">
        <v>1.8499999999999999E-2</v>
      </c>
      <c r="Z5802">
        <v>5.8500000000000002E-3</v>
      </c>
      <c r="AA5802">
        <v>0.51200000000000001</v>
      </c>
      <c r="AB5802">
        <v>0.58499999999999996</v>
      </c>
    </row>
    <row r="5803" spans="1:28" x14ac:dyDescent="0.2">
      <c r="A5803" t="s">
        <v>645</v>
      </c>
      <c r="B5803">
        <v>2020</v>
      </c>
      <c r="C5803" t="s">
        <v>826</v>
      </c>
      <c r="D5803" t="s">
        <v>824</v>
      </c>
      <c r="E5803" t="s">
        <v>114</v>
      </c>
      <c r="F5803" t="s">
        <v>643</v>
      </c>
      <c r="G5803">
        <v>42.307222000000003</v>
      </c>
      <c r="H5803">
        <v>140.99111099999999</v>
      </c>
      <c r="I5803" t="s">
        <v>765</v>
      </c>
      <c r="J5803" s="2" t="s">
        <v>14</v>
      </c>
      <c r="K5803" t="s">
        <v>3</v>
      </c>
      <c r="L5803" t="s">
        <v>3</v>
      </c>
      <c r="M5803" t="s">
        <v>726</v>
      </c>
      <c r="N5803" t="s">
        <v>85</v>
      </c>
      <c r="O5803" t="s">
        <v>84</v>
      </c>
      <c r="Q5803">
        <v>2</v>
      </c>
      <c r="R5803" t="s">
        <v>214</v>
      </c>
      <c r="S5803" s="2" t="s">
        <v>27</v>
      </c>
      <c r="T5803">
        <v>5</v>
      </c>
      <c r="U5803" t="s">
        <v>28</v>
      </c>
      <c r="V5803" t="s">
        <v>28</v>
      </c>
      <c r="W5803">
        <v>20</v>
      </c>
      <c r="X5803">
        <v>0.44600000000000001</v>
      </c>
      <c r="Y5803">
        <v>3.5299999999999998E-2</v>
      </c>
      <c r="Z5803">
        <v>0.112</v>
      </c>
      <c r="AA5803">
        <v>0.376</v>
      </c>
      <c r="AB5803">
        <v>0.51500000000000001</v>
      </c>
    </row>
    <row r="5804" spans="1:28" x14ac:dyDescent="0.2">
      <c r="A5804" t="s">
        <v>645</v>
      </c>
      <c r="B5804">
        <v>2020</v>
      </c>
      <c r="C5804" t="s">
        <v>826</v>
      </c>
      <c r="D5804" t="s">
        <v>824</v>
      </c>
      <c r="E5804" t="s">
        <v>114</v>
      </c>
      <c r="F5804" t="s">
        <v>643</v>
      </c>
      <c r="G5804">
        <v>42.307222000000003</v>
      </c>
      <c r="H5804">
        <v>140.99111099999999</v>
      </c>
      <c r="I5804" t="s">
        <v>765</v>
      </c>
      <c r="J5804" s="2" t="s">
        <v>14</v>
      </c>
      <c r="K5804" t="s">
        <v>3</v>
      </c>
      <c r="L5804" t="s">
        <v>3</v>
      </c>
      <c r="M5804" t="s">
        <v>726</v>
      </c>
      <c r="N5804" t="s">
        <v>85</v>
      </c>
      <c r="O5804" t="s">
        <v>84</v>
      </c>
      <c r="Q5804">
        <v>2</v>
      </c>
      <c r="R5804" t="s">
        <v>214</v>
      </c>
      <c r="S5804" s="2" t="s">
        <v>13</v>
      </c>
      <c r="T5804">
        <v>5</v>
      </c>
      <c r="U5804" t="s">
        <v>28</v>
      </c>
      <c r="V5804" t="s">
        <v>28</v>
      </c>
      <c r="W5804">
        <v>24</v>
      </c>
      <c r="X5804">
        <v>0.45</v>
      </c>
      <c r="Y5804">
        <v>5.6899999999999999E-2</v>
      </c>
      <c r="Z5804">
        <v>1.7999999999999999E-2</v>
      </c>
      <c r="AA5804">
        <v>0.33900000000000002</v>
      </c>
      <c r="AB5804">
        <v>0.56200000000000006</v>
      </c>
    </row>
    <row r="5805" spans="1:28" x14ac:dyDescent="0.2">
      <c r="A5805" t="s">
        <v>645</v>
      </c>
      <c r="B5805">
        <v>2020</v>
      </c>
      <c r="C5805" t="s">
        <v>826</v>
      </c>
      <c r="D5805" t="s">
        <v>824</v>
      </c>
      <c r="E5805" t="s">
        <v>114</v>
      </c>
      <c r="F5805" t="s">
        <v>643</v>
      </c>
      <c r="G5805">
        <v>42.307222000000003</v>
      </c>
      <c r="H5805">
        <v>140.99111099999999</v>
      </c>
      <c r="I5805" t="s">
        <v>765</v>
      </c>
      <c r="J5805" s="2" t="s">
        <v>14</v>
      </c>
      <c r="K5805" t="s">
        <v>3</v>
      </c>
      <c r="L5805" t="s">
        <v>3</v>
      </c>
      <c r="M5805" t="s">
        <v>726</v>
      </c>
      <c r="N5805" t="s">
        <v>85</v>
      </c>
      <c r="O5805" t="s">
        <v>84</v>
      </c>
      <c r="Q5805">
        <v>2</v>
      </c>
      <c r="R5805" t="s">
        <v>214</v>
      </c>
      <c r="S5805" s="2" t="s">
        <v>15</v>
      </c>
      <c r="T5805">
        <v>5</v>
      </c>
      <c r="U5805" t="s">
        <v>28</v>
      </c>
      <c r="V5805" t="s">
        <v>28</v>
      </c>
      <c r="W5805">
        <v>28</v>
      </c>
      <c r="X5805">
        <v>0.20499999999999999</v>
      </c>
      <c r="Y5805">
        <v>0.14299999999999999</v>
      </c>
      <c r="Z5805">
        <v>4.53E-2</v>
      </c>
      <c r="AA5805">
        <v>-7.6100000000000001E-2</v>
      </c>
      <c r="AB5805">
        <v>0.48599999999999999</v>
      </c>
    </row>
    <row r="5806" spans="1:28" x14ac:dyDescent="0.2">
      <c r="A5806" t="s">
        <v>645</v>
      </c>
      <c r="B5806">
        <v>2020</v>
      </c>
      <c r="C5806" t="s">
        <v>826</v>
      </c>
      <c r="D5806" t="s">
        <v>824</v>
      </c>
      <c r="E5806" t="s">
        <v>114</v>
      </c>
      <c r="F5806" t="s">
        <v>643</v>
      </c>
      <c r="G5806">
        <v>42.307222000000003</v>
      </c>
      <c r="H5806">
        <v>140.99111099999999</v>
      </c>
      <c r="I5806" t="s">
        <v>765</v>
      </c>
      <c r="J5806" s="2" t="s">
        <v>14</v>
      </c>
      <c r="K5806" t="s">
        <v>3</v>
      </c>
      <c r="L5806" t="s">
        <v>3</v>
      </c>
      <c r="M5806" t="s">
        <v>726</v>
      </c>
      <c r="N5806" t="s">
        <v>85</v>
      </c>
      <c r="O5806" t="s">
        <v>84</v>
      </c>
      <c r="Q5806">
        <v>2</v>
      </c>
      <c r="R5806" t="s">
        <v>214</v>
      </c>
      <c r="S5806" s="2" t="s">
        <v>37</v>
      </c>
      <c r="T5806">
        <v>5</v>
      </c>
      <c r="U5806" t="s">
        <v>28</v>
      </c>
      <c r="V5806" t="s">
        <v>28</v>
      </c>
      <c r="W5806">
        <v>32</v>
      </c>
      <c r="X5806">
        <v>0</v>
      </c>
      <c r="Y5806">
        <v>0</v>
      </c>
      <c r="Z5806">
        <v>0</v>
      </c>
      <c r="AA5806">
        <v>0</v>
      </c>
      <c r="AB5806">
        <v>0</v>
      </c>
    </row>
    <row r="5807" spans="1:28" x14ac:dyDescent="0.2">
      <c r="A5807" t="s">
        <v>645</v>
      </c>
      <c r="B5807">
        <v>2020</v>
      </c>
      <c r="C5807" t="s">
        <v>826</v>
      </c>
      <c r="D5807" t="s">
        <v>824</v>
      </c>
      <c r="E5807" t="s">
        <v>114</v>
      </c>
      <c r="F5807" t="s">
        <v>643</v>
      </c>
      <c r="G5807">
        <v>42.307222000000003</v>
      </c>
      <c r="H5807">
        <v>140.99111099999999</v>
      </c>
      <c r="I5807" t="s">
        <v>765</v>
      </c>
      <c r="J5807" s="2" t="s">
        <v>14</v>
      </c>
      <c r="K5807" t="s">
        <v>3</v>
      </c>
      <c r="L5807" t="s">
        <v>3</v>
      </c>
      <c r="M5807" t="s">
        <v>726</v>
      </c>
      <c r="N5807" t="s">
        <v>85</v>
      </c>
      <c r="O5807" t="s">
        <v>84</v>
      </c>
      <c r="Q5807">
        <v>2</v>
      </c>
      <c r="R5807" t="s">
        <v>214</v>
      </c>
      <c r="S5807" s="2" t="s">
        <v>116</v>
      </c>
      <c r="T5807">
        <v>5</v>
      </c>
      <c r="U5807" t="s">
        <v>28</v>
      </c>
      <c r="V5807" t="s">
        <v>28</v>
      </c>
      <c r="W5807">
        <v>36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28" x14ac:dyDescent="0.2">
      <c r="A5808" t="s">
        <v>645</v>
      </c>
      <c r="B5808">
        <v>2020</v>
      </c>
      <c r="C5808" t="s">
        <v>826</v>
      </c>
      <c r="D5808" t="s">
        <v>824</v>
      </c>
      <c r="E5808" t="s">
        <v>114</v>
      </c>
      <c r="F5808" t="s">
        <v>643</v>
      </c>
      <c r="G5808">
        <v>42.307222000000003</v>
      </c>
      <c r="H5808">
        <v>140.99111099999999</v>
      </c>
      <c r="I5808" t="s">
        <v>765</v>
      </c>
      <c r="J5808" s="2" t="s">
        <v>7</v>
      </c>
      <c r="K5808" t="s">
        <v>646</v>
      </c>
      <c r="L5808" t="s">
        <v>144</v>
      </c>
      <c r="M5808" t="s">
        <v>726</v>
      </c>
      <c r="N5808" t="s">
        <v>85</v>
      </c>
      <c r="O5808" t="s">
        <v>84</v>
      </c>
      <c r="Q5808">
        <v>3</v>
      </c>
      <c r="R5808" t="s">
        <v>213</v>
      </c>
      <c r="S5808" s="2" t="s">
        <v>7</v>
      </c>
      <c r="T5808">
        <v>5</v>
      </c>
      <c r="U5808" t="s">
        <v>28</v>
      </c>
      <c r="V5808" t="s">
        <v>28</v>
      </c>
      <c r="W5808">
        <v>16</v>
      </c>
      <c r="X5808">
        <v>0.622</v>
      </c>
      <c r="Y5808">
        <v>6.3399999999999998E-2</v>
      </c>
      <c r="Z5808">
        <v>2.01E-2</v>
      </c>
      <c r="AA5808">
        <v>0.498</v>
      </c>
      <c r="AB5808">
        <v>0.747</v>
      </c>
    </row>
    <row r="5809" spans="1:28" x14ac:dyDescent="0.2">
      <c r="A5809" t="s">
        <v>645</v>
      </c>
      <c r="B5809">
        <v>2020</v>
      </c>
      <c r="C5809" t="s">
        <v>826</v>
      </c>
      <c r="D5809" t="s">
        <v>824</v>
      </c>
      <c r="E5809" t="s">
        <v>114</v>
      </c>
      <c r="F5809" t="s">
        <v>643</v>
      </c>
      <c r="G5809">
        <v>42.307222000000003</v>
      </c>
      <c r="H5809">
        <v>140.99111099999999</v>
      </c>
      <c r="I5809" t="s">
        <v>765</v>
      </c>
      <c r="J5809" s="2" t="s">
        <v>14</v>
      </c>
      <c r="K5809" t="s">
        <v>646</v>
      </c>
      <c r="L5809" t="s">
        <v>144</v>
      </c>
      <c r="M5809" t="s">
        <v>726</v>
      </c>
      <c r="N5809" t="s">
        <v>85</v>
      </c>
      <c r="O5809" t="s">
        <v>84</v>
      </c>
      <c r="Q5809">
        <v>3</v>
      </c>
      <c r="R5809" t="s">
        <v>213</v>
      </c>
      <c r="S5809" s="2" t="s">
        <v>27</v>
      </c>
      <c r="T5809">
        <v>5</v>
      </c>
      <c r="U5809" t="s">
        <v>28</v>
      </c>
      <c r="V5809" t="s">
        <v>28</v>
      </c>
      <c r="W5809">
        <v>20</v>
      </c>
      <c r="X5809">
        <v>0.66100000000000003</v>
      </c>
      <c r="Y5809">
        <v>8.8000000000000005E-3</v>
      </c>
      <c r="Z5809">
        <v>2.7799999999999999E-3</v>
      </c>
      <c r="AA5809">
        <v>0.64400000000000002</v>
      </c>
      <c r="AB5809">
        <v>0.67800000000000005</v>
      </c>
    </row>
    <row r="5810" spans="1:28" x14ac:dyDescent="0.2">
      <c r="A5810" t="s">
        <v>645</v>
      </c>
      <c r="B5810">
        <v>2020</v>
      </c>
      <c r="C5810" t="s">
        <v>826</v>
      </c>
      <c r="D5810" t="s">
        <v>824</v>
      </c>
      <c r="E5810" t="s">
        <v>114</v>
      </c>
      <c r="F5810" t="s">
        <v>643</v>
      </c>
      <c r="G5810">
        <v>42.307222000000003</v>
      </c>
      <c r="H5810">
        <v>140.99111099999999</v>
      </c>
      <c r="I5810" t="s">
        <v>765</v>
      </c>
      <c r="J5810" s="2" t="s">
        <v>14</v>
      </c>
      <c r="K5810" t="s">
        <v>646</v>
      </c>
      <c r="L5810" t="s">
        <v>144</v>
      </c>
      <c r="M5810" t="s">
        <v>726</v>
      </c>
      <c r="N5810" t="s">
        <v>85</v>
      </c>
      <c r="O5810" t="s">
        <v>84</v>
      </c>
      <c r="Q5810">
        <v>3</v>
      </c>
      <c r="R5810" t="s">
        <v>213</v>
      </c>
      <c r="S5810" s="2" t="s">
        <v>13</v>
      </c>
      <c r="T5810">
        <v>5</v>
      </c>
      <c r="U5810" t="s">
        <v>28</v>
      </c>
      <c r="V5810" t="s">
        <v>28</v>
      </c>
      <c r="W5810">
        <v>24</v>
      </c>
      <c r="X5810">
        <v>0.55900000000000005</v>
      </c>
      <c r="Y5810">
        <v>4.6699999999999998E-2</v>
      </c>
      <c r="Z5810">
        <v>1.4800000000000001E-2</v>
      </c>
      <c r="AA5810">
        <v>0.46700000000000003</v>
      </c>
      <c r="AB5810">
        <v>0.65</v>
      </c>
    </row>
    <row r="5811" spans="1:28" x14ac:dyDescent="0.2">
      <c r="A5811" t="s">
        <v>645</v>
      </c>
      <c r="B5811">
        <v>2020</v>
      </c>
      <c r="C5811" t="s">
        <v>826</v>
      </c>
      <c r="D5811" t="s">
        <v>824</v>
      </c>
      <c r="E5811" t="s">
        <v>114</v>
      </c>
      <c r="F5811" t="s">
        <v>643</v>
      </c>
      <c r="G5811">
        <v>42.307222000000003</v>
      </c>
      <c r="H5811">
        <v>140.99111099999999</v>
      </c>
      <c r="I5811" t="s">
        <v>765</v>
      </c>
      <c r="J5811" s="2" t="s">
        <v>14</v>
      </c>
      <c r="K5811" t="s">
        <v>646</v>
      </c>
      <c r="L5811" t="s">
        <v>144</v>
      </c>
      <c r="M5811" t="s">
        <v>726</v>
      </c>
      <c r="N5811" t="s">
        <v>85</v>
      </c>
      <c r="O5811" t="s">
        <v>84</v>
      </c>
      <c r="Q5811">
        <v>3</v>
      </c>
      <c r="R5811" t="s">
        <v>213</v>
      </c>
      <c r="S5811" s="2" t="s">
        <v>15</v>
      </c>
      <c r="T5811">
        <v>5</v>
      </c>
      <c r="U5811" t="s">
        <v>28</v>
      </c>
      <c r="V5811" t="s">
        <v>28</v>
      </c>
      <c r="W5811">
        <v>28</v>
      </c>
      <c r="X5811">
        <v>4.2500000000000003E-2</v>
      </c>
      <c r="Y5811">
        <v>3.2800000000000003E-2</v>
      </c>
      <c r="Z5811">
        <v>1.04E-2</v>
      </c>
      <c r="AA5811">
        <v>-2.1899999999999999E-2</v>
      </c>
      <c r="AB5811">
        <v>0.107</v>
      </c>
    </row>
    <row r="5812" spans="1:28" x14ac:dyDescent="0.2">
      <c r="A5812" t="s">
        <v>645</v>
      </c>
      <c r="B5812">
        <v>2020</v>
      </c>
      <c r="C5812" t="s">
        <v>826</v>
      </c>
      <c r="D5812" t="s">
        <v>824</v>
      </c>
      <c r="E5812" t="s">
        <v>114</v>
      </c>
      <c r="F5812" t="s">
        <v>643</v>
      </c>
      <c r="G5812">
        <v>42.307222000000003</v>
      </c>
      <c r="H5812">
        <v>140.99111099999999</v>
      </c>
      <c r="I5812" t="s">
        <v>765</v>
      </c>
      <c r="J5812" s="2" t="s">
        <v>14</v>
      </c>
      <c r="K5812" t="s">
        <v>646</v>
      </c>
      <c r="L5812" t="s">
        <v>144</v>
      </c>
      <c r="M5812" t="s">
        <v>726</v>
      </c>
      <c r="N5812" t="s">
        <v>85</v>
      </c>
      <c r="O5812" t="s">
        <v>84</v>
      </c>
      <c r="Q5812">
        <v>3</v>
      </c>
      <c r="R5812" t="s">
        <v>213</v>
      </c>
      <c r="S5812" s="2" t="s">
        <v>37</v>
      </c>
      <c r="T5812">
        <v>5</v>
      </c>
      <c r="U5812" t="s">
        <v>28</v>
      </c>
      <c r="V5812" t="s">
        <v>28</v>
      </c>
      <c r="W5812">
        <v>32</v>
      </c>
      <c r="X5812">
        <v>5.3400000000000003E-2</v>
      </c>
      <c r="Y5812">
        <v>2.4400000000000002E-2</v>
      </c>
      <c r="Z5812">
        <v>7.7099999999999998E-3</v>
      </c>
      <c r="AA5812">
        <v>5.5900000000000004E-3</v>
      </c>
      <c r="AB5812">
        <v>0.10100000000000001</v>
      </c>
    </row>
    <row r="5813" spans="1:28" x14ac:dyDescent="0.2">
      <c r="A5813" t="s">
        <v>645</v>
      </c>
      <c r="B5813">
        <v>2020</v>
      </c>
      <c r="C5813" t="s">
        <v>826</v>
      </c>
      <c r="D5813" t="s">
        <v>824</v>
      </c>
      <c r="E5813" t="s">
        <v>114</v>
      </c>
      <c r="F5813" t="s">
        <v>643</v>
      </c>
      <c r="G5813">
        <v>42.307222000000003</v>
      </c>
      <c r="H5813">
        <v>140.99111099999999</v>
      </c>
      <c r="I5813" t="s">
        <v>765</v>
      </c>
      <c r="J5813" s="2" t="s">
        <v>14</v>
      </c>
      <c r="K5813" t="s">
        <v>646</v>
      </c>
      <c r="L5813" t="s">
        <v>144</v>
      </c>
      <c r="M5813" t="s">
        <v>726</v>
      </c>
      <c r="N5813" t="s">
        <v>85</v>
      </c>
      <c r="O5813" t="s">
        <v>84</v>
      </c>
      <c r="Q5813">
        <v>3</v>
      </c>
      <c r="R5813" t="s">
        <v>213</v>
      </c>
      <c r="S5813" s="2" t="s">
        <v>116</v>
      </c>
      <c r="T5813">
        <v>5</v>
      </c>
      <c r="U5813" t="s">
        <v>28</v>
      </c>
      <c r="V5813" t="s">
        <v>28</v>
      </c>
      <c r="W5813">
        <v>36</v>
      </c>
      <c r="X5813">
        <v>3.7499999999999999E-2</v>
      </c>
      <c r="Y5813">
        <v>4.0800000000000003E-2</v>
      </c>
      <c r="Z5813">
        <v>1.29E-2</v>
      </c>
      <c r="AA5813">
        <v>-4.24E-2</v>
      </c>
      <c r="AB5813">
        <v>0.11700000000000001</v>
      </c>
    </row>
    <row r="5814" spans="1:28" x14ac:dyDescent="0.2">
      <c r="A5814" t="s">
        <v>645</v>
      </c>
      <c r="B5814">
        <v>2020</v>
      </c>
      <c r="C5814" t="s">
        <v>826</v>
      </c>
      <c r="D5814" t="s">
        <v>824</v>
      </c>
      <c r="E5814" t="s">
        <v>114</v>
      </c>
      <c r="F5814" t="s">
        <v>643</v>
      </c>
      <c r="G5814">
        <v>42.307222000000003</v>
      </c>
      <c r="H5814">
        <v>140.99111099999999</v>
      </c>
      <c r="I5814" t="s">
        <v>765</v>
      </c>
      <c r="J5814" s="2" t="s">
        <v>7</v>
      </c>
      <c r="K5814" t="s">
        <v>3</v>
      </c>
      <c r="L5814" t="s">
        <v>3</v>
      </c>
      <c r="M5814" t="s">
        <v>726</v>
      </c>
      <c r="N5814" t="s">
        <v>85</v>
      </c>
      <c r="O5814" t="s">
        <v>84</v>
      </c>
      <c r="Q5814">
        <v>3</v>
      </c>
      <c r="R5814" t="s">
        <v>213</v>
      </c>
      <c r="S5814" s="2" t="s">
        <v>7</v>
      </c>
      <c r="T5814">
        <v>5</v>
      </c>
      <c r="U5814" t="s">
        <v>28</v>
      </c>
      <c r="V5814" t="s">
        <v>28</v>
      </c>
      <c r="W5814">
        <v>12</v>
      </c>
      <c r="X5814">
        <v>0.54100000000000004</v>
      </c>
      <c r="Y5814">
        <v>2.2100000000000002E-2</v>
      </c>
      <c r="Z5814">
        <v>6.9800000000000001E-3</v>
      </c>
      <c r="AA5814">
        <v>0.497</v>
      </c>
      <c r="AB5814">
        <v>0.58399999999999996</v>
      </c>
    </row>
    <row r="5815" spans="1:28" x14ac:dyDescent="0.2">
      <c r="A5815" t="s">
        <v>645</v>
      </c>
      <c r="B5815">
        <v>2020</v>
      </c>
      <c r="C5815" t="s">
        <v>826</v>
      </c>
      <c r="D5815" t="s">
        <v>824</v>
      </c>
      <c r="E5815" t="s">
        <v>114</v>
      </c>
      <c r="F5815" t="s">
        <v>643</v>
      </c>
      <c r="G5815">
        <v>42.307222000000003</v>
      </c>
      <c r="H5815">
        <v>140.99111099999999</v>
      </c>
      <c r="I5815" t="s">
        <v>765</v>
      </c>
      <c r="J5815" s="2" t="s">
        <v>14</v>
      </c>
      <c r="K5815" t="s">
        <v>3</v>
      </c>
      <c r="L5815" t="s">
        <v>3</v>
      </c>
      <c r="M5815" t="s">
        <v>726</v>
      </c>
      <c r="N5815" t="s">
        <v>85</v>
      </c>
      <c r="O5815" t="s">
        <v>84</v>
      </c>
      <c r="Q5815">
        <v>3</v>
      </c>
      <c r="R5815" t="s">
        <v>213</v>
      </c>
      <c r="S5815" s="2" t="s">
        <v>9</v>
      </c>
      <c r="T5815">
        <v>5</v>
      </c>
      <c r="U5815" t="s">
        <v>28</v>
      </c>
      <c r="V5815" t="s">
        <v>28</v>
      </c>
      <c r="W5815">
        <v>16</v>
      </c>
      <c r="X5815">
        <v>0.56000000000000005</v>
      </c>
      <c r="Y5815">
        <v>2.2100000000000002E-2</v>
      </c>
      <c r="Z5815">
        <v>6.9899999999999997E-3</v>
      </c>
      <c r="AA5815">
        <v>0.51600000000000001</v>
      </c>
      <c r="AB5815">
        <v>0.60299999999999998</v>
      </c>
    </row>
    <row r="5816" spans="1:28" x14ac:dyDescent="0.2">
      <c r="A5816" t="s">
        <v>645</v>
      </c>
      <c r="B5816">
        <v>2020</v>
      </c>
      <c r="C5816" t="s">
        <v>826</v>
      </c>
      <c r="D5816" t="s">
        <v>824</v>
      </c>
      <c r="E5816" t="s">
        <v>114</v>
      </c>
      <c r="F5816" t="s">
        <v>643</v>
      </c>
      <c r="G5816">
        <v>42.307222000000003</v>
      </c>
      <c r="H5816">
        <v>140.99111099999999</v>
      </c>
      <c r="I5816" t="s">
        <v>765</v>
      </c>
      <c r="J5816" s="2" t="s">
        <v>14</v>
      </c>
      <c r="K5816" t="s">
        <v>3</v>
      </c>
      <c r="L5816" t="s">
        <v>3</v>
      </c>
      <c r="M5816" t="s">
        <v>726</v>
      </c>
      <c r="N5816" t="s">
        <v>85</v>
      </c>
      <c r="O5816" t="s">
        <v>84</v>
      </c>
      <c r="Q5816">
        <v>3</v>
      </c>
      <c r="R5816" t="s">
        <v>213</v>
      </c>
      <c r="S5816" s="2" t="s">
        <v>27</v>
      </c>
      <c r="T5816">
        <v>5</v>
      </c>
      <c r="U5816" t="s">
        <v>28</v>
      </c>
      <c r="V5816" t="s">
        <v>28</v>
      </c>
      <c r="W5816">
        <v>20</v>
      </c>
      <c r="X5816">
        <v>0.45300000000000001</v>
      </c>
      <c r="Y5816">
        <v>4.1599999999999998E-2</v>
      </c>
      <c r="Z5816">
        <v>1.32E-2</v>
      </c>
      <c r="AA5816">
        <v>0.371</v>
      </c>
      <c r="AB5816">
        <v>0.53400000000000003</v>
      </c>
    </row>
    <row r="5817" spans="1:28" x14ac:dyDescent="0.2">
      <c r="A5817" t="s">
        <v>645</v>
      </c>
      <c r="B5817">
        <v>2020</v>
      </c>
      <c r="C5817" t="s">
        <v>826</v>
      </c>
      <c r="D5817" t="s">
        <v>824</v>
      </c>
      <c r="E5817" t="s">
        <v>114</v>
      </c>
      <c r="F5817" t="s">
        <v>643</v>
      </c>
      <c r="G5817">
        <v>42.307222000000003</v>
      </c>
      <c r="H5817">
        <v>140.99111099999999</v>
      </c>
      <c r="I5817" t="s">
        <v>765</v>
      </c>
      <c r="J5817" s="2" t="s">
        <v>14</v>
      </c>
      <c r="K5817" t="s">
        <v>3</v>
      </c>
      <c r="L5817" t="s">
        <v>3</v>
      </c>
      <c r="M5817" t="s">
        <v>726</v>
      </c>
      <c r="N5817" t="s">
        <v>85</v>
      </c>
      <c r="O5817" t="s">
        <v>84</v>
      </c>
      <c r="Q5817">
        <v>3</v>
      </c>
      <c r="R5817" t="s">
        <v>213</v>
      </c>
      <c r="S5817" s="2" t="s">
        <v>13</v>
      </c>
      <c r="T5817">
        <v>5</v>
      </c>
      <c r="U5817" t="s">
        <v>28</v>
      </c>
      <c r="V5817" t="s">
        <v>28</v>
      </c>
      <c r="W5817">
        <v>24</v>
      </c>
      <c r="X5817">
        <v>0.47399999999999998</v>
      </c>
      <c r="Y5817">
        <v>2.98E-2</v>
      </c>
      <c r="Z5817">
        <v>9.4299999999999991E-3</v>
      </c>
      <c r="AA5817">
        <v>0.41499999999999998</v>
      </c>
      <c r="AB5817">
        <v>0.53200000000000003</v>
      </c>
    </row>
    <row r="5818" spans="1:28" x14ac:dyDescent="0.2">
      <c r="A5818" t="s">
        <v>645</v>
      </c>
      <c r="B5818">
        <v>2020</v>
      </c>
      <c r="C5818" t="s">
        <v>826</v>
      </c>
      <c r="D5818" t="s">
        <v>824</v>
      </c>
      <c r="E5818" t="s">
        <v>114</v>
      </c>
      <c r="F5818" t="s">
        <v>643</v>
      </c>
      <c r="G5818">
        <v>42.307222000000003</v>
      </c>
      <c r="H5818">
        <v>140.99111099999999</v>
      </c>
      <c r="I5818" t="s">
        <v>765</v>
      </c>
      <c r="J5818" s="2" t="s">
        <v>14</v>
      </c>
      <c r="K5818" t="s">
        <v>3</v>
      </c>
      <c r="L5818" t="s">
        <v>3</v>
      </c>
      <c r="M5818" t="s">
        <v>726</v>
      </c>
      <c r="N5818" t="s">
        <v>85</v>
      </c>
      <c r="O5818" t="s">
        <v>84</v>
      </c>
      <c r="Q5818">
        <v>3</v>
      </c>
      <c r="R5818" t="s">
        <v>213</v>
      </c>
      <c r="S5818" s="2" t="s">
        <v>15</v>
      </c>
      <c r="T5818">
        <v>5</v>
      </c>
      <c r="U5818" t="s">
        <v>28</v>
      </c>
      <c r="V5818" t="s">
        <v>28</v>
      </c>
      <c r="W5818">
        <v>28</v>
      </c>
      <c r="X5818">
        <v>7.3000000000000001E-3</v>
      </c>
      <c r="Y5818">
        <v>2.3099999999999999E-2</v>
      </c>
      <c r="Z5818">
        <v>7.3000000000000001E-3</v>
      </c>
      <c r="AA5818">
        <v>-3.7900000000000003E-2</v>
      </c>
      <c r="AB5818">
        <v>5.2499999999999998E-2</v>
      </c>
    </row>
    <row r="5819" spans="1:28" x14ac:dyDescent="0.2">
      <c r="A5819" t="s">
        <v>645</v>
      </c>
      <c r="B5819">
        <v>2020</v>
      </c>
      <c r="C5819" t="s">
        <v>826</v>
      </c>
      <c r="D5819" t="s">
        <v>824</v>
      </c>
      <c r="E5819" t="s">
        <v>114</v>
      </c>
      <c r="F5819" t="s">
        <v>643</v>
      </c>
      <c r="G5819">
        <v>42.307222000000003</v>
      </c>
      <c r="H5819">
        <v>140.99111099999999</v>
      </c>
      <c r="I5819" t="s">
        <v>765</v>
      </c>
      <c r="J5819" s="2" t="s">
        <v>14</v>
      </c>
      <c r="K5819" t="s">
        <v>3</v>
      </c>
      <c r="L5819" t="s">
        <v>3</v>
      </c>
      <c r="M5819" t="s">
        <v>726</v>
      </c>
      <c r="N5819" t="s">
        <v>85</v>
      </c>
      <c r="O5819" t="s">
        <v>84</v>
      </c>
      <c r="Q5819">
        <v>3</v>
      </c>
      <c r="R5819" t="s">
        <v>213</v>
      </c>
      <c r="S5819" s="2" t="s">
        <v>37</v>
      </c>
      <c r="T5819">
        <v>5</v>
      </c>
      <c r="U5819" t="s">
        <v>28</v>
      </c>
      <c r="V5819" t="s">
        <v>28</v>
      </c>
      <c r="W5819">
        <v>32</v>
      </c>
      <c r="X5819">
        <v>0</v>
      </c>
      <c r="Y5819">
        <v>0</v>
      </c>
      <c r="Z5819">
        <v>0</v>
      </c>
      <c r="AA5819">
        <v>0</v>
      </c>
      <c r="AB5819">
        <v>0</v>
      </c>
    </row>
    <row r="5820" spans="1:28" x14ac:dyDescent="0.2">
      <c r="A5820" t="s">
        <v>645</v>
      </c>
      <c r="B5820">
        <v>2020</v>
      </c>
      <c r="C5820" t="s">
        <v>826</v>
      </c>
      <c r="D5820" t="s">
        <v>824</v>
      </c>
      <c r="E5820" t="s">
        <v>114</v>
      </c>
      <c r="F5820" t="s">
        <v>643</v>
      </c>
      <c r="G5820">
        <v>42.307222000000003</v>
      </c>
      <c r="H5820">
        <v>140.99111099999999</v>
      </c>
      <c r="I5820" t="s">
        <v>765</v>
      </c>
      <c r="J5820" s="2" t="s">
        <v>14</v>
      </c>
      <c r="K5820" t="s">
        <v>3</v>
      </c>
      <c r="L5820" t="s">
        <v>3</v>
      </c>
      <c r="M5820" t="s">
        <v>726</v>
      </c>
      <c r="N5820" t="s">
        <v>85</v>
      </c>
      <c r="O5820" t="s">
        <v>84</v>
      </c>
      <c r="Q5820">
        <v>3</v>
      </c>
      <c r="R5820" t="s">
        <v>213</v>
      </c>
      <c r="S5820" s="2" t="s">
        <v>116</v>
      </c>
      <c r="T5820">
        <v>5</v>
      </c>
      <c r="U5820" t="s">
        <v>28</v>
      </c>
      <c r="V5820" t="s">
        <v>28</v>
      </c>
      <c r="W5820">
        <v>36</v>
      </c>
      <c r="X5820">
        <v>0</v>
      </c>
      <c r="Y5820">
        <v>0</v>
      </c>
      <c r="Z5820">
        <v>0</v>
      </c>
      <c r="AA5820">
        <v>0</v>
      </c>
      <c r="AB5820">
        <v>0</v>
      </c>
    </row>
    <row r="5821" spans="1:28" x14ac:dyDescent="0.2">
      <c r="A5821" t="s">
        <v>649</v>
      </c>
      <c r="B5821">
        <v>2019</v>
      </c>
      <c r="C5821" t="s">
        <v>807</v>
      </c>
      <c r="D5821" t="s">
        <v>808</v>
      </c>
      <c r="E5821" t="s">
        <v>650</v>
      </c>
      <c r="F5821" t="s">
        <v>651</v>
      </c>
      <c r="G5821">
        <v>42.305556000000003</v>
      </c>
      <c r="H5821">
        <v>140.988889</v>
      </c>
      <c r="I5821" t="s">
        <v>764</v>
      </c>
      <c r="J5821" s="2" t="s">
        <v>7</v>
      </c>
      <c r="K5821" t="s">
        <v>652</v>
      </c>
      <c r="L5821" t="s">
        <v>144</v>
      </c>
      <c r="M5821" t="s">
        <v>726</v>
      </c>
      <c r="N5821" t="s">
        <v>85</v>
      </c>
      <c r="O5821" t="s">
        <v>84</v>
      </c>
      <c r="Q5821">
        <f>0.5/24</f>
        <v>2.0833333333333332E-2</v>
      </c>
      <c r="R5821" t="s">
        <v>213</v>
      </c>
      <c r="S5821" s="2" t="s">
        <v>7</v>
      </c>
      <c r="T5821">
        <v>10</v>
      </c>
      <c r="U5821" t="s">
        <v>28</v>
      </c>
      <c r="V5821" t="s">
        <v>28</v>
      </c>
      <c r="W5821">
        <v>16</v>
      </c>
      <c r="X5821">
        <v>0.69689999999999996</v>
      </c>
      <c r="Y5821">
        <v>4.5260531999999999E-2</v>
      </c>
      <c r="Z5821">
        <v>1.0120563000000001E-2</v>
      </c>
      <c r="AA5821">
        <v>0.60818936000000001</v>
      </c>
      <c r="AB5821">
        <v>0.78561060000000005</v>
      </c>
    </row>
    <row r="5822" spans="1:28" x14ac:dyDescent="0.2">
      <c r="A5822" t="s">
        <v>649</v>
      </c>
      <c r="B5822">
        <v>2019</v>
      </c>
      <c r="C5822" t="s">
        <v>807</v>
      </c>
      <c r="D5822" t="s">
        <v>808</v>
      </c>
      <c r="E5822" t="s">
        <v>650</v>
      </c>
      <c r="F5822" t="s">
        <v>651</v>
      </c>
      <c r="G5822">
        <v>42.305556000000003</v>
      </c>
      <c r="H5822">
        <v>140.988889</v>
      </c>
      <c r="I5822" t="s">
        <v>764</v>
      </c>
      <c r="J5822" s="2" t="s">
        <v>14</v>
      </c>
      <c r="K5822" t="s">
        <v>652</v>
      </c>
      <c r="L5822" t="s">
        <v>144</v>
      </c>
      <c r="M5822" t="s">
        <v>726</v>
      </c>
      <c r="N5822" t="s">
        <v>85</v>
      </c>
      <c r="O5822" t="s">
        <v>84</v>
      </c>
      <c r="Q5822">
        <f>0.5/24</f>
        <v>2.0833333333333332E-2</v>
      </c>
      <c r="R5822" t="s">
        <v>213</v>
      </c>
      <c r="S5822" s="2" t="s">
        <v>13</v>
      </c>
      <c r="T5822">
        <v>10</v>
      </c>
      <c r="U5822" t="s">
        <v>28</v>
      </c>
      <c r="V5822" t="s">
        <v>28</v>
      </c>
      <c r="W5822">
        <v>18</v>
      </c>
      <c r="X5822">
        <v>0.71740000000000004</v>
      </c>
      <c r="Y5822">
        <v>1.1097546999999999E-2</v>
      </c>
      <c r="Z5822">
        <v>3.5093530000000002E-3</v>
      </c>
      <c r="AA5822">
        <v>0.69564881000000001</v>
      </c>
      <c r="AB5822">
        <v>0.73915120000000001</v>
      </c>
    </row>
    <row r="5823" spans="1:28" x14ac:dyDescent="0.2">
      <c r="A5823" t="s">
        <v>649</v>
      </c>
      <c r="B5823">
        <v>2019</v>
      </c>
      <c r="C5823" t="s">
        <v>807</v>
      </c>
      <c r="D5823" t="s">
        <v>808</v>
      </c>
      <c r="E5823" t="s">
        <v>650</v>
      </c>
      <c r="F5823" t="s">
        <v>651</v>
      </c>
      <c r="G5823">
        <v>42.305556000000003</v>
      </c>
      <c r="H5823">
        <v>140.988889</v>
      </c>
      <c r="I5823" t="s">
        <v>764</v>
      </c>
      <c r="J5823" s="2" t="s">
        <v>14</v>
      </c>
      <c r="K5823" t="s">
        <v>652</v>
      </c>
      <c r="L5823" t="s">
        <v>144</v>
      </c>
      <c r="M5823" t="s">
        <v>726</v>
      </c>
      <c r="N5823" t="s">
        <v>85</v>
      </c>
      <c r="O5823" t="s">
        <v>84</v>
      </c>
      <c r="Q5823">
        <f t="shared" ref="Q5823:Q5831" si="104">0.5/24</f>
        <v>2.0833333333333332E-2</v>
      </c>
      <c r="R5823" t="s">
        <v>213</v>
      </c>
      <c r="S5823" s="2" t="s">
        <v>15</v>
      </c>
      <c r="T5823">
        <v>10</v>
      </c>
      <c r="U5823" t="s">
        <v>28</v>
      </c>
      <c r="V5823" t="s">
        <v>28</v>
      </c>
      <c r="W5823">
        <v>20</v>
      </c>
      <c r="X5823">
        <v>0.69499999999999995</v>
      </c>
      <c r="Y5823">
        <v>1.2301761E-2</v>
      </c>
      <c r="Z5823">
        <v>3.8901589999999998E-3</v>
      </c>
      <c r="AA5823">
        <v>0.67088855000000003</v>
      </c>
      <c r="AB5823">
        <v>0.71911150000000001</v>
      </c>
    </row>
    <row r="5824" spans="1:28" x14ac:dyDescent="0.2">
      <c r="A5824" t="s">
        <v>649</v>
      </c>
      <c r="B5824">
        <v>2019</v>
      </c>
      <c r="C5824" t="s">
        <v>807</v>
      </c>
      <c r="D5824" t="s">
        <v>808</v>
      </c>
      <c r="E5824" t="s">
        <v>650</v>
      </c>
      <c r="F5824" t="s">
        <v>651</v>
      </c>
      <c r="G5824">
        <v>42.305556000000003</v>
      </c>
      <c r="H5824">
        <v>140.988889</v>
      </c>
      <c r="I5824" t="s">
        <v>764</v>
      </c>
      <c r="J5824" s="2" t="s">
        <v>14</v>
      </c>
      <c r="K5824" t="s">
        <v>652</v>
      </c>
      <c r="L5824" t="s">
        <v>144</v>
      </c>
      <c r="M5824" t="s">
        <v>726</v>
      </c>
      <c r="N5824" t="s">
        <v>85</v>
      </c>
      <c r="O5824" t="s">
        <v>84</v>
      </c>
      <c r="Q5824">
        <f t="shared" si="104"/>
        <v>2.0833333333333332E-2</v>
      </c>
      <c r="R5824" t="s">
        <v>213</v>
      </c>
      <c r="S5824" s="2" t="s">
        <v>37</v>
      </c>
      <c r="T5824">
        <v>10</v>
      </c>
      <c r="U5824" t="s">
        <v>28</v>
      </c>
      <c r="V5824" t="s">
        <v>28</v>
      </c>
      <c r="W5824">
        <v>22</v>
      </c>
      <c r="X5824">
        <v>0.66990000000000005</v>
      </c>
      <c r="Y5824">
        <v>8.9870279999999993E-3</v>
      </c>
      <c r="Z5824">
        <v>2.841948E-3</v>
      </c>
      <c r="AA5824">
        <v>0.65228543000000005</v>
      </c>
      <c r="AB5824">
        <v>0.68751459999999998</v>
      </c>
    </row>
    <row r="5825" spans="1:28" x14ac:dyDescent="0.2">
      <c r="A5825" t="s">
        <v>649</v>
      </c>
      <c r="B5825">
        <v>2019</v>
      </c>
      <c r="C5825" t="s">
        <v>807</v>
      </c>
      <c r="D5825" t="s">
        <v>808</v>
      </c>
      <c r="E5825" t="s">
        <v>650</v>
      </c>
      <c r="F5825" t="s">
        <v>651</v>
      </c>
      <c r="G5825">
        <v>42.305556000000003</v>
      </c>
      <c r="H5825">
        <v>140.988889</v>
      </c>
      <c r="I5825" t="s">
        <v>764</v>
      </c>
      <c r="J5825" s="2" t="s">
        <v>14</v>
      </c>
      <c r="K5825" t="s">
        <v>652</v>
      </c>
      <c r="L5825" t="s">
        <v>144</v>
      </c>
      <c r="M5825" t="s">
        <v>726</v>
      </c>
      <c r="N5825" t="s">
        <v>85</v>
      </c>
      <c r="O5825" t="s">
        <v>84</v>
      </c>
      <c r="Q5825">
        <f t="shared" si="104"/>
        <v>2.0833333333333332E-2</v>
      </c>
      <c r="R5825" t="s">
        <v>213</v>
      </c>
      <c r="S5825" s="2" t="s">
        <v>116</v>
      </c>
      <c r="T5825">
        <v>10</v>
      </c>
      <c r="U5825" t="s">
        <v>28</v>
      </c>
      <c r="V5825" t="s">
        <v>28</v>
      </c>
      <c r="W5825">
        <v>24</v>
      </c>
      <c r="X5825">
        <v>0.64849999999999997</v>
      </c>
      <c r="Y5825">
        <v>1.7883884999999999E-2</v>
      </c>
      <c r="Z5825">
        <v>5.6553810000000001E-3</v>
      </c>
      <c r="AA5825">
        <v>0.61344759000000004</v>
      </c>
      <c r="AB5825">
        <v>0.68355239999999995</v>
      </c>
    </row>
    <row r="5826" spans="1:28" x14ac:dyDescent="0.2">
      <c r="A5826" t="s">
        <v>649</v>
      </c>
      <c r="B5826">
        <v>2019</v>
      </c>
      <c r="C5826" t="s">
        <v>807</v>
      </c>
      <c r="D5826" t="s">
        <v>808</v>
      </c>
      <c r="E5826" t="s">
        <v>650</v>
      </c>
      <c r="F5826" t="s">
        <v>651</v>
      </c>
      <c r="G5826">
        <v>42.305556000000003</v>
      </c>
      <c r="H5826">
        <v>140.988889</v>
      </c>
      <c r="I5826" t="s">
        <v>764</v>
      </c>
      <c r="J5826" s="2" t="s">
        <v>14</v>
      </c>
      <c r="K5826" t="s">
        <v>652</v>
      </c>
      <c r="L5826" t="s">
        <v>144</v>
      </c>
      <c r="M5826" t="s">
        <v>726</v>
      </c>
      <c r="N5826" t="s">
        <v>85</v>
      </c>
      <c r="O5826" t="s">
        <v>84</v>
      </c>
      <c r="Q5826">
        <f t="shared" si="104"/>
        <v>2.0833333333333332E-2</v>
      </c>
      <c r="R5826" t="s">
        <v>213</v>
      </c>
      <c r="S5826" s="2" t="s">
        <v>117</v>
      </c>
      <c r="T5826">
        <v>10</v>
      </c>
      <c r="U5826" t="s">
        <v>28</v>
      </c>
      <c r="V5826" t="s">
        <v>28</v>
      </c>
      <c r="W5826">
        <v>26</v>
      </c>
      <c r="X5826">
        <v>0.63990000000000002</v>
      </c>
      <c r="Y5826">
        <v>1.1386639E-2</v>
      </c>
      <c r="Z5826">
        <v>3.6007719999999999E-3</v>
      </c>
      <c r="AA5826">
        <v>0.61758219000000003</v>
      </c>
      <c r="AB5826">
        <v>0.66221779999999997</v>
      </c>
    </row>
    <row r="5827" spans="1:28" x14ac:dyDescent="0.2">
      <c r="A5827" t="s">
        <v>649</v>
      </c>
      <c r="B5827">
        <v>2019</v>
      </c>
      <c r="C5827" t="s">
        <v>807</v>
      </c>
      <c r="D5827" t="s">
        <v>808</v>
      </c>
      <c r="E5827" t="s">
        <v>650</v>
      </c>
      <c r="F5827" t="s">
        <v>651</v>
      </c>
      <c r="G5827">
        <v>42.305556000000003</v>
      </c>
      <c r="H5827">
        <v>140.988889</v>
      </c>
      <c r="I5827" t="s">
        <v>764</v>
      </c>
      <c r="J5827" s="2" t="s">
        <v>14</v>
      </c>
      <c r="K5827" t="s">
        <v>652</v>
      </c>
      <c r="L5827" t="s">
        <v>144</v>
      </c>
      <c r="M5827" t="s">
        <v>726</v>
      </c>
      <c r="N5827" t="s">
        <v>85</v>
      </c>
      <c r="O5827" t="s">
        <v>84</v>
      </c>
      <c r="Q5827">
        <f t="shared" si="104"/>
        <v>2.0833333333333332E-2</v>
      </c>
      <c r="R5827" t="s">
        <v>213</v>
      </c>
      <c r="S5827" s="2" t="s">
        <v>118</v>
      </c>
      <c r="T5827">
        <v>10</v>
      </c>
      <c r="U5827" t="s">
        <v>28</v>
      </c>
      <c r="V5827" t="s">
        <v>28</v>
      </c>
      <c r="W5827">
        <v>28</v>
      </c>
      <c r="X5827">
        <v>0.61860000000000004</v>
      </c>
      <c r="Y5827">
        <v>1.2937456E-2</v>
      </c>
      <c r="Z5827">
        <v>4.091183E-3</v>
      </c>
      <c r="AA5827">
        <v>0.59324259000000001</v>
      </c>
      <c r="AB5827">
        <v>0.64395740000000001</v>
      </c>
    </row>
    <row r="5828" spans="1:28" x14ac:dyDescent="0.2">
      <c r="A5828" t="s">
        <v>649</v>
      </c>
      <c r="B5828">
        <v>2019</v>
      </c>
      <c r="C5828" t="s">
        <v>807</v>
      </c>
      <c r="D5828" t="s">
        <v>808</v>
      </c>
      <c r="E5828" t="s">
        <v>650</v>
      </c>
      <c r="F5828" t="s">
        <v>651</v>
      </c>
      <c r="G5828">
        <v>42.305556000000003</v>
      </c>
      <c r="H5828">
        <v>140.988889</v>
      </c>
      <c r="I5828" t="s">
        <v>764</v>
      </c>
      <c r="J5828" s="2" t="s">
        <v>14</v>
      </c>
      <c r="K5828" t="s">
        <v>652</v>
      </c>
      <c r="L5828" t="s">
        <v>144</v>
      </c>
      <c r="M5828" t="s">
        <v>726</v>
      </c>
      <c r="N5828" t="s">
        <v>85</v>
      </c>
      <c r="O5828" t="s">
        <v>84</v>
      </c>
      <c r="Q5828">
        <f t="shared" si="104"/>
        <v>2.0833333333333332E-2</v>
      </c>
      <c r="R5828" t="s">
        <v>213</v>
      </c>
      <c r="S5828" s="2" t="s">
        <v>177</v>
      </c>
      <c r="T5828">
        <v>10</v>
      </c>
      <c r="U5828" t="s">
        <v>28</v>
      </c>
      <c r="V5828" t="s">
        <v>28</v>
      </c>
      <c r="W5828">
        <v>30</v>
      </c>
      <c r="X5828">
        <v>0.60850000000000004</v>
      </c>
      <c r="Y5828">
        <v>2.0381091E-2</v>
      </c>
      <c r="Z5828">
        <v>6.4450669999999996E-3</v>
      </c>
      <c r="AA5828">
        <v>0.56855306000000005</v>
      </c>
      <c r="AB5828">
        <v>0.64844690000000005</v>
      </c>
    </row>
    <row r="5829" spans="1:28" x14ac:dyDescent="0.2">
      <c r="A5829" t="s">
        <v>649</v>
      </c>
      <c r="B5829">
        <v>2019</v>
      </c>
      <c r="C5829" t="s">
        <v>807</v>
      </c>
      <c r="D5829" t="s">
        <v>808</v>
      </c>
      <c r="E5829" t="s">
        <v>650</v>
      </c>
      <c r="F5829" t="s">
        <v>651</v>
      </c>
      <c r="G5829">
        <v>42.305556000000003</v>
      </c>
      <c r="H5829">
        <v>140.988889</v>
      </c>
      <c r="I5829" t="s">
        <v>764</v>
      </c>
      <c r="J5829" s="2" t="s">
        <v>14</v>
      </c>
      <c r="K5829" t="s">
        <v>652</v>
      </c>
      <c r="L5829" t="s">
        <v>144</v>
      </c>
      <c r="M5829" t="s">
        <v>726</v>
      </c>
      <c r="N5829" t="s">
        <v>85</v>
      </c>
      <c r="O5829" t="s">
        <v>84</v>
      </c>
      <c r="Q5829">
        <f t="shared" si="104"/>
        <v>2.0833333333333332E-2</v>
      </c>
      <c r="R5829" t="s">
        <v>213</v>
      </c>
      <c r="S5829" s="2" t="s">
        <v>178</v>
      </c>
      <c r="T5829">
        <v>10</v>
      </c>
      <c r="U5829" t="s">
        <v>28</v>
      </c>
      <c r="V5829" t="s">
        <v>28</v>
      </c>
      <c r="W5829">
        <v>32</v>
      </c>
      <c r="X5829">
        <v>0.49080000000000001</v>
      </c>
      <c r="Y5829">
        <v>0.115029272</v>
      </c>
      <c r="Z5829">
        <v>3.6375449999999997E-2</v>
      </c>
      <c r="AA5829">
        <v>0.26534263000000002</v>
      </c>
      <c r="AB5829">
        <v>0.71625740000000004</v>
      </c>
    </row>
    <row r="5830" spans="1:28" x14ac:dyDescent="0.2">
      <c r="A5830" t="s">
        <v>649</v>
      </c>
      <c r="B5830">
        <v>2019</v>
      </c>
      <c r="C5830" t="s">
        <v>807</v>
      </c>
      <c r="D5830" t="s">
        <v>808</v>
      </c>
      <c r="E5830" t="s">
        <v>650</v>
      </c>
      <c r="F5830" t="s">
        <v>651</v>
      </c>
      <c r="G5830">
        <v>42.305556000000003</v>
      </c>
      <c r="H5830">
        <v>140.988889</v>
      </c>
      <c r="I5830" t="s">
        <v>764</v>
      </c>
      <c r="J5830" s="2" t="s">
        <v>14</v>
      </c>
      <c r="K5830" t="s">
        <v>652</v>
      </c>
      <c r="L5830" t="s">
        <v>144</v>
      </c>
      <c r="M5830" t="s">
        <v>726</v>
      </c>
      <c r="N5830" t="s">
        <v>85</v>
      </c>
      <c r="O5830" t="s">
        <v>84</v>
      </c>
      <c r="Q5830">
        <f t="shared" si="104"/>
        <v>2.0833333333333332E-2</v>
      </c>
      <c r="R5830" t="s">
        <v>213</v>
      </c>
      <c r="S5830" s="2" t="s">
        <v>179</v>
      </c>
      <c r="T5830">
        <v>10</v>
      </c>
      <c r="U5830" t="s">
        <v>28</v>
      </c>
      <c r="V5830" t="s">
        <v>28</v>
      </c>
      <c r="W5830">
        <v>34</v>
      </c>
      <c r="X5830">
        <v>0.26889999999999997</v>
      </c>
      <c r="Y5830">
        <v>0.174362617</v>
      </c>
      <c r="Z5830">
        <v>5.5138301000000001E-2</v>
      </c>
      <c r="AA5830">
        <v>-7.2850730000000002E-2</v>
      </c>
      <c r="AB5830">
        <v>0.61065069999999999</v>
      </c>
    </row>
    <row r="5831" spans="1:28" x14ac:dyDescent="0.2">
      <c r="A5831" t="s">
        <v>649</v>
      </c>
      <c r="B5831">
        <v>2019</v>
      </c>
      <c r="C5831" t="s">
        <v>807</v>
      </c>
      <c r="D5831" t="s">
        <v>808</v>
      </c>
      <c r="E5831" t="s">
        <v>650</v>
      </c>
      <c r="F5831" t="s">
        <v>651</v>
      </c>
      <c r="G5831">
        <v>42.305556000000003</v>
      </c>
      <c r="H5831">
        <v>140.988889</v>
      </c>
      <c r="I5831" t="s">
        <v>764</v>
      </c>
      <c r="J5831" s="2" t="s">
        <v>14</v>
      </c>
      <c r="K5831" t="s">
        <v>652</v>
      </c>
      <c r="L5831" t="s">
        <v>144</v>
      </c>
      <c r="M5831" t="s">
        <v>726</v>
      </c>
      <c r="N5831" t="s">
        <v>85</v>
      </c>
      <c r="O5831" t="s">
        <v>84</v>
      </c>
      <c r="Q5831">
        <f t="shared" si="104"/>
        <v>2.0833333333333332E-2</v>
      </c>
      <c r="R5831" t="s">
        <v>213</v>
      </c>
      <c r="S5831" s="2" t="s">
        <v>180</v>
      </c>
      <c r="T5831">
        <v>10</v>
      </c>
      <c r="U5831" t="s">
        <v>28</v>
      </c>
      <c r="V5831" t="s">
        <v>28</v>
      </c>
      <c r="W5831">
        <v>36</v>
      </c>
      <c r="X5831">
        <v>5.0200000000000002E-2</v>
      </c>
      <c r="Y5831">
        <v>3.9625469000000003E-2</v>
      </c>
      <c r="Z5831">
        <v>1.2530673000000001E-2</v>
      </c>
      <c r="AA5831">
        <v>-2.7465920000000001E-2</v>
      </c>
      <c r="AB5831">
        <v>0.1278659</v>
      </c>
    </row>
    <row r="5832" spans="1:28" x14ac:dyDescent="0.2">
      <c r="A5832" t="s">
        <v>649</v>
      </c>
      <c r="B5832">
        <v>2019</v>
      </c>
      <c r="C5832" t="s">
        <v>807</v>
      </c>
      <c r="D5832" t="s">
        <v>808</v>
      </c>
      <c r="E5832" t="s">
        <v>650</v>
      </c>
      <c r="F5832" t="s">
        <v>653</v>
      </c>
      <c r="G5832">
        <v>41.936110999999997</v>
      </c>
      <c r="H5832">
        <v>140.94999999999999</v>
      </c>
      <c r="I5832" t="s">
        <v>764</v>
      </c>
      <c r="J5832" s="2" t="s">
        <v>7</v>
      </c>
      <c r="K5832" t="s">
        <v>3</v>
      </c>
      <c r="L5832" t="s">
        <v>3</v>
      </c>
      <c r="M5832" t="s">
        <v>726</v>
      </c>
      <c r="N5832" t="s">
        <v>85</v>
      </c>
      <c r="O5832" t="s">
        <v>84</v>
      </c>
      <c r="Q5832">
        <f>0.5/24</f>
        <v>2.0833333333333332E-2</v>
      </c>
      <c r="R5832" t="s">
        <v>213</v>
      </c>
      <c r="S5832" s="2" t="s">
        <v>7</v>
      </c>
      <c r="T5832">
        <v>10</v>
      </c>
      <c r="U5832" t="s">
        <v>28</v>
      </c>
      <c r="V5832" t="s">
        <v>28</v>
      </c>
      <c r="W5832">
        <v>12</v>
      </c>
      <c r="X5832">
        <v>0.51949999999999996</v>
      </c>
      <c r="Y5832">
        <v>3.6712849999999998E-2</v>
      </c>
      <c r="Z5832">
        <v>1.1609619999999999E-2</v>
      </c>
      <c r="AA5832">
        <v>0.44754281000000001</v>
      </c>
      <c r="AB5832">
        <v>0.59145720000000002</v>
      </c>
    </row>
    <row r="5833" spans="1:28" x14ac:dyDescent="0.2">
      <c r="A5833" t="s">
        <v>649</v>
      </c>
      <c r="B5833">
        <v>2019</v>
      </c>
      <c r="C5833" t="s">
        <v>807</v>
      </c>
      <c r="D5833" t="s">
        <v>808</v>
      </c>
      <c r="E5833" t="s">
        <v>650</v>
      </c>
      <c r="F5833" t="s">
        <v>653</v>
      </c>
      <c r="G5833">
        <v>41.936110999999997</v>
      </c>
      <c r="H5833">
        <v>140.94999999999999</v>
      </c>
      <c r="I5833" t="s">
        <v>764</v>
      </c>
      <c r="J5833" s="2" t="s">
        <v>14</v>
      </c>
      <c r="K5833" t="s">
        <v>3</v>
      </c>
      <c r="L5833" t="s">
        <v>3</v>
      </c>
      <c r="M5833" t="s">
        <v>726</v>
      </c>
      <c r="N5833" t="s">
        <v>85</v>
      </c>
      <c r="O5833" t="s">
        <v>84</v>
      </c>
      <c r="Q5833">
        <f>0.5/24</f>
        <v>2.0833333333333332E-2</v>
      </c>
      <c r="R5833" t="s">
        <v>213</v>
      </c>
      <c r="S5833" s="2" t="s">
        <v>9</v>
      </c>
      <c r="T5833">
        <v>10</v>
      </c>
      <c r="U5833" t="s">
        <v>28</v>
      </c>
      <c r="V5833" t="s">
        <v>28</v>
      </c>
      <c r="W5833">
        <v>14</v>
      </c>
      <c r="X5833">
        <v>0.52459999999999996</v>
      </c>
      <c r="Y5833">
        <v>3.6139240000000003E-2</v>
      </c>
      <c r="Z5833">
        <v>1.1428229999999999E-2</v>
      </c>
      <c r="AA5833">
        <v>0.45376709999999998</v>
      </c>
      <c r="AB5833">
        <v>0.59543290000000004</v>
      </c>
    </row>
    <row r="5834" spans="1:28" x14ac:dyDescent="0.2">
      <c r="A5834" t="s">
        <v>649</v>
      </c>
      <c r="B5834">
        <v>2019</v>
      </c>
      <c r="C5834" t="s">
        <v>807</v>
      </c>
      <c r="D5834" t="s">
        <v>808</v>
      </c>
      <c r="E5834" t="s">
        <v>650</v>
      </c>
      <c r="F5834" t="s">
        <v>653</v>
      </c>
      <c r="G5834">
        <v>41.936110999999997</v>
      </c>
      <c r="H5834">
        <v>140.94999999999999</v>
      </c>
      <c r="I5834" t="s">
        <v>764</v>
      </c>
      <c r="J5834" s="2" t="s">
        <v>14</v>
      </c>
      <c r="K5834" t="s">
        <v>3</v>
      </c>
      <c r="L5834" t="s">
        <v>3</v>
      </c>
      <c r="M5834" t="s">
        <v>726</v>
      </c>
      <c r="N5834" t="s">
        <v>85</v>
      </c>
      <c r="O5834" t="s">
        <v>84</v>
      </c>
      <c r="Q5834">
        <f t="shared" ref="Q5834:Q5870" si="105">0.5/24</f>
        <v>2.0833333333333332E-2</v>
      </c>
      <c r="R5834" t="s">
        <v>213</v>
      </c>
      <c r="S5834" s="2" t="s">
        <v>27</v>
      </c>
      <c r="T5834">
        <v>10</v>
      </c>
      <c r="U5834" t="s">
        <v>28</v>
      </c>
      <c r="V5834" t="s">
        <v>28</v>
      </c>
      <c r="W5834">
        <v>16</v>
      </c>
      <c r="X5834">
        <v>0.47649999999999998</v>
      </c>
      <c r="Y5834">
        <v>6.2085260000000003E-2</v>
      </c>
      <c r="Z5834">
        <v>1.388269E-2</v>
      </c>
      <c r="AA5834">
        <v>0.35481289999999999</v>
      </c>
      <c r="AB5834">
        <v>0.59818709999999997</v>
      </c>
    </row>
    <row r="5835" spans="1:28" x14ac:dyDescent="0.2">
      <c r="A5835" t="s">
        <v>649</v>
      </c>
      <c r="B5835">
        <v>2019</v>
      </c>
      <c r="C5835" t="s">
        <v>807</v>
      </c>
      <c r="D5835" t="s">
        <v>808</v>
      </c>
      <c r="E5835" t="s">
        <v>650</v>
      </c>
      <c r="F5835" t="s">
        <v>653</v>
      </c>
      <c r="G5835">
        <v>41.936110999999997</v>
      </c>
      <c r="H5835">
        <v>140.94999999999999</v>
      </c>
      <c r="I5835" t="s">
        <v>764</v>
      </c>
      <c r="J5835" s="2" t="s">
        <v>14</v>
      </c>
      <c r="K5835" t="s">
        <v>3</v>
      </c>
      <c r="L5835" t="s">
        <v>3</v>
      </c>
      <c r="M5835" t="s">
        <v>726</v>
      </c>
      <c r="N5835" t="s">
        <v>85</v>
      </c>
      <c r="O5835" t="s">
        <v>84</v>
      </c>
      <c r="Q5835">
        <f t="shared" si="105"/>
        <v>2.0833333333333332E-2</v>
      </c>
      <c r="R5835" t="s">
        <v>213</v>
      </c>
      <c r="S5835" s="2" t="s">
        <v>13</v>
      </c>
      <c r="T5835">
        <v>10</v>
      </c>
      <c r="U5835" t="s">
        <v>28</v>
      </c>
      <c r="V5835" t="s">
        <v>28</v>
      </c>
      <c r="W5835">
        <v>18</v>
      </c>
      <c r="X5835">
        <v>0.49440000000000001</v>
      </c>
      <c r="Y5835">
        <v>4.2293160000000003E-2</v>
      </c>
      <c r="Z5835">
        <v>1.3374270000000001E-2</v>
      </c>
      <c r="AA5835">
        <v>0.41150541000000002</v>
      </c>
      <c r="AB5835">
        <v>0.57729459999999999</v>
      </c>
    </row>
    <row r="5836" spans="1:28" x14ac:dyDescent="0.2">
      <c r="A5836" t="s">
        <v>649</v>
      </c>
      <c r="B5836">
        <v>2019</v>
      </c>
      <c r="C5836" t="s">
        <v>807</v>
      </c>
      <c r="D5836" t="s">
        <v>808</v>
      </c>
      <c r="E5836" t="s">
        <v>650</v>
      </c>
      <c r="F5836" t="s">
        <v>653</v>
      </c>
      <c r="G5836">
        <v>41.936110999999997</v>
      </c>
      <c r="H5836">
        <v>140.94999999999999</v>
      </c>
      <c r="I5836" t="s">
        <v>764</v>
      </c>
      <c r="J5836" s="2" t="s">
        <v>14</v>
      </c>
      <c r="K5836" t="s">
        <v>3</v>
      </c>
      <c r="L5836" t="s">
        <v>3</v>
      </c>
      <c r="M5836" t="s">
        <v>726</v>
      </c>
      <c r="N5836" t="s">
        <v>85</v>
      </c>
      <c r="O5836" t="s">
        <v>84</v>
      </c>
      <c r="Q5836">
        <f t="shared" si="105"/>
        <v>2.0833333333333332E-2</v>
      </c>
      <c r="R5836" t="s">
        <v>213</v>
      </c>
      <c r="S5836" s="2" t="s">
        <v>15</v>
      </c>
      <c r="T5836">
        <v>10</v>
      </c>
      <c r="U5836" t="s">
        <v>28</v>
      </c>
      <c r="V5836" t="s">
        <v>28</v>
      </c>
      <c r="W5836">
        <v>20</v>
      </c>
      <c r="X5836">
        <v>0.45329999999999998</v>
      </c>
      <c r="Y5836">
        <v>4.7272380000000003E-2</v>
      </c>
      <c r="Z5836">
        <v>1.494884E-2</v>
      </c>
      <c r="AA5836">
        <v>0.36064614</v>
      </c>
      <c r="AB5836">
        <v>0.54595389999999999</v>
      </c>
    </row>
    <row r="5837" spans="1:28" x14ac:dyDescent="0.2">
      <c r="A5837" t="s">
        <v>649</v>
      </c>
      <c r="B5837">
        <v>2019</v>
      </c>
      <c r="C5837" t="s">
        <v>807</v>
      </c>
      <c r="D5837" t="s">
        <v>808</v>
      </c>
      <c r="E5837" t="s">
        <v>650</v>
      </c>
      <c r="F5837" t="s">
        <v>653</v>
      </c>
      <c r="G5837">
        <v>41.936110999999997</v>
      </c>
      <c r="H5837">
        <v>140.94999999999999</v>
      </c>
      <c r="I5837" t="s">
        <v>764</v>
      </c>
      <c r="J5837" s="2" t="s">
        <v>14</v>
      </c>
      <c r="K5837" t="s">
        <v>3</v>
      </c>
      <c r="L5837" t="s">
        <v>3</v>
      </c>
      <c r="M5837" t="s">
        <v>726</v>
      </c>
      <c r="N5837" t="s">
        <v>85</v>
      </c>
      <c r="O5837" t="s">
        <v>84</v>
      </c>
      <c r="Q5837">
        <f t="shared" si="105"/>
        <v>2.0833333333333332E-2</v>
      </c>
      <c r="R5837" t="s">
        <v>213</v>
      </c>
      <c r="S5837" s="2" t="s">
        <v>37</v>
      </c>
      <c r="T5837">
        <v>10</v>
      </c>
      <c r="U5837" t="s">
        <v>28</v>
      </c>
      <c r="V5837" t="s">
        <v>28</v>
      </c>
      <c r="W5837">
        <v>22</v>
      </c>
      <c r="X5837">
        <v>0.498</v>
      </c>
      <c r="Y5837">
        <v>4.3893809999999998E-2</v>
      </c>
      <c r="Z5837">
        <v>1.3880440000000001E-2</v>
      </c>
      <c r="AA5837">
        <v>0.41196812999999999</v>
      </c>
      <c r="AB5837">
        <v>0.58403190000000005</v>
      </c>
    </row>
    <row r="5838" spans="1:28" x14ac:dyDescent="0.2">
      <c r="A5838" t="s">
        <v>649</v>
      </c>
      <c r="B5838">
        <v>2019</v>
      </c>
      <c r="C5838" t="s">
        <v>807</v>
      </c>
      <c r="D5838" t="s">
        <v>808</v>
      </c>
      <c r="E5838" t="s">
        <v>650</v>
      </c>
      <c r="F5838" t="s">
        <v>653</v>
      </c>
      <c r="G5838">
        <v>41.936110999999997</v>
      </c>
      <c r="H5838">
        <v>140.94999999999999</v>
      </c>
      <c r="I5838" t="s">
        <v>764</v>
      </c>
      <c r="J5838" s="2" t="s">
        <v>14</v>
      </c>
      <c r="K5838" t="s">
        <v>3</v>
      </c>
      <c r="L5838" t="s">
        <v>3</v>
      </c>
      <c r="M5838" t="s">
        <v>726</v>
      </c>
      <c r="N5838" t="s">
        <v>85</v>
      </c>
      <c r="O5838" t="s">
        <v>84</v>
      </c>
      <c r="Q5838">
        <f t="shared" si="105"/>
        <v>2.0833333333333332E-2</v>
      </c>
      <c r="R5838" t="s">
        <v>213</v>
      </c>
      <c r="S5838" s="2" t="s">
        <v>116</v>
      </c>
      <c r="T5838">
        <v>10</v>
      </c>
      <c r="U5838" t="s">
        <v>28</v>
      </c>
      <c r="V5838" t="s">
        <v>28</v>
      </c>
      <c r="W5838">
        <v>24</v>
      </c>
      <c r="X5838">
        <v>0.4289</v>
      </c>
      <c r="Y5838">
        <v>4.0181389999999997E-2</v>
      </c>
      <c r="Z5838">
        <v>1.2706469999999999E-2</v>
      </c>
      <c r="AA5838">
        <v>0.35014446999999999</v>
      </c>
      <c r="AB5838">
        <v>0.50765550000000004</v>
      </c>
    </row>
    <row r="5839" spans="1:28" x14ac:dyDescent="0.2">
      <c r="A5839" t="s">
        <v>649</v>
      </c>
      <c r="B5839">
        <v>2019</v>
      </c>
      <c r="C5839" t="s">
        <v>807</v>
      </c>
      <c r="D5839" t="s">
        <v>808</v>
      </c>
      <c r="E5839" t="s">
        <v>650</v>
      </c>
      <c r="F5839" t="s">
        <v>653</v>
      </c>
      <c r="G5839">
        <v>41.936110999999997</v>
      </c>
      <c r="H5839">
        <v>140.94999999999999</v>
      </c>
      <c r="I5839" t="s">
        <v>764</v>
      </c>
      <c r="J5839" s="2" t="s">
        <v>14</v>
      </c>
      <c r="K5839" t="s">
        <v>3</v>
      </c>
      <c r="L5839" t="s">
        <v>3</v>
      </c>
      <c r="M5839" t="s">
        <v>726</v>
      </c>
      <c r="N5839" t="s">
        <v>85</v>
      </c>
      <c r="O5839" t="s">
        <v>84</v>
      </c>
      <c r="Q5839">
        <f t="shared" si="105"/>
        <v>2.0833333333333332E-2</v>
      </c>
      <c r="R5839" t="s">
        <v>213</v>
      </c>
      <c r="S5839" s="2" t="s">
        <v>117</v>
      </c>
      <c r="T5839">
        <v>10</v>
      </c>
      <c r="U5839" t="s">
        <v>28</v>
      </c>
      <c r="V5839" t="s">
        <v>28</v>
      </c>
      <c r="W5839">
        <v>26</v>
      </c>
      <c r="X5839">
        <v>0.40410000000000001</v>
      </c>
      <c r="Y5839">
        <v>3.7278079999999998E-2</v>
      </c>
      <c r="Z5839">
        <v>1.1788369999999999E-2</v>
      </c>
      <c r="AA5839">
        <v>0.33103495999999999</v>
      </c>
      <c r="AB5839">
        <v>0.47716500000000001</v>
      </c>
    </row>
    <row r="5840" spans="1:28" x14ac:dyDescent="0.2">
      <c r="A5840" t="s">
        <v>649</v>
      </c>
      <c r="B5840">
        <v>2019</v>
      </c>
      <c r="C5840" t="s">
        <v>807</v>
      </c>
      <c r="D5840" t="s">
        <v>808</v>
      </c>
      <c r="E5840" t="s">
        <v>650</v>
      </c>
      <c r="F5840" t="s">
        <v>653</v>
      </c>
      <c r="G5840">
        <v>41.936110999999997</v>
      </c>
      <c r="H5840">
        <v>140.94999999999999</v>
      </c>
      <c r="I5840" t="s">
        <v>764</v>
      </c>
      <c r="J5840" s="2" t="s">
        <v>14</v>
      </c>
      <c r="K5840" t="s">
        <v>3</v>
      </c>
      <c r="L5840" t="s">
        <v>3</v>
      </c>
      <c r="M5840" t="s">
        <v>726</v>
      </c>
      <c r="N5840" t="s">
        <v>85</v>
      </c>
      <c r="O5840" t="s">
        <v>84</v>
      </c>
      <c r="Q5840">
        <f t="shared" si="105"/>
        <v>2.0833333333333332E-2</v>
      </c>
      <c r="R5840" t="s">
        <v>213</v>
      </c>
      <c r="S5840" s="2" t="s">
        <v>118</v>
      </c>
      <c r="T5840">
        <v>10</v>
      </c>
      <c r="U5840" t="s">
        <v>28</v>
      </c>
      <c r="V5840" t="s">
        <v>28</v>
      </c>
      <c r="W5840">
        <v>28</v>
      </c>
      <c r="X5840">
        <v>0.36309999999999998</v>
      </c>
      <c r="Y5840">
        <v>6.5163810000000003E-2</v>
      </c>
      <c r="Z5840">
        <v>2.0606610000000001E-2</v>
      </c>
      <c r="AA5840">
        <v>0.23537892999999999</v>
      </c>
      <c r="AB5840">
        <v>0.49082110000000001</v>
      </c>
    </row>
    <row r="5841" spans="1:28" x14ac:dyDescent="0.2">
      <c r="A5841" t="s">
        <v>649</v>
      </c>
      <c r="B5841">
        <v>2019</v>
      </c>
      <c r="C5841" t="s">
        <v>807</v>
      </c>
      <c r="D5841" t="s">
        <v>808</v>
      </c>
      <c r="E5841" t="s">
        <v>650</v>
      </c>
      <c r="F5841" t="s">
        <v>653</v>
      </c>
      <c r="G5841">
        <v>41.936110999999997</v>
      </c>
      <c r="H5841">
        <v>140.94999999999999</v>
      </c>
      <c r="I5841" t="s">
        <v>764</v>
      </c>
      <c r="J5841" s="2" t="s">
        <v>14</v>
      </c>
      <c r="K5841" t="s">
        <v>3</v>
      </c>
      <c r="L5841" t="s">
        <v>3</v>
      </c>
      <c r="M5841" t="s">
        <v>726</v>
      </c>
      <c r="N5841" t="s">
        <v>85</v>
      </c>
      <c r="O5841" t="s">
        <v>84</v>
      </c>
      <c r="Q5841">
        <f t="shared" si="105"/>
        <v>2.0833333333333332E-2</v>
      </c>
      <c r="R5841" t="s">
        <v>213</v>
      </c>
      <c r="S5841" s="2" t="s">
        <v>177</v>
      </c>
      <c r="T5841">
        <v>10</v>
      </c>
      <c r="U5841" t="s">
        <v>28</v>
      </c>
      <c r="V5841" t="s">
        <v>28</v>
      </c>
      <c r="W5841">
        <v>30</v>
      </c>
      <c r="X5841">
        <v>0.29220000000000002</v>
      </c>
      <c r="Y5841">
        <v>5.0736360000000001E-2</v>
      </c>
      <c r="Z5841">
        <v>1.6044240000000001E-2</v>
      </c>
      <c r="AA5841">
        <v>0.19275674000000001</v>
      </c>
      <c r="AB5841">
        <v>0.39164330000000003</v>
      </c>
    </row>
    <row r="5842" spans="1:28" x14ac:dyDescent="0.2">
      <c r="A5842" t="s">
        <v>649</v>
      </c>
      <c r="B5842">
        <v>2019</v>
      </c>
      <c r="C5842" t="s">
        <v>807</v>
      </c>
      <c r="D5842" t="s">
        <v>808</v>
      </c>
      <c r="E5842" t="s">
        <v>650</v>
      </c>
      <c r="F5842" t="s">
        <v>653</v>
      </c>
      <c r="G5842">
        <v>41.936110999999997</v>
      </c>
      <c r="H5842">
        <v>140.94999999999999</v>
      </c>
      <c r="I5842" t="s">
        <v>764</v>
      </c>
      <c r="J5842" s="2" t="s">
        <v>14</v>
      </c>
      <c r="K5842" t="s">
        <v>3</v>
      </c>
      <c r="L5842" t="s">
        <v>3</v>
      </c>
      <c r="M5842" t="s">
        <v>726</v>
      </c>
      <c r="N5842" t="s">
        <v>85</v>
      </c>
      <c r="O5842" t="s">
        <v>84</v>
      </c>
      <c r="Q5842">
        <f t="shared" si="105"/>
        <v>2.0833333333333332E-2</v>
      </c>
      <c r="R5842" t="s">
        <v>213</v>
      </c>
      <c r="S5842" s="2" t="s">
        <v>178</v>
      </c>
      <c r="T5842">
        <v>10</v>
      </c>
      <c r="U5842" t="s">
        <v>28</v>
      </c>
      <c r="V5842" t="s">
        <v>28</v>
      </c>
      <c r="W5842">
        <v>32</v>
      </c>
      <c r="X5842">
        <v>0.26219999999999999</v>
      </c>
      <c r="Y5842">
        <v>7.0071079999999994E-2</v>
      </c>
      <c r="Z5842">
        <v>2.2158420000000002E-2</v>
      </c>
      <c r="AA5842">
        <v>0.12486069</v>
      </c>
      <c r="AB5842">
        <v>0.39953929999999999</v>
      </c>
    </row>
    <row r="5843" spans="1:28" x14ac:dyDescent="0.2">
      <c r="A5843" t="s">
        <v>649</v>
      </c>
      <c r="B5843">
        <v>2019</v>
      </c>
      <c r="C5843" t="s">
        <v>807</v>
      </c>
      <c r="D5843" t="s">
        <v>808</v>
      </c>
      <c r="E5843" t="s">
        <v>650</v>
      </c>
      <c r="F5843" t="s">
        <v>653</v>
      </c>
      <c r="G5843">
        <v>41.936110999999997</v>
      </c>
      <c r="H5843">
        <v>140.94999999999999</v>
      </c>
      <c r="I5843" t="s">
        <v>764</v>
      </c>
      <c r="J5843" s="2" t="s">
        <v>14</v>
      </c>
      <c r="K5843" t="s">
        <v>3</v>
      </c>
      <c r="L5843" t="s">
        <v>3</v>
      </c>
      <c r="M5843" t="s">
        <v>726</v>
      </c>
      <c r="N5843" t="s">
        <v>85</v>
      </c>
      <c r="O5843" t="s">
        <v>84</v>
      </c>
      <c r="Q5843">
        <f>0.5/24</f>
        <v>2.0833333333333332E-2</v>
      </c>
      <c r="R5843" t="s">
        <v>213</v>
      </c>
      <c r="S5843" s="2" t="s">
        <v>179</v>
      </c>
      <c r="T5843">
        <v>10</v>
      </c>
      <c r="U5843" t="s">
        <v>28</v>
      </c>
      <c r="V5843" t="s">
        <v>28</v>
      </c>
      <c r="W5843">
        <v>34</v>
      </c>
      <c r="X5843">
        <v>0.1724</v>
      </c>
      <c r="Y5843">
        <v>3.4134369999999997E-2</v>
      </c>
      <c r="Z5843">
        <v>1.079424E-2</v>
      </c>
      <c r="AA5843">
        <v>0.10549662999999999</v>
      </c>
      <c r="AB5843">
        <v>0.2393034</v>
      </c>
    </row>
    <row r="5844" spans="1:28" x14ac:dyDescent="0.2">
      <c r="A5844" t="s">
        <v>649</v>
      </c>
      <c r="B5844">
        <v>2019</v>
      </c>
      <c r="C5844" t="s">
        <v>807</v>
      </c>
      <c r="D5844" t="s">
        <v>808</v>
      </c>
      <c r="E5844" t="s">
        <v>650</v>
      </c>
      <c r="F5844" t="s">
        <v>653</v>
      </c>
      <c r="G5844">
        <v>41.936110999999997</v>
      </c>
      <c r="H5844">
        <v>140.94999999999999</v>
      </c>
      <c r="I5844" t="s">
        <v>764</v>
      </c>
      <c r="J5844" s="2" t="s">
        <v>14</v>
      </c>
      <c r="K5844" t="s">
        <v>3</v>
      </c>
      <c r="L5844" t="s">
        <v>3</v>
      </c>
      <c r="M5844" t="s">
        <v>726</v>
      </c>
      <c r="N5844" t="s">
        <v>85</v>
      </c>
      <c r="O5844" t="s">
        <v>84</v>
      </c>
      <c r="Q5844">
        <f t="shared" si="105"/>
        <v>2.0833333333333332E-2</v>
      </c>
      <c r="R5844" t="s">
        <v>213</v>
      </c>
      <c r="S5844" s="2" t="s">
        <v>180</v>
      </c>
      <c r="T5844">
        <v>10</v>
      </c>
      <c r="U5844" t="s">
        <v>28</v>
      </c>
      <c r="V5844" t="s">
        <v>28</v>
      </c>
      <c r="W5844">
        <v>36</v>
      </c>
      <c r="X5844">
        <v>0.10050000000000001</v>
      </c>
      <c r="Y5844">
        <v>4.0896210000000002E-2</v>
      </c>
      <c r="Z5844">
        <v>1.2932519999999999E-2</v>
      </c>
      <c r="AA5844">
        <v>2.0343429999999999E-2</v>
      </c>
      <c r="AB5844">
        <v>0.1806566</v>
      </c>
    </row>
    <row r="5845" spans="1:28" x14ac:dyDescent="0.2">
      <c r="A5845" t="s">
        <v>649</v>
      </c>
      <c r="B5845">
        <v>2019</v>
      </c>
      <c r="C5845" t="s">
        <v>807</v>
      </c>
      <c r="D5845" t="s">
        <v>808</v>
      </c>
      <c r="E5845" t="s">
        <v>650</v>
      </c>
      <c r="F5845" t="s">
        <v>651</v>
      </c>
      <c r="G5845">
        <v>42.305556000000003</v>
      </c>
      <c r="H5845">
        <v>140.988889</v>
      </c>
      <c r="I5845" t="s">
        <v>764</v>
      </c>
      <c r="J5845" s="2" t="s">
        <v>7</v>
      </c>
      <c r="K5845" t="s">
        <v>652</v>
      </c>
      <c r="L5845" t="s">
        <v>144</v>
      </c>
      <c r="M5845" t="s">
        <v>73</v>
      </c>
      <c r="N5845" t="s">
        <v>85</v>
      </c>
      <c r="O5845" t="s">
        <v>146</v>
      </c>
      <c r="P5845" t="s">
        <v>647</v>
      </c>
      <c r="Q5845">
        <f t="shared" si="105"/>
        <v>2.0833333333333332E-2</v>
      </c>
      <c r="R5845" t="s">
        <v>213</v>
      </c>
      <c r="S5845" s="2" t="s">
        <v>7</v>
      </c>
      <c r="T5845">
        <v>5</v>
      </c>
      <c r="U5845" t="s">
        <v>28</v>
      </c>
      <c r="V5845" t="s">
        <v>28</v>
      </c>
      <c r="W5845">
        <v>16</v>
      </c>
      <c r="X5845">
        <v>18.258793000000001</v>
      </c>
      <c r="Y5845">
        <v>3.6218463000000001</v>
      </c>
      <c r="Z5845">
        <v>1.1453283999999999</v>
      </c>
      <c r="AA5845">
        <v>11.159974</v>
      </c>
      <c r="AB5845">
        <v>25.357612</v>
      </c>
    </row>
    <row r="5846" spans="1:28" x14ac:dyDescent="0.2">
      <c r="A5846" t="s">
        <v>649</v>
      </c>
      <c r="B5846">
        <v>2019</v>
      </c>
      <c r="C5846" t="s">
        <v>807</v>
      </c>
      <c r="D5846" t="s">
        <v>808</v>
      </c>
      <c r="E5846" t="s">
        <v>650</v>
      </c>
      <c r="F5846" t="s">
        <v>651</v>
      </c>
      <c r="G5846">
        <v>42.305556000000003</v>
      </c>
      <c r="H5846">
        <v>140.988889</v>
      </c>
      <c r="I5846" t="s">
        <v>764</v>
      </c>
      <c r="J5846" s="2" t="s">
        <v>14</v>
      </c>
      <c r="K5846" t="s">
        <v>652</v>
      </c>
      <c r="L5846" t="s">
        <v>144</v>
      </c>
      <c r="M5846" t="s">
        <v>73</v>
      </c>
      <c r="N5846" t="s">
        <v>85</v>
      </c>
      <c r="O5846" t="s">
        <v>146</v>
      </c>
      <c r="P5846" t="s">
        <v>647</v>
      </c>
      <c r="Q5846">
        <f t="shared" si="105"/>
        <v>2.0833333333333332E-2</v>
      </c>
      <c r="R5846" t="s">
        <v>213</v>
      </c>
      <c r="S5846" s="2" t="s">
        <v>15</v>
      </c>
      <c r="T5846">
        <v>5</v>
      </c>
      <c r="U5846" t="s">
        <v>28</v>
      </c>
      <c r="V5846" t="s">
        <v>28</v>
      </c>
      <c r="W5846">
        <v>20</v>
      </c>
      <c r="X5846">
        <v>17.3637546</v>
      </c>
      <c r="Y5846">
        <v>2.0063561999999999</v>
      </c>
      <c r="Z5846">
        <v>0.89726969999999995</v>
      </c>
      <c r="AA5846">
        <v>13.431296</v>
      </c>
      <c r="AB5846">
        <v>21.296213000000002</v>
      </c>
    </row>
    <row r="5847" spans="1:28" x14ac:dyDescent="0.2">
      <c r="A5847" t="s">
        <v>649</v>
      </c>
      <c r="B5847">
        <v>2019</v>
      </c>
      <c r="C5847" t="s">
        <v>807</v>
      </c>
      <c r="D5847" t="s">
        <v>808</v>
      </c>
      <c r="E5847" t="s">
        <v>650</v>
      </c>
      <c r="F5847" t="s">
        <v>651</v>
      </c>
      <c r="G5847">
        <v>42.305556000000003</v>
      </c>
      <c r="H5847">
        <v>140.988889</v>
      </c>
      <c r="I5847" t="s">
        <v>764</v>
      </c>
      <c r="J5847" s="2" t="s">
        <v>14</v>
      </c>
      <c r="K5847" t="s">
        <v>652</v>
      </c>
      <c r="L5847" t="s">
        <v>144</v>
      </c>
      <c r="M5847" t="s">
        <v>73</v>
      </c>
      <c r="N5847" t="s">
        <v>85</v>
      </c>
      <c r="O5847" t="s">
        <v>146</v>
      </c>
      <c r="P5847" t="s">
        <v>647</v>
      </c>
      <c r="Q5847">
        <f t="shared" si="105"/>
        <v>2.0833333333333332E-2</v>
      </c>
      <c r="R5847" t="s">
        <v>213</v>
      </c>
      <c r="S5847" s="2" t="s">
        <v>116</v>
      </c>
      <c r="T5847">
        <v>5</v>
      </c>
      <c r="U5847" t="s">
        <v>28</v>
      </c>
      <c r="V5847" t="s">
        <v>28</v>
      </c>
      <c r="W5847">
        <v>24</v>
      </c>
      <c r="X5847">
        <v>18.882095</v>
      </c>
      <c r="Y5847">
        <v>2.2911676000000001</v>
      </c>
      <c r="Z5847">
        <v>1.0246413000000001</v>
      </c>
      <c r="AA5847">
        <v>14.391406</v>
      </c>
      <c r="AB5847">
        <v>23.372782999999998</v>
      </c>
    </row>
    <row r="5848" spans="1:28" x14ac:dyDescent="0.2">
      <c r="A5848" t="s">
        <v>649</v>
      </c>
      <c r="B5848">
        <v>2019</v>
      </c>
      <c r="C5848" t="s">
        <v>807</v>
      </c>
      <c r="D5848" t="s">
        <v>808</v>
      </c>
      <c r="E5848" t="s">
        <v>650</v>
      </c>
      <c r="F5848" t="s">
        <v>651</v>
      </c>
      <c r="G5848">
        <v>42.305556000000003</v>
      </c>
      <c r="H5848">
        <v>140.988889</v>
      </c>
      <c r="I5848" t="s">
        <v>764</v>
      </c>
      <c r="J5848" s="2" t="s">
        <v>14</v>
      </c>
      <c r="K5848" t="s">
        <v>652</v>
      </c>
      <c r="L5848" t="s">
        <v>144</v>
      </c>
      <c r="M5848" t="s">
        <v>73</v>
      </c>
      <c r="N5848" t="s">
        <v>85</v>
      </c>
      <c r="O5848" t="s">
        <v>146</v>
      </c>
      <c r="P5848" t="s">
        <v>647</v>
      </c>
      <c r="Q5848">
        <f t="shared" si="105"/>
        <v>2.0833333333333332E-2</v>
      </c>
      <c r="R5848" t="s">
        <v>213</v>
      </c>
      <c r="S5848" s="2" t="s">
        <v>118</v>
      </c>
      <c r="T5848">
        <v>5</v>
      </c>
      <c r="U5848" t="s">
        <v>28</v>
      </c>
      <c r="V5848" t="s">
        <v>28</v>
      </c>
      <c r="W5848">
        <v>28</v>
      </c>
      <c r="X5848">
        <v>11.9961369</v>
      </c>
      <c r="Y5848">
        <v>2.6432829</v>
      </c>
      <c r="Z5848">
        <v>1.1821120000000001</v>
      </c>
      <c r="AA5848">
        <v>6.815302</v>
      </c>
      <c r="AB5848">
        <v>17.176971000000002</v>
      </c>
    </row>
    <row r="5849" spans="1:28" x14ac:dyDescent="0.2">
      <c r="A5849" t="s">
        <v>649</v>
      </c>
      <c r="B5849">
        <v>2019</v>
      </c>
      <c r="C5849" t="s">
        <v>807</v>
      </c>
      <c r="D5849" t="s">
        <v>808</v>
      </c>
      <c r="E5849" t="s">
        <v>650</v>
      </c>
      <c r="F5849" t="s">
        <v>651</v>
      </c>
      <c r="G5849">
        <v>42.305556000000003</v>
      </c>
      <c r="H5849">
        <v>140.988889</v>
      </c>
      <c r="I5849" t="s">
        <v>764</v>
      </c>
      <c r="J5849" s="2" t="s">
        <v>14</v>
      </c>
      <c r="K5849" t="s">
        <v>652</v>
      </c>
      <c r="L5849" t="s">
        <v>144</v>
      </c>
      <c r="M5849" t="s">
        <v>73</v>
      </c>
      <c r="N5849" t="s">
        <v>85</v>
      </c>
      <c r="O5849" t="s">
        <v>146</v>
      </c>
      <c r="P5849" t="s">
        <v>647</v>
      </c>
      <c r="Q5849">
        <f t="shared" si="105"/>
        <v>2.0833333333333332E-2</v>
      </c>
      <c r="R5849" t="s">
        <v>213</v>
      </c>
      <c r="S5849" s="2" t="s">
        <v>178</v>
      </c>
      <c r="T5849">
        <v>5</v>
      </c>
      <c r="U5849" t="s">
        <v>28</v>
      </c>
      <c r="V5849" t="s">
        <v>28</v>
      </c>
      <c r="W5849">
        <v>32</v>
      </c>
      <c r="X5849">
        <v>0.99627690000000002</v>
      </c>
      <c r="Y5849">
        <v>1.6466162</v>
      </c>
      <c r="Z5849">
        <v>0.73638919999999997</v>
      </c>
      <c r="AA5849">
        <v>-2.2310910000000002</v>
      </c>
      <c r="AB5849">
        <v>4.2236450000000003</v>
      </c>
    </row>
    <row r="5850" spans="1:28" x14ac:dyDescent="0.2">
      <c r="A5850" t="s">
        <v>649</v>
      </c>
      <c r="B5850">
        <v>2019</v>
      </c>
      <c r="C5850" t="s">
        <v>807</v>
      </c>
      <c r="D5850" t="s">
        <v>808</v>
      </c>
      <c r="E5850" t="s">
        <v>650</v>
      </c>
      <c r="F5850" t="s">
        <v>651</v>
      </c>
      <c r="G5850">
        <v>42.305556000000003</v>
      </c>
      <c r="H5850">
        <v>140.988889</v>
      </c>
      <c r="I5850" t="s">
        <v>764</v>
      </c>
      <c r="J5850" s="2" t="s">
        <v>14</v>
      </c>
      <c r="K5850" t="s">
        <v>652</v>
      </c>
      <c r="L5850" t="s">
        <v>144</v>
      </c>
      <c r="M5850" t="s">
        <v>73</v>
      </c>
      <c r="N5850" t="s">
        <v>85</v>
      </c>
      <c r="O5850" t="s">
        <v>146</v>
      </c>
      <c r="P5850" t="s">
        <v>647</v>
      </c>
      <c r="Q5850">
        <f t="shared" si="105"/>
        <v>2.0833333333333332E-2</v>
      </c>
      <c r="R5850" t="s">
        <v>213</v>
      </c>
      <c r="S5850" s="2" t="s">
        <v>180</v>
      </c>
      <c r="T5850">
        <v>5</v>
      </c>
      <c r="U5850" t="s">
        <v>28</v>
      </c>
      <c r="V5850" t="s">
        <v>28</v>
      </c>
      <c r="W5850">
        <v>36</v>
      </c>
      <c r="X5850">
        <v>-7.8440709999999996</v>
      </c>
      <c r="Y5850">
        <v>0.56797839999999999</v>
      </c>
      <c r="Z5850">
        <v>0.2540077</v>
      </c>
      <c r="AA5850">
        <v>-8.9573090000000004</v>
      </c>
      <c r="AB5850">
        <v>-6.7308329999999996</v>
      </c>
    </row>
    <row r="5851" spans="1:28" x14ac:dyDescent="0.2">
      <c r="A5851" t="s">
        <v>649</v>
      </c>
      <c r="B5851">
        <v>2019</v>
      </c>
      <c r="C5851" t="s">
        <v>807</v>
      </c>
      <c r="D5851" t="s">
        <v>808</v>
      </c>
      <c r="E5851" t="s">
        <v>650</v>
      </c>
      <c r="F5851" t="s">
        <v>651</v>
      </c>
      <c r="G5851">
        <v>42.305556000000003</v>
      </c>
      <c r="H5851">
        <v>140.988889</v>
      </c>
      <c r="I5851" t="s">
        <v>764</v>
      </c>
      <c r="J5851" s="2" t="s">
        <v>7</v>
      </c>
      <c r="K5851" t="s">
        <v>652</v>
      </c>
      <c r="L5851" t="s">
        <v>144</v>
      </c>
      <c r="M5851" t="s">
        <v>172</v>
      </c>
      <c r="N5851" t="s">
        <v>86</v>
      </c>
      <c r="O5851" t="s">
        <v>62</v>
      </c>
      <c r="P5851" t="s">
        <v>647</v>
      </c>
      <c r="Q5851">
        <f t="shared" si="105"/>
        <v>2.0833333333333332E-2</v>
      </c>
      <c r="R5851" t="s">
        <v>213</v>
      </c>
      <c r="S5851" s="2" t="s">
        <v>7</v>
      </c>
      <c r="T5851">
        <v>5</v>
      </c>
      <c r="U5851" t="s">
        <v>28</v>
      </c>
      <c r="V5851" t="s">
        <v>28</v>
      </c>
      <c r="W5851">
        <v>16</v>
      </c>
      <c r="X5851">
        <v>2.824433</v>
      </c>
      <c r="Y5851">
        <v>0.3567941</v>
      </c>
      <c r="Z5851">
        <v>0.1128282</v>
      </c>
      <c r="AA5851">
        <v>2.1251161999999999</v>
      </c>
      <c r="AB5851">
        <v>3.523749</v>
      </c>
    </row>
    <row r="5852" spans="1:28" x14ac:dyDescent="0.2">
      <c r="A5852" t="s">
        <v>649</v>
      </c>
      <c r="B5852">
        <v>2019</v>
      </c>
      <c r="C5852" t="s">
        <v>807</v>
      </c>
      <c r="D5852" t="s">
        <v>808</v>
      </c>
      <c r="E5852" t="s">
        <v>650</v>
      </c>
      <c r="F5852" t="s">
        <v>651</v>
      </c>
      <c r="G5852">
        <v>42.305556000000003</v>
      </c>
      <c r="H5852">
        <v>140.988889</v>
      </c>
      <c r="I5852" t="s">
        <v>764</v>
      </c>
      <c r="J5852" s="2" t="s">
        <v>14</v>
      </c>
      <c r="K5852" t="s">
        <v>652</v>
      </c>
      <c r="L5852" t="s">
        <v>144</v>
      </c>
      <c r="M5852" t="s">
        <v>172</v>
      </c>
      <c r="N5852" t="s">
        <v>86</v>
      </c>
      <c r="O5852" t="s">
        <v>62</v>
      </c>
      <c r="P5852" t="s">
        <v>647</v>
      </c>
      <c r="Q5852">
        <f t="shared" si="105"/>
        <v>2.0833333333333332E-2</v>
      </c>
      <c r="R5852" t="s">
        <v>213</v>
      </c>
      <c r="S5852" s="2" t="s">
        <v>15</v>
      </c>
      <c r="T5852">
        <v>5</v>
      </c>
      <c r="U5852" t="s">
        <v>28</v>
      </c>
      <c r="V5852" t="s">
        <v>28</v>
      </c>
      <c r="W5852">
        <v>20</v>
      </c>
      <c r="X5852">
        <v>3.6852179999999999</v>
      </c>
      <c r="Y5852">
        <v>1.2718503000000001</v>
      </c>
      <c r="Z5852">
        <v>0.56878879999999998</v>
      </c>
      <c r="AA5852">
        <v>1.1923916999999999</v>
      </c>
      <c r="AB5852">
        <v>6.178045</v>
      </c>
    </row>
    <row r="5853" spans="1:28" x14ac:dyDescent="0.2">
      <c r="A5853" t="s">
        <v>649</v>
      </c>
      <c r="B5853">
        <v>2019</v>
      </c>
      <c r="C5853" t="s">
        <v>807</v>
      </c>
      <c r="D5853" t="s">
        <v>808</v>
      </c>
      <c r="E5853" t="s">
        <v>650</v>
      </c>
      <c r="F5853" t="s">
        <v>651</v>
      </c>
      <c r="G5853">
        <v>42.305556000000003</v>
      </c>
      <c r="H5853">
        <v>140.988889</v>
      </c>
      <c r="I5853" t="s">
        <v>764</v>
      </c>
      <c r="J5853" s="2" t="s">
        <v>14</v>
      </c>
      <c r="K5853" t="s">
        <v>652</v>
      </c>
      <c r="L5853" t="s">
        <v>144</v>
      </c>
      <c r="M5853" t="s">
        <v>172</v>
      </c>
      <c r="N5853" t="s">
        <v>86</v>
      </c>
      <c r="O5853" t="s">
        <v>62</v>
      </c>
      <c r="P5853" t="s">
        <v>647</v>
      </c>
      <c r="Q5853">
        <f t="shared" si="105"/>
        <v>2.0833333333333332E-2</v>
      </c>
      <c r="R5853" t="s">
        <v>213</v>
      </c>
      <c r="S5853" s="2" t="s">
        <v>116</v>
      </c>
      <c r="T5853">
        <v>5</v>
      </c>
      <c r="U5853" t="s">
        <v>28</v>
      </c>
      <c r="V5853" t="s">
        <v>28</v>
      </c>
      <c r="W5853">
        <v>24</v>
      </c>
      <c r="X5853">
        <v>4.4491620000000003</v>
      </c>
      <c r="Y5853">
        <v>0.53406109999999996</v>
      </c>
      <c r="Z5853">
        <v>0.23883940000000001</v>
      </c>
      <c r="AA5853">
        <v>3.4024022</v>
      </c>
      <c r="AB5853">
        <v>5.4959220000000002</v>
      </c>
    </row>
    <row r="5854" spans="1:28" x14ac:dyDescent="0.2">
      <c r="A5854" t="s">
        <v>649</v>
      </c>
      <c r="B5854">
        <v>2019</v>
      </c>
      <c r="C5854" t="s">
        <v>807</v>
      </c>
      <c r="D5854" t="s">
        <v>808</v>
      </c>
      <c r="E5854" t="s">
        <v>650</v>
      </c>
      <c r="F5854" t="s">
        <v>651</v>
      </c>
      <c r="G5854">
        <v>42.305556000000003</v>
      </c>
      <c r="H5854">
        <v>140.988889</v>
      </c>
      <c r="I5854" t="s">
        <v>764</v>
      </c>
      <c r="J5854" s="2" t="s">
        <v>14</v>
      </c>
      <c r="K5854" t="s">
        <v>652</v>
      </c>
      <c r="L5854" t="s">
        <v>144</v>
      </c>
      <c r="M5854" t="s">
        <v>172</v>
      </c>
      <c r="N5854" t="s">
        <v>86</v>
      </c>
      <c r="O5854" t="s">
        <v>62</v>
      </c>
      <c r="P5854" t="s">
        <v>647</v>
      </c>
      <c r="Q5854">
        <f t="shared" si="105"/>
        <v>2.0833333333333332E-2</v>
      </c>
      <c r="R5854" t="s">
        <v>213</v>
      </c>
      <c r="S5854" s="2" t="s">
        <v>118</v>
      </c>
      <c r="T5854">
        <v>5</v>
      </c>
      <c r="U5854" t="s">
        <v>28</v>
      </c>
      <c r="V5854" t="s">
        <v>28</v>
      </c>
      <c r="W5854">
        <v>28</v>
      </c>
      <c r="X5854">
        <v>5.5755869999999996</v>
      </c>
      <c r="Y5854">
        <v>0.39826319999999998</v>
      </c>
      <c r="Z5854">
        <v>0.17810870000000001</v>
      </c>
      <c r="AA5854">
        <v>4.7949913000000004</v>
      </c>
      <c r="AB5854">
        <v>6.3561829999999997</v>
      </c>
    </row>
    <row r="5855" spans="1:28" x14ac:dyDescent="0.2">
      <c r="A5855" t="s">
        <v>649</v>
      </c>
      <c r="B5855">
        <v>2019</v>
      </c>
      <c r="C5855" t="s">
        <v>807</v>
      </c>
      <c r="D5855" t="s">
        <v>808</v>
      </c>
      <c r="E5855" t="s">
        <v>650</v>
      </c>
      <c r="F5855" t="s">
        <v>651</v>
      </c>
      <c r="G5855">
        <v>42.305556000000003</v>
      </c>
      <c r="H5855">
        <v>140.988889</v>
      </c>
      <c r="I5855" t="s">
        <v>764</v>
      </c>
      <c r="J5855" s="2" t="s">
        <v>14</v>
      </c>
      <c r="K5855" t="s">
        <v>652</v>
      </c>
      <c r="L5855" t="s">
        <v>144</v>
      </c>
      <c r="M5855" t="s">
        <v>172</v>
      </c>
      <c r="N5855" t="s">
        <v>86</v>
      </c>
      <c r="O5855" t="s">
        <v>62</v>
      </c>
      <c r="P5855" t="s">
        <v>647</v>
      </c>
      <c r="Q5855">
        <f t="shared" si="105"/>
        <v>2.0833333333333332E-2</v>
      </c>
      <c r="R5855" t="s">
        <v>213</v>
      </c>
      <c r="S5855" s="2" t="s">
        <v>178</v>
      </c>
      <c r="T5855">
        <v>5</v>
      </c>
      <c r="U5855" t="s">
        <v>28</v>
      </c>
      <c r="V5855" t="s">
        <v>28</v>
      </c>
      <c r="W5855">
        <v>32</v>
      </c>
      <c r="X5855">
        <v>6.7166870000000003</v>
      </c>
      <c r="Y5855">
        <v>0.27455980000000002</v>
      </c>
      <c r="Z5855">
        <v>0.1227869</v>
      </c>
      <c r="AA5855">
        <v>6.1785499000000002</v>
      </c>
      <c r="AB5855">
        <v>7.2548240000000002</v>
      </c>
    </row>
    <row r="5856" spans="1:28" x14ac:dyDescent="0.2">
      <c r="A5856" t="s">
        <v>649</v>
      </c>
      <c r="B5856">
        <v>2019</v>
      </c>
      <c r="C5856" t="s">
        <v>807</v>
      </c>
      <c r="D5856" t="s">
        <v>808</v>
      </c>
      <c r="E5856" t="s">
        <v>650</v>
      </c>
      <c r="F5856" t="s">
        <v>651</v>
      </c>
      <c r="G5856">
        <v>42.305556000000003</v>
      </c>
      <c r="H5856">
        <v>140.988889</v>
      </c>
      <c r="I5856" t="s">
        <v>764</v>
      </c>
      <c r="J5856" s="2" t="s">
        <v>14</v>
      </c>
      <c r="K5856" t="s">
        <v>652</v>
      </c>
      <c r="L5856" t="s">
        <v>144</v>
      </c>
      <c r="M5856" t="s">
        <v>172</v>
      </c>
      <c r="N5856" t="s">
        <v>86</v>
      </c>
      <c r="O5856" t="s">
        <v>62</v>
      </c>
      <c r="P5856" t="s">
        <v>647</v>
      </c>
      <c r="Q5856">
        <f t="shared" si="105"/>
        <v>2.0833333333333332E-2</v>
      </c>
      <c r="R5856" t="s">
        <v>213</v>
      </c>
      <c r="S5856" s="2" t="s">
        <v>180</v>
      </c>
      <c r="T5856">
        <v>5</v>
      </c>
      <c r="U5856" t="s">
        <v>28</v>
      </c>
      <c r="V5856" t="s">
        <v>28</v>
      </c>
      <c r="W5856">
        <v>36</v>
      </c>
      <c r="X5856">
        <v>5.7912569999999999</v>
      </c>
      <c r="Y5856">
        <v>0.59898839999999998</v>
      </c>
      <c r="Z5856">
        <v>0.26787569999999999</v>
      </c>
      <c r="AA5856">
        <v>4.6172402999999997</v>
      </c>
      <c r="AB5856">
        <v>6.9652750000000001</v>
      </c>
    </row>
    <row r="5857" spans="1:28" x14ac:dyDescent="0.2">
      <c r="A5857" t="s">
        <v>649</v>
      </c>
      <c r="B5857">
        <v>2019</v>
      </c>
      <c r="C5857" t="s">
        <v>807</v>
      </c>
      <c r="D5857" t="s">
        <v>808</v>
      </c>
      <c r="E5857" t="s">
        <v>650</v>
      </c>
      <c r="F5857" t="s">
        <v>653</v>
      </c>
      <c r="G5857">
        <v>41.936110999999997</v>
      </c>
      <c r="H5857">
        <v>140.94999999999999</v>
      </c>
      <c r="I5857" t="s">
        <v>764</v>
      </c>
      <c r="J5857" s="2" t="s">
        <v>7</v>
      </c>
      <c r="K5857" t="s">
        <v>3</v>
      </c>
      <c r="L5857" t="s">
        <v>3</v>
      </c>
      <c r="M5857" t="s">
        <v>73</v>
      </c>
      <c r="N5857" t="s">
        <v>85</v>
      </c>
      <c r="O5857" t="s">
        <v>146</v>
      </c>
      <c r="P5857" t="s">
        <v>647</v>
      </c>
      <c r="Q5857">
        <f t="shared" si="105"/>
        <v>2.0833333333333332E-2</v>
      </c>
      <c r="R5857" t="s">
        <v>213</v>
      </c>
      <c r="S5857" s="2" t="s">
        <v>7</v>
      </c>
      <c r="T5857">
        <v>5</v>
      </c>
      <c r="U5857" t="s">
        <v>28</v>
      </c>
      <c r="V5857" t="s">
        <v>28</v>
      </c>
      <c r="W5857">
        <v>12</v>
      </c>
      <c r="X5857">
        <v>1.7569486000000001</v>
      </c>
      <c r="Y5857">
        <v>1.3505084000000001</v>
      </c>
      <c r="Z5857">
        <v>0.60396570000000005</v>
      </c>
      <c r="AA5857">
        <v>-0.89004773999999998</v>
      </c>
      <c r="AB5857">
        <v>4.4039450000000002</v>
      </c>
    </row>
    <row r="5858" spans="1:28" x14ac:dyDescent="0.2">
      <c r="A5858" t="s">
        <v>649</v>
      </c>
      <c r="B5858">
        <v>2019</v>
      </c>
      <c r="C5858" t="s">
        <v>807</v>
      </c>
      <c r="D5858" t="s">
        <v>808</v>
      </c>
      <c r="E5858" t="s">
        <v>650</v>
      </c>
      <c r="F5858" t="s">
        <v>653</v>
      </c>
      <c r="G5858">
        <v>41.936110999999997</v>
      </c>
      <c r="H5858">
        <v>140.94999999999999</v>
      </c>
      <c r="I5858" t="s">
        <v>764</v>
      </c>
      <c r="J5858" s="2" t="s">
        <v>14</v>
      </c>
      <c r="K5858" t="s">
        <v>3</v>
      </c>
      <c r="L5858" t="s">
        <v>3</v>
      </c>
      <c r="M5858" t="s">
        <v>73</v>
      </c>
      <c r="N5858" t="s">
        <v>85</v>
      </c>
      <c r="O5858" t="s">
        <v>146</v>
      </c>
      <c r="P5858" t="s">
        <v>647</v>
      </c>
      <c r="Q5858">
        <f t="shared" si="105"/>
        <v>2.0833333333333332E-2</v>
      </c>
      <c r="R5858" t="s">
        <v>213</v>
      </c>
      <c r="S5858" s="2" t="s">
        <v>27</v>
      </c>
      <c r="T5858">
        <v>5</v>
      </c>
      <c r="U5858" t="s">
        <v>28</v>
      </c>
      <c r="V5858" t="s">
        <v>28</v>
      </c>
      <c r="W5858">
        <v>16</v>
      </c>
      <c r="X5858">
        <v>1.7632350999999999</v>
      </c>
      <c r="Y5858">
        <v>0.91905740000000002</v>
      </c>
      <c r="Z5858">
        <v>0.29063149999999999</v>
      </c>
      <c r="AA5858">
        <v>-3.8117329999999998E-2</v>
      </c>
      <c r="AB5858">
        <v>3.5645875</v>
      </c>
    </row>
    <row r="5859" spans="1:28" x14ac:dyDescent="0.2">
      <c r="A5859" t="s">
        <v>649</v>
      </c>
      <c r="B5859">
        <v>2019</v>
      </c>
      <c r="C5859" t="s">
        <v>807</v>
      </c>
      <c r="D5859" t="s">
        <v>808</v>
      </c>
      <c r="E5859" t="s">
        <v>650</v>
      </c>
      <c r="F5859" t="s">
        <v>653</v>
      </c>
      <c r="G5859">
        <v>41.936110999999997</v>
      </c>
      <c r="H5859">
        <v>140.94999999999999</v>
      </c>
      <c r="I5859" t="s">
        <v>764</v>
      </c>
      <c r="J5859" s="2" t="s">
        <v>14</v>
      </c>
      <c r="K5859" t="s">
        <v>3</v>
      </c>
      <c r="L5859" t="s">
        <v>3</v>
      </c>
      <c r="M5859" t="s">
        <v>73</v>
      </c>
      <c r="N5859" t="s">
        <v>85</v>
      </c>
      <c r="O5859" t="s">
        <v>146</v>
      </c>
      <c r="P5859" t="s">
        <v>647</v>
      </c>
      <c r="Q5859">
        <f t="shared" si="105"/>
        <v>2.0833333333333332E-2</v>
      </c>
      <c r="R5859" t="s">
        <v>213</v>
      </c>
      <c r="S5859" s="2" t="s">
        <v>15</v>
      </c>
      <c r="T5859">
        <v>5</v>
      </c>
      <c r="U5859" t="s">
        <v>28</v>
      </c>
      <c r="V5859" t="s">
        <v>28</v>
      </c>
      <c r="W5859">
        <v>20</v>
      </c>
      <c r="X5859">
        <v>3.2744395000000002</v>
      </c>
      <c r="Y5859">
        <v>2.0032977999999999</v>
      </c>
      <c r="Z5859">
        <v>0.89590199999999998</v>
      </c>
      <c r="AA5859">
        <v>-0.65202422000000004</v>
      </c>
      <c r="AB5859">
        <v>7.2009031999999999</v>
      </c>
    </row>
    <row r="5860" spans="1:28" x14ac:dyDescent="0.2">
      <c r="A5860" t="s">
        <v>649</v>
      </c>
      <c r="B5860">
        <v>2019</v>
      </c>
      <c r="C5860" t="s">
        <v>807</v>
      </c>
      <c r="D5860" t="s">
        <v>808</v>
      </c>
      <c r="E5860" t="s">
        <v>650</v>
      </c>
      <c r="F5860" t="s">
        <v>653</v>
      </c>
      <c r="G5860">
        <v>41.936110999999997</v>
      </c>
      <c r="H5860">
        <v>140.94999999999999</v>
      </c>
      <c r="I5860" t="s">
        <v>764</v>
      </c>
      <c r="J5860" s="2" t="s">
        <v>14</v>
      </c>
      <c r="K5860" t="s">
        <v>3</v>
      </c>
      <c r="L5860" t="s">
        <v>3</v>
      </c>
      <c r="M5860" t="s">
        <v>73</v>
      </c>
      <c r="N5860" t="s">
        <v>85</v>
      </c>
      <c r="O5860" t="s">
        <v>146</v>
      </c>
      <c r="P5860" t="s">
        <v>647</v>
      </c>
      <c r="Q5860">
        <f t="shared" si="105"/>
        <v>2.0833333333333332E-2</v>
      </c>
      <c r="R5860" t="s">
        <v>213</v>
      </c>
      <c r="S5860" s="2" t="s">
        <v>116</v>
      </c>
      <c r="T5860">
        <v>5</v>
      </c>
      <c r="U5860" t="s">
        <v>28</v>
      </c>
      <c r="V5860" t="s">
        <v>28</v>
      </c>
      <c r="W5860">
        <v>24</v>
      </c>
      <c r="X5860">
        <v>1.2725751999999999</v>
      </c>
      <c r="Y5860">
        <v>0.52326700000000004</v>
      </c>
      <c r="Z5860">
        <v>0.2340121</v>
      </c>
      <c r="AA5860">
        <v>0.24697187000000001</v>
      </c>
      <c r="AB5860">
        <v>2.2981785000000001</v>
      </c>
    </row>
    <row r="5861" spans="1:28" x14ac:dyDescent="0.2">
      <c r="A5861" t="s">
        <v>649</v>
      </c>
      <c r="B5861">
        <v>2019</v>
      </c>
      <c r="C5861" t="s">
        <v>807</v>
      </c>
      <c r="D5861" t="s">
        <v>808</v>
      </c>
      <c r="E5861" t="s">
        <v>650</v>
      </c>
      <c r="F5861" t="s">
        <v>653</v>
      </c>
      <c r="G5861">
        <v>41.936110999999997</v>
      </c>
      <c r="H5861">
        <v>140.94999999999999</v>
      </c>
      <c r="I5861" t="s">
        <v>764</v>
      </c>
      <c r="J5861" s="2" t="s">
        <v>14</v>
      </c>
      <c r="K5861" t="s">
        <v>3</v>
      </c>
      <c r="L5861" t="s">
        <v>3</v>
      </c>
      <c r="M5861" t="s">
        <v>73</v>
      </c>
      <c r="N5861" t="s">
        <v>85</v>
      </c>
      <c r="O5861" t="s">
        <v>146</v>
      </c>
      <c r="P5861" t="s">
        <v>647</v>
      </c>
      <c r="Q5861">
        <f t="shared" si="105"/>
        <v>2.0833333333333332E-2</v>
      </c>
      <c r="R5861" t="s">
        <v>213</v>
      </c>
      <c r="S5861" s="2" t="s">
        <v>118</v>
      </c>
      <c r="T5861">
        <v>5</v>
      </c>
      <c r="U5861" t="s">
        <v>28</v>
      </c>
      <c r="V5861" t="s">
        <v>28</v>
      </c>
      <c r="W5861">
        <v>28</v>
      </c>
      <c r="X5861">
        <v>0.28673480000000001</v>
      </c>
      <c r="Y5861">
        <v>0.52883360000000001</v>
      </c>
      <c r="Z5861">
        <v>0.23650160000000001</v>
      </c>
      <c r="AA5861">
        <v>-0.74977903000000001</v>
      </c>
      <c r="AB5861">
        <v>1.3232486999999999</v>
      </c>
    </row>
    <row r="5862" spans="1:28" x14ac:dyDescent="0.2">
      <c r="A5862" t="s">
        <v>649</v>
      </c>
      <c r="B5862">
        <v>2019</v>
      </c>
      <c r="C5862" t="s">
        <v>807</v>
      </c>
      <c r="D5862" t="s">
        <v>808</v>
      </c>
      <c r="E5862" t="s">
        <v>650</v>
      </c>
      <c r="F5862" t="s">
        <v>653</v>
      </c>
      <c r="G5862">
        <v>41.936110999999997</v>
      </c>
      <c r="H5862">
        <v>140.94999999999999</v>
      </c>
      <c r="I5862" t="s">
        <v>764</v>
      </c>
      <c r="J5862" s="2" t="s">
        <v>14</v>
      </c>
      <c r="K5862" t="s">
        <v>3</v>
      </c>
      <c r="L5862" t="s">
        <v>3</v>
      </c>
      <c r="M5862" t="s">
        <v>73</v>
      </c>
      <c r="N5862" t="s">
        <v>85</v>
      </c>
      <c r="O5862" t="s">
        <v>146</v>
      </c>
      <c r="P5862" t="s">
        <v>647</v>
      </c>
      <c r="Q5862">
        <f t="shared" si="105"/>
        <v>2.0833333333333332E-2</v>
      </c>
      <c r="R5862" t="s">
        <v>213</v>
      </c>
      <c r="S5862" s="2" t="s">
        <v>178</v>
      </c>
      <c r="T5862">
        <v>5</v>
      </c>
      <c r="U5862" t="s">
        <v>28</v>
      </c>
      <c r="V5862" t="s">
        <v>28</v>
      </c>
      <c r="W5862">
        <v>32</v>
      </c>
      <c r="X5862">
        <v>-1.8033623999999999</v>
      </c>
      <c r="Y5862">
        <v>1.08266</v>
      </c>
      <c r="Z5862">
        <v>0.48418030000000001</v>
      </c>
      <c r="AA5862">
        <v>-3.92537599</v>
      </c>
      <c r="AB5862">
        <v>0.31865130000000003</v>
      </c>
    </row>
    <row r="5863" spans="1:28" x14ac:dyDescent="0.2">
      <c r="A5863" t="s">
        <v>649</v>
      </c>
      <c r="B5863">
        <v>2019</v>
      </c>
      <c r="C5863" t="s">
        <v>807</v>
      </c>
      <c r="D5863" t="s">
        <v>808</v>
      </c>
      <c r="E5863" t="s">
        <v>650</v>
      </c>
      <c r="F5863" t="s">
        <v>653</v>
      </c>
      <c r="G5863">
        <v>41.936110999999997</v>
      </c>
      <c r="H5863">
        <v>140.94999999999999</v>
      </c>
      <c r="I5863" t="s">
        <v>764</v>
      </c>
      <c r="J5863" s="2" t="s">
        <v>14</v>
      </c>
      <c r="K5863" t="s">
        <v>3</v>
      </c>
      <c r="L5863" t="s">
        <v>3</v>
      </c>
      <c r="M5863" t="s">
        <v>73</v>
      </c>
      <c r="N5863" t="s">
        <v>85</v>
      </c>
      <c r="O5863" t="s">
        <v>146</v>
      </c>
      <c r="P5863" t="s">
        <v>647</v>
      </c>
      <c r="Q5863">
        <f t="shared" si="105"/>
        <v>2.0833333333333332E-2</v>
      </c>
      <c r="R5863" t="s">
        <v>213</v>
      </c>
      <c r="S5863" s="2" t="s">
        <v>180</v>
      </c>
      <c r="T5863">
        <v>5</v>
      </c>
      <c r="U5863" t="s">
        <v>28</v>
      </c>
      <c r="V5863" t="s">
        <v>28</v>
      </c>
      <c r="W5863">
        <v>36</v>
      </c>
      <c r="X5863">
        <v>-5.1955802000000002</v>
      </c>
      <c r="Y5863">
        <v>1.1559592999999999</v>
      </c>
      <c r="Z5863">
        <v>0.51696070000000005</v>
      </c>
      <c r="AA5863">
        <v>-7.4612605399999996</v>
      </c>
      <c r="AB5863">
        <v>-2.9298999000000001</v>
      </c>
    </row>
    <row r="5864" spans="1:28" x14ac:dyDescent="0.2">
      <c r="A5864" t="s">
        <v>649</v>
      </c>
      <c r="B5864">
        <v>2019</v>
      </c>
      <c r="C5864" t="s">
        <v>807</v>
      </c>
      <c r="D5864" t="s">
        <v>808</v>
      </c>
      <c r="E5864" t="s">
        <v>650</v>
      </c>
      <c r="F5864" t="s">
        <v>653</v>
      </c>
      <c r="G5864">
        <v>41.936110999999997</v>
      </c>
      <c r="H5864">
        <v>140.94999999999999</v>
      </c>
      <c r="I5864" t="s">
        <v>764</v>
      </c>
      <c r="J5864" s="2" t="s">
        <v>7</v>
      </c>
      <c r="K5864" t="s">
        <v>3</v>
      </c>
      <c r="L5864" t="s">
        <v>3</v>
      </c>
      <c r="M5864" t="s">
        <v>172</v>
      </c>
      <c r="N5864" t="s">
        <v>86</v>
      </c>
      <c r="O5864" t="s">
        <v>62</v>
      </c>
      <c r="P5864" t="s">
        <v>647</v>
      </c>
      <c r="Q5864">
        <f t="shared" si="105"/>
        <v>2.0833333333333332E-2</v>
      </c>
      <c r="R5864" t="s">
        <v>213</v>
      </c>
      <c r="S5864" s="2" t="s">
        <v>7</v>
      </c>
      <c r="T5864">
        <v>5</v>
      </c>
      <c r="U5864" t="s">
        <v>28</v>
      </c>
      <c r="V5864" t="s">
        <v>28</v>
      </c>
      <c r="W5864">
        <v>12</v>
      </c>
      <c r="X5864">
        <v>-0.36249629999999999</v>
      </c>
      <c r="Y5864">
        <v>0.41867729999999997</v>
      </c>
      <c r="Z5864">
        <v>0.18723819999999999</v>
      </c>
      <c r="AA5864">
        <v>-1.1831039000000001</v>
      </c>
      <c r="AB5864">
        <v>0.4581113</v>
      </c>
    </row>
    <row r="5865" spans="1:28" x14ac:dyDescent="0.2">
      <c r="A5865" t="s">
        <v>649</v>
      </c>
      <c r="B5865">
        <v>2019</v>
      </c>
      <c r="C5865" t="s">
        <v>807</v>
      </c>
      <c r="D5865" t="s">
        <v>808</v>
      </c>
      <c r="E5865" t="s">
        <v>650</v>
      </c>
      <c r="F5865" t="s">
        <v>653</v>
      </c>
      <c r="G5865">
        <v>41.936110999999997</v>
      </c>
      <c r="H5865">
        <v>140.94999999999999</v>
      </c>
      <c r="I5865" t="s">
        <v>764</v>
      </c>
      <c r="J5865" s="2" t="s">
        <v>14</v>
      </c>
      <c r="K5865" t="s">
        <v>3</v>
      </c>
      <c r="L5865" t="s">
        <v>3</v>
      </c>
      <c r="M5865" t="s">
        <v>172</v>
      </c>
      <c r="N5865" t="s">
        <v>86</v>
      </c>
      <c r="O5865" t="s">
        <v>62</v>
      </c>
      <c r="P5865" t="s">
        <v>647</v>
      </c>
      <c r="Q5865">
        <f t="shared" si="105"/>
        <v>2.0833333333333332E-2</v>
      </c>
      <c r="R5865" t="s">
        <v>213</v>
      </c>
      <c r="S5865" s="2" t="s">
        <v>27</v>
      </c>
      <c r="T5865">
        <v>5</v>
      </c>
      <c r="U5865" t="s">
        <v>28</v>
      </c>
      <c r="V5865" t="s">
        <v>28</v>
      </c>
      <c r="W5865">
        <v>16</v>
      </c>
      <c r="X5865">
        <v>0.37426100000000001</v>
      </c>
      <c r="Y5865">
        <v>0.62885530000000001</v>
      </c>
      <c r="Z5865">
        <v>0.1988615</v>
      </c>
      <c r="AA5865">
        <v>-0.85829549999999999</v>
      </c>
      <c r="AB5865">
        <v>1.6068174</v>
      </c>
    </row>
    <row r="5866" spans="1:28" x14ac:dyDescent="0.2">
      <c r="A5866" t="s">
        <v>649</v>
      </c>
      <c r="B5866">
        <v>2019</v>
      </c>
      <c r="C5866" t="s">
        <v>807</v>
      </c>
      <c r="D5866" t="s">
        <v>808</v>
      </c>
      <c r="E5866" t="s">
        <v>650</v>
      </c>
      <c r="F5866" t="s">
        <v>653</v>
      </c>
      <c r="G5866">
        <v>41.936110999999997</v>
      </c>
      <c r="H5866">
        <v>140.94999999999999</v>
      </c>
      <c r="I5866" t="s">
        <v>764</v>
      </c>
      <c r="J5866" s="2" t="s">
        <v>14</v>
      </c>
      <c r="K5866" t="s">
        <v>3</v>
      </c>
      <c r="L5866" t="s">
        <v>3</v>
      </c>
      <c r="M5866" t="s">
        <v>172</v>
      </c>
      <c r="N5866" t="s">
        <v>86</v>
      </c>
      <c r="O5866" t="s">
        <v>62</v>
      </c>
      <c r="P5866" t="s">
        <v>647</v>
      </c>
      <c r="Q5866">
        <f t="shared" si="105"/>
        <v>2.0833333333333332E-2</v>
      </c>
      <c r="R5866" t="s">
        <v>213</v>
      </c>
      <c r="S5866" s="2" t="s">
        <v>15</v>
      </c>
      <c r="T5866">
        <v>5</v>
      </c>
      <c r="U5866" t="s">
        <v>28</v>
      </c>
      <c r="V5866" t="s">
        <v>28</v>
      </c>
      <c r="W5866">
        <v>20</v>
      </c>
      <c r="X5866">
        <v>0.35293069999999999</v>
      </c>
      <c r="Y5866">
        <v>0.83351660000000005</v>
      </c>
      <c r="Z5866">
        <v>0.37275999999999998</v>
      </c>
      <c r="AA5866">
        <v>-1.2807618000000001</v>
      </c>
      <c r="AB5866">
        <v>1.9866233</v>
      </c>
    </row>
    <row r="5867" spans="1:28" x14ac:dyDescent="0.2">
      <c r="A5867" t="s">
        <v>649</v>
      </c>
      <c r="B5867">
        <v>2019</v>
      </c>
      <c r="C5867" t="s">
        <v>807</v>
      </c>
      <c r="D5867" t="s">
        <v>808</v>
      </c>
      <c r="E5867" t="s">
        <v>650</v>
      </c>
      <c r="F5867" t="s">
        <v>653</v>
      </c>
      <c r="G5867">
        <v>41.936110999999997</v>
      </c>
      <c r="H5867">
        <v>140.94999999999999</v>
      </c>
      <c r="I5867" t="s">
        <v>764</v>
      </c>
      <c r="J5867" s="2" t="s">
        <v>14</v>
      </c>
      <c r="K5867" t="s">
        <v>3</v>
      </c>
      <c r="L5867" t="s">
        <v>3</v>
      </c>
      <c r="M5867" t="s">
        <v>172</v>
      </c>
      <c r="N5867" t="s">
        <v>86</v>
      </c>
      <c r="O5867" t="s">
        <v>62</v>
      </c>
      <c r="P5867" t="s">
        <v>647</v>
      </c>
      <c r="Q5867">
        <f t="shared" si="105"/>
        <v>2.0833333333333332E-2</v>
      </c>
      <c r="R5867" t="s">
        <v>213</v>
      </c>
      <c r="S5867" s="2" t="s">
        <v>116</v>
      </c>
      <c r="T5867">
        <v>5</v>
      </c>
      <c r="U5867" t="s">
        <v>28</v>
      </c>
      <c r="V5867" t="s">
        <v>28</v>
      </c>
      <c r="W5867">
        <v>24</v>
      </c>
      <c r="X5867">
        <v>1.2282139000000001</v>
      </c>
      <c r="Y5867">
        <v>0.70082</v>
      </c>
      <c r="Z5867">
        <v>0.31341629999999998</v>
      </c>
      <c r="AA5867">
        <v>-0.14539340000000001</v>
      </c>
      <c r="AB5867">
        <v>2.6018211999999998</v>
      </c>
    </row>
    <row r="5868" spans="1:28" x14ac:dyDescent="0.2">
      <c r="A5868" t="s">
        <v>649</v>
      </c>
      <c r="B5868">
        <v>2019</v>
      </c>
      <c r="C5868" t="s">
        <v>807</v>
      </c>
      <c r="D5868" t="s">
        <v>808</v>
      </c>
      <c r="E5868" t="s">
        <v>650</v>
      </c>
      <c r="F5868" t="s">
        <v>653</v>
      </c>
      <c r="G5868">
        <v>41.936110999999997</v>
      </c>
      <c r="H5868">
        <v>140.94999999999999</v>
      </c>
      <c r="I5868" t="s">
        <v>764</v>
      </c>
      <c r="J5868" s="2" t="s">
        <v>14</v>
      </c>
      <c r="K5868" t="s">
        <v>3</v>
      </c>
      <c r="L5868" t="s">
        <v>3</v>
      </c>
      <c r="M5868" t="s">
        <v>172</v>
      </c>
      <c r="N5868" t="s">
        <v>86</v>
      </c>
      <c r="O5868" t="s">
        <v>62</v>
      </c>
      <c r="P5868" t="s">
        <v>647</v>
      </c>
      <c r="Q5868">
        <f t="shared" si="105"/>
        <v>2.0833333333333332E-2</v>
      </c>
      <c r="R5868" t="s">
        <v>213</v>
      </c>
      <c r="S5868" s="2" t="s">
        <v>118</v>
      </c>
      <c r="T5868">
        <v>5</v>
      </c>
      <c r="U5868" t="s">
        <v>28</v>
      </c>
      <c r="V5868" t="s">
        <v>28</v>
      </c>
      <c r="W5868">
        <v>28</v>
      </c>
      <c r="X5868">
        <v>1.5324793000000001</v>
      </c>
      <c r="Y5868">
        <v>0.38325160000000003</v>
      </c>
      <c r="Z5868">
        <v>0.1713953</v>
      </c>
      <c r="AA5868">
        <v>0.78130619999999995</v>
      </c>
      <c r="AB5868">
        <v>2.2836523</v>
      </c>
    </row>
    <row r="5869" spans="1:28" x14ac:dyDescent="0.2">
      <c r="A5869" t="s">
        <v>649</v>
      </c>
      <c r="B5869">
        <v>2019</v>
      </c>
      <c r="C5869" t="s">
        <v>807</v>
      </c>
      <c r="D5869" t="s">
        <v>808</v>
      </c>
      <c r="E5869" t="s">
        <v>650</v>
      </c>
      <c r="F5869" t="s">
        <v>653</v>
      </c>
      <c r="G5869">
        <v>41.936110999999997</v>
      </c>
      <c r="H5869">
        <v>140.94999999999999</v>
      </c>
      <c r="I5869" t="s">
        <v>764</v>
      </c>
      <c r="J5869" s="2" t="s">
        <v>14</v>
      </c>
      <c r="K5869" t="s">
        <v>3</v>
      </c>
      <c r="L5869" t="s">
        <v>3</v>
      </c>
      <c r="M5869" t="s">
        <v>172</v>
      </c>
      <c r="N5869" t="s">
        <v>86</v>
      </c>
      <c r="O5869" t="s">
        <v>62</v>
      </c>
      <c r="P5869" t="s">
        <v>647</v>
      </c>
      <c r="Q5869">
        <f t="shared" si="105"/>
        <v>2.0833333333333332E-2</v>
      </c>
      <c r="R5869" t="s">
        <v>213</v>
      </c>
      <c r="S5869" s="2" t="s">
        <v>178</v>
      </c>
      <c r="T5869">
        <v>5</v>
      </c>
      <c r="U5869" t="s">
        <v>28</v>
      </c>
      <c r="V5869" t="s">
        <v>28</v>
      </c>
      <c r="W5869">
        <v>32</v>
      </c>
      <c r="X5869">
        <v>2.2826171</v>
      </c>
      <c r="Y5869">
        <v>0.94013500000000005</v>
      </c>
      <c r="Z5869">
        <v>0.42044120000000001</v>
      </c>
      <c r="AA5869">
        <v>0.43995240000000002</v>
      </c>
      <c r="AB5869">
        <v>4.1252817999999998</v>
      </c>
    </row>
    <row r="5870" spans="1:28" x14ac:dyDescent="0.2">
      <c r="A5870" t="s">
        <v>649</v>
      </c>
      <c r="B5870">
        <v>2019</v>
      </c>
      <c r="C5870" t="s">
        <v>807</v>
      </c>
      <c r="D5870" t="s">
        <v>808</v>
      </c>
      <c r="E5870" t="s">
        <v>650</v>
      </c>
      <c r="F5870" t="s">
        <v>653</v>
      </c>
      <c r="G5870">
        <v>41.936110999999997</v>
      </c>
      <c r="H5870">
        <v>140.94999999999999</v>
      </c>
      <c r="I5870" t="s">
        <v>764</v>
      </c>
      <c r="J5870" s="2" t="s">
        <v>14</v>
      </c>
      <c r="K5870" t="s">
        <v>3</v>
      </c>
      <c r="L5870" t="s">
        <v>3</v>
      </c>
      <c r="M5870" t="s">
        <v>172</v>
      </c>
      <c r="N5870" t="s">
        <v>86</v>
      </c>
      <c r="O5870" t="s">
        <v>62</v>
      </c>
      <c r="P5870" t="s">
        <v>647</v>
      </c>
      <c r="Q5870">
        <f t="shared" si="105"/>
        <v>2.0833333333333332E-2</v>
      </c>
      <c r="R5870" t="s">
        <v>213</v>
      </c>
      <c r="S5870" s="2" t="s">
        <v>180</v>
      </c>
      <c r="T5870">
        <v>5</v>
      </c>
      <c r="U5870" t="s">
        <v>28</v>
      </c>
      <c r="V5870" t="s">
        <v>28</v>
      </c>
      <c r="W5870">
        <v>36</v>
      </c>
      <c r="X5870">
        <v>4.4102560999999998</v>
      </c>
      <c r="Y5870">
        <v>0.99271529999999997</v>
      </c>
      <c r="Z5870">
        <v>0.44395580000000001</v>
      </c>
      <c r="AA5870">
        <v>2.4645342000000001</v>
      </c>
      <c r="AB5870">
        <v>6.3559780000000003</v>
      </c>
    </row>
    <row r="5871" spans="1:28" x14ac:dyDescent="0.2">
      <c r="A5871" t="s">
        <v>654</v>
      </c>
      <c r="B5871">
        <v>2001</v>
      </c>
      <c r="C5871" t="s">
        <v>826</v>
      </c>
      <c r="D5871" t="s">
        <v>812</v>
      </c>
      <c r="E5871" t="s">
        <v>103</v>
      </c>
      <c r="F5871" t="s">
        <v>656</v>
      </c>
      <c r="G5871">
        <v>34.664872000000003</v>
      </c>
      <c r="H5871">
        <v>138.94002900000001</v>
      </c>
      <c r="I5871" t="s">
        <v>772</v>
      </c>
      <c r="J5871" s="2" t="s">
        <v>7</v>
      </c>
      <c r="K5871" t="s">
        <v>144</v>
      </c>
      <c r="L5871" t="s">
        <v>144</v>
      </c>
      <c r="M5871" t="s">
        <v>73</v>
      </c>
      <c r="N5871" t="s">
        <v>85</v>
      </c>
      <c r="O5871" t="s">
        <v>146</v>
      </c>
      <c r="P5871" t="s">
        <v>655</v>
      </c>
      <c r="Q5871">
        <v>0.02</v>
      </c>
      <c r="R5871" t="s">
        <v>213</v>
      </c>
      <c r="S5871" s="2" t="s">
        <v>7</v>
      </c>
      <c r="T5871">
        <v>6</v>
      </c>
      <c r="U5871" t="s">
        <v>28</v>
      </c>
      <c r="V5871" t="s">
        <v>28</v>
      </c>
      <c r="W5871">
        <v>20</v>
      </c>
      <c r="X5871">
        <v>5.3769999999999998</v>
      </c>
      <c r="Y5871">
        <f>6.613-X5871</f>
        <v>1.2360000000000007</v>
      </c>
      <c r="AA5871" s="6"/>
      <c r="AB5871" s="6"/>
    </row>
    <row r="5872" spans="1:28" x14ac:dyDescent="0.2">
      <c r="A5872" t="s">
        <v>654</v>
      </c>
      <c r="B5872">
        <v>2001</v>
      </c>
      <c r="C5872" t="s">
        <v>826</v>
      </c>
      <c r="D5872" t="s">
        <v>812</v>
      </c>
      <c r="E5872" t="s">
        <v>103</v>
      </c>
      <c r="F5872" t="s">
        <v>656</v>
      </c>
      <c r="G5872">
        <v>34.664872000000003</v>
      </c>
      <c r="H5872">
        <v>138.94002900000001</v>
      </c>
      <c r="I5872" t="s">
        <v>772</v>
      </c>
      <c r="J5872" s="2" t="s">
        <v>14</v>
      </c>
      <c r="K5872" t="s">
        <v>144</v>
      </c>
      <c r="L5872" t="s">
        <v>144</v>
      </c>
      <c r="M5872" t="s">
        <v>73</v>
      </c>
      <c r="N5872" t="s">
        <v>85</v>
      </c>
      <c r="O5872" t="s">
        <v>146</v>
      </c>
      <c r="P5872" t="s">
        <v>655</v>
      </c>
      <c r="Q5872">
        <v>0.02</v>
      </c>
      <c r="R5872" t="s">
        <v>213</v>
      </c>
      <c r="S5872" s="2" t="s">
        <v>9</v>
      </c>
      <c r="T5872">
        <v>6</v>
      </c>
      <c r="U5872" t="s">
        <v>28</v>
      </c>
      <c r="V5872" t="s">
        <v>28</v>
      </c>
      <c r="W5872">
        <v>25</v>
      </c>
      <c r="X5872">
        <v>6.3109999999999999</v>
      </c>
      <c r="Y5872">
        <f>7.453-X5872</f>
        <v>1.1420000000000003</v>
      </c>
      <c r="AA5872" s="6"/>
      <c r="AB5872" s="6"/>
    </row>
    <row r="5873" spans="1:28" x14ac:dyDescent="0.2">
      <c r="A5873" t="s">
        <v>654</v>
      </c>
      <c r="B5873">
        <v>2001</v>
      </c>
      <c r="C5873" t="s">
        <v>826</v>
      </c>
      <c r="D5873" t="s">
        <v>812</v>
      </c>
      <c r="E5873" t="s">
        <v>103</v>
      </c>
      <c r="F5873" t="s">
        <v>656</v>
      </c>
      <c r="G5873">
        <v>34.664872000000003</v>
      </c>
      <c r="H5873">
        <v>138.94002900000001</v>
      </c>
      <c r="I5873" t="s">
        <v>772</v>
      </c>
      <c r="J5873" s="2" t="s">
        <v>14</v>
      </c>
      <c r="K5873" t="s">
        <v>144</v>
      </c>
      <c r="L5873" t="s">
        <v>144</v>
      </c>
      <c r="M5873" t="s">
        <v>73</v>
      </c>
      <c r="N5873" t="s">
        <v>85</v>
      </c>
      <c r="O5873" t="s">
        <v>146</v>
      </c>
      <c r="P5873" t="s">
        <v>655</v>
      </c>
      <c r="Q5873">
        <v>0.02</v>
      </c>
      <c r="R5873" t="s">
        <v>213</v>
      </c>
      <c r="S5873" s="2" t="s">
        <v>27</v>
      </c>
      <c r="T5873">
        <v>6</v>
      </c>
      <c r="U5873" t="s">
        <v>28</v>
      </c>
      <c r="V5873" t="s">
        <v>28</v>
      </c>
      <c r="W5873">
        <v>27</v>
      </c>
      <c r="X5873">
        <v>6.3109999999999999</v>
      </c>
      <c r="Y5873">
        <f>7.264-X5873</f>
        <v>0.95300000000000029</v>
      </c>
      <c r="AA5873" s="6"/>
      <c r="AB5873" s="6"/>
    </row>
    <row r="5874" spans="1:28" x14ac:dyDescent="0.2">
      <c r="A5874" t="s">
        <v>654</v>
      </c>
      <c r="B5874">
        <v>2001</v>
      </c>
      <c r="C5874" t="s">
        <v>826</v>
      </c>
      <c r="D5874" t="s">
        <v>812</v>
      </c>
      <c r="E5874" t="s">
        <v>103</v>
      </c>
      <c r="F5874" t="s">
        <v>656</v>
      </c>
      <c r="G5874">
        <v>34.664872000000003</v>
      </c>
      <c r="H5874">
        <v>138.94002900000001</v>
      </c>
      <c r="I5874" t="s">
        <v>772</v>
      </c>
      <c r="J5874" s="2" t="s">
        <v>14</v>
      </c>
      <c r="K5874" t="s">
        <v>144</v>
      </c>
      <c r="L5874" t="s">
        <v>144</v>
      </c>
      <c r="M5874" t="s">
        <v>73</v>
      </c>
      <c r="N5874" t="s">
        <v>85</v>
      </c>
      <c r="O5874" t="s">
        <v>146</v>
      </c>
      <c r="P5874" t="s">
        <v>655</v>
      </c>
      <c r="Q5874">
        <v>0.02</v>
      </c>
      <c r="R5874" t="s">
        <v>213</v>
      </c>
      <c r="S5874" s="2" t="s">
        <v>13</v>
      </c>
      <c r="T5874">
        <v>6</v>
      </c>
      <c r="U5874" t="s">
        <v>28</v>
      </c>
      <c r="V5874" t="s">
        <v>28</v>
      </c>
      <c r="W5874">
        <v>29</v>
      </c>
      <c r="X5874">
        <v>3.8109999999999999</v>
      </c>
      <c r="Y5874">
        <f>4.877-X5874</f>
        <v>1.0659999999999998</v>
      </c>
      <c r="AA5874" s="6"/>
      <c r="AB5874" s="6"/>
    </row>
    <row r="5875" spans="1:28" x14ac:dyDescent="0.2">
      <c r="A5875" t="s">
        <v>654</v>
      </c>
      <c r="B5875">
        <v>2001</v>
      </c>
      <c r="C5875" t="s">
        <v>826</v>
      </c>
      <c r="D5875" t="s">
        <v>812</v>
      </c>
      <c r="E5875" t="s">
        <v>103</v>
      </c>
      <c r="F5875" t="s">
        <v>657</v>
      </c>
      <c r="G5875">
        <v>33.525126</v>
      </c>
      <c r="H5875">
        <v>133.748152</v>
      </c>
      <c r="I5875" t="s">
        <v>772</v>
      </c>
      <c r="J5875" s="2" t="s">
        <v>7</v>
      </c>
      <c r="K5875" t="s">
        <v>144</v>
      </c>
      <c r="L5875" t="s">
        <v>144</v>
      </c>
      <c r="M5875" t="s">
        <v>73</v>
      </c>
      <c r="N5875" t="s">
        <v>85</v>
      </c>
      <c r="O5875" t="s">
        <v>146</v>
      </c>
      <c r="P5875" t="s">
        <v>655</v>
      </c>
      <c r="Q5875">
        <v>0.02</v>
      </c>
      <c r="R5875" t="s">
        <v>213</v>
      </c>
      <c r="S5875" s="2" t="s">
        <v>7</v>
      </c>
      <c r="T5875">
        <v>6</v>
      </c>
      <c r="U5875" t="s">
        <v>28</v>
      </c>
      <c r="V5875" t="s">
        <v>28</v>
      </c>
      <c r="W5875">
        <v>20</v>
      </c>
      <c r="X5875">
        <v>2.9620000000000002</v>
      </c>
      <c r="Y5875">
        <f>3.698-X5875</f>
        <v>0.73599999999999977</v>
      </c>
      <c r="AA5875" s="6"/>
      <c r="AB5875" s="6"/>
    </row>
    <row r="5876" spans="1:28" x14ac:dyDescent="0.2">
      <c r="A5876" t="s">
        <v>654</v>
      </c>
      <c r="B5876">
        <v>2001</v>
      </c>
      <c r="C5876" t="s">
        <v>826</v>
      </c>
      <c r="D5876" t="s">
        <v>812</v>
      </c>
      <c r="E5876" t="s">
        <v>103</v>
      </c>
      <c r="F5876" t="s">
        <v>657</v>
      </c>
      <c r="G5876">
        <v>33.525126</v>
      </c>
      <c r="H5876">
        <v>133.748152</v>
      </c>
      <c r="I5876" t="s">
        <v>772</v>
      </c>
      <c r="J5876" s="2" t="s">
        <v>14</v>
      </c>
      <c r="K5876" t="s">
        <v>144</v>
      </c>
      <c r="L5876" t="s">
        <v>144</v>
      </c>
      <c r="M5876" t="s">
        <v>73</v>
      </c>
      <c r="N5876" t="s">
        <v>85</v>
      </c>
      <c r="O5876" t="s">
        <v>146</v>
      </c>
      <c r="P5876" t="s">
        <v>655</v>
      </c>
      <c r="Q5876">
        <v>0.02</v>
      </c>
      <c r="R5876" t="s">
        <v>213</v>
      </c>
      <c r="S5876" s="2" t="s">
        <v>9</v>
      </c>
      <c r="T5876">
        <v>6</v>
      </c>
      <c r="U5876" t="s">
        <v>28</v>
      </c>
      <c r="V5876" t="s">
        <v>28</v>
      </c>
      <c r="W5876">
        <v>25</v>
      </c>
      <c r="X5876">
        <v>3.387</v>
      </c>
      <c r="Y5876">
        <f>4.142-X5876</f>
        <v>0.75500000000000034</v>
      </c>
      <c r="AA5876" s="6"/>
      <c r="AB5876" s="6"/>
    </row>
    <row r="5877" spans="1:28" x14ac:dyDescent="0.2">
      <c r="A5877" t="s">
        <v>654</v>
      </c>
      <c r="B5877">
        <v>2001</v>
      </c>
      <c r="C5877" t="s">
        <v>826</v>
      </c>
      <c r="D5877" t="s">
        <v>812</v>
      </c>
      <c r="E5877" t="s">
        <v>103</v>
      </c>
      <c r="F5877" t="s">
        <v>657</v>
      </c>
      <c r="G5877">
        <v>33.525126</v>
      </c>
      <c r="H5877">
        <v>133.748152</v>
      </c>
      <c r="I5877" t="s">
        <v>772</v>
      </c>
      <c r="J5877" s="2" t="s">
        <v>14</v>
      </c>
      <c r="K5877" t="s">
        <v>144</v>
      </c>
      <c r="L5877" t="s">
        <v>144</v>
      </c>
      <c r="M5877" t="s">
        <v>73</v>
      </c>
      <c r="N5877" t="s">
        <v>85</v>
      </c>
      <c r="O5877" t="s">
        <v>146</v>
      </c>
      <c r="P5877" t="s">
        <v>655</v>
      </c>
      <c r="Q5877">
        <v>0.02</v>
      </c>
      <c r="R5877" t="s">
        <v>213</v>
      </c>
      <c r="S5877" s="2" t="s">
        <v>27</v>
      </c>
      <c r="T5877">
        <v>6</v>
      </c>
      <c r="U5877" t="s">
        <v>28</v>
      </c>
      <c r="V5877" t="s">
        <v>28</v>
      </c>
      <c r="W5877">
        <v>27</v>
      </c>
      <c r="X5877">
        <v>3.67</v>
      </c>
      <c r="Y5877">
        <f>4.509-X5877</f>
        <v>0.83900000000000041</v>
      </c>
      <c r="AA5877" s="6"/>
      <c r="AB5877" s="6"/>
    </row>
    <row r="5878" spans="1:28" x14ac:dyDescent="0.2">
      <c r="A5878" t="s">
        <v>654</v>
      </c>
      <c r="B5878">
        <v>2001</v>
      </c>
      <c r="C5878" t="s">
        <v>826</v>
      </c>
      <c r="D5878" t="s">
        <v>812</v>
      </c>
      <c r="E5878" t="s">
        <v>103</v>
      </c>
      <c r="F5878" t="s">
        <v>657</v>
      </c>
      <c r="G5878">
        <v>33.525126</v>
      </c>
      <c r="H5878">
        <v>133.748152</v>
      </c>
      <c r="I5878" t="s">
        <v>772</v>
      </c>
      <c r="J5878" s="2" t="s">
        <v>14</v>
      </c>
      <c r="K5878" t="s">
        <v>144</v>
      </c>
      <c r="L5878" t="s">
        <v>144</v>
      </c>
      <c r="M5878" t="s">
        <v>73</v>
      </c>
      <c r="N5878" t="s">
        <v>85</v>
      </c>
      <c r="O5878" t="s">
        <v>146</v>
      </c>
      <c r="P5878" t="s">
        <v>655</v>
      </c>
      <c r="Q5878">
        <v>0.02</v>
      </c>
      <c r="R5878" t="s">
        <v>213</v>
      </c>
      <c r="S5878" s="2" t="s">
        <v>13</v>
      </c>
      <c r="T5878">
        <v>6</v>
      </c>
      <c r="U5878" t="s">
        <v>28</v>
      </c>
      <c r="V5878" t="s">
        <v>28</v>
      </c>
      <c r="W5878">
        <v>29</v>
      </c>
      <c r="X5878">
        <v>3.0190000000000001</v>
      </c>
      <c r="Y5878">
        <f>4.142-X5878</f>
        <v>1.1230000000000002</v>
      </c>
      <c r="AA5878" s="6"/>
      <c r="AB5878" s="6"/>
    </row>
    <row r="5879" spans="1:28" x14ac:dyDescent="0.2">
      <c r="A5879" t="s">
        <v>654</v>
      </c>
      <c r="B5879">
        <v>2001</v>
      </c>
      <c r="C5879" t="s">
        <v>826</v>
      </c>
      <c r="D5879" t="s">
        <v>812</v>
      </c>
      <c r="E5879" t="s">
        <v>103</v>
      </c>
      <c r="F5879" t="s">
        <v>656</v>
      </c>
      <c r="G5879">
        <v>34.664872000000003</v>
      </c>
      <c r="H5879">
        <v>138.94002900000001</v>
      </c>
      <c r="I5879" t="s">
        <v>772</v>
      </c>
      <c r="J5879" s="2" t="s">
        <v>7</v>
      </c>
      <c r="K5879" t="s">
        <v>144</v>
      </c>
      <c r="L5879" t="s">
        <v>144</v>
      </c>
      <c r="M5879" t="s">
        <v>172</v>
      </c>
      <c r="N5879" t="s">
        <v>86</v>
      </c>
      <c r="O5879" t="s">
        <v>62</v>
      </c>
      <c r="P5879" t="s">
        <v>655</v>
      </c>
      <c r="Q5879">
        <v>0.02</v>
      </c>
      <c r="R5879" t="s">
        <v>213</v>
      </c>
      <c r="S5879" s="2" t="s">
        <v>7</v>
      </c>
      <c r="T5879">
        <v>6</v>
      </c>
      <c r="U5879" t="s">
        <v>28</v>
      </c>
      <c r="V5879" t="s">
        <v>28</v>
      </c>
      <c r="W5879">
        <v>20</v>
      </c>
      <c r="X5879">
        <v>0.80800000000000005</v>
      </c>
      <c r="Y5879">
        <f>0.962-X5879</f>
        <v>0.15399999999999991</v>
      </c>
      <c r="AA5879" s="6"/>
      <c r="AB5879" s="6"/>
    </row>
    <row r="5880" spans="1:28" x14ac:dyDescent="0.2">
      <c r="A5880" t="s">
        <v>654</v>
      </c>
      <c r="B5880">
        <v>2001</v>
      </c>
      <c r="C5880" t="s">
        <v>826</v>
      </c>
      <c r="D5880" t="s">
        <v>812</v>
      </c>
      <c r="E5880" t="s">
        <v>103</v>
      </c>
      <c r="F5880" t="s">
        <v>656</v>
      </c>
      <c r="G5880">
        <v>34.664872000000003</v>
      </c>
      <c r="H5880">
        <v>138.94002900000001</v>
      </c>
      <c r="I5880" t="s">
        <v>772</v>
      </c>
      <c r="J5880" s="2" t="s">
        <v>14</v>
      </c>
      <c r="K5880" t="s">
        <v>144</v>
      </c>
      <c r="L5880" t="s">
        <v>144</v>
      </c>
      <c r="M5880" t="s">
        <v>172</v>
      </c>
      <c r="N5880" t="s">
        <v>86</v>
      </c>
      <c r="O5880" t="s">
        <v>62</v>
      </c>
      <c r="P5880" t="s">
        <v>655</v>
      </c>
      <c r="Q5880">
        <v>0.02</v>
      </c>
      <c r="R5880" t="s">
        <v>213</v>
      </c>
      <c r="S5880" s="2" t="s">
        <v>9</v>
      </c>
      <c r="T5880">
        <v>6</v>
      </c>
      <c r="U5880" t="s">
        <v>28</v>
      </c>
      <c r="V5880" t="s">
        <v>28</v>
      </c>
      <c r="W5880">
        <v>25</v>
      </c>
      <c r="X5880">
        <v>1.0580000000000001</v>
      </c>
      <c r="Y5880">
        <f>1.269-X5880</f>
        <v>0.21099999999999985</v>
      </c>
      <c r="AA5880" s="6"/>
      <c r="AB5880" s="6"/>
    </row>
    <row r="5881" spans="1:28" x14ac:dyDescent="0.2">
      <c r="A5881" t="s">
        <v>654</v>
      </c>
      <c r="B5881">
        <v>2001</v>
      </c>
      <c r="C5881" t="s">
        <v>826</v>
      </c>
      <c r="D5881" t="s">
        <v>812</v>
      </c>
      <c r="E5881" t="s">
        <v>103</v>
      </c>
      <c r="F5881" t="s">
        <v>656</v>
      </c>
      <c r="G5881">
        <v>34.664872000000003</v>
      </c>
      <c r="H5881">
        <v>138.94002900000001</v>
      </c>
      <c r="I5881" t="s">
        <v>772</v>
      </c>
      <c r="J5881" s="2" t="s">
        <v>14</v>
      </c>
      <c r="K5881" t="s">
        <v>144</v>
      </c>
      <c r="L5881" t="s">
        <v>144</v>
      </c>
      <c r="M5881" t="s">
        <v>172</v>
      </c>
      <c r="N5881" t="s">
        <v>86</v>
      </c>
      <c r="O5881" t="s">
        <v>62</v>
      </c>
      <c r="P5881" t="s">
        <v>655</v>
      </c>
      <c r="Q5881">
        <v>0.02</v>
      </c>
      <c r="R5881" t="s">
        <v>213</v>
      </c>
      <c r="S5881" s="2" t="s">
        <v>27</v>
      </c>
      <c r="T5881">
        <v>6</v>
      </c>
      <c r="U5881" t="s">
        <v>28</v>
      </c>
      <c r="V5881" t="s">
        <v>28</v>
      </c>
      <c r="W5881">
        <v>27</v>
      </c>
      <c r="X5881">
        <v>1.0289999999999999</v>
      </c>
      <c r="Y5881">
        <f>1.25-X5881</f>
        <v>0.22100000000000009</v>
      </c>
      <c r="AA5881" s="6"/>
      <c r="AB5881" s="6"/>
    </row>
    <row r="5882" spans="1:28" x14ac:dyDescent="0.2">
      <c r="A5882" t="s">
        <v>654</v>
      </c>
      <c r="B5882">
        <v>2001</v>
      </c>
      <c r="C5882" t="s">
        <v>826</v>
      </c>
      <c r="D5882" t="s">
        <v>812</v>
      </c>
      <c r="E5882" t="s">
        <v>103</v>
      </c>
      <c r="F5882" t="s">
        <v>656</v>
      </c>
      <c r="G5882">
        <v>34.664872000000003</v>
      </c>
      <c r="H5882">
        <v>138.94002900000001</v>
      </c>
      <c r="I5882" t="s">
        <v>772</v>
      </c>
      <c r="J5882" s="2" t="s">
        <v>14</v>
      </c>
      <c r="K5882" t="s">
        <v>144</v>
      </c>
      <c r="L5882" t="s">
        <v>144</v>
      </c>
      <c r="M5882" t="s">
        <v>172</v>
      </c>
      <c r="N5882" t="s">
        <v>86</v>
      </c>
      <c r="O5882" t="s">
        <v>62</v>
      </c>
      <c r="P5882" t="s">
        <v>655</v>
      </c>
      <c r="Q5882">
        <v>0.02</v>
      </c>
      <c r="R5882" t="s">
        <v>213</v>
      </c>
      <c r="S5882" s="2" t="s">
        <v>13</v>
      </c>
      <c r="T5882">
        <v>6</v>
      </c>
      <c r="U5882" t="s">
        <v>28</v>
      </c>
      <c r="V5882" t="s">
        <v>28</v>
      </c>
      <c r="W5882">
        <v>29</v>
      </c>
      <c r="X5882">
        <v>1.4419999999999999</v>
      </c>
      <c r="Y5882">
        <f>1.712-X5882</f>
        <v>0.27</v>
      </c>
      <c r="AA5882" s="6"/>
      <c r="AB5882" s="6"/>
    </row>
    <row r="5883" spans="1:28" x14ac:dyDescent="0.2">
      <c r="A5883" t="s">
        <v>654</v>
      </c>
      <c r="B5883">
        <v>2001</v>
      </c>
      <c r="C5883" t="s">
        <v>826</v>
      </c>
      <c r="D5883" t="s">
        <v>812</v>
      </c>
      <c r="E5883" t="s">
        <v>103</v>
      </c>
      <c r="F5883" t="s">
        <v>657</v>
      </c>
      <c r="G5883">
        <v>33.525126</v>
      </c>
      <c r="H5883">
        <v>133.748152</v>
      </c>
      <c r="I5883" t="s">
        <v>772</v>
      </c>
      <c r="J5883" s="2" t="s">
        <v>7</v>
      </c>
      <c r="K5883" t="s">
        <v>144</v>
      </c>
      <c r="L5883" t="s">
        <v>144</v>
      </c>
      <c r="M5883" t="s">
        <v>172</v>
      </c>
      <c r="N5883" t="s">
        <v>86</v>
      </c>
      <c r="O5883" t="s">
        <v>62</v>
      </c>
      <c r="P5883" t="s">
        <v>655</v>
      </c>
      <c r="Q5883">
        <v>0.02</v>
      </c>
      <c r="R5883" t="s">
        <v>213</v>
      </c>
      <c r="S5883" s="2" t="s">
        <v>7</v>
      </c>
      <c r="T5883">
        <v>6</v>
      </c>
      <c r="U5883" t="s">
        <v>28</v>
      </c>
      <c r="V5883" t="s">
        <v>28</v>
      </c>
      <c r="W5883">
        <v>20</v>
      </c>
      <c r="X5883">
        <v>0.61499999999999999</v>
      </c>
      <c r="Y5883">
        <f>X5883-0.375</f>
        <v>0.24</v>
      </c>
      <c r="AA5883" s="6"/>
      <c r="AB5883" s="6"/>
    </row>
    <row r="5884" spans="1:28" x14ac:dyDescent="0.2">
      <c r="A5884" t="s">
        <v>654</v>
      </c>
      <c r="B5884">
        <v>2001</v>
      </c>
      <c r="C5884" t="s">
        <v>826</v>
      </c>
      <c r="D5884" t="s">
        <v>812</v>
      </c>
      <c r="E5884" t="s">
        <v>103</v>
      </c>
      <c r="F5884" t="s">
        <v>657</v>
      </c>
      <c r="G5884">
        <v>33.525126</v>
      </c>
      <c r="H5884">
        <v>133.748152</v>
      </c>
      <c r="I5884" t="s">
        <v>772</v>
      </c>
      <c r="J5884" s="2" t="s">
        <v>14</v>
      </c>
      <c r="K5884" t="s">
        <v>144</v>
      </c>
      <c r="L5884" t="s">
        <v>144</v>
      </c>
      <c r="M5884" t="s">
        <v>172</v>
      </c>
      <c r="N5884" t="s">
        <v>86</v>
      </c>
      <c r="O5884" t="s">
        <v>62</v>
      </c>
      <c r="P5884" t="s">
        <v>655</v>
      </c>
      <c r="Q5884">
        <v>0.02</v>
      </c>
      <c r="R5884" t="s">
        <v>213</v>
      </c>
      <c r="S5884" s="2" t="s">
        <v>9</v>
      </c>
      <c r="T5884">
        <v>6</v>
      </c>
      <c r="U5884" t="s">
        <v>28</v>
      </c>
      <c r="V5884" t="s">
        <v>28</v>
      </c>
      <c r="W5884">
        <v>25</v>
      </c>
      <c r="X5884">
        <v>0.92300000000000004</v>
      </c>
      <c r="Y5884">
        <f>X5884-0.74</f>
        <v>0.18300000000000005</v>
      </c>
      <c r="AA5884" s="6"/>
      <c r="AB5884" s="6"/>
    </row>
    <row r="5885" spans="1:28" x14ac:dyDescent="0.2">
      <c r="A5885" t="s">
        <v>654</v>
      </c>
      <c r="B5885">
        <v>2001</v>
      </c>
      <c r="C5885" t="s">
        <v>826</v>
      </c>
      <c r="D5885" t="s">
        <v>812</v>
      </c>
      <c r="E5885" t="s">
        <v>103</v>
      </c>
      <c r="F5885" t="s">
        <v>657</v>
      </c>
      <c r="G5885">
        <v>33.525126</v>
      </c>
      <c r="H5885">
        <v>133.748152</v>
      </c>
      <c r="I5885" t="s">
        <v>772</v>
      </c>
      <c r="J5885" s="2" t="s">
        <v>14</v>
      </c>
      <c r="K5885" t="s">
        <v>144</v>
      </c>
      <c r="L5885" t="s">
        <v>144</v>
      </c>
      <c r="M5885" t="s">
        <v>172</v>
      </c>
      <c r="N5885" t="s">
        <v>86</v>
      </c>
      <c r="O5885" t="s">
        <v>62</v>
      </c>
      <c r="P5885" t="s">
        <v>655</v>
      </c>
      <c r="Q5885">
        <v>0.02</v>
      </c>
      <c r="R5885" t="s">
        <v>213</v>
      </c>
      <c r="S5885" s="2" t="s">
        <v>27</v>
      </c>
      <c r="T5885">
        <v>6</v>
      </c>
      <c r="U5885" t="s">
        <v>28</v>
      </c>
      <c r="V5885" t="s">
        <v>28</v>
      </c>
      <c r="W5885">
        <v>27</v>
      </c>
      <c r="X5885">
        <v>0.875</v>
      </c>
      <c r="Y5885">
        <f>X5885-0.692</f>
        <v>0.18300000000000005</v>
      </c>
      <c r="AA5885" s="6"/>
      <c r="AB5885" s="6"/>
    </row>
    <row r="5886" spans="1:28" x14ac:dyDescent="0.2">
      <c r="A5886" t="s">
        <v>654</v>
      </c>
      <c r="B5886">
        <v>2001</v>
      </c>
      <c r="C5886" t="s">
        <v>826</v>
      </c>
      <c r="D5886" t="s">
        <v>812</v>
      </c>
      <c r="E5886" t="s">
        <v>103</v>
      </c>
      <c r="F5886" t="s">
        <v>657</v>
      </c>
      <c r="G5886">
        <v>33.525126</v>
      </c>
      <c r="H5886">
        <v>133.748152</v>
      </c>
      <c r="I5886" t="s">
        <v>772</v>
      </c>
      <c r="J5886" s="2" t="s">
        <v>14</v>
      </c>
      <c r="K5886" t="s">
        <v>144</v>
      </c>
      <c r="L5886" t="s">
        <v>144</v>
      </c>
      <c r="M5886" t="s">
        <v>172</v>
      </c>
      <c r="N5886" t="s">
        <v>86</v>
      </c>
      <c r="O5886" t="s">
        <v>62</v>
      </c>
      <c r="P5886" t="s">
        <v>655</v>
      </c>
      <c r="Q5886">
        <v>0.02</v>
      </c>
      <c r="R5886" t="s">
        <v>213</v>
      </c>
      <c r="S5886" s="2" t="s">
        <v>13</v>
      </c>
      <c r="T5886">
        <v>6</v>
      </c>
      <c r="U5886" t="s">
        <v>28</v>
      </c>
      <c r="V5886" t="s">
        <v>28</v>
      </c>
      <c r="W5886">
        <v>29</v>
      </c>
      <c r="X5886">
        <v>1.01</v>
      </c>
      <c r="Y5886">
        <f>X5886-0.779</f>
        <v>0.23099999999999998</v>
      </c>
      <c r="AA5886" s="6"/>
      <c r="AB5886" s="6"/>
    </row>
    <row r="5887" spans="1:28" x14ac:dyDescent="0.2">
      <c r="A5887" t="s">
        <v>654</v>
      </c>
      <c r="B5887">
        <v>2001</v>
      </c>
      <c r="C5887" t="s">
        <v>826</v>
      </c>
      <c r="D5887" t="s">
        <v>812</v>
      </c>
      <c r="E5887" t="s">
        <v>103</v>
      </c>
      <c r="F5887" t="s">
        <v>656</v>
      </c>
      <c r="G5887">
        <v>34.664872000000003</v>
      </c>
      <c r="H5887">
        <v>138.94002900000001</v>
      </c>
      <c r="I5887" t="s">
        <v>764</v>
      </c>
      <c r="J5887" s="2" t="s">
        <v>7</v>
      </c>
      <c r="K5887" t="s">
        <v>144</v>
      </c>
      <c r="L5887" t="s">
        <v>144</v>
      </c>
      <c r="M5887" t="s">
        <v>73</v>
      </c>
      <c r="N5887" t="s">
        <v>85</v>
      </c>
      <c r="O5887" t="s">
        <v>146</v>
      </c>
      <c r="P5887" t="s">
        <v>655</v>
      </c>
      <c r="Q5887">
        <v>0.02</v>
      </c>
      <c r="R5887" t="s">
        <v>213</v>
      </c>
      <c r="S5887" s="2" t="s">
        <v>7</v>
      </c>
      <c r="T5887">
        <v>6</v>
      </c>
      <c r="U5887" t="s">
        <v>28</v>
      </c>
      <c r="V5887" t="s">
        <v>28</v>
      </c>
      <c r="W5887">
        <v>20</v>
      </c>
      <c r="X5887">
        <v>4.2210000000000001</v>
      </c>
      <c r="Y5887">
        <f>5.512-X5887</f>
        <v>1.2909999999999995</v>
      </c>
      <c r="AA5887" s="6"/>
      <c r="AB5887" s="6"/>
    </row>
    <row r="5888" spans="1:28" x14ac:dyDescent="0.2">
      <c r="A5888" t="s">
        <v>654</v>
      </c>
      <c r="B5888">
        <v>2001</v>
      </c>
      <c r="C5888" t="s">
        <v>826</v>
      </c>
      <c r="D5888" t="s">
        <v>812</v>
      </c>
      <c r="E5888" t="s">
        <v>103</v>
      </c>
      <c r="F5888" t="s">
        <v>656</v>
      </c>
      <c r="G5888">
        <v>34.664872000000003</v>
      </c>
      <c r="H5888">
        <v>138.94002900000001</v>
      </c>
      <c r="I5888" t="s">
        <v>764</v>
      </c>
      <c r="J5888" s="2" t="s">
        <v>14</v>
      </c>
      <c r="K5888" t="s">
        <v>144</v>
      </c>
      <c r="L5888" t="s">
        <v>144</v>
      </c>
      <c r="M5888" t="s">
        <v>73</v>
      </c>
      <c r="N5888" t="s">
        <v>85</v>
      </c>
      <c r="O5888" t="s">
        <v>146</v>
      </c>
      <c r="P5888" t="s">
        <v>655</v>
      </c>
      <c r="Q5888">
        <v>0.02</v>
      </c>
      <c r="R5888" t="s">
        <v>213</v>
      </c>
      <c r="S5888" s="2" t="s">
        <v>9</v>
      </c>
      <c r="T5888">
        <v>6</v>
      </c>
      <c r="U5888" t="s">
        <v>28</v>
      </c>
      <c r="V5888" t="s">
        <v>28</v>
      </c>
      <c r="W5888">
        <v>25</v>
      </c>
      <c r="X5888">
        <v>4.8719999999999999</v>
      </c>
      <c r="Y5888">
        <f>6.342-X5888</f>
        <v>1.4699999999999998</v>
      </c>
      <c r="AA5888" s="6"/>
      <c r="AB5888" s="6"/>
    </row>
    <row r="5889" spans="1:28" x14ac:dyDescent="0.2">
      <c r="A5889" t="s">
        <v>654</v>
      </c>
      <c r="B5889">
        <v>2001</v>
      </c>
      <c r="C5889" t="s">
        <v>826</v>
      </c>
      <c r="D5889" t="s">
        <v>812</v>
      </c>
      <c r="E5889" t="s">
        <v>103</v>
      </c>
      <c r="F5889" t="s">
        <v>656</v>
      </c>
      <c r="G5889">
        <v>34.664872000000003</v>
      </c>
      <c r="H5889">
        <v>138.94002900000001</v>
      </c>
      <c r="I5889" t="s">
        <v>764</v>
      </c>
      <c r="J5889" s="2" t="s">
        <v>14</v>
      </c>
      <c r="K5889" t="s">
        <v>144</v>
      </c>
      <c r="L5889" t="s">
        <v>144</v>
      </c>
      <c r="M5889" t="s">
        <v>73</v>
      </c>
      <c r="N5889" t="s">
        <v>85</v>
      </c>
      <c r="O5889" t="s">
        <v>146</v>
      </c>
      <c r="P5889" t="s">
        <v>655</v>
      </c>
      <c r="Q5889">
        <v>0.02</v>
      </c>
      <c r="R5889" t="s">
        <v>213</v>
      </c>
      <c r="S5889" s="2" t="s">
        <v>27</v>
      </c>
      <c r="T5889">
        <v>6</v>
      </c>
      <c r="U5889" t="s">
        <v>28</v>
      </c>
      <c r="V5889" t="s">
        <v>28</v>
      </c>
      <c r="W5889">
        <v>27</v>
      </c>
      <c r="X5889">
        <v>4.9279999999999999</v>
      </c>
      <c r="Y5889">
        <f>6.351-X5889</f>
        <v>1.423</v>
      </c>
      <c r="AA5889" s="6"/>
      <c r="AB5889" s="6"/>
    </row>
    <row r="5890" spans="1:28" x14ac:dyDescent="0.2">
      <c r="A5890" t="s">
        <v>654</v>
      </c>
      <c r="B5890">
        <v>2001</v>
      </c>
      <c r="C5890" t="s">
        <v>826</v>
      </c>
      <c r="D5890" t="s">
        <v>812</v>
      </c>
      <c r="E5890" t="s">
        <v>103</v>
      </c>
      <c r="F5890" t="s">
        <v>656</v>
      </c>
      <c r="G5890">
        <v>34.664872000000003</v>
      </c>
      <c r="H5890">
        <v>138.94002900000001</v>
      </c>
      <c r="I5890" t="s">
        <v>764</v>
      </c>
      <c r="J5890" s="2" t="s">
        <v>14</v>
      </c>
      <c r="K5890" t="s">
        <v>144</v>
      </c>
      <c r="L5890" t="s">
        <v>144</v>
      </c>
      <c r="M5890" t="s">
        <v>73</v>
      </c>
      <c r="N5890" t="s">
        <v>85</v>
      </c>
      <c r="O5890" t="s">
        <v>146</v>
      </c>
      <c r="P5890" t="s">
        <v>655</v>
      </c>
      <c r="Q5890">
        <v>0.02</v>
      </c>
      <c r="R5890" t="s">
        <v>213</v>
      </c>
      <c r="S5890" s="2" t="s">
        <v>13</v>
      </c>
      <c r="T5890">
        <v>6</v>
      </c>
      <c r="U5890" t="s">
        <v>28</v>
      </c>
      <c r="V5890" t="s">
        <v>28</v>
      </c>
      <c r="W5890">
        <v>29</v>
      </c>
      <c r="X5890">
        <v>3.7309999999999999</v>
      </c>
      <c r="Y5890">
        <f>4.693-X5890</f>
        <v>0.96199999999999974</v>
      </c>
      <c r="AA5890" s="6"/>
      <c r="AB5890" s="6"/>
    </row>
    <row r="5891" spans="1:28" x14ac:dyDescent="0.2">
      <c r="A5891" t="s">
        <v>654</v>
      </c>
      <c r="B5891">
        <v>2001</v>
      </c>
      <c r="C5891" t="s">
        <v>826</v>
      </c>
      <c r="D5891" t="s">
        <v>812</v>
      </c>
      <c r="E5891" t="s">
        <v>103</v>
      </c>
      <c r="F5891" t="s">
        <v>657</v>
      </c>
      <c r="G5891">
        <v>33.525126</v>
      </c>
      <c r="H5891">
        <v>133.748152</v>
      </c>
      <c r="I5891" t="s">
        <v>764</v>
      </c>
      <c r="J5891" s="2" t="s">
        <v>7</v>
      </c>
      <c r="K5891" t="s">
        <v>144</v>
      </c>
      <c r="L5891" t="s">
        <v>144</v>
      </c>
      <c r="M5891" t="s">
        <v>73</v>
      </c>
      <c r="N5891" t="s">
        <v>85</v>
      </c>
      <c r="O5891" t="s">
        <v>146</v>
      </c>
      <c r="P5891" t="s">
        <v>655</v>
      </c>
      <c r="Q5891">
        <v>0.02</v>
      </c>
      <c r="R5891" t="s">
        <v>213</v>
      </c>
      <c r="S5891" s="2" t="s">
        <v>7</v>
      </c>
      <c r="T5891">
        <v>6</v>
      </c>
      <c r="U5891" t="s">
        <v>28</v>
      </c>
      <c r="V5891" t="s">
        <v>28</v>
      </c>
      <c r="W5891">
        <v>20</v>
      </c>
      <c r="X5891">
        <v>2.2709999999999999</v>
      </c>
      <c r="Y5891">
        <f>3.298-X5891</f>
        <v>1.0270000000000001</v>
      </c>
      <c r="AA5891" s="6"/>
      <c r="AB5891" s="6"/>
    </row>
    <row r="5892" spans="1:28" x14ac:dyDescent="0.2">
      <c r="A5892" t="s">
        <v>654</v>
      </c>
      <c r="B5892">
        <v>2001</v>
      </c>
      <c r="C5892" t="s">
        <v>826</v>
      </c>
      <c r="D5892" t="s">
        <v>812</v>
      </c>
      <c r="E5892" t="s">
        <v>103</v>
      </c>
      <c r="F5892" t="s">
        <v>657</v>
      </c>
      <c r="G5892">
        <v>33.525126</v>
      </c>
      <c r="H5892">
        <v>133.748152</v>
      </c>
      <c r="I5892" t="s">
        <v>764</v>
      </c>
      <c r="J5892" s="2" t="s">
        <v>14</v>
      </c>
      <c r="K5892" t="s">
        <v>144</v>
      </c>
      <c r="L5892" t="s">
        <v>144</v>
      </c>
      <c r="M5892" t="s">
        <v>73</v>
      </c>
      <c r="N5892" t="s">
        <v>85</v>
      </c>
      <c r="O5892" t="s">
        <v>146</v>
      </c>
      <c r="P5892" t="s">
        <v>655</v>
      </c>
      <c r="Q5892">
        <v>0.02</v>
      </c>
      <c r="R5892" t="s">
        <v>213</v>
      </c>
      <c r="S5892" s="2" t="s">
        <v>9</v>
      </c>
      <c r="T5892">
        <v>6</v>
      </c>
      <c r="U5892" t="s">
        <v>28</v>
      </c>
      <c r="V5892" t="s">
        <v>28</v>
      </c>
      <c r="W5892">
        <v>25</v>
      </c>
      <c r="X5892">
        <v>2.827</v>
      </c>
      <c r="Y5892">
        <f>3.995-X5892</f>
        <v>1.1680000000000001</v>
      </c>
      <c r="AA5892" s="6"/>
      <c r="AB5892" s="6"/>
    </row>
    <row r="5893" spans="1:28" x14ac:dyDescent="0.2">
      <c r="A5893" t="s">
        <v>654</v>
      </c>
      <c r="B5893">
        <v>2001</v>
      </c>
      <c r="C5893" t="s">
        <v>826</v>
      </c>
      <c r="D5893" t="s">
        <v>812</v>
      </c>
      <c r="E5893" t="s">
        <v>103</v>
      </c>
      <c r="F5893" t="s">
        <v>657</v>
      </c>
      <c r="G5893">
        <v>33.525126</v>
      </c>
      <c r="H5893">
        <v>133.748152</v>
      </c>
      <c r="I5893" t="s">
        <v>764</v>
      </c>
      <c r="J5893" s="2" t="s">
        <v>14</v>
      </c>
      <c r="K5893" t="s">
        <v>144</v>
      </c>
      <c r="L5893" t="s">
        <v>144</v>
      </c>
      <c r="M5893" t="s">
        <v>73</v>
      </c>
      <c r="N5893" t="s">
        <v>85</v>
      </c>
      <c r="O5893" t="s">
        <v>146</v>
      </c>
      <c r="P5893" t="s">
        <v>655</v>
      </c>
      <c r="Q5893">
        <v>0.02</v>
      </c>
      <c r="R5893" t="s">
        <v>213</v>
      </c>
      <c r="S5893" s="2" t="s">
        <v>27</v>
      </c>
      <c r="T5893">
        <v>6</v>
      </c>
      <c r="U5893" t="s">
        <v>28</v>
      </c>
      <c r="V5893" t="s">
        <v>28</v>
      </c>
      <c r="W5893">
        <v>27</v>
      </c>
      <c r="X5893">
        <v>3.0150000000000001</v>
      </c>
      <c r="Y5893">
        <f>4.174-X5893</f>
        <v>1.1590000000000003</v>
      </c>
      <c r="AA5893" s="6"/>
      <c r="AB5893" s="6"/>
    </row>
    <row r="5894" spans="1:28" x14ac:dyDescent="0.2">
      <c r="A5894" t="s">
        <v>654</v>
      </c>
      <c r="B5894">
        <v>2001</v>
      </c>
      <c r="C5894" t="s">
        <v>826</v>
      </c>
      <c r="D5894" t="s">
        <v>812</v>
      </c>
      <c r="E5894" t="s">
        <v>103</v>
      </c>
      <c r="F5894" t="s">
        <v>657</v>
      </c>
      <c r="G5894">
        <v>33.525126</v>
      </c>
      <c r="H5894">
        <v>133.748152</v>
      </c>
      <c r="I5894" t="s">
        <v>764</v>
      </c>
      <c r="J5894" s="2" t="s">
        <v>14</v>
      </c>
      <c r="K5894" t="s">
        <v>144</v>
      </c>
      <c r="L5894" t="s">
        <v>144</v>
      </c>
      <c r="M5894" t="s">
        <v>73</v>
      </c>
      <c r="N5894" t="s">
        <v>85</v>
      </c>
      <c r="O5894" t="s">
        <v>146</v>
      </c>
      <c r="P5894" t="s">
        <v>655</v>
      </c>
      <c r="Q5894">
        <v>0.02</v>
      </c>
      <c r="R5894" t="s">
        <v>213</v>
      </c>
      <c r="S5894" s="2" t="s">
        <v>13</v>
      </c>
      <c r="T5894">
        <v>6</v>
      </c>
      <c r="U5894" t="s">
        <v>28</v>
      </c>
      <c r="V5894" t="s">
        <v>28</v>
      </c>
      <c r="W5894">
        <v>29</v>
      </c>
      <c r="X5894">
        <v>2.8359999999999999</v>
      </c>
      <c r="Y5894">
        <f>X5894-1.687</f>
        <v>1.1489999999999998</v>
      </c>
      <c r="AA5894" s="6"/>
      <c r="AB5894" s="6"/>
    </row>
    <row r="5895" spans="1:28" x14ac:dyDescent="0.2">
      <c r="A5895" t="s">
        <v>654</v>
      </c>
      <c r="B5895">
        <v>2001</v>
      </c>
      <c r="C5895" t="s">
        <v>826</v>
      </c>
      <c r="D5895" t="s">
        <v>812</v>
      </c>
      <c r="E5895" t="s">
        <v>103</v>
      </c>
      <c r="F5895" t="s">
        <v>656</v>
      </c>
      <c r="G5895">
        <v>34.664872000000003</v>
      </c>
      <c r="H5895">
        <v>138.94002900000001</v>
      </c>
      <c r="I5895" t="s">
        <v>764</v>
      </c>
      <c r="J5895" s="2" t="s">
        <v>7</v>
      </c>
      <c r="K5895" t="s">
        <v>144</v>
      </c>
      <c r="L5895" t="s">
        <v>144</v>
      </c>
      <c r="M5895" t="s">
        <v>172</v>
      </c>
      <c r="N5895" t="s">
        <v>86</v>
      </c>
      <c r="O5895" t="s">
        <v>62</v>
      </c>
      <c r="P5895" t="s">
        <v>655</v>
      </c>
      <c r="Q5895">
        <v>0.02</v>
      </c>
      <c r="R5895" t="s">
        <v>213</v>
      </c>
      <c r="S5895" s="2" t="s">
        <v>7</v>
      </c>
      <c r="T5895">
        <v>6</v>
      </c>
      <c r="U5895" t="s">
        <v>28</v>
      </c>
      <c r="V5895" t="s">
        <v>28</v>
      </c>
      <c r="W5895">
        <v>20</v>
      </c>
      <c r="X5895">
        <v>0.60599999999999998</v>
      </c>
      <c r="Y5895">
        <f>0.769-X5895</f>
        <v>0.16300000000000003</v>
      </c>
      <c r="AA5895" s="6"/>
      <c r="AB5895" s="6"/>
    </row>
    <row r="5896" spans="1:28" x14ac:dyDescent="0.2">
      <c r="A5896" t="s">
        <v>654</v>
      </c>
      <c r="B5896">
        <v>2001</v>
      </c>
      <c r="C5896" t="s">
        <v>826</v>
      </c>
      <c r="D5896" t="s">
        <v>812</v>
      </c>
      <c r="E5896" t="s">
        <v>103</v>
      </c>
      <c r="F5896" t="s">
        <v>656</v>
      </c>
      <c r="G5896">
        <v>34.664872000000003</v>
      </c>
      <c r="H5896">
        <v>138.94002900000001</v>
      </c>
      <c r="I5896" t="s">
        <v>764</v>
      </c>
      <c r="J5896" s="2" t="s">
        <v>14</v>
      </c>
      <c r="K5896" t="s">
        <v>144</v>
      </c>
      <c r="L5896" t="s">
        <v>144</v>
      </c>
      <c r="M5896" t="s">
        <v>172</v>
      </c>
      <c r="N5896" t="s">
        <v>86</v>
      </c>
      <c r="O5896" t="s">
        <v>62</v>
      </c>
      <c r="P5896" t="s">
        <v>655</v>
      </c>
      <c r="Q5896">
        <v>0.02</v>
      </c>
      <c r="R5896" t="s">
        <v>213</v>
      </c>
      <c r="S5896" s="2" t="s">
        <v>9</v>
      </c>
      <c r="T5896">
        <v>6</v>
      </c>
      <c r="U5896" t="s">
        <v>28</v>
      </c>
      <c r="V5896" t="s">
        <v>28</v>
      </c>
      <c r="W5896">
        <v>25</v>
      </c>
      <c r="X5896">
        <v>0.75</v>
      </c>
      <c r="Y5896">
        <f>0.942-X5896</f>
        <v>0.19199999999999995</v>
      </c>
      <c r="AA5896" s="6"/>
      <c r="AB5896" s="6"/>
    </row>
    <row r="5897" spans="1:28" x14ac:dyDescent="0.2">
      <c r="A5897" t="s">
        <v>654</v>
      </c>
      <c r="B5897">
        <v>2001</v>
      </c>
      <c r="C5897" t="s">
        <v>826</v>
      </c>
      <c r="D5897" t="s">
        <v>812</v>
      </c>
      <c r="E5897" t="s">
        <v>103</v>
      </c>
      <c r="F5897" t="s">
        <v>656</v>
      </c>
      <c r="G5897">
        <v>34.664872000000003</v>
      </c>
      <c r="H5897">
        <v>138.94002900000001</v>
      </c>
      <c r="I5897" t="s">
        <v>764</v>
      </c>
      <c r="J5897" s="2" t="s">
        <v>14</v>
      </c>
      <c r="K5897" t="s">
        <v>144</v>
      </c>
      <c r="L5897" t="s">
        <v>144</v>
      </c>
      <c r="M5897" t="s">
        <v>172</v>
      </c>
      <c r="N5897" t="s">
        <v>86</v>
      </c>
      <c r="O5897" t="s">
        <v>62</v>
      </c>
      <c r="P5897" t="s">
        <v>655</v>
      </c>
      <c r="Q5897">
        <v>0.02</v>
      </c>
      <c r="R5897" t="s">
        <v>213</v>
      </c>
      <c r="S5897" s="2" t="s">
        <v>27</v>
      </c>
      <c r="T5897">
        <v>6</v>
      </c>
      <c r="U5897" t="s">
        <v>28</v>
      </c>
      <c r="V5897" t="s">
        <v>28</v>
      </c>
      <c r="W5897">
        <v>27</v>
      </c>
      <c r="X5897">
        <v>0.89400000000000002</v>
      </c>
      <c r="Y5897">
        <f>1.067-X5897</f>
        <v>0.17299999999999993</v>
      </c>
      <c r="AA5897" s="6"/>
      <c r="AB5897" s="6"/>
    </row>
    <row r="5898" spans="1:28" x14ac:dyDescent="0.2">
      <c r="A5898" t="s">
        <v>654</v>
      </c>
      <c r="B5898">
        <v>2001</v>
      </c>
      <c r="C5898" t="s">
        <v>826</v>
      </c>
      <c r="D5898" t="s">
        <v>812</v>
      </c>
      <c r="E5898" t="s">
        <v>103</v>
      </c>
      <c r="F5898" t="s">
        <v>656</v>
      </c>
      <c r="G5898">
        <v>34.664872000000003</v>
      </c>
      <c r="H5898">
        <v>138.94002900000001</v>
      </c>
      <c r="I5898" t="s">
        <v>764</v>
      </c>
      <c r="J5898" s="2" t="s">
        <v>14</v>
      </c>
      <c r="K5898" t="s">
        <v>144</v>
      </c>
      <c r="L5898" t="s">
        <v>144</v>
      </c>
      <c r="M5898" t="s">
        <v>172</v>
      </c>
      <c r="N5898" t="s">
        <v>86</v>
      </c>
      <c r="O5898" t="s">
        <v>62</v>
      </c>
      <c r="P5898" t="s">
        <v>655</v>
      </c>
      <c r="Q5898">
        <v>0.02</v>
      </c>
      <c r="R5898" t="s">
        <v>213</v>
      </c>
      <c r="S5898" s="2" t="s">
        <v>13</v>
      </c>
      <c r="T5898">
        <v>6</v>
      </c>
      <c r="U5898" t="s">
        <v>28</v>
      </c>
      <c r="V5898" t="s">
        <v>28</v>
      </c>
      <c r="W5898">
        <v>29</v>
      </c>
      <c r="X5898">
        <v>1.7210000000000001</v>
      </c>
      <c r="Y5898">
        <f>X5898-0.875</f>
        <v>0.84600000000000009</v>
      </c>
      <c r="AA5898" s="6"/>
      <c r="AB5898" s="6"/>
    </row>
    <row r="5899" spans="1:28" x14ac:dyDescent="0.2">
      <c r="A5899" t="s">
        <v>654</v>
      </c>
      <c r="B5899">
        <v>2001</v>
      </c>
      <c r="C5899" t="s">
        <v>826</v>
      </c>
      <c r="D5899" t="s">
        <v>812</v>
      </c>
      <c r="E5899" t="s">
        <v>103</v>
      </c>
      <c r="F5899" t="s">
        <v>657</v>
      </c>
      <c r="G5899">
        <v>33.525126</v>
      </c>
      <c r="H5899">
        <v>133.748152</v>
      </c>
      <c r="I5899" t="s">
        <v>764</v>
      </c>
      <c r="J5899" s="2" t="s">
        <v>7</v>
      </c>
      <c r="K5899" t="s">
        <v>144</v>
      </c>
      <c r="L5899" t="s">
        <v>144</v>
      </c>
      <c r="M5899" t="s">
        <v>172</v>
      </c>
      <c r="N5899" t="s">
        <v>86</v>
      </c>
      <c r="O5899" t="s">
        <v>62</v>
      </c>
      <c r="P5899" t="s">
        <v>655</v>
      </c>
      <c r="Q5899">
        <v>0.02</v>
      </c>
      <c r="R5899" t="s">
        <v>213</v>
      </c>
      <c r="S5899" s="2" t="s">
        <v>7</v>
      </c>
      <c r="T5899">
        <v>6</v>
      </c>
      <c r="U5899" t="s">
        <v>28</v>
      </c>
      <c r="V5899" t="s">
        <v>28</v>
      </c>
      <c r="W5899">
        <v>20</v>
      </c>
      <c r="X5899">
        <v>0.33700000000000002</v>
      </c>
      <c r="Y5899">
        <f>X5899-0.192</f>
        <v>0.14500000000000002</v>
      </c>
      <c r="AA5899" s="6"/>
      <c r="AB5899" s="6"/>
    </row>
    <row r="5900" spans="1:28" x14ac:dyDescent="0.2">
      <c r="A5900" t="s">
        <v>654</v>
      </c>
      <c r="B5900">
        <v>2001</v>
      </c>
      <c r="C5900" t="s">
        <v>826</v>
      </c>
      <c r="D5900" t="s">
        <v>812</v>
      </c>
      <c r="E5900" t="s">
        <v>103</v>
      </c>
      <c r="F5900" t="s">
        <v>657</v>
      </c>
      <c r="G5900">
        <v>33.525126</v>
      </c>
      <c r="H5900">
        <v>133.748152</v>
      </c>
      <c r="I5900" t="s">
        <v>764</v>
      </c>
      <c r="J5900" s="2" t="s">
        <v>14</v>
      </c>
      <c r="K5900" t="s">
        <v>144</v>
      </c>
      <c r="L5900" t="s">
        <v>144</v>
      </c>
      <c r="M5900" t="s">
        <v>172</v>
      </c>
      <c r="N5900" t="s">
        <v>86</v>
      </c>
      <c r="O5900" t="s">
        <v>62</v>
      </c>
      <c r="P5900" t="s">
        <v>655</v>
      </c>
      <c r="Q5900">
        <v>0.02</v>
      </c>
      <c r="R5900" t="s">
        <v>213</v>
      </c>
      <c r="S5900" s="2" t="s">
        <v>9</v>
      </c>
      <c r="T5900">
        <v>6</v>
      </c>
      <c r="U5900" t="s">
        <v>28</v>
      </c>
      <c r="V5900" t="s">
        <v>28</v>
      </c>
      <c r="W5900">
        <v>25</v>
      </c>
      <c r="X5900">
        <v>0.375</v>
      </c>
      <c r="Y5900">
        <f>X5900-0.231</f>
        <v>0.14399999999999999</v>
      </c>
      <c r="AA5900" s="6"/>
      <c r="AB5900" s="6"/>
    </row>
    <row r="5901" spans="1:28" x14ac:dyDescent="0.2">
      <c r="A5901" t="s">
        <v>654</v>
      </c>
      <c r="B5901">
        <v>2001</v>
      </c>
      <c r="C5901" t="s">
        <v>826</v>
      </c>
      <c r="D5901" t="s">
        <v>812</v>
      </c>
      <c r="E5901" t="s">
        <v>103</v>
      </c>
      <c r="F5901" t="s">
        <v>657</v>
      </c>
      <c r="G5901">
        <v>33.525126</v>
      </c>
      <c r="H5901">
        <v>133.748152</v>
      </c>
      <c r="I5901" t="s">
        <v>764</v>
      </c>
      <c r="J5901" s="2" t="s">
        <v>14</v>
      </c>
      <c r="K5901" t="s">
        <v>144</v>
      </c>
      <c r="L5901" t="s">
        <v>144</v>
      </c>
      <c r="M5901" t="s">
        <v>172</v>
      </c>
      <c r="N5901" t="s">
        <v>86</v>
      </c>
      <c r="O5901" t="s">
        <v>62</v>
      </c>
      <c r="P5901" t="s">
        <v>655</v>
      </c>
      <c r="Q5901">
        <v>0.02</v>
      </c>
      <c r="R5901" t="s">
        <v>213</v>
      </c>
      <c r="S5901" s="2" t="s">
        <v>27</v>
      </c>
      <c r="T5901">
        <v>6</v>
      </c>
      <c r="U5901" t="s">
        <v>28</v>
      </c>
      <c r="V5901" t="s">
        <v>28</v>
      </c>
      <c r="W5901">
        <v>27</v>
      </c>
      <c r="X5901">
        <v>0.41299999999999998</v>
      </c>
      <c r="Y5901">
        <f>X5901-0.288</f>
        <v>0.125</v>
      </c>
      <c r="AA5901" s="6"/>
      <c r="AB5901" s="6"/>
    </row>
    <row r="5902" spans="1:28" x14ac:dyDescent="0.2">
      <c r="A5902" t="s">
        <v>654</v>
      </c>
      <c r="B5902">
        <v>2001</v>
      </c>
      <c r="C5902" t="s">
        <v>826</v>
      </c>
      <c r="D5902" t="s">
        <v>812</v>
      </c>
      <c r="E5902" t="s">
        <v>103</v>
      </c>
      <c r="F5902" t="s">
        <v>657</v>
      </c>
      <c r="G5902">
        <v>33.525126</v>
      </c>
      <c r="H5902">
        <v>133.748152</v>
      </c>
      <c r="I5902" t="s">
        <v>764</v>
      </c>
      <c r="J5902" s="2" t="s">
        <v>14</v>
      </c>
      <c r="K5902" t="s">
        <v>144</v>
      </c>
      <c r="L5902" t="s">
        <v>144</v>
      </c>
      <c r="M5902" t="s">
        <v>172</v>
      </c>
      <c r="N5902" t="s">
        <v>86</v>
      </c>
      <c r="O5902" t="s">
        <v>62</v>
      </c>
      <c r="P5902" t="s">
        <v>655</v>
      </c>
      <c r="Q5902">
        <v>0.02</v>
      </c>
      <c r="R5902" t="s">
        <v>213</v>
      </c>
      <c r="S5902" s="2" t="s">
        <v>13</v>
      </c>
      <c r="T5902">
        <v>6</v>
      </c>
      <c r="U5902" t="s">
        <v>28</v>
      </c>
      <c r="V5902" t="s">
        <v>28</v>
      </c>
      <c r="W5902">
        <v>29</v>
      </c>
      <c r="X5902">
        <v>0.45200000000000001</v>
      </c>
      <c r="Y5902">
        <f>X5902-0.327</f>
        <v>0.125</v>
      </c>
      <c r="AA5902" s="6"/>
      <c r="AB5902" s="6"/>
    </row>
    <row r="5903" spans="1:28" x14ac:dyDescent="0.2">
      <c r="A5903" t="s">
        <v>654</v>
      </c>
      <c r="B5903">
        <v>2001</v>
      </c>
      <c r="C5903" t="s">
        <v>826</v>
      </c>
      <c r="D5903" t="s">
        <v>812</v>
      </c>
      <c r="E5903" t="s">
        <v>103</v>
      </c>
      <c r="F5903" t="s">
        <v>656</v>
      </c>
      <c r="G5903">
        <v>34.664872000000003</v>
      </c>
      <c r="H5903">
        <v>138.94002900000001</v>
      </c>
      <c r="I5903" t="s">
        <v>761</v>
      </c>
      <c r="J5903" s="2" t="s">
        <v>7</v>
      </c>
      <c r="K5903" t="s">
        <v>144</v>
      </c>
      <c r="L5903" t="s">
        <v>144</v>
      </c>
      <c r="M5903" t="s">
        <v>73</v>
      </c>
      <c r="N5903" t="s">
        <v>85</v>
      </c>
      <c r="O5903" t="s">
        <v>146</v>
      </c>
      <c r="P5903" t="s">
        <v>655</v>
      </c>
      <c r="Q5903">
        <v>0.02</v>
      </c>
      <c r="R5903" t="s">
        <v>213</v>
      </c>
      <c r="S5903" s="2" t="s">
        <v>7</v>
      </c>
      <c r="T5903">
        <v>6</v>
      </c>
      <c r="U5903" t="s">
        <v>28</v>
      </c>
      <c r="V5903" t="s">
        <v>28</v>
      </c>
      <c r="W5903">
        <v>20</v>
      </c>
      <c r="X5903">
        <v>3.9449999999999998</v>
      </c>
      <c r="Y5903">
        <f>4.629-X5903</f>
        <v>0.68399999999999972</v>
      </c>
      <c r="AA5903" s="6"/>
      <c r="AB5903" s="6"/>
    </row>
    <row r="5904" spans="1:28" x14ac:dyDescent="0.2">
      <c r="A5904" t="s">
        <v>654</v>
      </c>
      <c r="B5904">
        <v>2001</v>
      </c>
      <c r="C5904" t="s">
        <v>826</v>
      </c>
      <c r="D5904" t="s">
        <v>812</v>
      </c>
      <c r="E5904" t="s">
        <v>103</v>
      </c>
      <c r="F5904" t="s">
        <v>656</v>
      </c>
      <c r="G5904">
        <v>34.664872000000003</v>
      </c>
      <c r="H5904">
        <v>138.94002900000001</v>
      </c>
      <c r="I5904" t="s">
        <v>761</v>
      </c>
      <c r="J5904" s="2" t="s">
        <v>14</v>
      </c>
      <c r="K5904" t="s">
        <v>144</v>
      </c>
      <c r="L5904" t="s">
        <v>144</v>
      </c>
      <c r="M5904" t="s">
        <v>73</v>
      </c>
      <c r="N5904" t="s">
        <v>85</v>
      </c>
      <c r="O5904" t="s">
        <v>146</v>
      </c>
      <c r="P5904" t="s">
        <v>655</v>
      </c>
      <c r="Q5904">
        <v>0.02</v>
      </c>
      <c r="R5904" t="s">
        <v>213</v>
      </c>
      <c r="S5904" s="2" t="s">
        <v>9</v>
      </c>
      <c r="T5904">
        <v>6</v>
      </c>
      <c r="U5904" t="s">
        <v>28</v>
      </c>
      <c r="V5904" t="s">
        <v>28</v>
      </c>
      <c r="W5904">
        <v>25</v>
      </c>
      <c r="X5904">
        <v>4.4610000000000003</v>
      </c>
      <c r="Y5904">
        <f>5.224-X5904</f>
        <v>0.7629999999999999</v>
      </c>
      <c r="AA5904" s="6"/>
      <c r="AB5904" s="6"/>
    </row>
    <row r="5905" spans="1:28" x14ac:dyDescent="0.2">
      <c r="A5905" t="s">
        <v>654</v>
      </c>
      <c r="B5905">
        <v>2001</v>
      </c>
      <c r="C5905" t="s">
        <v>826</v>
      </c>
      <c r="D5905" t="s">
        <v>812</v>
      </c>
      <c r="E5905" t="s">
        <v>103</v>
      </c>
      <c r="F5905" t="s">
        <v>656</v>
      </c>
      <c r="G5905">
        <v>34.664872000000003</v>
      </c>
      <c r="H5905">
        <v>138.94002900000001</v>
      </c>
      <c r="I5905" t="s">
        <v>761</v>
      </c>
      <c r="J5905" s="2" t="s">
        <v>14</v>
      </c>
      <c r="K5905" t="s">
        <v>144</v>
      </c>
      <c r="L5905" t="s">
        <v>144</v>
      </c>
      <c r="M5905" t="s">
        <v>73</v>
      </c>
      <c r="N5905" t="s">
        <v>85</v>
      </c>
      <c r="O5905" t="s">
        <v>146</v>
      </c>
      <c r="P5905" t="s">
        <v>655</v>
      </c>
      <c r="Q5905">
        <v>0.02</v>
      </c>
      <c r="R5905" t="s">
        <v>213</v>
      </c>
      <c r="S5905" s="2" t="s">
        <v>27</v>
      </c>
      <c r="T5905">
        <v>6</v>
      </c>
      <c r="U5905" t="s">
        <v>28</v>
      </c>
      <c r="V5905" t="s">
        <v>28</v>
      </c>
      <c r="W5905">
        <v>27</v>
      </c>
      <c r="X5905">
        <v>4.7779999999999996</v>
      </c>
      <c r="Y5905">
        <f>5.601-X5905</f>
        <v>0.8230000000000004</v>
      </c>
      <c r="AA5905" s="6"/>
      <c r="AB5905" s="6"/>
    </row>
    <row r="5906" spans="1:28" x14ac:dyDescent="0.2">
      <c r="A5906" t="s">
        <v>654</v>
      </c>
      <c r="B5906">
        <v>2001</v>
      </c>
      <c r="C5906" t="s">
        <v>826</v>
      </c>
      <c r="D5906" t="s">
        <v>812</v>
      </c>
      <c r="E5906" t="s">
        <v>103</v>
      </c>
      <c r="F5906" t="s">
        <v>656</v>
      </c>
      <c r="G5906">
        <v>34.664872000000003</v>
      </c>
      <c r="H5906">
        <v>138.94002900000001</v>
      </c>
      <c r="I5906" t="s">
        <v>761</v>
      </c>
      <c r="J5906" s="2" t="s">
        <v>14</v>
      </c>
      <c r="K5906" t="s">
        <v>144</v>
      </c>
      <c r="L5906" t="s">
        <v>144</v>
      </c>
      <c r="M5906" t="s">
        <v>73</v>
      </c>
      <c r="N5906" t="s">
        <v>85</v>
      </c>
      <c r="O5906" t="s">
        <v>146</v>
      </c>
      <c r="P5906" t="s">
        <v>655</v>
      </c>
      <c r="Q5906">
        <v>0.02</v>
      </c>
      <c r="R5906" t="s">
        <v>213</v>
      </c>
      <c r="S5906" s="2" t="s">
        <v>13</v>
      </c>
      <c r="T5906">
        <v>6</v>
      </c>
      <c r="U5906" t="s">
        <v>28</v>
      </c>
      <c r="V5906" t="s">
        <v>28</v>
      </c>
      <c r="W5906">
        <v>29</v>
      </c>
      <c r="X5906">
        <v>4.1040000000000001</v>
      </c>
      <c r="Y5906">
        <f>4.917-X5906</f>
        <v>0.81299999999999972</v>
      </c>
      <c r="AA5906" s="6"/>
      <c r="AB5906" s="6"/>
    </row>
    <row r="5907" spans="1:28" x14ac:dyDescent="0.2">
      <c r="A5907" t="s">
        <v>654</v>
      </c>
      <c r="B5907">
        <v>2001</v>
      </c>
      <c r="C5907" t="s">
        <v>826</v>
      </c>
      <c r="D5907" t="s">
        <v>812</v>
      </c>
      <c r="E5907" t="s">
        <v>103</v>
      </c>
      <c r="F5907" t="s">
        <v>657</v>
      </c>
      <c r="G5907">
        <v>33.525126</v>
      </c>
      <c r="H5907">
        <v>133.748152</v>
      </c>
      <c r="I5907" t="s">
        <v>761</v>
      </c>
      <c r="J5907" s="2" t="s">
        <v>7</v>
      </c>
      <c r="K5907" t="s">
        <v>144</v>
      </c>
      <c r="L5907" t="s">
        <v>144</v>
      </c>
      <c r="M5907" t="s">
        <v>73</v>
      </c>
      <c r="N5907" t="s">
        <v>85</v>
      </c>
      <c r="O5907" t="s">
        <v>146</v>
      </c>
      <c r="P5907" t="s">
        <v>655</v>
      </c>
      <c r="Q5907">
        <v>0.02</v>
      </c>
      <c r="R5907" t="s">
        <v>213</v>
      </c>
      <c r="S5907" s="2" t="s">
        <v>7</v>
      </c>
      <c r="T5907">
        <v>6</v>
      </c>
      <c r="U5907" t="s">
        <v>28</v>
      </c>
      <c r="V5907" t="s">
        <v>28</v>
      </c>
      <c r="W5907">
        <v>20</v>
      </c>
      <c r="X5907">
        <v>2.657</v>
      </c>
      <c r="Y5907">
        <f>3.063-X5907</f>
        <v>0.40600000000000014</v>
      </c>
      <c r="AA5907" s="6"/>
      <c r="AB5907" s="6"/>
    </row>
    <row r="5908" spans="1:28" x14ac:dyDescent="0.2">
      <c r="A5908" t="s">
        <v>654</v>
      </c>
      <c r="B5908">
        <v>2001</v>
      </c>
      <c r="C5908" t="s">
        <v>826</v>
      </c>
      <c r="D5908" t="s">
        <v>812</v>
      </c>
      <c r="E5908" t="s">
        <v>103</v>
      </c>
      <c r="F5908" t="s">
        <v>657</v>
      </c>
      <c r="G5908">
        <v>33.525126</v>
      </c>
      <c r="H5908">
        <v>133.748152</v>
      </c>
      <c r="I5908" t="s">
        <v>761</v>
      </c>
      <c r="J5908" s="2" t="s">
        <v>14</v>
      </c>
      <c r="K5908" t="s">
        <v>144</v>
      </c>
      <c r="L5908" t="s">
        <v>144</v>
      </c>
      <c r="M5908" t="s">
        <v>73</v>
      </c>
      <c r="N5908" t="s">
        <v>85</v>
      </c>
      <c r="O5908" t="s">
        <v>146</v>
      </c>
      <c r="P5908" t="s">
        <v>655</v>
      </c>
      <c r="Q5908">
        <v>0.02</v>
      </c>
      <c r="R5908" t="s">
        <v>213</v>
      </c>
      <c r="S5908" s="2" t="s">
        <v>9</v>
      </c>
      <c r="T5908">
        <v>6</v>
      </c>
      <c r="U5908" t="s">
        <v>28</v>
      </c>
      <c r="V5908" t="s">
        <v>28</v>
      </c>
      <c r="W5908">
        <v>25</v>
      </c>
      <c r="X5908">
        <v>2.9940000000000002</v>
      </c>
      <c r="Y5908">
        <f>3.489-X5908</f>
        <v>0.49499999999999966</v>
      </c>
      <c r="AA5908" s="6"/>
      <c r="AB5908" s="6"/>
    </row>
    <row r="5909" spans="1:28" x14ac:dyDescent="0.2">
      <c r="A5909" t="s">
        <v>654</v>
      </c>
      <c r="B5909">
        <v>2001</v>
      </c>
      <c r="C5909" t="s">
        <v>826</v>
      </c>
      <c r="D5909" t="s">
        <v>812</v>
      </c>
      <c r="E5909" t="s">
        <v>103</v>
      </c>
      <c r="F5909" t="s">
        <v>657</v>
      </c>
      <c r="G5909">
        <v>33.525126</v>
      </c>
      <c r="H5909">
        <v>133.748152</v>
      </c>
      <c r="I5909" t="s">
        <v>761</v>
      </c>
      <c r="J5909" s="2" t="s">
        <v>14</v>
      </c>
      <c r="K5909" t="s">
        <v>144</v>
      </c>
      <c r="L5909" t="s">
        <v>144</v>
      </c>
      <c r="M5909" t="s">
        <v>73</v>
      </c>
      <c r="N5909" t="s">
        <v>85</v>
      </c>
      <c r="O5909" t="s">
        <v>146</v>
      </c>
      <c r="P5909" t="s">
        <v>655</v>
      </c>
      <c r="Q5909">
        <v>0.02</v>
      </c>
      <c r="R5909" t="s">
        <v>213</v>
      </c>
      <c r="S5909" s="2" t="s">
        <v>27</v>
      </c>
      <c r="T5909">
        <v>6</v>
      </c>
      <c r="U5909" t="s">
        <v>28</v>
      </c>
      <c r="V5909" t="s">
        <v>28</v>
      </c>
      <c r="W5909">
        <v>27</v>
      </c>
      <c r="X5909">
        <v>3.0830000000000002</v>
      </c>
      <c r="Y5909">
        <f>3.589-X5909</f>
        <v>0.50599999999999978</v>
      </c>
      <c r="AA5909" s="6"/>
      <c r="AB5909" s="6"/>
    </row>
    <row r="5910" spans="1:28" x14ac:dyDescent="0.2">
      <c r="A5910" t="s">
        <v>654</v>
      </c>
      <c r="B5910">
        <v>2001</v>
      </c>
      <c r="C5910" t="s">
        <v>826</v>
      </c>
      <c r="D5910" t="s">
        <v>812</v>
      </c>
      <c r="E5910" t="s">
        <v>103</v>
      </c>
      <c r="F5910" t="s">
        <v>657</v>
      </c>
      <c r="G5910">
        <v>33.525126</v>
      </c>
      <c r="H5910">
        <v>133.748152</v>
      </c>
      <c r="I5910" t="s">
        <v>761</v>
      </c>
      <c r="J5910" s="2" t="s">
        <v>14</v>
      </c>
      <c r="K5910" t="s">
        <v>144</v>
      </c>
      <c r="L5910" t="s">
        <v>144</v>
      </c>
      <c r="M5910" t="s">
        <v>73</v>
      </c>
      <c r="N5910" t="s">
        <v>85</v>
      </c>
      <c r="O5910" t="s">
        <v>146</v>
      </c>
      <c r="P5910" t="s">
        <v>655</v>
      </c>
      <c r="Q5910">
        <v>0.02</v>
      </c>
      <c r="R5910" t="s">
        <v>213</v>
      </c>
      <c r="S5910" s="2" t="s">
        <v>13</v>
      </c>
      <c r="T5910">
        <v>6</v>
      </c>
      <c r="U5910" t="s">
        <v>28</v>
      </c>
      <c r="V5910" t="s">
        <v>28</v>
      </c>
      <c r="W5910">
        <v>29</v>
      </c>
      <c r="X5910">
        <v>3.0430000000000001</v>
      </c>
      <c r="Y5910">
        <f>3.499-X5910</f>
        <v>0.45599999999999996</v>
      </c>
      <c r="AA5910" s="6"/>
      <c r="AB5910" s="6"/>
    </row>
    <row r="5911" spans="1:28" x14ac:dyDescent="0.2">
      <c r="A5911" t="s">
        <v>654</v>
      </c>
      <c r="B5911">
        <v>2001</v>
      </c>
      <c r="C5911" t="s">
        <v>826</v>
      </c>
      <c r="D5911" t="s">
        <v>812</v>
      </c>
      <c r="E5911" t="s">
        <v>103</v>
      </c>
      <c r="F5911" t="s">
        <v>656</v>
      </c>
      <c r="G5911">
        <v>34.664872000000003</v>
      </c>
      <c r="H5911">
        <v>138.94002900000001</v>
      </c>
      <c r="I5911" t="s">
        <v>761</v>
      </c>
      <c r="J5911" s="2" t="s">
        <v>7</v>
      </c>
      <c r="K5911" t="s">
        <v>144</v>
      </c>
      <c r="L5911" t="s">
        <v>144</v>
      </c>
      <c r="M5911" t="s">
        <v>172</v>
      </c>
      <c r="N5911" t="s">
        <v>86</v>
      </c>
      <c r="O5911" t="s">
        <v>62</v>
      </c>
      <c r="P5911" t="s">
        <v>655</v>
      </c>
      <c r="Q5911">
        <v>0.02</v>
      </c>
      <c r="R5911" t="s">
        <v>213</v>
      </c>
      <c r="S5911" s="2" t="s">
        <v>7</v>
      </c>
      <c r="T5911">
        <v>6</v>
      </c>
      <c r="U5911" t="s">
        <v>28</v>
      </c>
      <c r="V5911" t="s">
        <v>28</v>
      </c>
      <c r="W5911">
        <v>20</v>
      </c>
      <c r="X5911">
        <v>0.47499999999999998</v>
      </c>
      <c r="Y5911">
        <f>0.646-X5911</f>
        <v>0.17100000000000004</v>
      </c>
      <c r="AA5911" s="6"/>
      <c r="AB5911" s="6"/>
    </row>
    <row r="5912" spans="1:28" x14ac:dyDescent="0.2">
      <c r="A5912" t="s">
        <v>654</v>
      </c>
      <c r="B5912">
        <v>2001</v>
      </c>
      <c r="C5912" t="s">
        <v>826</v>
      </c>
      <c r="D5912" t="s">
        <v>812</v>
      </c>
      <c r="E5912" t="s">
        <v>103</v>
      </c>
      <c r="F5912" t="s">
        <v>656</v>
      </c>
      <c r="G5912">
        <v>34.664872000000003</v>
      </c>
      <c r="H5912">
        <v>138.94002900000001</v>
      </c>
      <c r="I5912" t="s">
        <v>761</v>
      </c>
      <c r="J5912" s="2" t="s">
        <v>14</v>
      </c>
      <c r="K5912" t="s">
        <v>144</v>
      </c>
      <c r="L5912" t="s">
        <v>144</v>
      </c>
      <c r="M5912" t="s">
        <v>172</v>
      </c>
      <c r="N5912" t="s">
        <v>86</v>
      </c>
      <c r="O5912" t="s">
        <v>62</v>
      </c>
      <c r="P5912" t="s">
        <v>655</v>
      </c>
      <c r="Q5912">
        <v>0.02</v>
      </c>
      <c r="R5912" t="s">
        <v>213</v>
      </c>
      <c r="S5912" s="2" t="s">
        <v>9</v>
      </c>
      <c r="T5912">
        <v>6</v>
      </c>
      <c r="U5912" t="s">
        <v>28</v>
      </c>
      <c r="V5912" t="s">
        <v>28</v>
      </c>
      <c r="W5912">
        <v>25</v>
      </c>
      <c r="X5912">
        <v>0.58599999999999997</v>
      </c>
      <c r="Y5912">
        <f>0.768-X5912</f>
        <v>0.18200000000000005</v>
      </c>
      <c r="AA5912" s="6"/>
      <c r="AB5912" s="6"/>
    </row>
    <row r="5913" spans="1:28" x14ac:dyDescent="0.2">
      <c r="A5913" t="s">
        <v>654</v>
      </c>
      <c r="B5913">
        <v>2001</v>
      </c>
      <c r="C5913" t="s">
        <v>826</v>
      </c>
      <c r="D5913" t="s">
        <v>812</v>
      </c>
      <c r="E5913" t="s">
        <v>103</v>
      </c>
      <c r="F5913" t="s">
        <v>656</v>
      </c>
      <c r="G5913">
        <v>34.664872000000003</v>
      </c>
      <c r="H5913">
        <v>138.94002900000001</v>
      </c>
      <c r="I5913" t="s">
        <v>761</v>
      </c>
      <c r="J5913" s="2" t="s">
        <v>14</v>
      </c>
      <c r="K5913" t="s">
        <v>144</v>
      </c>
      <c r="L5913" t="s">
        <v>144</v>
      </c>
      <c r="M5913" t="s">
        <v>172</v>
      </c>
      <c r="N5913" t="s">
        <v>86</v>
      </c>
      <c r="O5913" t="s">
        <v>62</v>
      </c>
      <c r="P5913" t="s">
        <v>655</v>
      </c>
      <c r="Q5913">
        <v>0.02</v>
      </c>
      <c r="R5913" t="s">
        <v>213</v>
      </c>
      <c r="S5913" s="2" t="s">
        <v>27</v>
      </c>
      <c r="T5913">
        <v>6</v>
      </c>
      <c r="U5913" t="s">
        <v>28</v>
      </c>
      <c r="V5913" t="s">
        <v>28</v>
      </c>
      <c r="W5913">
        <v>27</v>
      </c>
      <c r="X5913">
        <v>0.70699999999999996</v>
      </c>
      <c r="Y5913">
        <f>0.919-X5913</f>
        <v>0.21200000000000008</v>
      </c>
      <c r="AA5913" s="6"/>
      <c r="AB5913" s="6"/>
    </row>
    <row r="5914" spans="1:28" x14ac:dyDescent="0.2">
      <c r="A5914" t="s">
        <v>654</v>
      </c>
      <c r="B5914">
        <v>2001</v>
      </c>
      <c r="C5914" t="s">
        <v>826</v>
      </c>
      <c r="D5914" t="s">
        <v>812</v>
      </c>
      <c r="E5914" t="s">
        <v>103</v>
      </c>
      <c r="F5914" t="s">
        <v>656</v>
      </c>
      <c r="G5914">
        <v>34.664872000000003</v>
      </c>
      <c r="H5914">
        <v>138.94002900000001</v>
      </c>
      <c r="I5914" t="s">
        <v>761</v>
      </c>
      <c r="J5914" s="2" t="s">
        <v>14</v>
      </c>
      <c r="K5914" t="s">
        <v>144</v>
      </c>
      <c r="L5914" t="s">
        <v>144</v>
      </c>
      <c r="M5914" t="s">
        <v>172</v>
      </c>
      <c r="N5914" t="s">
        <v>86</v>
      </c>
      <c r="O5914" t="s">
        <v>62</v>
      </c>
      <c r="P5914" t="s">
        <v>655</v>
      </c>
      <c r="Q5914">
        <v>0.02</v>
      </c>
      <c r="R5914" t="s">
        <v>213</v>
      </c>
      <c r="S5914" s="2" t="s">
        <v>13</v>
      </c>
      <c r="T5914">
        <v>6</v>
      </c>
      <c r="U5914" t="s">
        <v>28</v>
      </c>
      <c r="V5914" t="s">
        <v>28</v>
      </c>
      <c r="W5914">
        <v>29</v>
      </c>
      <c r="X5914">
        <v>0.93899999999999995</v>
      </c>
      <c r="Y5914">
        <f>1.212-X5914</f>
        <v>0.27300000000000002</v>
      </c>
      <c r="AA5914" s="6"/>
      <c r="AB5914" s="6"/>
    </row>
    <row r="5915" spans="1:28" x14ac:dyDescent="0.2">
      <c r="A5915" t="s">
        <v>654</v>
      </c>
      <c r="B5915">
        <v>2001</v>
      </c>
      <c r="C5915" t="s">
        <v>826</v>
      </c>
      <c r="D5915" t="s">
        <v>812</v>
      </c>
      <c r="E5915" t="s">
        <v>103</v>
      </c>
      <c r="F5915" t="s">
        <v>657</v>
      </c>
      <c r="G5915">
        <v>33.525126</v>
      </c>
      <c r="H5915">
        <v>133.748152</v>
      </c>
      <c r="I5915" t="s">
        <v>761</v>
      </c>
      <c r="J5915" s="2" t="s">
        <v>7</v>
      </c>
      <c r="K5915" t="s">
        <v>144</v>
      </c>
      <c r="L5915" t="s">
        <v>144</v>
      </c>
      <c r="M5915" t="s">
        <v>172</v>
      </c>
      <c r="N5915" t="s">
        <v>86</v>
      </c>
      <c r="O5915" t="s">
        <v>62</v>
      </c>
      <c r="P5915" t="s">
        <v>655</v>
      </c>
      <c r="Q5915">
        <v>0.02</v>
      </c>
      <c r="R5915" t="s">
        <v>213</v>
      </c>
      <c r="S5915" s="2" t="s">
        <v>7</v>
      </c>
      <c r="T5915">
        <v>6</v>
      </c>
      <c r="U5915" t="s">
        <v>28</v>
      </c>
      <c r="V5915" t="s">
        <v>28</v>
      </c>
      <c r="W5915">
        <v>20</v>
      </c>
      <c r="X5915">
        <v>0.29299999999999998</v>
      </c>
      <c r="Y5915">
        <f>X5915-0.162</f>
        <v>0.13099999999999998</v>
      </c>
      <c r="AA5915" s="6"/>
      <c r="AB5915" s="6"/>
    </row>
    <row r="5916" spans="1:28" x14ac:dyDescent="0.2">
      <c r="A5916" t="s">
        <v>654</v>
      </c>
      <c r="B5916">
        <v>2001</v>
      </c>
      <c r="C5916" t="s">
        <v>826</v>
      </c>
      <c r="D5916" t="s">
        <v>812</v>
      </c>
      <c r="E5916" t="s">
        <v>103</v>
      </c>
      <c r="F5916" t="s">
        <v>657</v>
      </c>
      <c r="G5916">
        <v>33.525126</v>
      </c>
      <c r="H5916">
        <v>133.748152</v>
      </c>
      <c r="I5916" t="s">
        <v>761</v>
      </c>
      <c r="J5916" s="2" t="s">
        <v>14</v>
      </c>
      <c r="K5916" t="s">
        <v>144</v>
      </c>
      <c r="L5916" t="s">
        <v>144</v>
      </c>
      <c r="M5916" t="s">
        <v>172</v>
      </c>
      <c r="N5916" t="s">
        <v>86</v>
      </c>
      <c r="O5916" t="s">
        <v>62</v>
      </c>
      <c r="P5916" t="s">
        <v>655</v>
      </c>
      <c r="Q5916">
        <v>0.02</v>
      </c>
      <c r="R5916" t="s">
        <v>213</v>
      </c>
      <c r="S5916" s="2" t="s">
        <v>9</v>
      </c>
      <c r="T5916">
        <v>6</v>
      </c>
      <c r="U5916" t="s">
        <v>28</v>
      </c>
      <c r="V5916" t="s">
        <v>28</v>
      </c>
      <c r="W5916">
        <v>25</v>
      </c>
      <c r="X5916">
        <v>0.33300000000000002</v>
      </c>
      <c r="Y5916">
        <f>X5916-0.202</f>
        <v>0.13100000000000001</v>
      </c>
      <c r="AA5916" s="6"/>
      <c r="AB5916" s="6"/>
    </row>
    <row r="5917" spans="1:28" x14ac:dyDescent="0.2">
      <c r="A5917" t="s">
        <v>654</v>
      </c>
      <c r="B5917">
        <v>2001</v>
      </c>
      <c r="C5917" t="s">
        <v>826</v>
      </c>
      <c r="D5917" t="s">
        <v>812</v>
      </c>
      <c r="E5917" t="s">
        <v>103</v>
      </c>
      <c r="F5917" t="s">
        <v>657</v>
      </c>
      <c r="G5917">
        <v>33.525126</v>
      </c>
      <c r="H5917">
        <v>133.748152</v>
      </c>
      <c r="I5917" t="s">
        <v>761</v>
      </c>
      <c r="J5917" s="2" t="s">
        <v>14</v>
      </c>
      <c r="K5917" t="s">
        <v>144</v>
      </c>
      <c r="L5917" t="s">
        <v>144</v>
      </c>
      <c r="M5917" t="s">
        <v>172</v>
      </c>
      <c r="N5917" t="s">
        <v>86</v>
      </c>
      <c r="O5917" t="s">
        <v>62</v>
      </c>
      <c r="P5917" t="s">
        <v>655</v>
      </c>
      <c r="Q5917">
        <v>0.02</v>
      </c>
      <c r="R5917" t="s">
        <v>213</v>
      </c>
      <c r="S5917" s="2" t="s">
        <v>27</v>
      </c>
      <c r="T5917">
        <v>6</v>
      </c>
      <c r="U5917" t="s">
        <v>28</v>
      </c>
      <c r="V5917" t="s">
        <v>28</v>
      </c>
      <c r="W5917">
        <v>27</v>
      </c>
      <c r="X5917">
        <v>0.38400000000000001</v>
      </c>
      <c r="Y5917">
        <f>X5917-0.242</f>
        <v>0.14200000000000002</v>
      </c>
      <c r="AA5917" s="6"/>
      <c r="AB5917" s="6"/>
    </row>
    <row r="5918" spans="1:28" x14ac:dyDescent="0.2">
      <c r="A5918" t="s">
        <v>654</v>
      </c>
      <c r="B5918">
        <v>2001</v>
      </c>
      <c r="C5918" t="s">
        <v>826</v>
      </c>
      <c r="D5918" t="s">
        <v>812</v>
      </c>
      <c r="E5918" t="s">
        <v>103</v>
      </c>
      <c r="F5918" t="s">
        <v>657</v>
      </c>
      <c r="G5918">
        <v>33.525126</v>
      </c>
      <c r="H5918">
        <v>133.748152</v>
      </c>
      <c r="I5918" t="s">
        <v>761</v>
      </c>
      <c r="J5918" s="2" t="s">
        <v>14</v>
      </c>
      <c r="K5918" t="s">
        <v>144</v>
      </c>
      <c r="L5918" t="s">
        <v>144</v>
      </c>
      <c r="M5918" t="s">
        <v>172</v>
      </c>
      <c r="N5918" t="s">
        <v>86</v>
      </c>
      <c r="O5918" t="s">
        <v>62</v>
      </c>
      <c r="P5918" t="s">
        <v>655</v>
      </c>
      <c r="Q5918">
        <v>0.02</v>
      </c>
      <c r="R5918" t="s">
        <v>213</v>
      </c>
      <c r="S5918" s="2" t="s">
        <v>13</v>
      </c>
      <c r="T5918">
        <v>6</v>
      </c>
      <c r="U5918" t="s">
        <v>28</v>
      </c>
      <c r="V5918" t="s">
        <v>28</v>
      </c>
      <c r="W5918">
        <v>29</v>
      </c>
      <c r="X5918">
        <v>0.505</v>
      </c>
      <c r="Y5918">
        <f>X5918-0.364</f>
        <v>0.14100000000000001</v>
      </c>
      <c r="AA5918" s="6"/>
      <c r="AB5918" s="6"/>
    </row>
    <row r="5919" spans="1:28" x14ac:dyDescent="0.2">
      <c r="A5919" t="s">
        <v>654</v>
      </c>
      <c r="B5919">
        <v>2001</v>
      </c>
      <c r="C5919" t="s">
        <v>826</v>
      </c>
      <c r="D5919" t="s">
        <v>812</v>
      </c>
      <c r="E5919" t="s">
        <v>103</v>
      </c>
      <c r="F5919" t="s">
        <v>656</v>
      </c>
      <c r="G5919">
        <v>34.664872000000003</v>
      </c>
      <c r="H5919">
        <v>138.94002900000001</v>
      </c>
      <c r="I5919" t="s">
        <v>768</v>
      </c>
      <c r="J5919" s="2" t="s">
        <v>7</v>
      </c>
      <c r="K5919" t="s">
        <v>144</v>
      </c>
      <c r="L5919" t="s">
        <v>144</v>
      </c>
      <c r="M5919" t="s">
        <v>73</v>
      </c>
      <c r="N5919" t="s">
        <v>85</v>
      </c>
      <c r="O5919" t="s">
        <v>146</v>
      </c>
      <c r="P5919" t="s">
        <v>655</v>
      </c>
      <c r="Q5919">
        <v>0.02</v>
      </c>
      <c r="R5919" t="s">
        <v>213</v>
      </c>
      <c r="S5919" s="2" t="s">
        <v>7</v>
      </c>
      <c r="T5919">
        <v>6</v>
      </c>
      <c r="U5919" t="s">
        <v>28</v>
      </c>
      <c r="V5919" t="s">
        <v>28</v>
      </c>
      <c r="W5919">
        <v>20</v>
      </c>
      <c r="X5919">
        <v>7.335</v>
      </c>
      <c r="Y5919">
        <f>8.308-X5919</f>
        <v>0.97299999999999986</v>
      </c>
      <c r="AA5919" s="6"/>
      <c r="AB5919" s="6"/>
    </row>
    <row r="5920" spans="1:28" x14ac:dyDescent="0.2">
      <c r="A5920" t="s">
        <v>654</v>
      </c>
      <c r="B5920">
        <v>2001</v>
      </c>
      <c r="C5920" t="s">
        <v>826</v>
      </c>
      <c r="D5920" t="s">
        <v>812</v>
      </c>
      <c r="E5920" t="s">
        <v>103</v>
      </c>
      <c r="F5920" t="s">
        <v>656</v>
      </c>
      <c r="G5920">
        <v>34.664872000000003</v>
      </c>
      <c r="H5920">
        <v>138.94002900000001</v>
      </c>
      <c r="I5920" t="s">
        <v>768</v>
      </c>
      <c r="J5920" s="2" t="s">
        <v>14</v>
      </c>
      <c r="K5920" t="s">
        <v>144</v>
      </c>
      <c r="L5920" t="s">
        <v>144</v>
      </c>
      <c r="M5920" t="s">
        <v>73</v>
      </c>
      <c r="N5920" t="s">
        <v>85</v>
      </c>
      <c r="O5920" t="s">
        <v>146</v>
      </c>
      <c r="P5920" t="s">
        <v>655</v>
      </c>
      <c r="Q5920">
        <v>0.02</v>
      </c>
      <c r="R5920" t="s">
        <v>213</v>
      </c>
      <c r="S5920" s="2" t="s">
        <v>9</v>
      </c>
      <c r="T5920">
        <v>6</v>
      </c>
      <c r="U5920" t="s">
        <v>28</v>
      </c>
      <c r="V5920" t="s">
        <v>28</v>
      </c>
      <c r="W5920">
        <v>25</v>
      </c>
      <c r="X5920">
        <v>8.3670000000000009</v>
      </c>
      <c r="Y5920">
        <f>9.489-X5920</f>
        <v>1.1219999999999999</v>
      </c>
      <c r="AA5920" s="6"/>
      <c r="AB5920" s="6"/>
    </row>
    <row r="5921" spans="1:28" x14ac:dyDescent="0.2">
      <c r="A5921" t="s">
        <v>654</v>
      </c>
      <c r="B5921">
        <v>2001</v>
      </c>
      <c r="C5921" t="s">
        <v>826</v>
      </c>
      <c r="D5921" t="s">
        <v>812</v>
      </c>
      <c r="E5921" t="s">
        <v>103</v>
      </c>
      <c r="F5921" t="s">
        <v>656</v>
      </c>
      <c r="G5921">
        <v>34.664872000000003</v>
      </c>
      <c r="H5921">
        <v>138.94002900000001</v>
      </c>
      <c r="I5921" t="s">
        <v>768</v>
      </c>
      <c r="J5921" s="2" t="s">
        <v>14</v>
      </c>
      <c r="K5921" t="s">
        <v>144</v>
      </c>
      <c r="L5921" t="s">
        <v>144</v>
      </c>
      <c r="M5921" t="s">
        <v>73</v>
      </c>
      <c r="N5921" t="s">
        <v>85</v>
      </c>
      <c r="O5921" t="s">
        <v>146</v>
      </c>
      <c r="P5921" t="s">
        <v>655</v>
      </c>
      <c r="Q5921">
        <v>0.02</v>
      </c>
      <c r="R5921" t="s">
        <v>213</v>
      </c>
      <c r="S5921" s="2" t="s">
        <v>27</v>
      </c>
      <c r="T5921">
        <v>6</v>
      </c>
      <c r="U5921" t="s">
        <v>28</v>
      </c>
      <c r="V5921" t="s">
        <v>28</v>
      </c>
      <c r="W5921">
        <v>27</v>
      </c>
      <c r="X5921">
        <v>8.3670000000000009</v>
      </c>
      <c r="Y5921">
        <f>9.419-X5921</f>
        <v>1.0519999999999996</v>
      </c>
      <c r="AA5921" s="6"/>
      <c r="AB5921" s="6"/>
    </row>
    <row r="5922" spans="1:28" x14ac:dyDescent="0.2">
      <c r="A5922" t="s">
        <v>654</v>
      </c>
      <c r="B5922">
        <v>2001</v>
      </c>
      <c r="C5922" t="s">
        <v>826</v>
      </c>
      <c r="D5922" t="s">
        <v>812</v>
      </c>
      <c r="E5922" t="s">
        <v>103</v>
      </c>
      <c r="F5922" t="s">
        <v>656</v>
      </c>
      <c r="G5922">
        <v>34.664872000000003</v>
      </c>
      <c r="H5922">
        <v>138.94002900000001</v>
      </c>
      <c r="I5922" t="s">
        <v>768</v>
      </c>
      <c r="J5922" s="2" t="s">
        <v>14</v>
      </c>
      <c r="K5922" t="s">
        <v>144</v>
      </c>
      <c r="L5922" t="s">
        <v>144</v>
      </c>
      <c r="M5922" t="s">
        <v>73</v>
      </c>
      <c r="N5922" t="s">
        <v>85</v>
      </c>
      <c r="O5922" t="s">
        <v>146</v>
      </c>
      <c r="P5922" t="s">
        <v>655</v>
      </c>
      <c r="Q5922">
        <v>0.02</v>
      </c>
      <c r="R5922" t="s">
        <v>213</v>
      </c>
      <c r="S5922" s="2" t="s">
        <v>13</v>
      </c>
      <c r="T5922">
        <v>6</v>
      </c>
      <c r="U5922" t="s">
        <v>28</v>
      </c>
      <c r="V5922" t="s">
        <v>28</v>
      </c>
      <c r="W5922">
        <v>29</v>
      </c>
      <c r="X5922">
        <v>6.4320000000000004</v>
      </c>
      <c r="Y5922">
        <f>7.672-X5922</f>
        <v>1.2399999999999993</v>
      </c>
      <c r="AA5922" s="6"/>
      <c r="AB5922" s="6"/>
    </row>
    <row r="5923" spans="1:28" x14ac:dyDescent="0.2">
      <c r="A5923" t="s">
        <v>654</v>
      </c>
      <c r="B5923">
        <v>2001</v>
      </c>
      <c r="C5923" t="s">
        <v>826</v>
      </c>
      <c r="D5923" t="s">
        <v>812</v>
      </c>
      <c r="E5923" t="s">
        <v>103</v>
      </c>
      <c r="F5923" t="s">
        <v>657</v>
      </c>
      <c r="G5923">
        <v>33.525126</v>
      </c>
      <c r="H5923">
        <v>133.748152</v>
      </c>
      <c r="I5923" t="s">
        <v>768</v>
      </c>
      <c r="J5923" s="2" t="s">
        <v>7</v>
      </c>
      <c r="K5923" t="s">
        <v>144</v>
      </c>
      <c r="L5923" t="s">
        <v>144</v>
      </c>
      <c r="M5923" t="s">
        <v>73</v>
      </c>
      <c r="N5923" t="s">
        <v>85</v>
      </c>
      <c r="O5923" t="s">
        <v>146</v>
      </c>
      <c r="P5923" t="s">
        <v>655</v>
      </c>
      <c r="Q5923">
        <v>0.02</v>
      </c>
      <c r="R5923" t="s">
        <v>213</v>
      </c>
      <c r="S5923" s="2" t="s">
        <v>7</v>
      </c>
      <c r="T5923">
        <v>6</v>
      </c>
      <c r="U5923" t="s">
        <v>28</v>
      </c>
      <c r="V5923" t="s">
        <v>28</v>
      </c>
      <c r="W5923">
        <v>20</v>
      </c>
      <c r="X5923">
        <v>4.9530000000000003</v>
      </c>
      <c r="Y5923">
        <f>5.816-X5923</f>
        <v>0.86299999999999955</v>
      </c>
      <c r="AA5923" s="6"/>
      <c r="AB5923" s="6"/>
    </row>
    <row r="5924" spans="1:28" x14ac:dyDescent="0.2">
      <c r="A5924" t="s">
        <v>654</v>
      </c>
      <c r="B5924">
        <v>2001</v>
      </c>
      <c r="C5924" t="s">
        <v>826</v>
      </c>
      <c r="D5924" t="s">
        <v>812</v>
      </c>
      <c r="E5924" t="s">
        <v>103</v>
      </c>
      <c r="F5924" t="s">
        <v>657</v>
      </c>
      <c r="G5924">
        <v>33.525126</v>
      </c>
      <c r="H5924">
        <v>133.748152</v>
      </c>
      <c r="I5924" t="s">
        <v>768</v>
      </c>
      <c r="J5924" s="2" t="s">
        <v>14</v>
      </c>
      <c r="K5924" t="s">
        <v>144</v>
      </c>
      <c r="L5924" t="s">
        <v>144</v>
      </c>
      <c r="M5924" t="s">
        <v>73</v>
      </c>
      <c r="N5924" t="s">
        <v>85</v>
      </c>
      <c r="O5924" t="s">
        <v>146</v>
      </c>
      <c r="P5924" t="s">
        <v>655</v>
      </c>
      <c r="Q5924">
        <v>0.02</v>
      </c>
      <c r="R5924" t="s">
        <v>213</v>
      </c>
      <c r="S5924" s="2" t="s">
        <v>9</v>
      </c>
      <c r="T5924">
        <v>6</v>
      </c>
      <c r="U5924" t="s">
        <v>28</v>
      </c>
      <c r="V5924" t="s">
        <v>28</v>
      </c>
      <c r="W5924">
        <v>25</v>
      </c>
      <c r="X5924">
        <v>5.7770000000000001</v>
      </c>
      <c r="Y5924">
        <f>6.521-X5924</f>
        <v>0.74399999999999977</v>
      </c>
      <c r="AA5924" s="6"/>
      <c r="AB5924" s="6"/>
    </row>
    <row r="5925" spans="1:28" x14ac:dyDescent="0.2">
      <c r="A5925" t="s">
        <v>654</v>
      </c>
      <c r="B5925">
        <v>2001</v>
      </c>
      <c r="C5925" t="s">
        <v>826</v>
      </c>
      <c r="D5925" t="s">
        <v>812</v>
      </c>
      <c r="E5925" t="s">
        <v>103</v>
      </c>
      <c r="F5925" t="s">
        <v>657</v>
      </c>
      <c r="G5925">
        <v>33.525126</v>
      </c>
      <c r="H5925">
        <v>133.748152</v>
      </c>
      <c r="I5925" t="s">
        <v>768</v>
      </c>
      <c r="J5925" s="2" t="s">
        <v>14</v>
      </c>
      <c r="K5925" t="s">
        <v>144</v>
      </c>
      <c r="L5925" t="s">
        <v>144</v>
      </c>
      <c r="M5925" t="s">
        <v>73</v>
      </c>
      <c r="N5925" t="s">
        <v>85</v>
      </c>
      <c r="O5925" t="s">
        <v>146</v>
      </c>
      <c r="P5925" t="s">
        <v>655</v>
      </c>
      <c r="Q5925">
        <v>0.02</v>
      </c>
      <c r="R5925" t="s">
        <v>213</v>
      </c>
      <c r="S5925" s="2" t="s">
        <v>27</v>
      </c>
      <c r="T5925">
        <v>6</v>
      </c>
      <c r="U5925" t="s">
        <v>28</v>
      </c>
      <c r="V5925" t="s">
        <v>28</v>
      </c>
      <c r="W5925">
        <v>27</v>
      </c>
      <c r="X5925">
        <v>6.2030000000000003</v>
      </c>
      <c r="Y5925">
        <f>6.878-X5925</f>
        <v>0.67499999999999982</v>
      </c>
      <c r="AA5925" s="6"/>
      <c r="AB5925" s="6"/>
    </row>
    <row r="5926" spans="1:28" x14ac:dyDescent="0.2">
      <c r="A5926" t="s">
        <v>654</v>
      </c>
      <c r="B5926">
        <v>2001</v>
      </c>
      <c r="C5926" t="s">
        <v>826</v>
      </c>
      <c r="D5926" t="s">
        <v>812</v>
      </c>
      <c r="E5926" t="s">
        <v>103</v>
      </c>
      <c r="F5926" t="s">
        <v>657</v>
      </c>
      <c r="G5926">
        <v>33.525126</v>
      </c>
      <c r="H5926">
        <v>133.748152</v>
      </c>
      <c r="I5926" t="s">
        <v>768</v>
      </c>
      <c r="J5926" s="2" t="s">
        <v>14</v>
      </c>
      <c r="K5926" t="s">
        <v>144</v>
      </c>
      <c r="L5926" t="s">
        <v>144</v>
      </c>
      <c r="M5926" t="s">
        <v>73</v>
      </c>
      <c r="N5926" t="s">
        <v>85</v>
      </c>
      <c r="O5926" t="s">
        <v>146</v>
      </c>
      <c r="P5926" t="s">
        <v>655</v>
      </c>
      <c r="Q5926">
        <v>0.02</v>
      </c>
      <c r="R5926" t="s">
        <v>213</v>
      </c>
      <c r="S5926" s="2" t="s">
        <v>13</v>
      </c>
      <c r="T5926">
        <v>6</v>
      </c>
      <c r="U5926" t="s">
        <v>28</v>
      </c>
      <c r="V5926" t="s">
        <v>28</v>
      </c>
      <c r="W5926">
        <v>29</v>
      </c>
      <c r="X5926">
        <v>5.2409999999999997</v>
      </c>
      <c r="Y5926">
        <f>5.926-X5926</f>
        <v>0.6850000000000005</v>
      </c>
      <c r="AA5926" s="6"/>
      <c r="AB5926" s="6"/>
    </row>
    <row r="5927" spans="1:28" x14ac:dyDescent="0.2">
      <c r="A5927" t="s">
        <v>654</v>
      </c>
      <c r="B5927">
        <v>2001</v>
      </c>
      <c r="C5927" t="s">
        <v>826</v>
      </c>
      <c r="D5927" t="s">
        <v>812</v>
      </c>
      <c r="E5927" t="s">
        <v>103</v>
      </c>
      <c r="F5927" t="s">
        <v>656</v>
      </c>
      <c r="G5927">
        <v>34.664872000000003</v>
      </c>
      <c r="H5927">
        <v>138.94002900000001</v>
      </c>
      <c r="I5927" t="s">
        <v>768</v>
      </c>
      <c r="J5927" s="2" t="s">
        <v>7</v>
      </c>
      <c r="K5927" t="s">
        <v>144</v>
      </c>
      <c r="L5927" t="s">
        <v>144</v>
      </c>
      <c r="M5927" t="s">
        <v>172</v>
      </c>
      <c r="N5927" t="s">
        <v>86</v>
      </c>
      <c r="O5927" t="s">
        <v>62</v>
      </c>
      <c r="P5927" t="s">
        <v>655</v>
      </c>
      <c r="Q5927">
        <v>0.02</v>
      </c>
      <c r="R5927" t="s">
        <v>213</v>
      </c>
      <c r="S5927" s="2" t="s">
        <v>7</v>
      </c>
      <c r="T5927">
        <v>6</v>
      </c>
      <c r="U5927" t="s">
        <v>28</v>
      </c>
      <c r="V5927" t="s">
        <v>28</v>
      </c>
      <c r="W5927">
        <v>20</v>
      </c>
      <c r="X5927">
        <v>0.76400000000000001</v>
      </c>
      <c r="Y5927">
        <f>0.915-X5927</f>
        <v>0.15100000000000002</v>
      </c>
      <c r="AA5927" s="6"/>
      <c r="AB5927" s="6"/>
    </row>
    <row r="5928" spans="1:28" x14ac:dyDescent="0.2">
      <c r="A5928" t="s">
        <v>654</v>
      </c>
      <c r="B5928">
        <v>2001</v>
      </c>
      <c r="C5928" t="s">
        <v>826</v>
      </c>
      <c r="D5928" t="s">
        <v>812</v>
      </c>
      <c r="E5928" t="s">
        <v>103</v>
      </c>
      <c r="F5928" t="s">
        <v>656</v>
      </c>
      <c r="G5928">
        <v>34.664872000000003</v>
      </c>
      <c r="H5928">
        <v>138.94002900000001</v>
      </c>
      <c r="I5928" t="s">
        <v>768</v>
      </c>
      <c r="J5928" s="2" t="s">
        <v>14</v>
      </c>
      <c r="K5928" t="s">
        <v>144</v>
      </c>
      <c r="L5928" t="s">
        <v>144</v>
      </c>
      <c r="M5928" t="s">
        <v>172</v>
      </c>
      <c r="N5928" t="s">
        <v>86</v>
      </c>
      <c r="O5928" t="s">
        <v>62</v>
      </c>
      <c r="P5928" t="s">
        <v>655</v>
      </c>
      <c r="Q5928">
        <v>0.02</v>
      </c>
      <c r="R5928" t="s">
        <v>213</v>
      </c>
      <c r="S5928" s="2" t="s">
        <v>9</v>
      </c>
      <c r="T5928">
        <v>6</v>
      </c>
      <c r="U5928" t="s">
        <v>28</v>
      </c>
      <c r="V5928" t="s">
        <v>28</v>
      </c>
      <c r="W5928">
        <v>25</v>
      </c>
      <c r="X5928">
        <v>1.075</v>
      </c>
      <c r="Y5928">
        <f>1.276-X5928</f>
        <v>0.20100000000000007</v>
      </c>
      <c r="AA5928" s="6"/>
      <c r="AB5928" s="6"/>
    </row>
    <row r="5929" spans="1:28" x14ac:dyDescent="0.2">
      <c r="A5929" t="s">
        <v>654</v>
      </c>
      <c r="B5929">
        <v>2001</v>
      </c>
      <c r="C5929" t="s">
        <v>826</v>
      </c>
      <c r="D5929" t="s">
        <v>812</v>
      </c>
      <c r="E5929" t="s">
        <v>103</v>
      </c>
      <c r="F5929" t="s">
        <v>656</v>
      </c>
      <c r="G5929">
        <v>34.664872000000003</v>
      </c>
      <c r="H5929">
        <v>138.94002900000001</v>
      </c>
      <c r="I5929" t="s">
        <v>768</v>
      </c>
      <c r="J5929" s="2" t="s">
        <v>14</v>
      </c>
      <c r="K5929" t="s">
        <v>144</v>
      </c>
      <c r="L5929" t="s">
        <v>144</v>
      </c>
      <c r="M5929" t="s">
        <v>172</v>
      </c>
      <c r="N5929" t="s">
        <v>86</v>
      </c>
      <c r="O5929" t="s">
        <v>62</v>
      </c>
      <c r="P5929" t="s">
        <v>655</v>
      </c>
      <c r="Q5929">
        <v>0.02</v>
      </c>
      <c r="R5929" t="s">
        <v>213</v>
      </c>
      <c r="S5929" s="2" t="s">
        <v>27</v>
      </c>
      <c r="T5929">
        <v>6</v>
      </c>
      <c r="U5929" t="s">
        <v>28</v>
      </c>
      <c r="V5929" t="s">
        <v>28</v>
      </c>
      <c r="W5929">
        <v>27</v>
      </c>
      <c r="X5929">
        <v>1.1359999999999999</v>
      </c>
      <c r="Y5929">
        <f>1.307-X5929</f>
        <v>0.17100000000000004</v>
      </c>
      <c r="AA5929" s="6"/>
      <c r="AB5929" s="6"/>
    </row>
    <row r="5930" spans="1:28" x14ac:dyDescent="0.2">
      <c r="A5930" t="s">
        <v>654</v>
      </c>
      <c r="B5930">
        <v>2001</v>
      </c>
      <c r="C5930" t="s">
        <v>826</v>
      </c>
      <c r="D5930" t="s">
        <v>812</v>
      </c>
      <c r="E5930" t="s">
        <v>103</v>
      </c>
      <c r="F5930" t="s">
        <v>656</v>
      </c>
      <c r="G5930">
        <v>34.664872000000003</v>
      </c>
      <c r="H5930">
        <v>138.94002900000001</v>
      </c>
      <c r="I5930" t="s">
        <v>768</v>
      </c>
      <c r="J5930" s="2" t="s">
        <v>14</v>
      </c>
      <c r="K5930" t="s">
        <v>144</v>
      </c>
      <c r="L5930" t="s">
        <v>144</v>
      </c>
      <c r="M5930" t="s">
        <v>172</v>
      </c>
      <c r="N5930" t="s">
        <v>86</v>
      </c>
      <c r="O5930" t="s">
        <v>62</v>
      </c>
      <c r="P5930" t="s">
        <v>655</v>
      </c>
      <c r="Q5930">
        <v>0.02</v>
      </c>
      <c r="R5930" t="s">
        <v>213</v>
      </c>
      <c r="S5930" s="2" t="s">
        <v>13</v>
      </c>
      <c r="T5930">
        <v>6</v>
      </c>
      <c r="U5930" t="s">
        <v>28</v>
      </c>
      <c r="V5930" t="s">
        <v>28</v>
      </c>
      <c r="W5930">
        <v>29</v>
      </c>
      <c r="X5930">
        <v>1.256</v>
      </c>
      <c r="Y5930">
        <f>X5930-0.523</f>
        <v>0.73299999999999998</v>
      </c>
      <c r="AA5930" s="6"/>
      <c r="AB5930" s="6"/>
    </row>
    <row r="5931" spans="1:28" x14ac:dyDescent="0.2">
      <c r="A5931" t="s">
        <v>654</v>
      </c>
      <c r="B5931">
        <v>2001</v>
      </c>
      <c r="C5931" t="s">
        <v>826</v>
      </c>
      <c r="D5931" t="s">
        <v>812</v>
      </c>
      <c r="E5931" t="s">
        <v>103</v>
      </c>
      <c r="F5931" t="s">
        <v>657</v>
      </c>
      <c r="G5931">
        <v>33.525126</v>
      </c>
      <c r="H5931">
        <v>133.748152</v>
      </c>
      <c r="I5931" t="s">
        <v>768</v>
      </c>
      <c r="J5931" s="2" t="s">
        <v>7</v>
      </c>
      <c r="K5931" t="s">
        <v>144</v>
      </c>
      <c r="L5931" t="s">
        <v>144</v>
      </c>
      <c r="M5931" t="s">
        <v>172</v>
      </c>
      <c r="N5931" t="s">
        <v>86</v>
      </c>
      <c r="O5931" t="s">
        <v>62</v>
      </c>
      <c r="P5931" t="s">
        <v>655</v>
      </c>
      <c r="Q5931">
        <v>0.02</v>
      </c>
      <c r="R5931" t="s">
        <v>213</v>
      </c>
      <c r="S5931" s="2" t="s">
        <v>7</v>
      </c>
      <c r="T5931">
        <v>6</v>
      </c>
      <c r="U5931" t="s">
        <v>28</v>
      </c>
      <c r="V5931" t="s">
        <v>28</v>
      </c>
      <c r="W5931">
        <v>20</v>
      </c>
      <c r="X5931">
        <v>0.57299999999999995</v>
      </c>
      <c r="Y5931">
        <f>X5931-0.402</f>
        <v>0.17099999999999993</v>
      </c>
      <c r="AA5931" s="6"/>
      <c r="AB5931" s="6"/>
    </row>
    <row r="5932" spans="1:28" x14ac:dyDescent="0.2">
      <c r="A5932" t="s">
        <v>654</v>
      </c>
      <c r="B5932">
        <v>2001</v>
      </c>
      <c r="C5932" t="s">
        <v>826</v>
      </c>
      <c r="D5932" t="s">
        <v>812</v>
      </c>
      <c r="E5932" t="s">
        <v>103</v>
      </c>
      <c r="F5932" t="s">
        <v>657</v>
      </c>
      <c r="G5932">
        <v>33.525126</v>
      </c>
      <c r="H5932">
        <v>133.748152</v>
      </c>
      <c r="I5932" t="s">
        <v>768</v>
      </c>
      <c r="J5932" s="2" t="s">
        <v>14</v>
      </c>
      <c r="K5932" t="s">
        <v>144</v>
      </c>
      <c r="L5932" t="s">
        <v>144</v>
      </c>
      <c r="M5932" t="s">
        <v>172</v>
      </c>
      <c r="N5932" t="s">
        <v>86</v>
      </c>
      <c r="O5932" t="s">
        <v>62</v>
      </c>
      <c r="P5932" t="s">
        <v>655</v>
      </c>
      <c r="Q5932">
        <v>0.02</v>
      </c>
      <c r="R5932" t="s">
        <v>213</v>
      </c>
      <c r="S5932" s="2" t="s">
        <v>9</v>
      </c>
      <c r="T5932">
        <v>6</v>
      </c>
      <c r="U5932" t="s">
        <v>28</v>
      </c>
      <c r="V5932" t="s">
        <v>28</v>
      </c>
      <c r="W5932">
        <v>25</v>
      </c>
      <c r="X5932">
        <v>0.754</v>
      </c>
      <c r="Y5932">
        <f>X5932-0.543</f>
        <v>0.21099999999999997</v>
      </c>
      <c r="AA5932" s="6"/>
      <c r="AB5932" s="6"/>
    </row>
    <row r="5933" spans="1:28" x14ac:dyDescent="0.2">
      <c r="A5933" t="s">
        <v>654</v>
      </c>
      <c r="B5933">
        <v>2001</v>
      </c>
      <c r="C5933" t="s">
        <v>826</v>
      </c>
      <c r="D5933" t="s">
        <v>812</v>
      </c>
      <c r="E5933" t="s">
        <v>103</v>
      </c>
      <c r="F5933" t="s">
        <v>657</v>
      </c>
      <c r="G5933">
        <v>33.525126</v>
      </c>
      <c r="H5933">
        <v>133.748152</v>
      </c>
      <c r="I5933" t="s">
        <v>768</v>
      </c>
      <c r="J5933" s="2" t="s">
        <v>14</v>
      </c>
      <c r="K5933" t="s">
        <v>144</v>
      </c>
      <c r="L5933" t="s">
        <v>144</v>
      </c>
      <c r="M5933" t="s">
        <v>172</v>
      </c>
      <c r="N5933" t="s">
        <v>86</v>
      </c>
      <c r="O5933" t="s">
        <v>62</v>
      </c>
      <c r="P5933" t="s">
        <v>655</v>
      </c>
      <c r="Q5933">
        <v>0.02</v>
      </c>
      <c r="R5933" t="s">
        <v>213</v>
      </c>
      <c r="S5933" s="2" t="s">
        <v>27</v>
      </c>
      <c r="T5933">
        <v>6</v>
      </c>
      <c r="U5933" t="s">
        <v>28</v>
      </c>
      <c r="V5933" t="s">
        <v>28</v>
      </c>
      <c r="W5933">
        <v>27</v>
      </c>
      <c r="X5933">
        <v>0.79400000000000004</v>
      </c>
      <c r="Y5933">
        <f>X5933-0.633</f>
        <v>0.16100000000000003</v>
      </c>
      <c r="AA5933" s="6"/>
      <c r="AB5933" s="6"/>
    </row>
    <row r="5934" spans="1:28" x14ac:dyDescent="0.2">
      <c r="A5934" t="s">
        <v>654</v>
      </c>
      <c r="B5934">
        <v>2001</v>
      </c>
      <c r="C5934" t="s">
        <v>826</v>
      </c>
      <c r="D5934" t="s">
        <v>812</v>
      </c>
      <c r="E5934" t="s">
        <v>103</v>
      </c>
      <c r="F5934" t="s">
        <v>657</v>
      </c>
      <c r="G5934">
        <v>33.525126</v>
      </c>
      <c r="H5934">
        <v>133.748152</v>
      </c>
      <c r="I5934" t="s">
        <v>768</v>
      </c>
      <c r="J5934" s="2" t="s">
        <v>14</v>
      </c>
      <c r="K5934" t="s">
        <v>144</v>
      </c>
      <c r="L5934" t="s">
        <v>144</v>
      </c>
      <c r="M5934" t="s">
        <v>172</v>
      </c>
      <c r="N5934" t="s">
        <v>86</v>
      </c>
      <c r="O5934" t="s">
        <v>62</v>
      </c>
      <c r="P5934" t="s">
        <v>655</v>
      </c>
      <c r="Q5934">
        <v>0.02</v>
      </c>
      <c r="R5934" t="s">
        <v>213</v>
      </c>
      <c r="S5934" s="2" t="s">
        <v>13</v>
      </c>
      <c r="T5934">
        <v>6</v>
      </c>
      <c r="U5934" t="s">
        <v>28</v>
      </c>
      <c r="V5934" t="s">
        <v>28</v>
      </c>
      <c r="W5934">
        <v>29</v>
      </c>
      <c r="X5934">
        <v>0.97499999999999998</v>
      </c>
      <c r="Y5934">
        <f>X5934-0.854</f>
        <v>0.121</v>
      </c>
      <c r="AA5934" s="6"/>
      <c r="AB5934" s="6"/>
    </row>
    <row r="5935" spans="1:28" x14ac:dyDescent="0.2">
      <c r="A5935" t="s">
        <v>658</v>
      </c>
      <c r="B5935">
        <v>2010</v>
      </c>
      <c r="C5935" t="s">
        <v>805</v>
      </c>
      <c r="D5935" t="s">
        <v>809</v>
      </c>
      <c r="E5935" t="s">
        <v>154</v>
      </c>
      <c r="F5935" t="s">
        <v>659</v>
      </c>
      <c r="G5935">
        <v>38.945794999999997</v>
      </c>
      <c r="H5935">
        <v>121.63821299999999</v>
      </c>
      <c r="J5935" s="2" t="s">
        <v>7</v>
      </c>
      <c r="K5935" t="s">
        <v>3</v>
      </c>
      <c r="L5935" t="s">
        <v>3</v>
      </c>
      <c r="M5935" t="s">
        <v>26</v>
      </c>
      <c r="N5935" t="s">
        <v>85</v>
      </c>
      <c r="O5935" t="s">
        <v>356</v>
      </c>
      <c r="P5935" t="s">
        <v>65</v>
      </c>
      <c r="Q5935">
        <v>10</v>
      </c>
      <c r="R5935" t="s">
        <v>213</v>
      </c>
      <c r="S5935" s="2" t="s">
        <v>7</v>
      </c>
      <c r="T5935">
        <v>3</v>
      </c>
      <c r="U5935" t="s">
        <v>28</v>
      </c>
      <c r="V5935" t="s">
        <v>28</v>
      </c>
      <c r="W5935">
        <v>15</v>
      </c>
      <c r="X5935">
        <v>86.67</v>
      </c>
      <c r="Y5935" s="6">
        <f t="shared" ref="Y5935:Y5937" si="106">Z5935*SQRT(T5935)</f>
        <v>27.920659018010308</v>
      </c>
      <c r="Z5935">
        <f>102.79-X5935</f>
        <v>16.120000000000005</v>
      </c>
    </row>
    <row r="5936" spans="1:28" x14ac:dyDescent="0.2">
      <c r="A5936" t="s">
        <v>658</v>
      </c>
      <c r="B5936">
        <v>2010</v>
      </c>
      <c r="C5936" t="s">
        <v>805</v>
      </c>
      <c r="D5936" t="s">
        <v>809</v>
      </c>
      <c r="E5936" t="s">
        <v>154</v>
      </c>
      <c r="F5936" t="s">
        <v>659</v>
      </c>
      <c r="G5936">
        <v>38.945794999999997</v>
      </c>
      <c r="H5936">
        <v>121.63821299999999</v>
      </c>
      <c r="J5936" s="2" t="s">
        <v>14</v>
      </c>
      <c r="K5936" t="s">
        <v>3</v>
      </c>
      <c r="L5936" t="s">
        <v>3</v>
      </c>
      <c r="M5936" t="s">
        <v>26</v>
      </c>
      <c r="N5936" t="s">
        <v>85</v>
      </c>
      <c r="O5936" t="s">
        <v>356</v>
      </c>
      <c r="P5936" t="s">
        <v>65</v>
      </c>
      <c r="Q5936">
        <v>10</v>
      </c>
      <c r="R5936" t="s">
        <v>213</v>
      </c>
      <c r="S5936" s="2" t="s">
        <v>9</v>
      </c>
      <c r="T5936">
        <v>3</v>
      </c>
      <c r="U5936" t="s">
        <v>28</v>
      </c>
      <c r="V5936" t="s">
        <v>28</v>
      </c>
      <c r="W5936">
        <v>20</v>
      </c>
      <c r="X5936">
        <v>78.81</v>
      </c>
      <c r="Y5936" s="6">
        <f t="shared" si="106"/>
        <v>21.252263408870117</v>
      </c>
      <c r="Z5936">
        <f>91.08-X5936</f>
        <v>12.269999999999996</v>
      </c>
    </row>
    <row r="5937" spans="1:26" x14ac:dyDescent="0.2">
      <c r="A5937" t="s">
        <v>658</v>
      </c>
      <c r="B5937">
        <v>2010</v>
      </c>
      <c r="C5937" t="s">
        <v>805</v>
      </c>
      <c r="D5937" t="s">
        <v>809</v>
      </c>
      <c r="E5937" t="s">
        <v>154</v>
      </c>
      <c r="F5937" t="s">
        <v>659</v>
      </c>
      <c r="G5937">
        <v>38.945794999999997</v>
      </c>
      <c r="H5937">
        <v>121.63821299999999</v>
      </c>
      <c r="J5937" s="2" t="s">
        <v>14</v>
      </c>
      <c r="K5937" t="s">
        <v>3</v>
      </c>
      <c r="L5937" t="s">
        <v>3</v>
      </c>
      <c r="M5937" t="s">
        <v>26</v>
      </c>
      <c r="N5937" t="s">
        <v>85</v>
      </c>
      <c r="O5937" t="s">
        <v>356</v>
      </c>
      <c r="P5937" t="s">
        <v>65</v>
      </c>
      <c r="Q5937">
        <v>10</v>
      </c>
      <c r="R5937" t="s">
        <v>213</v>
      </c>
      <c r="S5937" s="2" t="s">
        <v>27</v>
      </c>
      <c r="T5937">
        <v>3</v>
      </c>
      <c r="U5937" t="s">
        <v>28</v>
      </c>
      <c r="V5937" t="s">
        <v>28</v>
      </c>
      <c r="W5937">
        <v>25</v>
      </c>
      <c r="X5937">
        <v>38.33</v>
      </c>
      <c r="Y5937" s="6">
        <f t="shared" si="106"/>
        <v>15.588457268119894</v>
      </c>
      <c r="Z5937">
        <f>47.33-X5937</f>
        <v>9</v>
      </c>
    </row>
    <row r="5938" spans="1:26" x14ac:dyDescent="0.2">
      <c r="A5938" t="s">
        <v>742</v>
      </c>
      <c r="B5938">
        <v>2020</v>
      </c>
      <c r="C5938" t="s">
        <v>826</v>
      </c>
      <c r="D5938" t="s">
        <v>824</v>
      </c>
      <c r="E5938" t="s">
        <v>660</v>
      </c>
      <c r="F5938" t="s">
        <v>662</v>
      </c>
      <c r="G5938">
        <v>41.744605</v>
      </c>
      <c r="H5938">
        <v>140.76273900000001</v>
      </c>
      <c r="I5938" t="s">
        <v>767</v>
      </c>
      <c r="J5938" s="2" t="s">
        <v>7</v>
      </c>
      <c r="K5938" t="s">
        <v>661</v>
      </c>
      <c r="L5938" t="s">
        <v>143</v>
      </c>
      <c r="M5938" t="s">
        <v>73</v>
      </c>
      <c r="N5938" t="s">
        <v>85</v>
      </c>
      <c r="O5938" t="s">
        <v>834</v>
      </c>
      <c r="P5938" t="s">
        <v>641</v>
      </c>
      <c r="Q5938">
        <v>0.02</v>
      </c>
      <c r="R5938" t="s">
        <v>213</v>
      </c>
      <c r="S5938" s="2" t="s">
        <v>7</v>
      </c>
      <c r="T5938">
        <v>5</v>
      </c>
      <c r="U5938" t="s">
        <v>28</v>
      </c>
      <c r="V5938" t="s">
        <v>28</v>
      </c>
      <c r="W5938">
        <v>16</v>
      </c>
      <c r="X5938" s="23">
        <v>8.669118543215065</v>
      </c>
      <c r="Y5938" s="23">
        <v>1.0829885566270918</v>
      </c>
    </row>
    <row r="5939" spans="1:26" x14ac:dyDescent="0.2">
      <c r="A5939" t="s">
        <v>742</v>
      </c>
      <c r="B5939">
        <v>2020</v>
      </c>
      <c r="C5939" t="s">
        <v>826</v>
      </c>
      <c r="D5939" t="s">
        <v>824</v>
      </c>
      <c r="E5939" t="s">
        <v>660</v>
      </c>
      <c r="F5939" t="s">
        <v>662</v>
      </c>
      <c r="G5939">
        <v>41.744605</v>
      </c>
      <c r="H5939">
        <v>140.76273900000001</v>
      </c>
      <c r="I5939" t="s">
        <v>767</v>
      </c>
      <c r="J5939" s="2" t="s">
        <v>14</v>
      </c>
      <c r="K5939" t="s">
        <v>661</v>
      </c>
      <c r="L5939" t="s">
        <v>143</v>
      </c>
      <c r="M5939" t="s">
        <v>73</v>
      </c>
      <c r="N5939" t="s">
        <v>85</v>
      </c>
      <c r="O5939" t="s">
        <v>834</v>
      </c>
      <c r="P5939" t="s">
        <v>641</v>
      </c>
      <c r="Q5939">
        <v>0.02</v>
      </c>
      <c r="R5939" t="s">
        <v>213</v>
      </c>
      <c r="S5939" s="2" t="s">
        <v>9</v>
      </c>
      <c r="T5939">
        <v>5</v>
      </c>
      <c r="U5939" t="s">
        <v>28</v>
      </c>
      <c r="V5939" t="s">
        <v>28</v>
      </c>
      <c r="W5939">
        <v>20</v>
      </c>
      <c r="X5939" s="23">
        <v>9.0292592350096648</v>
      </c>
      <c r="Y5939" s="23">
        <v>1.0299727380627328</v>
      </c>
    </row>
    <row r="5940" spans="1:26" x14ac:dyDescent="0.2">
      <c r="A5940" t="s">
        <v>742</v>
      </c>
      <c r="B5940">
        <v>2020</v>
      </c>
      <c r="C5940" t="s">
        <v>826</v>
      </c>
      <c r="D5940" t="s">
        <v>824</v>
      </c>
      <c r="E5940" t="s">
        <v>660</v>
      </c>
      <c r="F5940" t="s">
        <v>662</v>
      </c>
      <c r="G5940">
        <v>41.744605</v>
      </c>
      <c r="H5940">
        <v>140.76273900000001</v>
      </c>
      <c r="I5940" t="s">
        <v>767</v>
      </c>
      <c r="J5940" s="2" t="s">
        <v>14</v>
      </c>
      <c r="K5940" t="s">
        <v>661</v>
      </c>
      <c r="L5940" t="s">
        <v>143</v>
      </c>
      <c r="M5940" t="s">
        <v>73</v>
      </c>
      <c r="N5940" t="s">
        <v>85</v>
      </c>
      <c r="O5940" t="s">
        <v>834</v>
      </c>
      <c r="P5940" t="s">
        <v>641</v>
      </c>
      <c r="Q5940">
        <v>0.02</v>
      </c>
      <c r="R5940" t="s">
        <v>213</v>
      </c>
      <c r="S5940" s="2" t="s">
        <v>13</v>
      </c>
      <c r="T5940">
        <v>5</v>
      </c>
      <c r="U5940" t="s">
        <v>28</v>
      </c>
      <c r="V5940" t="s">
        <v>28</v>
      </c>
      <c r="W5940">
        <v>24</v>
      </c>
      <c r="X5940" s="23">
        <v>8.3970641116724405</v>
      </c>
      <c r="Y5940" s="23">
        <v>1.2497651022667335</v>
      </c>
    </row>
    <row r="5941" spans="1:26" x14ac:dyDescent="0.2">
      <c r="A5941" t="s">
        <v>742</v>
      </c>
      <c r="B5941">
        <v>2020</v>
      </c>
      <c r="C5941" t="s">
        <v>826</v>
      </c>
      <c r="D5941" t="s">
        <v>824</v>
      </c>
      <c r="E5941" t="s">
        <v>660</v>
      </c>
      <c r="F5941" t="s">
        <v>662</v>
      </c>
      <c r="G5941">
        <v>41.744605</v>
      </c>
      <c r="H5941">
        <v>140.76273900000001</v>
      </c>
      <c r="I5941" t="s">
        <v>767</v>
      </c>
      <c r="J5941" s="2" t="s">
        <v>14</v>
      </c>
      <c r="K5941" t="s">
        <v>661</v>
      </c>
      <c r="L5941" t="s">
        <v>143</v>
      </c>
      <c r="M5941" t="s">
        <v>73</v>
      </c>
      <c r="N5941" t="s">
        <v>85</v>
      </c>
      <c r="O5941" t="s">
        <v>834</v>
      </c>
      <c r="P5941" t="s">
        <v>641</v>
      </c>
      <c r="Q5941">
        <v>0.02</v>
      </c>
      <c r="R5941" t="s">
        <v>213</v>
      </c>
      <c r="S5941" s="2" t="s">
        <v>15</v>
      </c>
      <c r="T5941">
        <v>5</v>
      </c>
      <c r="U5941" t="s">
        <v>28</v>
      </c>
      <c r="V5941" t="s">
        <v>28</v>
      </c>
      <c r="W5941">
        <v>28</v>
      </c>
      <c r="X5941" s="23">
        <v>4.7148422847093068</v>
      </c>
      <c r="Y5941" s="23">
        <v>0.50979722119178272</v>
      </c>
    </row>
    <row r="5942" spans="1:26" x14ac:dyDescent="0.2">
      <c r="A5942" t="s">
        <v>742</v>
      </c>
      <c r="B5942">
        <v>2020</v>
      </c>
      <c r="C5942" t="s">
        <v>826</v>
      </c>
      <c r="D5942" t="s">
        <v>824</v>
      </c>
      <c r="E5942" t="s">
        <v>660</v>
      </c>
      <c r="F5942" t="s">
        <v>662</v>
      </c>
      <c r="G5942">
        <v>41.744605</v>
      </c>
      <c r="H5942">
        <v>140.76273900000001</v>
      </c>
      <c r="I5942" t="s">
        <v>767</v>
      </c>
      <c r="J5942" s="2" t="s">
        <v>14</v>
      </c>
      <c r="K5942" t="s">
        <v>661</v>
      </c>
      <c r="L5942" t="s">
        <v>143</v>
      </c>
      <c r="M5942" t="s">
        <v>73</v>
      </c>
      <c r="N5942" t="s">
        <v>85</v>
      </c>
      <c r="O5942" t="s">
        <v>834</v>
      </c>
      <c r="P5942" t="s">
        <v>641</v>
      </c>
      <c r="Q5942">
        <v>0.02</v>
      </c>
      <c r="R5942" t="s">
        <v>213</v>
      </c>
      <c r="S5942" s="2" t="s">
        <v>37</v>
      </c>
      <c r="T5942">
        <v>5</v>
      </c>
      <c r="U5942" t="s">
        <v>28</v>
      </c>
      <c r="V5942" t="s">
        <v>28</v>
      </c>
      <c r="W5942">
        <v>32</v>
      </c>
      <c r="X5942" s="23">
        <v>-2.2047890350678356</v>
      </c>
      <c r="Y5942" s="23">
        <v>0.95181255215076987</v>
      </c>
    </row>
    <row r="5943" spans="1:26" x14ac:dyDescent="0.2">
      <c r="A5943" t="s">
        <v>742</v>
      </c>
      <c r="B5943">
        <v>2020</v>
      </c>
      <c r="C5943" t="s">
        <v>826</v>
      </c>
      <c r="D5943" t="s">
        <v>824</v>
      </c>
      <c r="E5943" t="s">
        <v>660</v>
      </c>
      <c r="F5943" t="s">
        <v>662</v>
      </c>
      <c r="G5943">
        <v>41.744605</v>
      </c>
      <c r="H5943">
        <v>140.76273900000001</v>
      </c>
      <c r="I5943" t="s">
        <v>767</v>
      </c>
      <c r="J5943" s="2" t="s">
        <v>14</v>
      </c>
      <c r="K5943" t="s">
        <v>661</v>
      </c>
      <c r="L5943" t="s">
        <v>143</v>
      </c>
      <c r="M5943" t="s">
        <v>73</v>
      </c>
      <c r="N5943" t="s">
        <v>85</v>
      </c>
      <c r="O5943" t="s">
        <v>834</v>
      </c>
      <c r="P5943" t="s">
        <v>641</v>
      </c>
      <c r="Q5943">
        <v>0.02</v>
      </c>
      <c r="R5943" t="s">
        <v>213</v>
      </c>
      <c r="S5943" s="2" t="s">
        <v>116</v>
      </c>
      <c r="T5943">
        <v>5</v>
      </c>
      <c r="U5943" t="s">
        <v>28</v>
      </c>
      <c r="V5943" t="s">
        <v>28</v>
      </c>
      <c r="W5943">
        <v>36</v>
      </c>
      <c r="X5943" s="23">
        <v>-4.1108755950574523</v>
      </c>
      <c r="Y5943" s="23">
        <v>0.5157397211681638</v>
      </c>
    </row>
    <row r="5944" spans="1:26" x14ac:dyDescent="0.2">
      <c r="A5944" t="s">
        <v>742</v>
      </c>
      <c r="B5944">
        <v>2020</v>
      </c>
      <c r="C5944" t="s">
        <v>826</v>
      </c>
      <c r="D5944" t="s">
        <v>824</v>
      </c>
      <c r="E5944" t="s">
        <v>660</v>
      </c>
      <c r="F5944" t="s">
        <v>662</v>
      </c>
      <c r="G5944">
        <v>41.744605</v>
      </c>
      <c r="H5944">
        <v>140.76273900000001</v>
      </c>
      <c r="I5944" t="s">
        <v>767</v>
      </c>
      <c r="J5944" s="2" t="s">
        <v>7</v>
      </c>
      <c r="K5944" t="s">
        <v>661</v>
      </c>
      <c r="L5944" t="s">
        <v>143</v>
      </c>
      <c r="M5944" t="s">
        <v>172</v>
      </c>
      <c r="N5944" t="s">
        <v>86</v>
      </c>
      <c r="O5944" t="s">
        <v>62</v>
      </c>
      <c r="P5944" t="s">
        <v>641</v>
      </c>
      <c r="Q5944">
        <v>0.02</v>
      </c>
      <c r="R5944" t="s">
        <v>213</v>
      </c>
      <c r="S5944" s="2" t="s">
        <v>7</v>
      </c>
      <c r="T5944">
        <v>5</v>
      </c>
      <c r="U5944" t="s">
        <v>28</v>
      </c>
      <c r="V5944" t="s">
        <v>28</v>
      </c>
      <c r="W5944">
        <v>16</v>
      </c>
      <c r="X5944" s="23">
        <v>-0.67757970612826113</v>
      </c>
      <c r="Y5944" s="23">
        <v>0.13004173928161872</v>
      </c>
    </row>
    <row r="5945" spans="1:26" x14ac:dyDescent="0.2">
      <c r="A5945" t="s">
        <v>742</v>
      </c>
      <c r="B5945">
        <v>2020</v>
      </c>
      <c r="C5945" t="s">
        <v>826</v>
      </c>
      <c r="D5945" t="s">
        <v>824</v>
      </c>
      <c r="E5945" t="s">
        <v>660</v>
      </c>
      <c r="F5945" t="s">
        <v>662</v>
      </c>
      <c r="G5945">
        <v>41.744605</v>
      </c>
      <c r="H5945">
        <v>140.76273900000001</v>
      </c>
      <c r="I5945" t="s">
        <v>767</v>
      </c>
      <c r="J5945" s="2" t="s">
        <v>14</v>
      </c>
      <c r="K5945" t="s">
        <v>661</v>
      </c>
      <c r="L5945" t="s">
        <v>143</v>
      </c>
      <c r="M5945" t="s">
        <v>172</v>
      </c>
      <c r="N5945" t="s">
        <v>86</v>
      </c>
      <c r="O5945" t="s">
        <v>62</v>
      </c>
      <c r="P5945" t="s">
        <v>641</v>
      </c>
      <c r="Q5945">
        <v>0.02</v>
      </c>
      <c r="R5945" t="s">
        <v>213</v>
      </c>
      <c r="S5945" s="2" t="s">
        <v>9</v>
      </c>
      <c r="T5945">
        <v>5</v>
      </c>
      <c r="U5945" t="s">
        <v>28</v>
      </c>
      <c r="V5945" t="s">
        <v>28</v>
      </c>
      <c r="W5945">
        <v>20</v>
      </c>
      <c r="X5945" s="23">
        <v>-0.95147706350438332</v>
      </c>
      <c r="Y5945" s="23">
        <v>0.33949114954705573</v>
      </c>
    </row>
    <row r="5946" spans="1:26" x14ac:dyDescent="0.2">
      <c r="A5946" t="s">
        <v>742</v>
      </c>
      <c r="B5946">
        <v>2020</v>
      </c>
      <c r="C5946" t="s">
        <v>826</v>
      </c>
      <c r="D5946" t="s">
        <v>824</v>
      </c>
      <c r="E5946" t="s">
        <v>660</v>
      </c>
      <c r="F5946" t="s">
        <v>662</v>
      </c>
      <c r="G5946">
        <v>41.744605</v>
      </c>
      <c r="H5946">
        <v>140.76273900000001</v>
      </c>
      <c r="I5946" t="s">
        <v>767</v>
      </c>
      <c r="J5946" s="2" t="s">
        <v>14</v>
      </c>
      <c r="K5946" t="s">
        <v>661</v>
      </c>
      <c r="L5946" t="s">
        <v>143</v>
      </c>
      <c r="M5946" t="s">
        <v>172</v>
      </c>
      <c r="N5946" t="s">
        <v>86</v>
      </c>
      <c r="O5946" t="s">
        <v>62</v>
      </c>
      <c r="P5946" t="s">
        <v>641</v>
      </c>
      <c r="Q5946">
        <v>0.02</v>
      </c>
      <c r="R5946" t="s">
        <v>213</v>
      </c>
      <c r="S5946" s="2" t="s">
        <v>13</v>
      </c>
      <c r="T5946">
        <v>5</v>
      </c>
      <c r="U5946" t="s">
        <v>28</v>
      </c>
      <c r="V5946" t="s">
        <v>28</v>
      </c>
      <c r="W5946">
        <v>24</v>
      </c>
      <c r="X5946" s="23">
        <v>-1.5713889742868885</v>
      </c>
      <c r="Y5946" s="23">
        <v>0.1904779299067533</v>
      </c>
    </row>
    <row r="5947" spans="1:26" x14ac:dyDescent="0.2">
      <c r="A5947" t="s">
        <v>742</v>
      </c>
      <c r="B5947">
        <v>2020</v>
      </c>
      <c r="C5947" t="s">
        <v>826</v>
      </c>
      <c r="D5947" t="s">
        <v>824</v>
      </c>
      <c r="E5947" t="s">
        <v>660</v>
      </c>
      <c r="F5947" t="s">
        <v>662</v>
      </c>
      <c r="G5947">
        <v>41.744605</v>
      </c>
      <c r="H5947">
        <v>140.76273900000001</v>
      </c>
      <c r="I5947" t="s">
        <v>767</v>
      </c>
      <c r="J5947" s="2" t="s">
        <v>14</v>
      </c>
      <c r="K5947" t="s">
        <v>661</v>
      </c>
      <c r="L5947" t="s">
        <v>143</v>
      </c>
      <c r="M5947" t="s">
        <v>172</v>
      </c>
      <c r="N5947" t="s">
        <v>86</v>
      </c>
      <c r="O5947" t="s">
        <v>62</v>
      </c>
      <c r="P5947" t="s">
        <v>641</v>
      </c>
      <c r="Q5947">
        <v>0.02</v>
      </c>
      <c r="R5947" t="s">
        <v>213</v>
      </c>
      <c r="S5947" s="2" t="s">
        <v>15</v>
      </c>
      <c r="T5947">
        <v>5</v>
      </c>
      <c r="U5947" t="s">
        <v>28</v>
      </c>
      <c r="V5947" t="s">
        <v>28</v>
      </c>
      <c r="W5947">
        <v>28</v>
      </c>
      <c r="X5947" s="23">
        <v>-1.666276429602674</v>
      </c>
      <c r="Y5947" s="23">
        <v>0.30504318771830724</v>
      </c>
    </row>
    <row r="5948" spans="1:26" x14ac:dyDescent="0.2">
      <c r="A5948" t="s">
        <v>742</v>
      </c>
      <c r="B5948">
        <v>2020</v>
      </c>
      <c r="C5948" t="s">
        <v>826</v>
      </c>
      <c r="D5948" t="s">
        <v>824</v>
      </c>
      <c r="E5948" t="s">
        <v>660</v>
      </c>
      <c r="F5948" t="s">
        <v>662</v>
      </c>
      <c r="G5948">
        <v>41.744605</v>
      </c>
      <c r="H5948">
        <v>140.76273900000001</v>
      </c>
      <c r="I5948" t="s">
        <v>767</v>
      </c>
      <c r="J5948" s="2" t="s">
        <v>14</v>
      </c>
      <c r="K5948" t="s">
        <v>661</v>
      </c>
      <c r="L5948" t="s">
        <v>143</v>
      </c>
      <c r="M5948" t="s">
        <v>172</v>
      </c>
      <c r="N5948" t="s">
        <v>86</v>
      </c>
      <c r="O5948" t="s">
        <v>62</v>
      </c>
      <c r="P5948" t="s">
        <v>641</v>
      </c>
      <c r="Q5948">
        <v>0.02</v>
      </c>
      <c r="R5948" t="s">
        <v>213</v>
      </c>
      <c r="S5948" s="2" t="s">
        <v>37</v>
      </c>
      <c r="T5948">
        <v>5</v>
      </c>
      <c r="U5948" t="s">
        <v>28</v>
      </c>
      <c r="V5948" t="s">
        <v>28</v>
      </c>
      <c r="W5948">
        <v>32</v>
      </c>
      <c r="X5948" s="23">
        <v>-2.9908550411119057</v>
      </c>
      <c r="Y5948" s="23">
        <v>0.36855944411164909</v>
      </c>
    </row>
    <row r="5949" spans="1:26" x14ac:dyDescent="0.2">
      <c r="A5949" t="s">
        <v>742</v>
      </c>
      <c r="B5949">
        <v>2020</v>
      </c>
      <c r="C5949" t="s">
        <v>826</v>
      </c>
      <c r="D5949" t="s">
        <v>824</v>
      </c>
      <c r="E5949" t="s">
        <v>660</v>
      </c>
      <c r="F5949" t="s">
        <v>662</v>
      </c>
      <c r="G5949">
        <v>41.744605</v>
      </c>
      <c r="H5949">
        <v>140.76273900000001</v>
      </c>
      <c r="I5949" t="s">
        <v>767</v>
      </c>
      <c r="J5949" s="2" t="s">
        <v>14</v>
      </c>
      <c r="K5949" t="s">
        <v>661</v>
      </c>
      <c r="L5949" t="s">
        <v>143</v>
      </c>
      <c r="M5949" t="s">
        <v>172</v>
      </c>
      <c r="N5949" t="s">
        <v>86</v>
      </c>
      <c r="O5949" t="s">
        <v>62</v>
      </c>
      <c r="P5949" t="s">
        <v>641</v>
      </c>
      <c r="Q5949">
        <v>0.02</v>
      </c>
      <c r="R5949" t="s">
        <v>213</v>
      </c>
      <c r="S5949" s="2" t="s">
        <v>116</v>
      </c>
      <c r="T5949">
        <v>5</v>
      </c>
      <c r="U5949" t="s">
        <v>28</v>
      </c>
      <c r="V5949" t="s">
        <v>28</v>
      </c>
      <c r="W5949">
        <v>36</v>
      </c>
      <c r="X5949" s="23">
        <v>-3.4150805346452451</v>
      </c>
      <c r="Y5949" s="23">
        <v>0.56345453488955333</v>
      </c>
    </row>
    <row r="5950" spans="1:26" x14ac:dyDescent="0.2">
      <c r="A5950" t="s">
        <v>742</v>
      </c>
      <c r="B5950">
        <v>2020</v>
      </c>
      <c r="C5950" t="s">
        <v>826</v>
      </c>
      <c r="D5950" t="s">
        <v>824</v>
      </c>
      <c r="E5950" t="s">
        <v>660</v>
      </c>
      <c r="F5950" t="s">
        <v>662</v>
      </c>
      <c r="G5950">
        <v>41.744605</v>
      </c>
      <c r="H5950">
        <v>140.76273900000001</v>
      </c>
      <c r="I5950" t="s">
        <v>767</v>
      </c>
      <c r="J5950" s="2" t="s">
        <v>7</v>
      </c>
      <c r="K5950" t="s">
        <v>661</v>
      </c>
      <c r="L5950" t="s">
        <v>143</v>
      </c>
      <c r="M5950" t="s">
        <v>726</v>
      </c>
      <c r="N5950" t="s">
        <v>85</v>
      </c>
      <c r="O5950" t="s">
        <v>84</v>
      </c>
      <c r="Q5950">
        <v>1</v>
      </c>
      <c r="R5950" t="s">
        <v>214</v>
      </c>
      <c r="S5950" s="2" t="s">
        <v>7</v>
      </c>
      <c r="T5950">
        <v>5</v>
      </c>
      <c r="U5950" t="s">
        <v>28</v>
      </c>
      <c r="V5950" t="s">
        <v>28</v>
      </c>
      <c r="W5950">
        <v>16</v>
      </c>
      <c r="X5950" s="23">
        <v>0.60139999999999993</v>
      </c>
      <c r="Y5950" s="23">
        <v>6.2960304954788821E-3</v>
      </c>
    </row>
    <row r="5951" spans="1:26" x14ac:dyDescent="0.2">
      <c r="A5951" t="s">
        <v>742</v>
      </c>
      <c r="B5951">
        <v>2020</v>
      </c>
      <c r="C5951" t="s">
        <v>826</v>
      </c>
      <c r="D5951" t="s">
        <v>824</v>
      </c>
      <c r="E5951" t="s">
        <v>660</v>
      </c>
      <c r="F5951" t="s">
        <v>662</v>
      </c>
      <c r="G5951">
        <v>41.744605</v>
      </c>
      <c r="H5951">
        <v>140.76273900000001</v>
      </c>
      <c r="I5951" t="s">
        <v>767</v>
      </c>
      <c r="J5951" s="2" t="s">
        <v>14</v>
      </c>
      <c r="K5951" t="s">
        <v>661</v>
      </c>
      <c r="L5951" t="s">
        <v>143</v>
      </c>
      <c r="M5951" t="s">
        <v>726</v>
      </c>
      <c r="N5951" t="s">
        <v>85</v>
      </c>
      <c r="O5951" t="s">
        <v>84</v>
      </c>
      <c r="Q5951">
        <v>1</v>
      </c>
      <c r="R5951" t="s">
        <v>214</v>
      </c>
      <c r="S5951" s="2" t="s">
        <v>9</v>
      </c>
      <c r="T5951">
        <v>5</v>
      </c>
      <c r="U5951" t="s">
        <v>28</v>
      </c>
      <c r="V5951" t="s">
        <v>28</v>
      </c>
      <c r="W5951">
        <v>20</v>
      </c>
      <c r="X5951" s="23">
        <v>0.59699999999999998</v>
      </c>
      <c r="Y5951" s="23">
        <v>2.9792616534973896E-2</v>
      </c>
    </row>
    <row r="5952" spans="1:26" x14ac:dyDescent="0.2">
      <c r="A5952" t="s">
        <v>742</v>
      </c>
      <c r="B5952">
        <v>2020</v>
      </c>
      <c r="C5952" t="s">
        <v>826</v>
      </c>
      <c r="D5952" t="s">
        <v>824</v>
      </c>
      <c r="E5952" t="s">
        <v>660</v>
      </c>
      <c r="F5952" t="s">
        <v>662</v>
      </c>
      <c r="G5952">
        <v>41.744605</v>
      </c>
      <c r="H5952">
        <v>140.76273900000001</v>
      </c>
      <c r="I5952" t="s">
        <v>767</v>
      </c>
      <c r="J5952" s="2" t="s">
        <v>14</v>
      </c>
      <c r="K5952" t="s">
        <v>661</v>
      </c>
      <c r="L5952" t="s">
        <v>143</v>
      </c>
      <c r="M5952" t="s">
        <v>726</v>
      </c>
      <c r="N5952" t="s">
        <v>85</v>
      </c>
      <c r="O5952" t="s">
        <v>84</v>
      </c>
      <c r="Q5952">
        <v>1</v>
      </c>
      <c r="R5952" t="s">
        <v>214</v>
      </c>
      <c r="S5952" s="2" t="s">
        <v>27</v>
      </c>
      <c r="T5952">
        <v>5</v>
      </c>
      <c r="U5952" t="s">
        <v>28</v>
      </c>
      <c r="V5952" t="s">
        <v>28</v>
      </c>
      <c r="W5952">
        <v>22</v>
      </c>
      <c r="X5952" s="23">
        <v>0.60399999999999987</v>
      </c>
      <c r="Y5952" s="23">
        <v>1.8547236990991426E-2</v>
      </c>
    </row>
    <row r="5953" spans="1:25" x14ac:dyDescent="0.2">
      <c r="A5953" t="s">
        <v>742</v>
      </c>
      <c r="B5953">
        <v>2020</v>
      </c>
      <c r="C5953" t="s">
        <v>826</v>
      </c>
      <c r="D5953" t="s">
        <v>824</v>
      </c>
      <c r="E5953" t="s">
        <v>660</v>
      </c>
      <c r="F5953" t="s">
        <v>662</v>
      </c>
      <c r="G5953">
        <v>41.744605</v>
      </c>
      <c r="H5953">
        <v>140.76273900000001</v>
      </c>
      <c r="I5953" t="s">
        <v>767</v>
      </c>
      <c r="J5953" s="2" t="s">
        <v>14</v>
      </c>
      <c r="K5953" t="s">
        <v>661</v>
      </c>
      <c r="L5953" t="s">
        <v>143</v>
      </c>
      <c r="M5953" t="s">
        <v>726</v>
      </c>
      <c r="N5953" t="s">
        <v>85</v>
      </c>
      <c r="O5953" t="s">
        <v>84</v>
      </c>
      <c r="Q5953">
        <v>1</v>
      </c>
      <c r="R5953" t="s">
        <v>214</v>
      </c>
      <c r="S5953" s="2" t="s">
        <v>13</v>
      </c>
      <c r="T5953">
        <v>5</v>
      </c>
      <c r="U5953" t="s">
        <v>28</v>
      </c>
      <c r="V5953" t="s">
        <v>28</v>
      </c>
      <c r="W5953">
        <v>24</v>
      </c>
      <c r="X5953" s="23">
        <v>0.59079999999999999</v>
      </c>
      <c r="Y5953" s="23">
        <v>1.486472334084965E-2</v>
      </c>
    </row>
    <row r="5954" spans="1:25" x14ac:dyDescent="0.2">
      <c r="A5954" t="s">
        <v>742</v>
      </c>
      <c r="B5954">
        <v>2020</v>
      </c>
      <c r="C5954" t="s">
        <v>826</v>
      </c>
      <c r="D5954" t="s">
        <v>824</v>
      </c>
      <c r="E5954" t="s">
        <v>660</v>
      </c>
      <c r="F5954" t="s">
        <v>662</v>
      </c>
      <c r="G5954">
        <v>41.744605</v>
      </c>
      <c r="H5954">
        <v>140.76273900000001</v>
      </c>
      <c r="I5954" t="s">
        <v>767</v>
      </c>
      <c r="J5954" s="2" t="s">
        <v>14</v>
      </c>
      <c r="K5954" t="s">
        <v>661</v>
      </c>
      <c r="L5954" t="s">
        <v>143</v>
      </c>
      <c r="M5954" t="s">
        <v>726</v>
      </c>
      <c r="N5954" t="s">
        <v>85</v>
      </c>
      <c r="O5954" t="s">
        <v>84</v>
      </c>
      <c r="Q5954">
        <v>1</v>
      </c>
      <c r="R5954" t="s">
        <v>214</v>
      </c>
      <c r="S5954" s="2" t="s">
        <v>15</v>
      </c>
      <c r="T5954">
        <v>5</v>
      </c>
      <c r="U5954" t="s">
        <v>28</v>
      </c>
      <c r="V5954" t="s">
        <v>28</v>
      </c>
      <c r="W5954">
        <v>28</v>
      </c>
      <c r="X5954" s="23">
        <v>0.59209999999999996</v>
      </c>
      <c r="Y5954" s="23">
        <v>1.6573774464496628E-2</v>
      </c>
    </row>
    <row r="5955" spans="1:25" x14ac:dyDescent="0.2">
      <c r="A5955" t="s">
        <v>742</v>
      </c>
      <c r="B5955">
        <v>2020</v>
      </c>
      <c r="C5955" t="s">
        <v>826</v>
      </c>
      <c r="D5955" t="s">
        <v>824</v>
      </c>
      <c r="E5955" t="s">
        <v>660</v>
      </c>
      <c r="F5955" t="s">
        <v>662</v>
      </c>
      <c r="G5955">
        <v>41.744605</v>
      </c>
      <c r="H5955">
        <v>140.76273900000001</v>
      </c>
      <c r="I5955" t="s">
        <v>767</v>
      </c>
      <c r="J5955" s="2" t="s">
        <v>14</v>
      </c>
      <c r="K5955" t="s">
        <v>661</v>
      </c>
      <c r="L5955" t="s">
        <v>143</v>
      </c>
      <c r="M5955" t="s">
        <v>726</v>
      </c>
      <c r="N5955" t="s">
        <v>85</v>
      </c>
      <c r="O5955" t="s">
        <v>84</v>
      </c>
      <c r="Q5955">
        <v>1</v>
      </c>
      <c r="R5955" t="s">
        <v>214</v>
      </c>
      <c r="S5955" s="2" t="s">
        <v>37</v>
      </c>
      <c r="T5955">
        <v>5</v>
      </c>
      <c r="U5955" t="s">
        <v>28</v>
      </c>
      <c r="V5955" t="s">
        <v>28</v>
      </c>
      <c r="W5955">
        <v>32</v>
      </c>
      <c r="X5955" s="23">
        <v>0</v>
      </c>
      <c r="Y5955" s="23">
        <v>0</v>
      </c>
    </row>
    <row r="5956" spans="1:25" x14ac:dyDescent="0.2">
      <c r="A5956" t="s">
        <v>742</v>
      </c>
      <c r="B5956">
        <v>2020</v>
      </c>
      <c r="C5956" t="s">
        <v>826</v>
      </c>
      <c r="D5956" t="s">
        <v>824</v>
      </c>
      <c r="E5956" t="s">
        <v>660</v>
      </c>
      <c r="F5956" t="s">
        <v>662</v>
      </c>
      <c r="G5956">
        <v>41.744605</v>
      </c>
      <c r="H5956">
        <v>140.76273900000001</v>
      </c>
      <c r="I5956" t="s">
        <v>767</v>
      </c>
      <c r="J5956" s="2" t="s">
        <v>14</v>
      </c>
      <c r="K5956" t="s">
        <v>661</v>
      </c>
      <c r="L5956" t="s">
        <v>143</v>
      </c>
      <c r="M5956" t="s">
        <v>726</v>
      </c>
      <c r="N5956" t="s">
        <v>85</v>
      </c>
      <c r="O5956" t="s">
        <v>84</v>
      </c>
      <c r="Q5956">
        <v>1</v>
      </c>
      <c r="R5956" t="s">
        <v>214</v>
      </c>
      <c r="S5956" s="2" t="s">
        <v>116</v>
      </c>
      <c r="T5956">
        <v>5</v>
      </c>
      <c r="U5956" t="s">
        <v>28</v>
      </c>
      <c r="V5956" t="s">
        <v>28</v>
      </c>
      <c r="W5956">
        <v>36</v>
      </c>
      <c r="X5956" s="23">
        <v>0</v>
      </c>
      <c r="Y5956" s="23">
        <v>0</v>
      </c>
    </row>
    <row r="5957" spans="1:25" x14ac:dyDescent="0.2">
      <c r="A5957" t="s">
        <v>742</v>
      </c>
      <c r="B5957">
        <v>2020</v>
      </c>
      <c r="C5957" t="s">
        <v>826</v>
      </c>
      <c r="D5957" t="s">
        <v>824</v>
      </c>
      <c r="E5957" t="s">
        <v>660</v>
      </c>
      <c r="F5957" t="s">
        <v>662</v>
      </c>
      <c r="G5957">
        <v>41.744605</v>
      </c>
      <c r="H5957">
        <v>140.76273900000001</v>
      </c>
      <c r="I5957" t="s">
        <v>767</v>
      </c>
      <c r="J5957" s="2" t="s">
        <v>7</v>
      </c>
      <c r="K5957" t="s">
        <v>661</v>
      </c>
      <c r="L5957" t="s">
        <v>143</v>
      </c>
      <c r="M5957" t="s">
        <v>726</v>
      </c>
      <c r="N5957" t="s">
        <v>85</v>
      </c>
      <c r="O5957" t="s">
        <v>84</v>
      </c>
      <c r="Q5957">
        <v>2</v>
      </c>
      <c r="R5957" t="s">
        <v>214</v>
      </c>
      <c r="S5957" s="2" t="s">
        <v>7</v>
      </c>
      <c r="T5957">
        <v>5</v>
      </c>
      <c r="U5957" t="s">
        <v>28</v>
      </c>
      <c r="V5957" t="s">
        <v>28</v>
      </c>
      <c r="W5957">
        <v>16</v>
      </c>
      <c r="X5957" s="23">
        <v>0.61849999999999994</v>
      </c>
      <c r="Y5957" s="23">
        <v>1.1119802156513408E-2</v>
      </c>
    </row>
    <row r="5958" spans="1:25" x14ac:dyDescent="0.2">
      <c r="A5958" t="s">
        <v>742</v>
      </c>
      <c r="B5958">
        <v>2020</v>
      </c>
      <c r="C5958" t="s">
        <v>826</v>
      </c>
      <c r="D5958" t="s">
        <v>824</v>
      </c>
      <c r="E5958" t="s">
        <v>660</v>
      </c>
      <c r="F5958" t="s">
        <v>662</v>
      </c>
      <c r="G5958">
        <v>41.744605</v>
      </c>
      <c r="H5958">
        <v>140.76273900000001</v>
      </c>
      <c r="I5958" t="s">
        <v>767</v>
      </c>
      <c r="J5958" s="2" t="s">
        <v>14</v>
      </c>
      <c r="K5958" t="s">
        <v>661</v>
      </c>
      <c r="L5958" t="s">
        <v>143</v>
      </c>
      <c r="M5958" t="s">
        <v>726</v>
      </c>
      <c r="N5958" t="s">
        <v>85</v>
      </c>
      <c r="O5958" t="s">
        <v>84</v>
      </c>
      <c r="Q5958">
        <v>2</v>
      </c>
      <c r="R5958" t="s">
        <v>214</v>
      </c>
      <c r="S5958" s="2" t="s">
        <v>9</v>
      </c>
      <c r="T5958">
        <v>5</v>
      </c>
      <c r="U5958" t="s">
        <v>28</v>
      </c>
      <c r="V5958" t="s">
        <v>28</v>
      </c>
      <c r="W5958">
        <v>20</v>
      </c>
      <c r="X5958" s="23">
        <v>0.60289999999999999</v>
      </c>
      <c r="Y5958" s="23">
        <v>2.805868849394072E-2</v>
      </c>
    </row>
    <row r="5959" spans="1:25" x14ac:dyDescent="0.2">
      <c r="A5959" t="s">
        <v>742</v>
      </c>
      <c r="B5959">
        <v>2020</v>
      </c>
      <c r="C5959" t="s">
        <v>826</v>
      </c>
      <c r="D5959" t="s">
        <v>824</v>
      </c>
      <c r="E5959" t="s">
        <v>660</v>
      </c>
      <c r="F5959" t="s">
        <v>662</v>
      </c>
      <c r="G5959">
        <v>41.744605</v>
      </c>
      <c r="H5959">
        <v>140.76273900000001</v>
      </c>
      <c r="I5959" t="s">
        <v>767</v>
      </c>
      <c r="J5959" s="2" t="s">
        <v>14</v>
      </c>
      <c r="K5959" t="s">
        <v>661</v>
      </c>
      <c r="L5959" t="s">
        <v>143</v>
      </c>
      <c r="M5959" t="s">
        <v>726</v>
      </c>
      <c r="N5959" t="s">
        <v>85</v>
      </c>
      <c r="O5959" t="s">
        <v>84</v>
      </c>
      <c r="Q5959">
        <v>2</v>
      </c>
      <c r="R5959" t="s">
        <v>214</v>
      </c>
      <c r="S5959" s="2" t="s">
        <v>27</v>
      </c>
      <c r="T5959">
        <v>5</v>
      </c>
      <c r="U5959" t="s">
        <v>28</v>
      </c>
      <c r="V5959" t="s">
        <v>28</v>
      </c>
      <c r="W5959">
        <v>22</v>
      </c>
      <c r="X5959" s="23">
        <v>0.6119</v>
      </c>
      <c r="Y5959" s="23">
        <v>1.6519382555047282E-2</v>
      </c>
    </row>
    <row r="5960" spans="1:25" x14ac:dyDescent="0.2">
      <c r="A5960" t="s">
        <v>742</v>
      </c>
      <c r="B5960">
        <v>2020</v>
      </c>
      <c r="C5960" t="s">
        <v>826</v>
      </c>
      <c r="D5960" t="s">
        <v>824</v>
      </c>
      <c r="E5960" t="s">
        <v>660</v>
      </c>
      <c r="F5960" t="s">
        <v>662</v>
      </c>
      <c r="G5960">
        <v>41.744605</v>
      </c>
      <c r="H5960">
        <v>140.76273900000001</v>
      </c>
      <c r="I5960" t="s">
        <v>767</v>
      </c>
      <c r="J5960" s="2" t="s">
        <v>14</v>
      </c>
      <c r="K5960" t="s">
        <v>661</v>
      </c>
      <c r="L5960" t="s">
        <v>143</v>
      </c>
      <c r="M5960" t="s">
        <v>726</v>
      </c>
      <c r="N5960" t="s">
        <v>85</v>
      </c>
      <c r="O5960" t="s">
        <v>84</v>
      </c>
      <c r="Q5960">
        <v>2</v>
      </c>
      <c r="R5960" t="s">
        <v>214</v>
      </c>
      <c r="S5960" s="2" t="s">
        <v>13</v>
      </c>
      <c r="T5960">
        <v>5</v>
      </c>
      <c r="U5960" t="s">
        <v>28</v>
      </c>
      <c r="V5960" t="s">
        <v>28</v>
      </c>
      <c r="W5960">
        <v>24</v>
      </c>
      <c r="X5960" s="23">
        <v>0.61099999999999999</v>
      </c>
      <c r="Y5960" s="23">
        <v>1.4785127662620988E-2</v>
      </c>
    </row>
    <row r="5961" spans="1:25" x14ac:dyDescent="0.2">
      <c r="A5961" t="s">
        <v>742</v>
      </c>
      <c r="B5961">
        <v>2020</v>
      </c>
      <c r="C5961" t="s">
        <v>826</v>
      </c>
      <c r="D5961" t="s">
        <v>824</v>
      </c>
      <c r="E5961" t="s">
        <v>660</v>
      </c>
      <c r="F5961" t="s">
        <v>662</v>
      </c>
      <c r="G5961">
        <v>41.744605</v>
      </c>
      <c r="H5961">
        <v>140.76273900000001</v>
      </c>
      <c r="I5961" t="s">
        <v>767</v>
      </c>
      <c r="J5961" s="2" t="s">
        <v>14</v>
      </c>
      <c r="K5961" t="s">
        <v>661</v>
      </c>
      <c r="L5961" t="s">
        <v>143</v>
      </c>
      <c r="M5961" t="s">
        <v>726</v>
      </c>
      <c r="N5961" t="s">
        <v>85</v>
      </c>
      <c r="O5961" t="s">
        <v>84</v>
      </c>
      <c r="Q5961">
        <v>2</v>
      </c>
      <c r="R5961" t="s">
        <v>214</v>
      </c>
      <c r="S5961" s="2" t="s">
        <v>15</v>
      </c>
      <c r="T5961">
        <v>5</v>
      </c>
      <c r="U5961" t="s">
        <v>28</v>
      </c>
      <c r="V5961" t="s">
        <v>28</v>
      </c>
      <c r="W5961">
        <v>28</v>
      </c>
      <c r="X5961" s="23">
        <v>0.55230000000000001</v>
      </c>
      <c r="Y5961" s="23">
        <v>2.9017408567961384E-2</v>
      </c>
    </row>
    <row r="5962" spans="1:25" x14ac:dyDescent="0.2">
      <c r="A5962" t="s">
        <v>742</v>
      </c>
      <c r="B5962">
        <v>2020</v>
      </c>
      <c r="C5962" t="s">
        <v>826</v>
      </c>
      <c r="D5962" t="s">
        <v>824</v>
      </c>
      <c r="E5962" t="s">
        <v>660</v>
      </c>
      <c r="F5962" t="s">
        <v>662</v>
      </c>
      <c r="G5962">
        <v>41.744605</v>
      </c>
      <c r="H5962">
        <v>140.76273900000001</v>
      </c>
      <c r="I5962" t="s">
        <v>767</v>
      </c>
      <c r="J5962" s="2" t="s">
        <v>14</v>
      </c>
      <c r="K5962" t="s">
        <v>661</v>
      </c>
      <c r="L5962" t="s">
        <v>143</v>
      </c>
      <c r="M5962" t="s">
        <v>726</v>
      </c>
      <c r="N5962" t="s">
        <v>85</v>
      </c>
      <c r="O5962" t="s">
        <v>84</v>
      </c>
      <c r="Q5962">
        <v>2</v>
      </c>
      <c r="R5962" t="s">
        <v>214</v>
      </c>
      <c r="S5962" s="2" t="s">
        <v>37</v>
      </c>
      <c r="T5962">
        <v>5</v>
      </c>
      <c r="U5962" t="s">
        <v>28</v>
      </c>
      <c r="V5962" t="s">
        <v>28</v>
      </c>
      <c r="W5962">
        <v>32</v>
      </c>
      <c r="X5962" s="23">
        <v>0.17760000000000001</v>
      </c>
      <c r="Y5962" s="23">
        <v>0.16074837479738321</v>
      </c>
    </row>
    <row r="5963" spans="1:25" x14ac:dyDescent="0.2">
      <c r="A5963" t="s">
        <v>742</v>
      </c>
      <c r="B5963">
        <v>2020</v>
      </c>
      <c r="C5963" t="s">
        <v>826</v>
      </c>
      <c r="D5963" t="s">
        <v>824</v>
      </c>
      <c r="E5963" t="s">
        <v>660</v>
      </c>
      <c r="F5963" t="s">
        <v>662</v>
      </c>
      <c r="G5963">
        <v>41.744605</v>
      </c>
      <c r="H5963">
        <v>140.76273900000001</v>
      </c>
      <c r="I5963" t="s">
        <v>767</v>
      </c>
      <c r="J5963" s="2" t="s">
        <v>14</v>
      </c>
      <c r="K5963" t="s">
        <v>661</v>
      </c>
      <c r="L5963" t="s">
        <v>143</v>
      </c>
      <c r="M5963" t="s">
        <v>726</v>
      </c>
      <c r="N5963" t="s">
        <v>85</v>
      </c>
      <c r="O5963" t="s">
        <v>84</v>
      </c>
      <c r="Q5963">
        <v>2</v>
      </c>
      <c r="R5963" t="s">
        <v>214</v>
      </c>
      <c r="S5963" s="2" t="s">
        <v>116</v>
      </c>
      <c r="T5963">
        <v>5</v>
      </c>
      <c r="U5963" t="s">
        <v>28</v>
      </c>
      <c r="V5963" t="s">
        <v>28</v>
      </c>
      <c r="W5963">
        <v>36</v>
      </c>
      <c r="X5963" s="23">
        <v>0</v>
      </c>
      <c r="Y5963" s="23">
        <v>0</v>
      </c>
    </row>
    <row r="5964" spans="1:25" x14ac:dyDescent="0.2">
      <c r="A5964" t="s">
        <v>742</v>
      </c>
      <c r="B5964">
        <v>2020</v>
      </c>
      <c r="C5964" t="s">
        <v>826</v>
      </c>
      <c r="D5964" t="s">
        <v>824</v>
      </c>
      <c r="E5964" t="s">
        <v>660</v>
      </c>
      <c r="F5964" t="s">
        <v>662</v>
      </c>
      <c r="G5964">
        <v>41.744605</v>
      </c>
      <c r="H5964">
        <v>140.76273900000001</v>
      </c>
      <c r="I5964" t="s">
        <v>767</v>
      </c>
      <c r="J5964" s="2" t="s">
        <v>7</v>
      </c>
      <c r="K5964" t="s">
        <v>661</v>
      </c>
      <c r="L5964" t="s">
        <v>143</v>
      </c>
      <c r="M5964" t="s">
        <v>726</v>
      </c>
      <c r="N5964" t="s">
        <v>85</v>
      </c>
      <c r="O5964" t="s">
        <v>84</v>
      </c>
      <c r="Q5964">
        <v>3</v>
      </c>
      <c r="R5964" t="s">
        <v>214</v>
      </c>
      <c r="S5964" s="2" t="s">
        <v>7</v>
      </c>
      <c r="T5964">
        <v>5</v>
      </c>
      <c r="U5964" t="s">
        <v>28</v>
      </c>
      <c r="V5964" t="s">
        <v>28</v>
      </c>
      <c r="W5964">
        <v>16</v>
      </c>
      <c r="X5964" s="23">
        <v>0.61820000000000008</v>
      </c>
      <c r="Y5964" s="23">
        <v>5.287721626560919E-3</v>
      </c>
    </row>
    <row r="5965" spans="1:25" x14ac:dyDescent="0.2">
      <c r="A5965" t="s">
        <v>742</v>
      </c>
      <c r="B5965">
        <v>2020</v>
      </c>
      <c r="C5965" t="s">
        <v>826</v>
      </c>
      <c r="D5965" t="s">
        <v>824</v>
      </c>
      <c r="E5965" t="s">
        <v>660</v>
      </c>
      <c r="F5965" t="s">
        <v>662</v>
      </c>
      <c r="G5965">
        <v>41.744605</v>
      </c>
      <c r="H5965">
        <v>140.76273900000001</v>
      </c>
      <c r="I5965" t="s">
        <v>767</v>
      </c>
      <c r="J5965" s="2" t="s">
        <v>14</v>
      </c>
      <c r="K5965" t="s">
        <v>661</v>
      </c>
      <c r="L5965" t="s">
        <v>143</v>
      </c>
      <c r="M5965" t="s">
        <v>726</v>
      </c>
      <c r="N5965" t="s">
        <v>85</v>
      </c>
      <c r="O5965" t="s">
        <v>84</v>
      </c>
      <c r="Q5965">
        <v>3</v>
      </c>
      <c r="R5965" t="s">
        <v>214</v>
      </c>
      <c r="S5965" s="2" t="s">
        <v>9</v>
      </c>
      <c r="T5965">
        <v>5</v>
      </c>
      <c r="U5965" t="s">
        <v>28</v>
      </c>
      <c r="V5965" t="s">
        <v>28</v>
      </c>
      <c r="W5965">
        <v>20</v>
      </c>
      <c r="X5965" s="23">
        <v>0.60889999999999989</v>
      </c>
      <c r="Y5965" s="23">
        <v>1.4862368586466976E-2</v>
      </c>
    </row>
    <row r="5966" spans="1:25" x14ac:dyDescent="0.2">
      <c r="A5966" t="s">
        <v>742</v>
      </c>
      <c r="B5966">
        <v>2020</v>
      </c>
      <c r="C5966" t="s">
        <v>826</v>
      </c>
      <c r="D5966" t="s">
        <v>824</v>
      </c>
      <c r="E5966" t="s">
        <v>660</v>
      </c>
      <c r="F5966" t="s">
        <v>662</v>
      </c>
      <c r="G5966">
        <v>41.744605</v>
      </c>
      <c r="H5966">
        <v>140.76273900000001</v>
      </c>
      <c r="I5966" t="s">
        <v>767</v>
      </c>
      <c r="J5966" s="2" t="s">
        <v>14</v>
      </c>
      <c r="K5966" t="s">
        <v>661</v>
      </c>
      <c r="L5966" t="s">
        <v>143</v>
      </c>
      <c r="M5966" t="s">
        <v>726</v>
      </c>
      <c r="N5966" t="s">
        <v>85</v>
      </c>
      <c r="O5966" t="s">
        <v>84</v>
      </c>
      <c r="Q5966">
        <v>3</v>
      </c>
      <c r="R5966" t="s">
        <v>214</v>
      </c>
      <c r="S5966" s="2" t="s">
        <v>27</v>
      </c>
      <c r="T5966">
        <v>5</v>
      </c>
      <c r="U5966" t="s">
        <v>28</v>
      </c>
      <c r="V5966" t="s">
        <v>28</v>
      </c>
      <c r="W5966">
        <v>22</v>
      </c>
      <c r="X5966" s="23">
        <v>0.63170000000000004</v>
      </c>
      <c r="Y5966" s="23">
        <v>1.3153326575433315E-2</v>
      </c>
    </row>
    <row r="5967" spans="1:25" x14ac:dyDescent="0.2">
      <c r="A5967" t="s">
        <v>742</v>
      </c>
      <c r="B5967">
        <v>2020</v>
      </c>
      <c r="C5967" t="s">
        <v>826</v>
      </c>
      <c r="D5967" t="s">
        <v>824</v>
      </c>
      <c r="E5967" t="s">
        <v>660</v>
      </c>
      <c r="F5967" t="s">
        <v>662</v>
      </c>
      <c r="G5967">
        <v>41.744605</v>
      </c>
      <c r="H5967">
        <v>140.76273900000001</v>
      </c>
      <c r="I5967" t="s">
        <v>767</v>
      </c>
      <c r="J5967" s="2" t="s">
        <v>14</v>
      </c>
      <c r="K5967" t="s">
        <v>661</v>
      </c>
      <c r="L5967" t="s">
        <v>143</v>
      </c>
      <c r="M5967" t="s">
        <v>726</v>
      </c>
      <c r="N5967" t="s">
        <v>85</v>
      </c>
      <c r="O5967" t="s">
        <v>84</v>
      </c>
      <c r="Q5967">
        <v>3</v>
      </c>
      <c r="R5967" t="s">
        <v>214</v>
      </c>
      <c r="S5967" s="2" t="s">
        <v>13</v>
      </c>
      <c r="T5967">
        <v>5</v>
      </c>
      <c r="U5967" t="s">
        <v>28</v>
      </c>
      <c r="V5967" t="s">
        <v>28</v>
      </c>
      <c r="W5967">
        <v>24</v>
      </c>
      <c r="X5967" s="23">
        <v>0.62829999999999997</v>
      </c>
      <c r="Y5967" s="23">
        <v>1.46563979203623E-2</v>
      </c>
    </row>
    <row r="5968" spans="1:25" x14ac:dyDescent="0.2">
      <c r="A5968" t="s">
        <v>742</v>
      </c>
      <c r="B5968">
        <v>2020</v>
      </c>
      <c r="C5968" t="s">
        <v>826</v>
      </c>
      <c r="D5968" t="s">
        <v>824</v>
      </c>
      <c r="E5968" t="s">
        <v>660</v>
      </c>
      <c r="F5968" t="s">
        <v>662</v>
      </c>
      <c r="G5968">
        <v>41.744605</v>
      </c>
      <c r="H5968">
        <v>140.76273900000001</v>
      </c>
      <c r="I5968" t="s">
        <v>767</v>
      </c>
      <c r="J5968" s="2" t="s">
        <v>14</v>
      </c>
      <c r="K5968" t="s">
        <v>661</v>
      </c>
      <c r="L5968" t="s">
        <v>143</v>
      </c>
      <c r="M5968" t="s">
        <v>726</v>
      </c>
      <c r="N5968" t="s">
        <v>85</v>
      </c>
      <c r="O5968" t="s">
        <v>84</v>
      </c>
      <c r="Q5968">
        <v>3</v>
      </c>
      <c r="R5968" t="s">
        <v>214</v>
      </c>
      <c r="S5968" s="2" t="s">
        <v>15</v>
      </c>
      <c r="T5968">
        <v>5</v>
      </c>
      <c r="U5968" t="s">
        <v>28</v>
      </c>
      <c r="V5968" t="s">
        <v>28</v>
      </c>
      <c r="W5968">
        <v>28</v>
      </c>
      <c r="X5968" s="23">
        <v>0.43320000000000008</v>
      </c>
      <c r="Y5968" s="23">
        <v>0.12809746289446922</v>
      </c>
    </row>
    <row r="5969" spans="1:28" x14ac:dyDescent="0.2">
      <c r="A5969" t="s">
        <v>742</v>
      </c>
      <c r="B5969">
        <v>2020</v>
      </c>
      <c r="C5969" t="s">
        <v>826</v>
      </c>
      <c r="D5969" t="s">
        <v>824</v>
      </c>
      <c r="E5969" t="s">
        <v>660</v>
      </c>
      <c r="F5969" t="s">
        <v>662</v>
      </c>
      <c r="G5969">
        <v>41.744605</v>
      </c>
      <c r="H5969">
        <v>140.76273900000001</v>
      </c>
      <c r="I5969" t="s">
        <v>767</v>
      </c>
      <c r="J5969" s="2" t="s">
        <v>14</v>
      </c>
      <c r="K5969" t="s">
        <v>661</v>
      </c>
      <c r="L5969" t="s">
        <v>143</v>
      </c>
      <c r="M5969" t="s">
        <v>726</v>
      </c>
      <c r="N5969" t="s">
        <v>85</v>
      </c>
      <c r="O5969" t="s">
        <v>84</v>
      </c>
      <c r="Q5969">
        <v>3</v>
      </c>
      <c r="R5969" t="s">
        <v>214</v>
      </c>
      <c r="S5969" s="2" t="s">
        <v>37</v>
      </c>
      <c r="T5969">
        <v>5</v>
      </c>
      <c r="U5969" t="s">
        <v>28</v>
      </c>
      <c r="V5969" t="s">
        <v>28</v>
      </c>
      <c r="W5969">
        <v>32</v>
      </c>
      <c r="X5969" s="23">
        <v>0.12279999999999999</v>
      </c>
      <c r="Y5969" s="23">
        <v>0.12278420093806858</v>
      </c>
    </row>
    <row r="5970" spans="1:28" x14ac:dyDescent="0.2">
      <c r="A5970" t="s">
        <v>742</v>
      </c>
      <c r="B5970">
        <v>2020</v>
      </c>
      <c r="C5970" t="s">
        <v>826</v>
      </c>
      <c r="D5970" t="s">
        <v>824</v>
      </c>
      <c r="E5970" t="s">
        <v>660</v>
      </c>
      <c r="F5970" t="s">
        <v>662</v>
      </c>
      <c r="G5970">
        <v>41.744605</v>
      </c>
      <c r="H5970">
        <v>140.76273900000001</v>
      </c>
      <c r="I5970" t="s">
        <v>767</v>
      </c>
      <c r="J5970" s="2" t="s">
        <v>14</v>
      </c>
      <c r="K5970" t="s">
        <v>661</v>
      </c>
      <c r="L5970" t="s">
        <v>143</v>
      </c>
      <c r="M5970" t="s">
        <v>726</v>
      </c>
      <c r="N5970" t="s">
        <v>85</v>
      </c>
      <c r="O5970" t="s">
        <v>84</v>
      </c>
      <c r="Q5970">
        <v>3</v>
      </c>
      <c r="R5970" t="s">
        <v>214</v>
      </c>
      <c r="S5970" s="2" t="s">
        <v>116</v>
      </c>
      <c r="T5970">
        <v>5</v>
      </c>
      <c r="U5970" t="s">
        <v>28</v>
      </c>
      <c r="V5970" t="s">
        <v>28</v>
      </c>
      <c r="W5970">
        <v>36</v>
      </c>
      <c r="X5970" s="23">
        <v>0</v>
      </c>
      <c r="Y5970" s="23">
        <v>0</v>
      </c>
    </row>
    <row r="5971" spans="1:28" x14ac:dyDescent="0.2">
      <c r="A5971" t="s">
        <v>742</v>
      </c>
      <c r="B5971">
        <v>2020</v>
      </c>
      <c r="C5971" t="s">
        <v>826</v>
      </c>
      <c r="D5971" t="s">
        <v>824</v>
      </c>
      <c r="E5971" t="s">
        <v>660</v>
      </c>
      <c r="F5971" t="s">
        <v>662</v>
      </c>
      <c r="G5971">
        <v>41.744605</v>
      </c>
      <c r="H5971">
        <v>140.76273900000001</v>
      </c>
      <c r="I5971" t="s">
        <v>767</v>
      </c>
      <c r="J5971" s="2" t="s">
        <v>7</v>
      </c>
      <c r="K5971" t="s">
        <v>661</v>
      </c>
      <c r="L5971" t="s">
        <v>143</v>
      </c>
      <c r="M5971" t="s">
        <v>726</v>
      </c>
      <c r="N5971" t="s">
        <v>85</v>
      </c>
      <c r="O5971" t="s">
        <v>84</v>
      </c>
      <c r="Q5971">
        <v>7</v>
      </c>
      <c r="R5971" t="s">
        <v>213</v>
      </c>
      <c r="S5971" s="2" t="s">
        <v>7</v>
      </c>
      <c r="T5971">
        <v>5</v>
      </c>
      <c r="U5971" t="s">
        <v>28</v>
      </c>
      <c r="V5971" t="s">
        <v>28</v>
      </c>
      <c r="W5971">
        <v>16</v>
      </c>
      <c r="X5971" s="23">
        <v>0.62470000000000003</v>
      </c>
      <c r="Y5971" s="23">
        <v>1.4771932845772093E-2</v>
      </c>
    </row>
    <row r="5972" spans="1:28" x14ac:dyDescent="0.2">
      <c r="A5972" t="s">
        <v>742</v>
      </c>
      <c r="B5972">
        <v>2020</v>
      </c>
      <c r="C5972" t="s">
        <v>826</v>
      </c>
      <c r="D5972" t="s">
        <v>824</v>
      </c>
      <c r="E5972" t="s">
        <v>660</v>
      </c>
      <c r="F5972" t="s">
        <v>662</v>
      </c>
      <c r="G5972">
        <v>41.744605</v>
      </c>
      <c r="H5972">
        <v>140.76273900000001</v>
      </c>
      <c r="I5972" t="s">
        <v>767</v>
      </c>
      <c r="J5972" s="2" t="s">
        <v>14</v>
      </c>
      <c r="K5972" t="s">
        <v>661</v>
      </c>
      <c r="L5972" t="s">
        <v>143</v>
      </c>
      <c r="M5972" t="s">
        <v>726</v>
      </c>
      <c r="N5972" t="s">
        <v>85</v>
      </c>
      <c r="O5972" t="s">
        <v>84</v>
      </c>
      <c r="Q5972">
        <v>7</v>
      </c>
      <c r="R5972" t="s">
        <v>213</v>
      </c>
      <c r="S5972" s="2" t="s">
        <v>9</v>
      </c>
      <c r="T5972">
        <v>5</v>
      </c>
      <c r="U5972" t="s">
        <v>28</v>
      </c>
      <c r="V5972" t="s">
        <v>28</v>
      </c>
      <c r="W5972">
        <v>20</v>
      </c>
      <c r="X5972" s="23">
        <v>0.62050000000000005</v>
      </c>
      <c r="Y5972" s="23">
        <v>3.7731286752508225E-2</v>
      </c>
    </row>
    <row r="5973" spans="1:28" x14ac:dyDescent="0.2">
      <c r="A5973" t="s">
        <v>742</v>
      </c>
      <c r="B5973">
        <v>2020</v>
      </c>
      <c r="C5973" t="s">
        <v>826</v>
      </c>
      <c r="D5973" t="s">
        <v>824</v>
      </c>
      <c r="E5973" t="s">
        <v>660</v>
      </c>
      <c r="F5973" t="s">
        <v>662</v>
      </c>
      <c r="G5973">
        <v>41.744605</v>
      </c>
      <c r="H5973">
        <v>140.76273900000001</v>
      </c>
      <c r="I5973" t="s">
        <v>767</v>
      </c>
      <c r="J5973" s="2" t="s">
        <v>14</v>
      </c>
      <c r="K5973" t="s">
        <v>661</v>
      </c>
      <c r="L5973" t="s">
        <v>143</v>
      </c>
      <c r="M5973" t="s">
        <v>726</v>
      </c>
      <c r="N5973" t="s">
        <v>85</v>
      </c>
      <c r="O5973" t="s">
        <v>84</v>
      </c>
      <c r="Q5973">
        <v>7</v>
      </c>
      <c r="R5973" t="s">
        <v>213</v>
      </c>
      <c r="S5973" s="2" t="s">
        <v>27</v>
      </c>
      <c r="T5973">
        <v>5</v>
      </c>
      <c r="U5973" t="s">
        <v>28</v>
      </c>
      <c r="V5973" t="s">
        <v>28</v>
      </c>
      <c r="W5973">
        <v>22</v>
      </c>
      <c r="X5973" s="23">
        <v>0.65560000000000007</v>
      </c>
      <c r="Y5973" s="23">
        <v>1.4947909552843851E-2</v>
      </c>
    </row>
    <row r="5974" spans="1:28" x14ac:dyDescent="0.2">
      <c r="A5974" t="s">
        <v>742</v>
      </c>
      <c r="B5974">
        <v>2020</v>
      </c>
      <c r="C5974" t="s">
        <v>826</v>
      </c>
      <c r="D5974" t="s">
        <v>824</v>
      </c>
      <c r="E5974" t="s">
        <v>660</v>
      </c>
      <c r="F5974" t="s">
        <v>662</v>
      </c>
      <c r="G5974">
        <v>41.744605</v>
      </c>
      <c r="H5974">
        <v>140.76273900000001</v>
      </c>
      <c r="I5974" t="s">
        <v>767</v>
      </c>
      <c r="J5974" s="2" t="s">
        <v>14</v>
      </c>
      <c r="K5974" t="s">
        <v>661</v>
      </c>
      <c r="L5974" t="s">
        <v>143</v>
      </c>
      <c r="M5974" t="s">
        <v>726</v>
      </c>
      <c r="N5974" t="s">
        <v>85</v>
      </c>
      <c r="O5974" t="s">
        <v>84</v>
      </c>
      <c r="Q5974">
        <v>7</v>
      </c>
      <c r="R5974" t="s">
        <v>213</v>
      </c>
      <c r="S5974" s="2" t="s">
        <v>13</v>
      </c>
      <c r="T5974">
        <v>5</v>
      </c>
      <c r="U5974" t="s">
        <v>28</v>
      </c>
      <c r="V5974" t="s">
        <v>28</v>
      </c>
      <c r="W5974">
        <v>24</v>
      </c>
      <c r="X5974" s="23">
        <v>0.30869999999999997</v>
      </c>
      <c r="Y5974" s="23">
        <v>0.30887830937118266</v>
      </c>
    </row>
    <row r="5975" spans="1:28" x14ac:dyDescent="0.2">
      <c r="A5975" t="s">
        <v>742</v>
      </c>
      <c r="B5975">
        <v>2020</v>
      </c>
      <c r="C5975" t="s">
        <v>826</v>
      </c>
      <c r="D5975" t="s">
        <v>824</v>
      </c>
      <c r="E5975" t="s">
        <v>660</v>
      </c>
      <c r="F5975" t="s">
        <v>662</v>
      </c>
      <c r="G5975">
        <v>41.744605</v>
      </c>
      <c r="H5975">
        <v>140.76273900000001</v>
      </c>
      <c r="I5975" t="s">
        <v>767</v>
      </c>
      <c r="J5975" s="2" t="s">
        <v>14</v>
      </c>
      <c r="K5975" t="s">
        <v>661</v>
      </c>
      <c r="L5975" t="s">
        <v>143</v>
      </c>
      <c r="M5975" t="s">
        <v>726</v>
      </c>
      <c r="N5975" t="s">
        <v>85</v>
      </c>
      <c r="O5975" t="s">
        <v>84</v>
      </c>
      <c r="Q5975">
        <v>7</v>
      </c>
      <c r="R5975" t="s">
        <v>213</v>
      </c>
      <c r="S5975" s="2" t="s">
        <v>15</v>
      </c>
      <c r="T5975">
        <v>5</v>
      </c>
      <c r="U5975" t="s">
        <v>28</v>
      </c>
      <c r="V5975" t="s">
        <v>28</v>
      </c>
      <c r="W5975">
        <v>28</v>
      </c>
      <c r="X5975" s="23">
        <v>0.18360000000000001</v>
      </c>
      <c r="Y5975" s="23">
        <v>0.10917618787995848</v>
      </c>
    </row>
    <row r="5976" spans="1:28" x14ac:dyDescent="0.2">
      <c r="A5976" t="s">
        <v>742</v>
      </c>
      <c r="B5976">
        <v>2020</v>
      </c>
      <c r="C5976" t="s">
        <v>826</v>
      </c>
      <c r="D5976" t="s">
        <v>824</v>
      </c>
      <c r="E5976" t="s">
        <v>660</v>
      </c>
      <c r="F5976" t="s">
        <v>662</v>
      </c>
      <c r="G5976">
        <v>41.744605</v>
      </c>
      <c r="H5976">
        <v>140.76273900000001</v>
      </c>
      <c r="I5976" t="s">
        <v>767</v>
      </c>
      <c r="J5976" s="2" t="s">
        <v>14</v>
      </c>
      <c r="K5976" t="s">
        <v>661</v>
      </c>
      <c r="L5976" t="s">
        <v>143</v>
      </c>
      <c r="M5976" t="s">
        <v>726</v>
      </c>
      <c r="N5976" t="s">
        <v>85</v>
      </c>
      <c r="O5976" t="s">
        <v>84</v>
      </c>
      <c r="Q5976">
        <v>7</v>
      </c>
      <c r="R5976" t="s">
        <v>213</v>
      </c>
      <c r="S5976" s="2" t="s">
        <v>37</v>
      </c>
      <c r="T5976">
        <v>5</v>
      </c>
      <c r="U5976" t="s">
        <v>28</v>
      </c>
      <c r="V5976" t="s">
        <v>28</v>
      </c>
      <c r="W5976">
        <v>32</v>
      </c>
      <c r="X5976" s="23">
        <v>0</v>
      </c>
      <c r="Y5976" s="23">
        <v>0</v>
      </c>
    </row>
    <row r="5977" spans="1:28" x14ac:dyDescent="0.2">
      <c r="A5977" t="s">
        <v>742</v>
      </c>
      <c r="B5977">
        <v>2020</v>
      </c>
      <c r="C5977" t="s">
        <v>826</v>
      </c>
      <c r="D5977" t="s">
        <v>824</v>
      </c>
      <c r="E5977" t="s">
        <v>660</v>
      </c>
      <c r="F5977" t="s">
        <v>662</v>
      </c>
      <c r="G5977">
        <v>41.744605</v>
      </c>
      <c r="H5977">
        <v>140.76273900000001</v>
      </c>
      <c r="I5977" t="s">
        <v>767</v>
      </c>
      <c r="J5977" s="2" t="s">
        <v>14</v>
      </c>
      <c r="K5977" t="s">
        <v>661</v>
      </c>
      <c r="L5977" t="s">
        <v>143</v>
      </c>
      <c r="M5977" t="s">
        <v>726</v>
      </c>
      <c r="N5977" t="s">
        <v>85</v>
      </c>
      <c r="O5977" t="s">
        <v>84</v>
      </c>
      <c r="Q5977">
        <v>7</v>
      </c>
      <c r="R5977" t="s">
        <v>213</v>
      </c>
      <c r="S5977" s="2" t="s">
        <v>116</v>
      </c>
      <c r="T5977">
        <v>5</v>
      </c>
      <c r="U5977" t="s">
        <v>28</v>
      </c>
      <c r="V5977" t="s">
        <v>28</v>
      </c>
      <c r="W5977">
        <v>36</v>
      </c>
      <c r="X5977" s="23">
        <v>0</v>
      </c>
      <c r="Y5977" s="23">
        <v>0</v>
      </c>
    </row>
    <row r="5978" spans="1:28" x14ac:dyDescent="0.2">
      <c r="A5978" t="s">
        <v>666</v>
      </c>
      <c r="B5978">
        <v>2021</v>
      </c>
      <c r="C5978" t="s">
        <v>811</v>
      </c>
      <c r="D5978" t="s">
        <v>818</v>
      </c>
      <c r="E5978" t="s">
        <v>372</v>
      </c>
      <c r="F5978" t="s">
        <v>667</v>
      </c>
      <c r="G5978">
        <v>-29.3</v>
      </c>
      <c r="H5978">
        <v>-71.816666999999995</v>
      </c>
      <c r="I5978" t="s">
        <v>766</v>
      </c>
      <c r="J5978" s="2" t="s">
        <v>7</v>
      </c>
      <c r="K5978" t="s">
        <v>144</v>
      </c>
      <c r="L5978" t="s">
        <v>144</v>
      </c>
      <c r="M5978" t="s">
        <v>726</v>
      </c>
      <c r="N5978" t="s">
        <v>85</v>
      </c>
      <c r="O5978" t="s">
        <v>84</v>
      </c>
      <c r="Q5978">
        <v>3</v>
      </c>
      <c r="R5978" t="s">
        <v>214</v>
      </c>
      <c r="S5978" s="2" t="s">
        <v>7</v>
      </c>
      <c r="T5978">
        <v>4</v>
      </c>
      <c r="U5978">
        <v>7.87</v>
      </c>
      <c r="V5978">
        <v>428.97</v>
      </c>
      <c r="W5978">
        <v>15.24</v>
      </c>
      <c r="X5978" s="21">
        <v>0.64600000000000002</v>
      </c>
      <c r="Y5978" s="21">
        <v>3.2599999999999997E-2</v>
      </c>
      <c r="AA5978" s="6"/>
      <c r="AB5978" s="6"/>
    </row>
    <row r="5979" spans="1:28" x14ac:dyDescent="0.2">
      <c r="A5979" t="s">
        <v>666</v>
      </c>
      <c r="B5979">
        <v>2021</v>
      </c>
      <c r="C5979" t="s">
        <v>811</v>
      </c>
      <c r="D5979" t="s">
        <v>818</v>
      </c>
      <c r="E5979" t="s">
        <v>372</v>
      </c>
      <c r="F5979" t="s">
        <v>667</v>
      </c>
      <c r="G5979">
        <v>-29.3</v>
      </c>
      <c r="H5979">
        <v>-71.816666999999995</v>
      </c>
      <c r="I5979" t="s">
        <v>766</v>
      </c>
      <c r="J5979" s="2" t="s">
        <v>5</v>
      </c>
      <c r="K5979" t="s">
        <v>144</v>
      </c>
      <c r="L5979" t="s">
        <v>144</v>
      </c>
      <c r="M5979" t="s">
        <v>726</v>
      </c>
      <c r="N5979" t="s">
        <v>85</v>
      </c>
      <c r="O5979" t="s">
        <v>84</v>
      </c>
      <c r="Q5979">
        <v>3</v>
      </c>
      <c r="R5979" t="s">
        <v>214</v>
      </c>
      <c r="S5979" s="2" t="s">
        <v>9</v>
      </c>
      <c r="T5979">
        <v>4</v>
      </c>
      <c r="U5979">
        <v>7.52</v>
      </c>
      <c r="V5979">
        <v>1081.78</v>
      </c>
      <c r="W5979" t="s">
        <v>28</v>
      </c>
      <c r="X5979" s="21">
        <v>0.65200000000000002</v>
      </c>
      <c r="Y5979" s="21">
        <v>4.6100000000000002E-2</v>
      </c>
      <c r="AA5979" s="6"/>
      <c r="AB5979" s="6"/>
    </row>
    <row r="5980" spans="1:28" x14ac:dyDescent="0.2">
      <c r="A5980" t="s">
        <v>666</v>
      </c>
      <c r="B5980">
        <v>2021</v>
      </c>
      <c r="C5980" t="s">
        <v>811</v>
      </c>
      <c r="D5980" t="s">
        <v>818</v>
      </c>
      <c r="E5980" t="s">
        <v>372</v>
      </c>
      <c r="F5980" t="s">
        <v>667</v>
      </c>
      <c r="G5980">
        <v>-29.3</v>
      </c>
      <c r="H5980">
        <v>-71.816666999999995</v>
      </c>
      <c r="I5980" t="s">
        <v>766</v>
      </c>
      <c r="J5980" s="2" t="s">
        <v>14</v>
      </c>
      <c r="K5980" t="s">
        <v>144</v>
      </c>
      <c r="L5980" t="s">
        <v>144</v>
      </c>
      <c r="M5980" t="s">
        <v>726</v>
      </c>
      <c r="N5980" t="s">
        <v>85</v>
      </c>
      <c r="O5980" t="s">
        <v>84</v>
      </c>
      <c r="Q5980">
        <v>3</v>
      </c>
      <c r="R5980" t="s">
        <v>214</v>
      </c>
      <c r="S5980" s="2" t="s">
        <v>27</v>
      </c>
      <c r="T5980">
        <v>4</v>
      </c>
      <c r="U5980" t="s">
        <v>28</v>
      </c>
      <c r="V5980" t="s">
        <v>28</v>
      </c>
      <c r="W5980">
        <v>19.09</v>
      </c>
      <c r="X5980" s="21">
        <v>0.58399999999999996</v>
      </c>
      <c r="Y5980" s="21">
        <v>5.8599999999999999E-2</v>
      </c>
      <c r="AA5980" s="6"/>
      <c r="AB5980" s="6"/>
    </row>
    <row r="5981" spans="1:28" x14ac:dyDescent="0.2">
      <c r="A5981" t="s">
        <v>666</v>
      </c>
      <c r="B5981">
        <v>2021</v>
      </c>
      <c r="C5981" t="s">
        <v>811</v>
      </c>
      <c r="D5981" t="s">
        <v>818</v>
      </c>
      <c r="E5981" t="s">
        <v>372</v>
      </c>
      <c r="F5981" t="s">
        <v>667</v>
      </c>
      <c r="G5981">
        <v>-29.3</v>
      </c>
      <c r="H5981">
        <v>-71.816666999999995</v>
      </c>
      <c r="I5981" t="s">
        <v>766</v>
      </c>
      <c r="J5981" s="2" t="s">
        <v>16</v>
      </c>
      <c r="K5981" t="s">
        <v>144</v>
      </c>
      <c r="L5981" t="s">
        <v>144</v>
      </c>
      <c r="M5981" t="s">
        <v>726</v>
      </c>
      <c r="N5981" t="s">
        <v>85</v>
      </c>
      <c r="O5981" t="s">
        <v>84</v>
      </c>
      <c r="Q5981">
        <v>3</v>
      </c>
      <c r="R5981" t="s">
        <v>214</v>
      </c>
      <c r="S5981" s="2" t="s">
        <v>13</v>
      </c>
      <c r="T5981">
        <v>4</v>
      </c>
      <c r="U5981">
        <v>7.55</v>
      </c>
      <c r="V5981">
        <v>1186.81</v>
      </c>
      <c r="W5981">
        <v>19.350000000000001</v>
      </c>
      <c r="X5981" s="21">
        <v>0.56999999999999995</v>
      </c>
      <c r="Y5981" s="21">
        <v>5.3900000000000003E-2</v>
      </c>
      <c r="AA5981" s="6"/>
      <c r="AB5981" s="6"/>
    </row>
    <row r="5982" spans="1:28" x14ac:dyDescent="0.2">
      <c r="A5982" t="s">
        <v>666</v>
      </c>
      <c r="B5982">
        <v>2021</v>
      </c>
      <c r="C5982" t="s">
        <v>811</v>
      </c>
      <c r="D5982" t="s">
        <v>818</v>
      </c>
      <c r="E5982" t="s">
        <v>372</v>
      </c>
      <c r="F5982" t="s">
        <v>667</v>
      </c>
      <c r="G5982">
        <v>-29.3</v>
      </c>
      <c r="H5982">
        <v>-71.816666999999995</v>
      </c>
      <c r="I5982" t="s">
        <v>766</v>
      </c>
      <c r="J5982" s="2" t="s">
        <v>7</v>
      </c>
      <c r="K5982" t="s">
        <v>144</v>
      </c>
      <c r="L5982" t="s">
        <v>144</v>
      </c>
      <c r="M5982" t="s">
        <v>726</v>
      </c>
      <c r="N5982" t="s">
        <v>85</v>
      </c>
      <c r="O5982" t="s">
        <v>84</v>
      </c>
      <c r="Q5982">
        <v>7</v>
      </c>
      <c r="R5982" t="s">
        <v>213</v>
      </c>
      <c r="S5982" s="2" t="s">
        <v>7</v>
      </c>
      <c r="T5982">
        <v>4</v>
      </c>
      <c r="U5982">
        <v>7.87</v>
      </c>
      <c r="V5982">
        <v>428.97</v>
      </c>
      <c r="W5982">
        <v>15.24</v>
      </c>
      <c r="X5982" s="21">
        <v>0.67900000000000005</v>
      </c>
      <c r="Y5982" s="21">
        <v>2.0299999999999999E-2</v>
      </c>
      <c r="AA5982" s="6"/>
      <c r="AB5982" s="6"/>
    </row>
    <row r="5983" spans="1:28" x14ac:dyDescent="0.2">
      <c r="A5983" t="s">
        <v>666</v>
      </c>
      <c r="B5983">
        <v>2021</v>
      </c>
      <c r="C5983" t="s">
        <v>811</v>
      </c>
      <c r="D5983" t="s">
        <v>818</v>
      </c>
      <c r="E5983" t="s">
        <v>372</v>
      </c>
      <c r="F5983" t="s">
        <v>667</v>
      </c>
      <c r="G5983">
        <v>-29.3</v>
      </c>
      <c r="H5983">
        <v>-71.816666999999995</v>
      </c>
      <c r="I5983" t="s">
        <v>766</v>
      </c>
      <c r="J5983" s="2" t="s">
        <v>5</v>
      </c>
      <c r="K5983" t="s">
        <v>144</v>
      </c>
      <c r="L5983" t="s">
        <v>144</v>
      </c>
      <c r="M5983" t="s">
        <v>726</v>
      </c>
      <c r="N5983" t="s">
        <v>85</v>
      </c>
      <c r="O5983" t="s">
        <v>84</v>
      </c>
      <c r="Q5983">
        <v>7</v>
      </c>
      <c r="R5983" t="s">
        <v>213</v>
      </c>
      <c r="S5983" s="2" t="s">
        <v>9</v>
      </c>
      <c r="T5983">
        <v>4</v>
      </c>
      <c r="U5983">
        <v>7.52</v>
      </c>
      <c r="V5983">
        <v>1081.78</v>
      </c>
      <c r="W5983" t="s">
        <v>28</v>
      </c>
      <c r="X5983" s="21">
        <v>0.66200000000000003</v>
      </c>
      <c r="Y5983" s="21">
        <v>2.2700000000000001E-2</v>
      </c>
      <c r="AA5983" s="6"/>
      <c r="AB5983" s="6"/>
    </row>
    <row r="5984" spans="1:28" x14ac:dyDescent="0.2">
      <c r="A5984" t="s">
        <v>666</v>
      </c>
      <c r="B5984">
        <v>2021</v>
      </c>
      <c r="C5984" t="s">
        <v>811</v>
      </c>
      <c r="D5984" t="s">
        <v>818</v>
      </c>
      <c r="E5984" t="s">
        <v>372</v>
      </c>
      <c r="F5984" t="s">
        <v>667</v>
      </c>
      <c r="G5984">
        <v>-29.3</v>
      </c>
      <c r="H5984">
        <v>-71.816666999999995</v>
      </c>
      <c r="I5984" t="s">
        <v>766</v>
      </c>
      <c r="J5984" s="2" t="s">
        <v>14</v>
      </c>
      <c r="K5984" t="s">
        <v>144</v>
      </c>
      <c r="L5984" t="s">
        <v>144</v>
      </c>
      <c r="M5984" t="s">
        <v>726</v>
      </c>
      <c r="N5984" t="s">
        <v>85</v>
      </c>
      <c r="O5984" t="s">
        <v>84</v>
      </c>
      <c r="Q5984">
        <v>7</v>
      </c>
      <c r="R5984" t="s">
        <v>213</v>
      </c>
      <c r="S5984" s="2" t="s">
        <v>27</v>
      </c>
      <c r="T5984">
        <v>4</v>
      </c>
      <c r="U5984" t="s">
        <v>28</v>
      </c>
      <c r="V5984" t="s">
        <v>28</v>
      </c>
      <c r="W5984">
        <v>19.09</v>
      </c>
      <c r="X5984" s="21">
        <v>0.57199999999999995</v>
      </c>
      <c r="Y5984" s="21">
        <v>6.4399999999999999E-2</v>
      </c>
      <c r="AA5984" s="6"/>
      <c r="AB5984" s="6"/>
    </row>
    <row r="5985" spans="1:28" x14ac:dyDescent="0.2">
      <c r="A5985" t="s">
        <v>666</v>
      </c>
      <c r="B5985">
        <v>2021</v>
      </c>
      <c r="C5985" t="s">
        <v>811</v>
      </c>
      <c r="D5985" t="s">
        <v>818</v>
      </c>
      <c r="E5985" t="s">
        <v>372</v>
      </c>
      <c r="F5985" t="s">
        <v>667</v>
      </c>
      <c r="G5985">
        <v>-29.3</v>
      </c>
      <c r="H5985">
        <v>-71.816666999999995</v>
      </c>
      <c r="I5985" t="s">
        <v>766</v>
      </c>
      <c r="J5985" s="2" t="s">
        <v>16</v>
      </c>
      <c r="K5985" t="s">
        <v>144</v>
      </c>
      <c r="L5985" t="s">
        <v>144</v>
      </c>
      <c r="M5985" t="s">
        <v>726</v>
      </c>
      <c r="N5985" t="s">
        <v>85</v>
      </c>
      <c r="O5985" t="s">
        <v>84</v>
      </c>
      <c r="Q5985">
        <v>7</v>
      </c>
      <c r="R5985" t="s">
        <v>213</v>
      </c>
      <c r="S5985" s="2" t="s">
        <v>13</v>
      </c>
      <c r="T5985">
        <v>4</v>
      </c>
      <c r="U5985">
        <v>7.55</v>
      </c>
      <c r="V5985">
        <v>1186.81</v>
      </c>
      <c r="W5985">
        <v>19.350000000000001</v>
      </c>
      <c r="X5985" s="21">
        <v>0.63700000000000001</v>
      </c>
      <c r="Y5985" s="21">
        <v>2.7799999999999998E-2</v>
      </c>
      <c r="AA5985" s="6"/>
      <c r="AB5985" s="6"/>
    </row>
    <row r="5986" spans="1:28" x14ac:dyDescent="0.2">
      <c r="A5986" t="s">
        <v>666</v>
      </c>
      <c r="B5986">
        <v>2021</v>
      </c>
      <c r="C5986" t="s">
        <v>811</v>
      </c>
      <c r="D5986" t="s">
        <v>818</v>
      </c>
      <c r="E5986" t="s">
        <v>372</v>
      </c>
      <c r="F5986" t="s">
        <v>667</v>
      </c>
      <c r="G5986">
        <v>-29.3</v>
      </c>
      <c r="H5986">
        <v>-71.816666999999995</v>
      </c>
      <c r="I5986" t="s">
        <v>766</v>
      </c>
      <c r="J5986" s="2" t="s">
        <v>7</v>
      </c>
      <c r="K5986" t="s">
        <v>300</v>
      </c>
      <c r="L5986" t="s">
        <v>300</v>
      </c>
      <c r="M5986" t="s">
        <v>727</v>
      </c>
      <c r="N5986" t="s">
        <v>85</v>
      </c>
      <c r="O5986" t="s">
        <v>81</v>
      </c>
      <c r="P5986" t="s">
        <v>74</v>
      </c>
      <c r="Q5986">
        <v>3</v>
      </c>
      <c r="R5986" t="s">
        <v>214</v>
      </c>
      <c r="S5986" s="2" t="s">
        <v>7</v>
      </c>
      <c r="T5986">
        <v>4</v>
      </c>
      <c r="U5986">
        <v>7.87</v>
      </c>
      <c r="V5986">
        <v>428.97</v>
      </c>
      <c r="W5986">
        <v>15.24</v>
      </c>
      <c r="X5986">
        <v>256</v>
      </c>
      <c r="Y5986">
        <v>82.5</v>
      </c>
    </row>
    <row r="5987" spans="1:28" x14ac:dyDescent="0.2">
      <c r="A5987" t="s">
        <v>666</v>
      </c>
      <c r="B5987">
        <v>2021</v>
      </c>
      <c r="C5987" t="s">
        <v>811</v>
      </c>
      <c r="D5987" t="s">
        <v>818</v>
      </c>
      <c r="E5987" t="s">
        <v>372</v>
      </c>
      <c r="F5987" t="s">
        <v>667</v>
      </c>
      <c r="G5987">
        <v>-29.3</v>
      </c>
      <c r="H5987">
        <v>-71.816666999999995</v>
      </c>
      <c r="I5987" t="s">
        <v>766</v>
      </c>
      <c r="J5987" s="2" t="s">
        <v>5</v>
      </c>
      <c r="K5987" t="s">
        <v>300</v>
      </c>
      <c r="L5987" t="s">
        <v>300</v>
      </c>
      <c r="M5987" t="s">
        <v>727</v>
      </c>
      <c r="N5987" t="s">
        <v>85</v>
      </c>
      <c r="O5987" t="s">
        <v>81</v>
      </c>
      <c r="P5987" t="s">
        <v>421</v>
      </c>
      <c r="Q5987">
        <v>3</v>
      </c>
      <c r="R5987" t="s">
        <v>214</v>
      </c>
      <c r="S5987" s="2" t="s">
        <v>9</v>
      </c>
      <c r="T5987">
        <v>4</v>
      </c>
      <c r="U5987">
        <v>7.52</v>
      </c>
      <c r="V5987">
        <v>1081.78</v>
      </c>
      <c r="W5987" t="s">
        <v>28</v>
      </c>
      <c r="X5987">
        <v>185</v>
      </c>
      <c r="Y5987">
        <v>36</v>
      </c>
    </row>
    <row r="5988" spans="1:28" x14ac:dyDescent="0.2">
      <c r="A5988" t="s">
        <v>666</v>
      </c>
      <c r="B5988">
        <v>2021</v>
      </c>
      <c r="C5988" t="s">
        <v>811</v>
      </c>
      <c r="D5988" t="s">
        <v>818</v>
      </c>
      <c r="E5988" t="s">
        <v>372</v>
      </c>
      <c r="F5988" t="s">
        <v>667</v>
      </c>
      <c r="G5988">
        <v>-29.3</v>
      </c>
      <c r="H5988">
        <v>-71.816666999999995</v>
      </c>
      <c r="I5988" t="s">
        <v>766</v>
      </c>
      <c r="J5988" s="2" t="s">
        <v>14</v>
      </c>
      <c r="K5988" t="s">
        <v>300</v>
      </c>
      <c r="L5988" t="s">
        <v>300</v>
      </c>
      <c r="M5988" t="s">
        <v>727</v>
      </c>
      <c r="N5988" t="s">
        <v>85</v>
      </c>
      <c r="O5988" t="s">
        <v>81</v>
      </c>
      <c r="P5988" t="s">
        <v>668</v>
      </c>
      <c r="Q5988">
        <v>3</v>
      </c>
      <c r="R5988" t="s">
        <v>214</v>
      </c>
      <c r="S5988" s="2" t="s">
        <v>27</v>
      </c>
      <c r="T5988">
        <v>4</v>
      </c>
      <c r="U5988" t="s">
        <v>28</v>
      </c>
      <c r="V5988" t="s">
        <v>28</v>
      </c>
      <c r="W5988">
        <v>19.09</v>
      </c>
      <c r="X5988">
        <v>260</v>
      </c>
      <c r="Y5988">
        <v>17.5</v>
      </c>
    </row>
    <row r="5989" spans="1:28" x14ac:dyDescent="0.2">
      <c r="A5989" t="s">
        <v>666</v>
      </c>
      <c r="B5989">
        <v>2021</v>
      </c>
      <c r="C5989" t="s">
        <v>811</v>
      </c>
      <c r="D5989" t="s">
        <v>818</v>
      </c>
      <c r="E5989" t="s">
        <v>372</v>
      </c>
      <c r="F5989" t="s">
        <v>667</v>
      </c>
      <c r="G5989">
        <v>-29.3</v>
      </c>
      <c r="H5989">
        <v>-71.816666999999995</v>
      </c>
      <c r="I5989" t="s">
        <v>766</v>
      </c>
      <c r="J5989" s="2" t="s">
        <v>16</v>
      </c>
      <c r="K5989" t="s">
        <v>300</v>
      </c>
      <c r="L5989" t="s">
        <v>300</v>
      </c>
      <c r="M5989" t="s">
        <v>727</v>
      </c>
      <c r="N5989" t="s">
        <v>85</v>
      </c>
      <c r="O5989" t="s">
        <v>81</v>
      </c>
      <c r="P5989" t="s">
        <v>669</v>
      </c>
      <c r="Q5989">
        <v>3</v>
      </c>
      <c r="R5989" t="s">
        <v>214</v>
      </c>
      <c r="S5989" s="2" t="s">
        <v>13</v>
      </c>
      <c r="T5989">
        <v>4</v>
      </c>
      <c r="U5989">
        <v>7.55</v>
      </c>
      <c r="V5989">
        <v>1186.81</v>
      </c>
      <c r="W5989">
        <v>19.350000000000001</v>
      </c>
      <c r="X5989">
        <v>183</v>
      </c>
      <c r="Y5989">
        <v>61.9</v>
      </c>
    </row>
    <row r="5990" spans="1:28" x14ac:dyDescent="0.2">
      <c r="A5990" t="s">
        <v>666</v>
      </c>
      <c r="B5990">
        <v>2021</v>
      </c>
      <c r="C5990" t="s">
        <v>811</v>
      </c>
      <c r="D5990" t="s">
        <v>818</v>
      </c>
      <c r="E5990" t="s">
        <v>372</v>
      </c>
      <c r="F5990" t="s">
        <v>667</v>
      </c>
      <c r="G5990">
        <v>-29.3</v>
      </c>
      <c r="H5990">
        <v>-71.816666999999995</v>
      </c>
      <c r="I5990" t="s">
        <v>766</v>
      </c>
      <c r="J5990" s="2" t="s">
        <v>7</v>
      </c>
      <c r="K5990" t="s">
        <v>300</v>
      </c>
      <c r="L5990" t="s">
        <v>300</v>
      </c>
      <c r="M5990" t="s">
        <v>727</v>
      </c>
      <c r="N5990" t="s">
        <v>85</v>
      </c>
      <c r="O5990" t="s">
        <v>81</v>
      </c>
      <c r="P5990" t="s">
        <v>670</v>
      </c>
      <c r="Q5990">
        <v>7</v>
      </c>
      <c r="R5990" t="s">
        <v>213</v>
      </c>
      <c r="S5990" s="2" t="s">
        <v>7</v>
      </c>
      <c r="T5990">
        <v>4</v>
      </c>
      <c r="U5990">
        <v>7.87</v>
      </c>
      <c r="V5990">
        <v>428.97</v>
      </c>
      <c r="W5990">
        <v>15.24</v>
      </c>
      <c r="X5990">
        <v>120</v>
      </c>
      <c r="Y5990">
        <v>38.299999999999997</v>
      </c>
    </row>
    <row r="5991" spans="1:28" x14ac:dyDescent="0.2">
      <c r="A5991" t="s">
        <v>666</v>
      </c>
      <c r="B5991">
        <v>2021</v>
      </c>
      <c r="C5991" t="s">
        <v>811</v>
      </c>
      <c r="D5991" t="s">
        <v>818</v>
      </c>
      <c r="E5991" t="s">
        <v>372</v>
      </c>
      <c r="F5991" t="s">
        <v>667</v>
      </c>
      <c r="G5991">
        <v>-29.3</v>
      </c>
      <c r="H5991">
        <v>-71.816666999999995</v>
      </c>
      <c r="I5991" t="s">
        <v>766</v>
      </c>
      <c r="J5991" s="2" t="s">
        <v>5</v>
      </c>
      <c r="K5991" t="s">
        <v>300</v>
      </c>
      <c r="L5991" t="s">
        <v>300</v>
      </c>
      <c r="M5991" t="s">
        <v>727</v>
      </c>
      <c r="N5991" t="s">
        <v>85</v>
      </c>
      <c r="O5991" t="s">
        <v>81</v>
      </c>
      <c r="P5991" t="s">
        <v>671</v>
      </c>
      <c r="Q5991">
        <v>7</v>
      </c>
      <c r="R5991" t="s">
        <v>213</v>
      </c>
      <c r="S5991" s="2" t="s">
        <v>9</v>
      </c>
      <c r="T5991">
        <v>4</v>
      </c>
      <c r="U5991">
        <v>7.52</v>
      </c>
      <c r="V5991">
        <v>1081.78</v>
      </c>
      <c r="W5991" t="s">
        <v>28</v>
      </c>
      <c r="X5991">
        <v>112</v>
      </c>
      <c r="Y5991">
        <v>19.100000000000001</v>
      </c>
    </row>
    <row r="5992" spans="1:28" x14ac:dyDescent="0.2">
      <c r="A5992" t="s">
        <v>666</v>
      </c>
      <c r="B5992">
        <v>2021</v>
      </c>
      <c r="C5992" t="s">
        <v>811</v>
      </c>
      <c r="D5992" t="s">
        <v>818</v>
      </c>
      <c r="E5992" t="s">
        <v>372</v>
      </c>
      <c r="F5992" t="s">
        <v>667</v>
      </c>
      <c r="G5992">
        <v>-29.3</v>
      </c>
      <c r="H5992">
        <v>-71.816666999999995</v>
      </c>
      <c r="I5992" t="s">
        <v>766</v>
      </c>
      <c r="J5992" s="2" t="s">
        <v>14</v>
      </c>
      <c r="K5992" t="s">
        <v>300</v>
      </c>
      <c r="L5992" t="s">
        <v>300</v>
      </c>
      <c r="M5992" t="s">
        <v>727</v>
      </c>
      <c r="N5992" t="s">
        <v>85</v>
      </c>
      <c r="O5992" t="s">
        <v>81</v>
      </c>
      <c r="P5992" t="s">
        <v>672</v>
      </c>
      <c r="Q5992">
        <v>7</v>
      </c>
      <c r="R5992" t="s">
        <v>213</v>
      </c>
      <c r="S5992" s="2" t="s">
        <v>27</v>
      </c>
      <c r="T5992">
        <v>4</v>
      </c>
      <c r="U5992" t="s">
        <v>28</v>
      </c>
      <c r="V5992" t="s">
        <v>28</v>
      </c>
      <c r="W5992">
        <v>19.09</v>
      </c>
      <c r="X5992">
        <v>57.5</v>
      </c>
      <c r="Y5992">
        <v>19.2</v>
      </c>
    </row>
    <row r="5993" spans="1:28" x14ac:dyDescent="0.2">
      <c r="A5993" t="s">
        <v>666</v>
      </c>
      <c r="B5993">
        <v>2021</v>
      </c>
      <c r="C5993" t="s">
        <v>811</v>
      </c>
      <c r="D5993" t="s">
        <v>818</v>
      </c>
      <c r="E5993" t="s">
        <v>372</v>
      </c>
      <c r="F5993" t="s">
        <v>667</v>
      </c>
      <c r="G5993">
        <v>-29.3</v>
      </c>
      <c r="H5993">
        <v>-71.816666999999995</v>
      </c>
      <c r="I5993" t="s">
        <v>766</v>
      </c>
      <c r="J5993" s="2" t="s">
        <v>16</v>
      </c>
      <c r="K5993" t="s">
        <v>300</v>
      </c>
      <c r="L5993" t="s">
        <v>300</v>
      </c>
      <c r="M5993" t="s">
        <v>727</v>
      </c>
      <c r="N5993" t="s">
        <v>85</v>
      </c>
      <c r="O5993" t="s">
        <v>81</v>
      </c>
      <c r="P5993" t="s">
        <v>673</v>
      </c>
      <c r="Q5993">
        <v>7</v>
      </c>
      <c r="R5993" t="s">
        <v>213</v>
      </c>
      <c r="S5993" s="2" t="s">
        <v>13</v>
      </c>
      <c r="T5993">
        <v>4</v>
      </c>
      <c r="U5993">
        <v>7.55</v>
      </c>
      <c r="V5993">
        <v>1186.81</v>
      </c>
      <c r="W5993">
        <v>19.350000000000001</v>
      </c>
      <c r="X5993">
        <v>84.1</v>
      </c>
      <c r="Y5993">
        <v>13.5</v>
      </c>
    </row>
    <row r="5994" spans="1:28" x14ac:dyDescent="0.2">
      <c r="A5994" t="s">
        <v>666</v>
      </c>
      <c r="B5994">
        <v>2021</v>
      </c>
      <c r="C5994" t="s">
        <v>811</v>
      </c>
      <c r="D5994" t="s">
        <v>818</v>
      </c>
      <c r="E5994" t="s">
        <v>372</v>
      </c>
      <c r="F5994" t="s">
        <v>667</v>
      </c>
      <c r="G5994">
        <v>-29.3</v>
      </c>
      <c r="H5994">
        <v>-71.816666999999995</v>
      </c>
      <c r="I5994" t="s">
        <v>766</v>
      </c>
      <c r="J5994" s="2" t="s">
        <v>7</v>
      </c>
      <c r="K5994" t="s">
        <v>300</v>
      </c>
      <c r="L5994" t="s">
        <v>300</v>
      </c>
      <c r="M5994" t="s">
        <v>727</v>
      </c>
      <c r="N5994" t="s">
        <v>85</v>
      </c>
      <c r="O5994" t="s">
        <v>71</v>
      </c>
      <c r="P5994" t="s">
        <v>70</v>
      </c>
      <c r="Q5994">
        <v>2</v>
      </c>
      <c r="R5994" t="s">
        <v>213</v>
      </c>
      <c r="S5994" s="2" t="s">
        <v>7</v>
      </c>
      <c r="T5994">
        <v>4</v>
      </c>
      <c r="U5994">
        <v>7.87</v>
      </c>
      <c r="V5994">
        <v>428.97</v>
      </c>
      <c r="W5994">
        <v>15.24</v>
      </c>
      <c r="X5994">
        <v>72.3</v>
      </c>
      <c r="Y5994">
        <v>2.14</v>
      </c>
    </row>
    <row r="5995" spans="1:28" x14ac:dyDescent="0.2">
      <c r="A5995" t="s">
        <v>666</v>
      </c>
      <c r="B5995">
        <v>2021</v>
      </c>
      <c r="C5995" t="s">
        <v>811</v>
      </c>
      <c r="D5995" t="s">
        <v>818</v>
      </c>
      <c r="E5995" t="s">
        <v>372</v>
      </c>
      <c r="F5995" t="s">
        <v>667</v>
      </c>
      <c r="G5995">
        <v>-29.3</v>
      </c>
      <c r="H5995">
        <v>-71.816666999999995</v>
      </c>
      <c r="I5995" t="s">
        <v>766</v>
      </c>
      <c r="J5995" s="2" t="s">
        <v>5</v>
      </c>
      <c r="K5995" t="s">
        <v>300</v>
      </c>
      <c r="L5995" t="s">
        <v>300</v>
      </c>
      <c r="M5995" t="s">
        <v>727</v>
      </c>
      <c r="N5995" t="s">
        <v>85</v>
      </c>
      <c r="O5995" t="s">
        <v>71</v>
      </c>
      <c r="P5995" t="s">
        <v>70</v>
      </c>
      <c r="Q5995">
        <v>2</v>
      </c>
      <c r="R5995" t="s">
        <v>213</v>
      </c>
      <c r="S5995" s="2" t="s">
        <v>9</v>
      </c>
      <c r="T5995">
        <v>4</v>
      </c>
      <c r="U5995">
        <v>7.52</v>
      </c>
      <c r="V5995">
        <v>1081.78</v>
      </c>
      <c r="W5995" t="s">
        <v>28</v>
      </c>
      <c r="X5995">
        <v>73.8</v>
      </c>
      <c r="Y5995">
        <v>5.69</v>
      </c>
    </row>
    <row r="5996" spans="1:28" x14ac:dyDescent="0.2">
      <c r="A5996" t="s">
        <v>666</v>
      </c>
      <c r="B5996">
        <v>2021</v>
      </c>
      <c r="C5996" t="s">
        <v>811</v>
      </c>
      <c r="D5996" t="s">
        <v>818</v>
      </c>
      <c r="E5996" t="s">
        <v>372</v>
      </c>
      <c r="F5996" t="s">
        <v>667</v>
      </c>
      <c r="G5996">
        <v>-29.3</v>
      </c>
      <c r="H5996">
        <v>-71.816666999999995</v>
      </c>
      <c r="I5996" t="s">
        <v>766</v>
      </c>
      <c r="J5996" s="2" t="s">
        <v>14</v>
      </c>
      <c r="K5996" t="s">
        <v>300</v>
      </c>
      <c r="L5996" t="s">
        <v>300</v>
      </c>
      <c r="M5996" t="s">
        <v>727</v>
      </c>
      <c r="N5996" t="s">
        <v>85</v>
      </c>
      <c r="O5996" t="s">
        <v>71</v>
      </c>
      <c r="P5996" t="s">
        <v>70</v>
      </c>
      <c r="Q5996">
        <v>2</v>
      </c>
      <c r="R5996" t="s">
        <v>213</v>
      </c>
      <c r="S5996" s="2" t="s">
        <v>27</v>
      </c>
      <c r="T5996">
        <v>4</v>
      </c>
      <c r="U5996" t="s">
        <v>28</v>
      </c>
      <c r="V5996" t="s">
        <v>28</v>
      </c>
      <c r="W5996">
        <v>19.09</v>
      </c>
      <c r="X5996">
        <v>57.1</v>
      </c>
      <c r="Y5996">
        <v>7.64</v>
      </c>
    </row>
    <row r="5997" spans="1:28" x14ac:dyDescent="0.2">
      <c r="A5997" t="s">
        <v>666</v>
      </c>
      <c r="B5997">
        <v>2021</v>
      </c>
      <c r="C5997" t="s">
        <v>811</v>
      </c>
      <c r="D5997" t="s">
        <v>818</v>
      </c>
      <c r="E5997" t="s">
        <v>372</v>
      </c>
      <c r="F5997" t="s">
        <v>667</v>
      </c>
      <c r="G5997">
        <v>-29.3</v>
      </c>
      <c r="H5997">
        <v>-71.816666999999995</v>
      </c>
      <c r="I5997" t="s">
        <v>766</v>
      </c>
      <c r="J5997" s="2" t="s">
        <v>16</v>
      </c>
      <c r="K5997" t="s">
        <v>300</v>
      </c>
      <c r="L5997" t="s">
        <v>300</v>
      </c>
      <c r="M5997" t="s">
        <v>727</v>
      </c>
      <c r="N5997" t="s">
        <v>85</v>
      </c>
      <c r="O5997" t="s">
        <v>71</v>
      </c>
      <c r="P5997" t="s">
        <v>70</v>
      </c>
      <c r="Q5997">
        <v>2</v>
      </c>
      <c r="R5997" t="s">
        <v>213</v>
      </c>
      <c r="S5997" s="2" t="s">
        <v>13</v>
      </c>
      <c r="T5997">
        <v>4</v>
      </c>
      <c r="U5997">
        <v>7.55</v>
      </c>
      <c r="V5997">
        <v>1186.81</v>
      </c>
      <c r="W5997">
        <v>19.350000000000001</v>
      </c>
      <c r="X5997">
        <v>60.6</v>
      </c>
      <c r="Y5997">
        <v>5.0999999999999996</v>
      </c>
    </row>
    <row r="5998" spans="1:28" x14ac:dyDescent="0.2">
      <c r="A5998" t="s">
        <v>674</v>
      </c>
      <c r="B5998">
        <v>2021</v>
      </c>
      <c r="C5998" t="s">
        <v>816</v>
      </c>
      <c r="D5998" t="s">
        <v>817</v>
      </c>
      <c r="E5998" t="s">
        <v>31</v>
      </c>
      <c r="F5998" t="s">
        <v>424</v>
      </c>
      <c r="G5998">
        <v>78.966667000000001</v>
      </c>
      <c r="H5998">
        <v>11.5</v>
      </c>
      <c r="J5998" s="2" t="s">
        <v>7</v>
      </c>
      <c r="K5998" t="s">
        <v>95</v>
      </c>
      <c r="L5998" t="s">
        <v>143</v>
      </c>
      <c r="M5998" t="s">
        <v>26</v>
      </c>
      <c r="N5998" t="s">
        <v>85</v>
      </c>
      <c r="O5998" s="6" t="s">
        <v>840</v>
      </c>
      <c r="P5998" t="s">
        <v>70</v>
      </c>
      <c r="Q5998">
        <v>3</v>
      </c>
      <c r="R5998" t="s">
        <v>214</v>
      </c>
      <c r="S5998" s="2" t="s">
        <v>7</v>
      </c>
      <c r="T5998">
        <v>5</v>
      </c>
      <c r="U5998" t="s">
        <v>28</v>
      </c>
      <c r="V5998" t="s">
        <v>28</v>
      </c>
      <c r="W5998">
        <v>10</v>
      </c>
      <c r="X5998">
        <v>6.2549999999999999</v>
      </c>
      <c r="Y5998">
        <f>8.768-X5998</f>
        <v>2.5130000000000008</v>
      </c>
    </row>
    <row r="5999" spans="1:28" x14ac:dyDescent="0.2">
      <c r="A5999" t="s">
        <v>674</v>
      </c>
      <c r="B5999">
        <v>2021</v>
      </c>
      <c r="C5999" t="s">
        <v>816</v>
      </c>
      <c r="D5999" t="s">
        <v>817</v>
      </c>
      <c r="E5999" t="s">
        <v>31</v>
      </c>
      <c r="F5999" t="s">
        <v>424</v>
      </c>
      <c r="G5999">
        <v>78.966667000000001</v>
      </c>
      <c r="H5999">
        <v>11.5</v>
      </c>
      <c r="J5999" s="2" t="s">
        <v>14</v>
      </c>
      <c r="K5999" t="s">
        <v>95</v>
      </c>
      <c r="L5999" t="s">
        <v>143</v>
      </c>
      <c r="M5999" t="s">
        <v>26</v>
      </c>
      <c r="N5999" t="s">
        <v>85</v>
      </c>
      <c r="O5999" s="6" t="s">
        <v>840</v>
      </c>
      <c r="P5999" t="s">
        <v>70</v>
      </c>
      <c r="Q5999">
        <v>3</v>
      </c>
      <c r="R5999" t="s">
        <v>214</v>
      </c>
      <c r="S5999" s="2" t="s">
        <v>9</v>
      </c>
      <c r="T5999">
        <v>5</v>
      </c>
      <c r="U5999" t="s">
        <v>28</v>
      </c>
      <c r="V5999" t="s">
        <v>28</v>
      </c>
      <c r="W5999">
        <v>15</v>
      </c>
      <c r="X5999">
        <v>8.6560000000000006</v>
      </c>
      <c r="Y5999">
        <f>10.89-X5999</f>
        <v>2.234</v>
      </c>
    </row>
    <row r="6000" spans="1:28" x14ac:dyDescent="0.2">
      <c r="A6000" t="s">
        <v>674</v>
      </c>
      <c r="B6000">
        <v>2021</v>
      </c>
      <c r="C6000" t="s">
        <v>816</v>
      </c>
      <c r="D6000" t="s">
        <v>817</v>
      </c>
      <c r="E6000" t="s">
        <v>31</v>
      </c>
      <c r="F6000" t="s">
        <v>424</v>
      </c>
      <c r="G6000">
        <v>78.966667000000001</v>
      </c>
      <c r="H6000">
        <v>11.5</v>
      </c>
      <c r="J6000" s="2" t="s">
        <v>14</v>
      </c>
      <c r="K6000" t="s">
        <v>95</v>
      </c>
      <c r="L6000" t="s">
        <v>143</v>
      </c>
      <c r="M6000" t="s">
        <v>26</v>
      </c>
      <c r="N6000" t="s">
        <v>85</v>
      </c>
      <c r="O6000" s="6" t="s">
        <v>840</v>
      </c>
      <c r="P6000" t="s">
        <v>70</v>
      </c>
      <c r="Q6000">
        <v>3</v>
      </c>
      <c r="R6000" t="s">
        <v>214</v>
      </c>
      <c r="S6000" s="2" t="s">
        <v>15</v>
      </c>
      <c r="T6000">
        <v>5</v>
      </c>
      <c r="U6000" t="s">
        <v>28</v>
      </c>
      <c r="V6000" t="s">
        <v>28</v>
      </c>
      <c r="W6000">
        <v>18</v>
      </c>
      <c r="X6000">
        <v>6.3390000000000004</v>
      </c>
      <c r="Y6000">
        <f>7.009-X6000</f>
        <v>0.66999999999999993</v>
      </c>
    </row>
    <row r="6001" spans="1:25" x14ac:dyDescent="0.2">
      <c r="A6001" t="s">
        <v>674</v>
      </c>
      <c r="B6001">
        <v>2021</v>
      </c>
      <c r="C6001" t="s">
        <v>816</v>
      </c>
      <c r="D6001" t="s">
        <v>817</v>
      </c>
      <c r="E6001" t="s">
        <v>31</v>
      </c>
      <c r="F6001" t="s">
        <v>424</v>
      </c>
      <c r="G6001">
        <v>78.966667000000001</v>
      </c>
      <c r="H6001">
        <v>11.5</v>
      </c>
      <c r="J6001" s="2" t="s">
        <v>14</v>
      </c>
      <c r="K6001" t="s">
        <v>95</v>
      </c>
      <c r="L6001" t="s">
        <v>143</v>
      </c>
      <c r="M6001" t="s">
        <v>26</v>
      </c>
      <c r="N6001" t="s">
        <v>85</v>
      </c>
      <c r="O6001" s="6" t="s">
        <v>840</v>
      </c>
      <c r="P6001" t="s">
        <v>70</v>
      </c>
      <c r="Q6001">
        <v>3</v>
      </c>
      <c r="R6001" t="s">
        <v>214</v>
      </c>
      <c r="S6001" s="2" t="s">
        <v>37</v>
      </c>
      <c r="T6001">
        <v>5</v>
      </c>
      <c r="U6001" t="s">
        <v>28</v>
      </c>
      <c r="V6001" t="s">
        <v>28</v>
      </c>
      <c r="W6001">
        <v>19</v>
      </c>
      <c r="X6001">
        <v>4.3</v>
      </c>
      <c r="Y6001">
        <f>5.836-X6001</f>
        <v>1.5360000000000005</v>
      </c>
    </row>
    <row r="6002" spans="1:25" x14ac:dyDescent="0.2">
      <c r="A6002" t="s">
        <v>674</v>
      </c>
      <c r="B6002">
        <v>2021</v>
      </c>
      <c r="C6002" t="s">
        <v>816</v>
      </c>
      <c r="D6002" t="s">
        <v>817</v>
      </c>
      <c r="E6002" t="s">
        <v>31</v>
      </c>
      <c r="F6002" t="s">
        <v>424</v>
      </c>
      <c r="G6002">
        <v>78.966667000000001</v>
      </c>
      <c r="H6002">
        <v>11.5</v>
      </c>
      <c r="J6002" s="2" t="s">
        <v>14</v>
      </c>
      <c r="K6002" t="s">
        <v>95</v>
      </c>
      <c r="L6002" t="s">
        <v>143</v>
      </c>
      <c r="M6002" t="s">
        <v>26</v>
      </c>
      <c r="N6002" t="s">
        <v>85</v>
      </c>
      <c r="O6002" s="6" t="s">
        <v>840</v>
      </c>
      <c r="P6002" t="s">
        <v>70</v>
      </c>
      <c r="Q6002">
        <v>3</v>
      </c>
      <c r="R6002" t="s">
        <v>214</v>
      </c>
      <c r="S6002" s="2" t="s">
        <v>116</v>
      </c>
      <c r="T6002">
        <v>5</v>
      </c>
      <c r="U6002" t="s">
        <v>28</v>
      </c>
      <c r="V6002" t="s">
        <v>28</v>
      </c>
      <c r="W6002">
        <v>20</v>
      </c>
      <c r="X6002">
        <v>3.0720000000000001</v>
      </c>
      <c r="Y6002">
        <f>5.054-X6002</f>
        <v>1.9820000000000002</v>
      </c>
    </row>
    <row r="6003" spans="1:25" x14ac:dyDescent="0.2">
      <c r="A6003" t="s">
        <v>674</v>
      </c>
      <c r="B6003">
        <v>2021</v>
      </c>
      <c r="C6003" t="s">
        <v>816</v>
      </c>
      <c r="D6003" t="s">
        <v>817</v>
      </c>
      <c r="E6003" t="s">
        <v>31</v>
      </c>
      <c r="F6003" t="s">
        <v>424</v>
      </c>
      <c r="G6003">
        <v>78.966667000000001</v>
      </c>
      <c r="H6003">
        <v>11.5</v>
      </c>
      <c r="J6003" s="2" t="s">
        <v>14</v>
      </c>
      <c r="K6003" t="s">
        <v>95</v>
      </c>
      <c r="L6003" t="s">
        <v>143</v>
      </c>
      <c r="M6003" t="s">
        <v>26</v>
      </c>
      <c r="N6003" t="s">
        <v>85</v>
      </c>
      <c r="O6003" s="6" t="s">
        <v>840</v>
      </c>
      <c r="P6003" t="s">
        <v>70</v>
      </c>
      <c r="Q6003">
        <v>3</v>
      </c>
      <c r="R6003" t="s">
        <v>214</v>
      </c>
      <c r="S6003" s="2" t="s">
        <v>117</v>
      </c>
      <c r="T6003">
        <v>5</v>
      </c>
      <c r="U6003" t="s">
        <v>28</v>
      </c>
      <c r="V6003" t="s">
        <v>28</v>
      </c>
      <c r="W6003">
        <v>21</v>
      </c>
      <c r="X6003">
        <v>2.7639999999999998</v>
      </c>
      <c r="Y6003">
        <f>3.211-X6003</f>
        <v>0.44700000000000006</v>
      </c>
    </row>
    <row r="6004" spans="1:25" x14ac:dyDescent="0.2">
      <c r="A6004" t="s">
        <v>674</v>
      </c>
      <c r="B6004">
        <v>2021</v>
      </c>
      <c r="C6004" t="s">
        <v>816</v>
      </c>
      <c r="D6004" t="s">
        <v>817</v>
      </c>
      <c r="E6004" t="s">
        <v>31</v>
      </c>
      <c r="F6004" t="s">
        <v>424</v>
      </c>
      <c r="G6004">
        <v>78.966667000000001</v>
      </c>
      <c r="H6004">
        <v>11.5</v>
      </c>
      <c r="J6004" s="2" t="s">
        <v>14</v>
      </c>
      <c r="K6004" t="s">
        <v>95</v>
      </c>
      <c r="L6004" t="s">
        <v>143</v>
      </c>
      <c r="M6004" t="s">
        <v>26</v>
      </c>
      <c r="N6004" t="s">
        <v>85</v>
      </c>
      <c r="O6004" s="6" t="s">
        <v>840</v>
      </c>
      <c r="P6004" t="s">
        <v>70</v>
      </c>
      <c r="Q6004">
        <v>3</v>
      </c>
      <c r="R6004" t="s">
        <v>214</v>
      </c>
      <c r="S6004" s="2" t="s">
        <v>118</v>
      </c>
      <c r="T6004">
        <v>5</v>
      </c>
      <c r="U6004" t="s">
        <v>28</v>
      </c>
      <c r="V6004" t="s">
        <v>28</v>
      </c>
      <c r="W6004">
        <v>22</v>
      </c>
      <c r="X6004">
        <v>1.8149999999999999</v>
      </c>
      <c r="Y6004">
        <f>3.658-X6004</f>
        <v>1.843</v>
      </c>
    </row>
    <row r="6005" spans="1:25" x14ac:dyDescent="0.2">
      <c r="A6005" t="s">
        <v>674</v>
      </c>
      <c r="B6005">
        <v>2021</v>
      </c>
      <c r="C6005" t="s">
        <v>816</v>
      </c>
      <c r="D6005" t="s">
        <v>817</v>
      </c>
      <c r="E6005" t="s">
        <v>31</v>
      </c>
      <c r="F6005" t="s">
        <v>424</v>
      </c>
      <c r="G6005">
        <v>78.966667000000001</v>
      </c>
      <c r="H6005">
        <v>11.5</v>
      </c>
      <c r="J6005" s="2" t="s">
        <v>7</v>
      </c>
      <c r="K6005" t="s">
        <v>95</v>
      </c>
      <c r="L6005" t="s">
        <v>143</v>
      </c>
      <c r="M6005" t="s">
        <v>26</v>
      </c>
      <c r="N6005" t="s">
        <v>85</v>
      </c>
      <c r="O6005" s="6" t="s">
        <v>840</v>
      </c>
      <c r="P6005" t="s">
        <v>70</v>
      </c>
      <c r="Q6005">
        <v>7</v>
      </c>
      <c r="R6005" t="s">
        <v>214</v>
      </c>
      <c r="S6005" s="2" t="s">
        <v>7</v>
      </c>
      <c r="T6005">
        <v>5</v>
      </c>
      <c r="U6005" t="s">
        <v>28</v>
      </c>
      <c r="V6005" t="s">
        <v>28</v>
      </c>
      <c r="W6005">
        <v>10</v>
      </c>
      <c r="X6005">
        <v>5.6959999999999997</v>
      </c>
      <c r="Y6005">
        <f>7.344-X6005</f>
        <v>1.6480000000000006</v>
      </c>
    </row>
    <row r="6006" spans="1:25" x14ac:dyDescent="0.2">
      <c r="A6006" t="s">
        <v>674</v>
      </c>
      <c r="B6006">
        <v>2021</v>
      </c>
      <c r="C6006" t="s">
        <v>816</v>
      </c>
      <c r="D6006" t="s">
        <v>817</v>
      </c>
      <c r="E6006" t="s">
        <v>31</v>
      </c>
      <c r="F6006" t="s">
        <v>424</v>
      </c>
      <c r="G6006">
        <v>78.966667000000001</v>
      </c>
      <c r="H6006">
        <v>11.5</v>
      </c>
      <c r="J6006" s="2" t="s">
        <v>14</v>
      </c>
      <c r="K6006" t="s">
        <v>95</v>
      </c>
      <c r="L6006" t="s">
        <v>143</v>
      </c>
      <c r="M6006" t="s">
        <v>26</v>
      </c>
      <c r="N6006" t="s">
        <v>85</v>
      </c>
      <c r="O6006" s="6" t="s">
        <v>840</v>
      </c>
      <c r="P6006" t="s">
        <v>70</v>
      </c>
      <c r="Q6006">
        <v>7</v>
      </c>
      <c r="R6006" t="s">
        <v>214</v>
      </c>
      <c r="S6006" s="2" t="s">
        <v>9</v>
      </c>
      <c r="T6006">
        <v>5</v>
      </c>
      <c r="U6006" t="s">
        <v>28</v>
      </c>
      <c r="V6006" t="s">
        <v>28</v>
      </c>
      <c r="W6006">
        <v>15</v>
      </c>
      <c r="X6006">
        <v>6.7850000000000001</v>
      </c>
      <c r="Y6006">
        <f>8.293-X6006</f>
        <v>1.5079999999999991</v>
      </c>
    </row>
    <row r="6007" spans="1:25" x14ac:dyDescent="0.2">
      <c r="A6007" t="s">
        <v>674</v>
      </c>
      <c r="B6007">
        <v>2021</v>
      </c>
      <c r="C6007" t="s">
        <v>816</v>
      </c>
      <c r="D6007" t="s">
        <v>817</v>
      </c>
      <c r="E6007" t="s">
        <v>31</v>
      </c>
      <c r="F6007" t="s">
        <v>424</v>
      </c>
      <c r="G6007">
        <v>78.966667000000001</v>
      </c>
      <c r="H6007">
        <v>11.5</v>
      </c>
      <c r="J6007" s="2" t="s">
        <v>14</v>
      </c>
      <c r="K6007" t="s">
        <v>95</v>
      </c>
      <c r="L6007" t="s">
        <v>143</v>
      </c>
      <c r="M6007" t="s">
        <v>26</v>
      </c>
      <c r="N6007" t="s">
        <v>85</v>
      </c>
      <c r="O6007" s="6" t="s">
        <v>840</v>
      </c>
      <c r="P6007" t="s">
        <v>70</v>
      </c>
      <c r="Q6007">
        <v>7</v>
      </c>
      <c r="R6007" t="s">
        <v>214</v>
      </c>
      <c r="S6007" s="2" t="s">
        <v>15</v>
      </c>
      <c r="T6007">
        <v>5</v>
      </c>
      <c r="U6007" t="s">
        <v>28</v>
      </c>
      <c r="V6007" t="s">
        <v>28</v>
      </c>
      <c r="W6007">
        <v>18</v>
      </c>
      <c r="X6007">
        <v>4.5510000000000002</v>
      </c>
      <c r="Y6007">
        <f>6.311-X6007</f>
        <v>1.7599999999999998</v>
      </c>
    </row>
    <row r="6008" spans="1:25" x14ac:dyDescent="0.2">
      <c r="A6008" t="s">
        <v>674</v>
      </c>
      <c r="B6008">
        <v>2021</v>
      </c>
      <c r="C6008" t="s">
        <v>816</v>
      </c>
      <c r="D6008" t="s">
        <v>817</v>
      </c>
      <c r="E6008" t="s">
        <v>31</v>
      </c>
      <c r="F6008" t="s">
        <v>424</v>
      </c>
      <c r="G6008">
        <v>78.966667000000001</v>
      </c>
      <c r="H6008">
        <v>11.5</v>
      </c>
      <c r="J6008" s="2" t="s">
        <v>14</v>
      </c>
      <c r="K6008" t="s">
        <v>95</v>
      </c>
      <c r="L6008" t="s">
        <v>143</v>
      </c>
      <c r="M6008" t="s">
        <v>26</v>
      </c>
      <c r="N6008" t="s">
        <v>85</v>
      </c>
      <c r="O6008" s="6" t="s">
        <v>840</v>
      </c>
      <c r="P6008" t="s">
        <v>70</v>
      </c>
      <c r="Q6008">
        <v>7</v>
      </c>
      <c r="R6008" t="s">
        <v>214</v>
      </c>
      <c r="S6008" s="2" t="s">
        <v>37</v>
      </c>
      <c r="T6008">
        <v>5</v>
      </c>
      <c r="U6008" t="s">
        <v>28</v>
      </c>
      <c r="V6008" t="s">
        <v>28</v>
      </c>
      <c r="W6008">
        <v>19</v>
      </c>
      <c r="X6008">
        <v>2.7919999999999998</v>
      </c>
      <c r="Y6008">
        <f>3.993-X6008</f>
        <v>1.2010000000000001</v>
      </c>
    </row>
    <row r="6009" spans="1:25" x14ac:dyDescent="0.2">
      <c r="A6009" t="s">
        <v>674</v>
      </c>
      <c r="B6009">
        <v>2021</v>
      </c>
      <c r="C6009" t="s">
        <v>816</v>
      </c>
      <c r="D6009" t="s">
        <v>817</v>
      </c>
      <c r="E6009" t="s">
        <v>31</v>
      </c>
      <c r="F6009" t="s">
        <v>424</v>
      </c>
      <c r="G6009">
        <v>78.966667000000001</v>
      </c>
      <c r="H6009">
        <v>11.5</v>
      </c>
      <c r="J6009" s="2" t="s">
        <v>14</v>
      </c>
      <c r="K6009" t="s">
        <v>95</v>
      </c>
      <c r="L6009" t="s">
        <v>143</v>
      </c>
      <c r="M6009" t="s">
        <v>26</v>
      </c>
      <c r="N6009" t="s">
        <v>85</v>
      </c>
      <c r="O6009" s="6" t="s">
        <v>840</v>
      </c>
      <c r="P6009" t="s">
        <v>70</v>
      </c>
      <c r="Q6009">
        <v>7</v>
      </c>
      <c r="R6009" t="s">
        <v>214</v>
      </c>
      <c r="S6009" s="2" t="s">
        <v>116</v>
      </c>
      <c r="T6009">
        <v>5</v>
      </c>
      <c r="U6009" t="s">
        <v>28</v>
      </c>
      <c r="V6009" t="s">
        <v>28</v>
      </c>
      <c r="W6009">
        <v>20</v>
      </c>
      <c r="X6009">
        <v>2.0659999999999998</v>
      </c>
      <c r="Y6009">
        <f>2.597-X6009</f>
        <v>0.53100000000000014</v>
      </c>
    </row>
    <row r="6010" spans="1:25" x14ac:dyDescent="0.2">
      <c r="A6010" t="s">
        <v>674</v>
      </c>
      <c r="B6010">
        <v>2021</v>
      </c>
      <c r="C6010" t="s">
        <v>816</v>
      </c>
      <c r="D6010" t="s">
        <v>817</v>
      </c>
      <c r="E6010" t="s">
        <v>31</v>
      </c>
      <c r="F6010" t="s">
        <v>424</v>
      </c>
      <c r="G6010">
        <v>78.966667000000001</v>
      </c>
      <c r="H6010">
        <v>11.5</v>
      </c>
      <c r="J6010" s="2" t="s">
        <v>14</v>
      </c>
      <c r="K6010" t="s">
        <v>95</v>
      </c>
      <c r="L6010" t="s">
        <v>143</v>
      </c>
      <c r="M6010" t="s">
        <v>26</v>
      </c>
      <c r="N6010" t="s">
        <v>85</v>
      </c>
      <c r="O6010" s="6" t="s">
        <v>840</v>
      </c>
      <c r="P6010" t="s">
        <v>70</v>
      </c>
      <c r="Q6010">
        <v>7</v>
      </c>
      <c r="R6010" t="s">
        <v>214</v>
      </c>
      <c r="S6010" s="2" t="s">
        <v>117</v>
      </c>
      <c r="T6010">
        <v>5</v>
      </c>
      <c r="U6010" t="s">
        <v>28</v>
      </c>
      <c r="V6010" t="s">
        <v>28</v>
      </c>
      <c r="W6010">
        <v>21</v>
      </c>
      <c r="X6010">
        <v>1.5920000000000001</v>
      </c>
      <c r="Y6010">
        <f>2.625-X6010</f>
        <v>1.0329999999999999</v>
      </c>
    </row>
    <row r="6011" spans="1:25" x14ac:dyDescent="0.2">
      <c r="A6011" t="s">
        <v>674</v>
      </c>
      <c r="B6011">
        <v>2021</v>
      </c>
      <c r="C6011" t="s">
        <v>816</v>
      </c>
      <c r="D6011" t="s">
        <v>817</v>
      </c>
      <c r="E6011" t="s">
        <v>31</v>
      </c>
      <c r="F6011" t="s">
        <v>424</v>
      </c>
      <c r="G6011">
        <v>78.966667000000001</v>
      </c>
      <c r="H6011">
        <v>11.5</v>
      </c>
      <c r="J6011" s="2" t="s">
        <v>14</v>
      </c>
      <c r="K6011" t="s">
        <v>95</v>
      </c>
      <c r="L6011" t="s">
        <v>143</v>
      </c>
      <c r="M6011" t="s">
        <v>26</v>
      </c>
      <c r="N6011" t="s">
        <v>85</v>
      </c>
      <c r="O6011" s="6" t="s">
        <v>840</v>
      </c>
      <c r="P6011" t="s">
        <v>70</v>
      </c>
      <c r="Q6011">
        <v>7</v>
      </c>
      <c r="R6011" t="s">
        <v>214</v>
      </c>
      <c r="S6011" s="2" t="s">
        <v>118</v>
      </c>
      <c r="T6011">
        <v>5</v>
      </c>
      <c r="U6011" t="s">
        <v>28</v>
      </c>
      <c r="V6011" t="s">
        <v>28</v>
      </c>
      <c r="W6011">
        <v>22</v>
      </c>
      <c r="X6011">
        <v>0.251</v>
      </c>
      <c r="Y6011">
        <f>1.564-X6011</f>
        <v>1.3130000000000002</v>
      </c>
    </row>
    <row r="6012" spans="1:25" x14ac:dyDescent="0.2">
      <c r="A6012" t="s">
        <v>674</v>
      </c>
      <c r="B6012">
        <v>2021</v>
      </c>
      <c r="C6012" t="s">
        <v>816</v>
      </c>
      <c r="D6012" t="s">
        <v>817</v>
      </c>
      <c r="E6012" t="s">
        <v>31</v>
      </c>
      <c r="F6012" t="s">
        <v>424</v>
      </c>
      <c r="G6012">
        <v>78.966667000000001</v>
      </c>
      <c r="H6012">
        <v>11.5</v>
      </c>
      <c r="J6012" s="2" t="s">
        <v>7</v>
      </c>
      <c r="K6012" t="s">
        <v>95</v>
      </c>
      <c r="L6012" t="s">
        <v>143</v>
      </c>
      <c r="M6012" t="s">
        <v>26</v>
      </c>
      <c r="N6012" t="s">
        <v>85</v>
      </c>
      <c r="O6012" s="6" t="s">
        <v>840</v>
      </c>
      <c r="P6012" t="s">
        <v>70</v>
      </c>
      <c r="Q6012">
        <v>11</v>
      </c>
      <c r="R6012" t="s">
        <v>214</v>
      </c>
      <c r="S6012" s="2" t="s">
        <v>7</v>
      </c>
      <c r="T6012">
        <v>5</v>
      </c>
      <c r="U6012" t="s">
        <v>28</v>
      </c>
      <c r="V6012" t="s">
        <v>28</v>
      </c>
      <c r="W6012">
        <v>10</v>
      </c>
      <c r="X6012">
        <v>3.5739999999999998</v>
      </c>
      <c r="Y6012">
        <f>5.138-X6012</f>
        <v>1.5640000000000001</v>
      </c>
    </row>
    <row r="6013" spans="1:25" x14ac:dyDescent="0.2">
      <c r="A6013" t="s">
        <v>674</v>
      </c>
      <c r="B6013">
        <v>2021</v>
      </c>
      <c r="C6013" t="s">
        <v>816</v>
      </c>
      <c r="D6013" t="s">
        <v>817</v>
      </c>
      <c r="E6013" t="s">
        <v>31</v>
      </c>
      <c r="F6013" t="s">
        <v>424</v>
      </c>
      <c r="G6013">
        <v>78.966667000000001</v>
      </c>
      <c r="H6013">
        <v>11.5</v>
      </c>
      <c r="J6013" s="2" t="s">
        <v>14</v>
      </c>
      <c r="K6013" t="s">
        <v>95</v>
      </c>
      <c r="L6013" t="s">
        <v>143</v>
      </c>
      <c r="M6013" t="s">
        <v>26</v>
      </c>
      <c r="N6013" t="s">
        <v>85</v>
      </c>
      <c r="O6013" s="6" t="s">
        <v>840</v>
      </c>
      <c r="P6013" t="s">
        <v>70</v>
      </c>
      <c r="Q6013">
        <v>11</v>
      </c>
      <c r="R6013" t="s">
        <v>214</v>
      </c>
      <c r="S6013" s="2" t="s">
        <v>9</v>
      </c>
      <c r="T6013">
        <v>5</v>
      </c>
      <c r="U6013" t="s">
        <v>28</v>
      </c>
      <c r="V6013" t="s">
        <v>28</v>
      </c>
      <c r="W6013">
        <v>15</v>
      </c>
      <c r="X6013">
        <v>6.4219999999999997</v>
      </c>
      <c r="Y6013">
        <f>8.796-X6013</f>
        <v>2.3739999999999997</v>
      </c>
    </row>
    <row r="6014" spans="1:25" x14ac:dyDescent="0.2">
      <c r="A6014" t="s">
        <v>674</v>
      </c>
      <c r="B6014">
        <v>2021</v>
      </c>
      <c r="C6014" t="s">
        <v>816</v>
      </c>
      <c r="D6014" t="s">
        <v>817</v>
      </c>
      <c r="E6014" t="s">
        <v>31</v>
      </c>
      <c r="F6014" t="s">
        <v>424</v>
      </c>
      <c r="G6014">
        <v>78.966667000000001</v>
      </c>
      <c r="H6014">
        <v>11.5</v>
      </c>
      <c r="J6014" s="2" t="s">
        <v>14</v>
      </c>
      <c r="K6014" t="s">
        <v>95</v>
      </c>
      <c r="L6014" t="s">
        <v>143</v>
      </c>
      <c r="M6014" t="s">
        <v>26</v>
      </c>
      <c r="N6014" t="s">
        <v>85</v>
      </c>
      <c r="O6014" s="6" t="s">
        <v>840</v>
      </c>
      <c r="P6014" t="s">
        <v>70</v>
      </c>
      <c r="Q6014">
        <v>11</v>
      </c>
      <c r="R6014" t="s">
        <v>214</v>
      </c>
      <c r="S6014" s="2" t="s">
        <v>15</v>
      </c>
      <c r="T6014">
        <v>5</v>
      </c>
      <c r="U6014" t="s">
        <v>28</v>
      </c>
      <c r="V6014" t="s">
        <v>28</v>
      </c>
      <c r="W6014">
        <v>18</v>
      </c>
      <c r="X6014">
        <v>4.4119999999999999</v>
      </c>
      <c r="Y6014">
        <f>6.729-X6014</f>
        <v>2.3170000000000002</v>
      </c>
    </row>
    <row r="6015" spans="1:25" x14ac:dyDescent="0.2">
      <c r="A6015" t="s">
        <v>674</v>
      </c>
      <c r="B6015">
        <v>2021</v>
      </c>
      <c r="C6015" t="s">
        <v>816</v>
      </c>
      <c r="D6015" t="s">
        <v>817</v>
      </c>
      <c r="E6015" t="s">
        <v>31</v>
      </c>
      <c r="F6015" t="s">
        <v>424</v>
      </c>
      <c r="G6015">
        <v>78.966667000000001</v>
      </c>
      <c r="H6015">
        <v>11.5</v>
      </c>
      <c r="J6015" s="2" t="s">
        <v>14</v>
      </c>
      <c r="K6015" t="s">
        <v>95</v>
      </c>
      <c r="L6015" t="s">
        <v>143</v>
      </c>
      <c r="M6015" t="s">
        <v>26</v>
      </c>
      <c r="N6015" t="s">
        <v>85</v>
      </c>
      <c r="O6015" s="6" t="s">
        <v>840</v>
      </c>
      <c r="P6015" t="s">
        <v>70</v>
      </c>
      <c r="Q6015">
        <v>11</v>
      </c>
      <c r="R6015" t="s">
        <v>214</v>
      </c>
      <c r="S6015" s="2" t="s">
        <v>37</v>
      </c>
      <c r="T6015">
        <v>5</v>
      </c>
      <c r="U6015" t="s">
        <v>28</v>
      </c>
      <c r="V6015" t="s">
        <v>28</v>
      </c>
      <c r="W6015">
        <v>19</v>
      </c>
      <c r="X6015">
        <v>2.8759999999999999</v>
      </c>
      <c r="Y6015">
        <f>4.635-X6015</f>
        <v>1.7589999999999999</v>
      </c>
    </row>
    <row r="6016" spans="1:25" x14ac:dyDescent="0.2">
      <c r="A6016" t="s">
        <v>674</v>
      </c>
      <c r="B6016">
        <v>2021</v>
      </c>
      <c r="C6016" t="s">
        <v>816</v>
      </c>
      <c r="D6016" t="s">
        <v>817</v>
      </c>
      <c r="E6016" t="s">
        <v>31</v>
      </c>
      <c r="F6016" t="s">
        <v>424</v>
      </c>
      <c r="G6016">
        <v>78.966667000000001</v>
      </c>
      <c r="H6016">
        <v>11.5</v>
      </c>
      <c r="J6016" s="2" t="s">
        <v>14</v>
      </c>
      <c r="K6016" t="s">
        <v>95</v>
      </c>
      <c r="L6016" t="s">
        <v>143</v>
      </c>
      <c r="M6016" t="s">
        <v>26</v>
      </c>
      <c r="N6016" t="s">
        <v>85</v>
      </c>
      <c r="O6016" s="6" t="s">
        <v>840</v>
      </c>
      <c r="P6016" t="s">
        <v>70</v>
      </c>
      <c r="Q6016">
        <v>11</v>
      </c>
      <c r="R6016" t="s">
        <v>214</v>
      </c>
      <c r="S6016" s="2" t="s">
        <v>116</v>
      </c>
      <c r="T6016">
        <v>5</v>
      </c>
      <c r="U6016" t="s">
        <v>28</v>
      </c>
      <c r="V6016" t="s">
        <v>28</v>
      </c>
      <c r="W6016">
        <v>20</v>
      </c>
      <c r="X6016">
        <v>2.0099999999999998</v>
      </c>
      <c r="Y6016">
        <f>3.099-X6016</f>
        <v>1.0890000000000004</v>
      </c>
    </row>
    <row r="6017" spans="1:25" x14ac:dyDescent="0.2">
      <c r="A6017" t="s">
        <v>674</v>
      </c>
      <c r="B6017">
        <v>2021</v>
      </c>
      <c r="C6017" t="s">
        <v>816</v>
      </c>
      <c r="D6017" t="s">
        <v>817</v>
      </c>
      <c r="E6017" t="s">
        <v>31</v>
      </c>
      <c r="F6017" t="s">
        <v>424</v>
      </c>
      <c r="G6017">
        <v>78.966667000000001</v>
      </c>
      <c r="H6017">
        <v>11.5</v>
      </c>
      <c r="J6017" s="2" t="s">
        <v>14</v>
      </c>
      <c r="K6017" t="s">
        <v>95</v>
      </c>
      <c r="L6017" t="s">
        <v>143</v>
      </c>
      <c r="M6017" t="s">
        <v>26</v>
      </c>
      <c r="N6017" t="s">
        <v>85</v>
      </c>
      <c r="O6017" s="6" t="s">
        <v>840</v>
      </c>
      <c r="P6017" t="s">
        <v>70</v>
      </c>
      <c r="Q6017">
        <v>11</v>
      </c>
      <c r="R6017" t="s">
        <v>214</v>
      </c>
      <c r="S6017" s="2" t="s">
        <v>117</v>
      </c>
      <c r="T6017">
        <v>5</v>
      </c>
      <c r="U6017" t="s">
        <v>28</v>
      </c>
      <c r="V6017" t="s">
        <v>28</v>
      </c>
      <c r="W6017">
        <v>21</v>
      </c>
      <c r="X6017">
        <v>1.284</v>
      </c>
      <c r="Y6017">
        <f>2.513-X6017</f>
        <v>1.2289999999999999</v>
      </c>
    </row>
    <row r="6018" spans="1:25" x14ac:dyDescent="0.2">
      <c r="A6018" t="s">
        <v>674</v>
      </c>
      <c r="B6018">
        <v>2021</v>
      </c>
      <c r="C6018" t="s">
        <v>816</v>
      </c>
      <c r="D6018" t="s">
        <v>817</v>
      </c>
      <c r="E6018" t="s">
        <v>31</v>
      </c>
      <c r="F6018" t="s">
        <v>424</v>
      </c>
      <c r="G6018">
        <v>78.966667000000001</v>
      </c>
      <c r="H6018">
        <v>11.5</v>
      </c>
      <c r="J6018" s="2" t="s">
        <v>14</v>
      </c>
      <c r="K6018" t="s">
        <v>95</v>
      </c>
      <c r="L6018" t="s">
        <v>143</v>
      </c>
      <c r="M6018" t="s">
        <v>26</v>
      </c>
      <c r="N6018" t="s">
        <v>85</v>
      </c>
      <c r="O6018" s="6" t="s">
        <v>840</v>
      </c>
      <c r="P6018" t="s">
        <v>70</v>
      </c>
      <c r="Q6018">
        <v>11</v>
      </c>
      <c r="R6018" t="s">
        <v>214</v>
      </c>
      <c r="S6018" s="2" t="s">
        <v>118</v>
      </c>
      <c r="T6018">
        <v>5</v>
      </c>
      <c r="U6018" t="s">
        <v>28</v>
      </c>
      <c r="V6018" t="s">
        <v>28</v>
      </c>
      <c r="W6018">
        <v>22</v>
      </c>
      <c r="X6018">
        <v>0.307</v>
      </c>
      <c r="Y6018">
        <f>1.62-X6018</f>
        <v>1.3130000000000002</v>
      </c>
    </row>
    <row r="6019" spans="1:25" x14ac:dyDescent="0.2">
      <c r="A6019" t="s">
        <v>674</v>
      </c>
      <c r="B6019">
        <v>2021</v>
      </c>
      <c r="C6019" t="s">
        <v>816</v>
      </c>
      <c r="D6019" t="s">
        <v>817</v>
      </c>
      <c r="E6019" t="s">
        <v>31</v>
      </c>
      <c r="F6019" t="s">
        <v>424</v>
      </c>
      <c r="G6019">
        <v>78.966667000000001</v>
      </c>
      <c r="H6019">
        <v>11.5</v>
      </c>
      <c r="J6019" s="2" t="s">
        <v>7</v>
      </c>
      <c r="K6019" t="s">
        <v>95</v>
      </c>
      <c r="L6019" t="s">
        <v>143</v>
      </c>
      <c r="M6019" t="s">
        <v>26</v>
      </c>
      <c r="N6019" t="s">
        <v>85</v>
      </c>
      <c r="O6019" s="6" t="s">
        <v>840</v>
      </c>
      <c r="P6019" t="s">
        <v>70</v>
      </c>
      <c r="Q6019">
        <v>14</v>
      </c>
      <c r="R6019" t="s">
        <v>213</v>
      </c>
      <c r="S6019" s="2" t="s">
        <v>7</v>
      </c>
      <c r="T6019">
        <v>5</v>
      </c>
      <c r="U6019" t="s">
        <v>28</v>
      </c>
      <c r="V6019" t="s">
        <v>28</v>
      </c>
      <c r="W6019">
        <v>10</v>
      </c>
      <c r="X6019">
        <v>4.6909999999999998</v>
      </c>
      <c r="Y6019">
        <f>10.248-X6019</f>
        <v>5.5569999999999995</v>
      </c>
    </row>
    <row r="6020" spans="1:25" x14ac:dyDescent="0.2">
      <c r="A6020" t="s">
        <v>674</v>
      </c>
      <c r="B6020">
        <v>2021</v>
      </c>
      <c r="C6020" t="s">
        <v>816</v>
      </c>
      <c r="D6020" t="s">
        <v>817</v>
      </c>
      <c r="E6020" t="s">
        <v>31</v>
      </c>
      <c r="F6020" t="s">
        <v>424</v>
      </c>
      <c r="G6020">
        <v>78.966667000000001</v>
      </c>
      <c r="H6020">
        <v>11.5</v>
      </c>
      <c r="J6020" s="2" t="s">
        <v>14</v>
      </c>
      <c r="K6020" t="s">
        <v>95</v>
      </c>
      <c r="L6020" t="s">
        <v>143</v>
      </c>
      <c r="M6020" t="s">
        <v>26</v>
      </c>
      <c r="N6020" t="s">
        <v>85</v>
      </c>
      <c r="O6020" s="6" t="s">
        <v>840</v>
      </c>
      <c r="P6020" t="s">
        <v>70</v>
      </c>
      <c r="Q6020">
        <v>14</v>
      </c>
      <c r="R6020" t="s">
        <v>213</v>
      </c>
      <c r="S6020" s="2" t="s">
        <v>9</v>
      </c>
      <c r="T6020">
        <v>5</v>
      </c>
      <c r="U6020" t="s">
        <v>28</v>
      </c>
      <c r="V6020" t="s">
        <v>28</v>
      </c>
      <c r="W6020">
        <v>15</v>
      </c>
      <c r="X6020">
        <v>4.5789999999999997</v>
      </c>
      <c r="Y6020">
        <f>8.098-X6020</f>
        <v>3.519000000000001</v>
      </c>
    </row>
    <row r="6021" spans="1:25" x14ac:dyDescent="0.2">
      <c r="A6021" t="s">
        <v>674</v>
      </c>
      <c r="B6021">
        <v>2021</v>
      </c>
      <c r="C6021" t="s">
        <v>816</v>
      </c>
      <c r="D6021" t="s">
        <v>817</v>
      </c>
      <c r="E6021" t="s">
        <v>31</v>
      </c>
      <c r="F6021" t="s">
        <v>424</v>
      </c>
      <c r="G6021">
        <v>78.966667000000001</v>
      </c>
      <c r="H6021">
        <v>11.5</v>
      </c>
      <c r="J6021" s="2" t="s">
        <v>14</v>
      </c>
      <c r="K6021" t="s">
        <v>95</v>
      </c>
      <c r="L6021" t="s">
        <v>143</v>
      </c>
      <c r="M6021" t="s">
        <v>26</v>
      </c>
      <c r="N6021" t="s">
        <v>85</v>
      </c>
      <c r="O6021" s="6" t="s">
        <v>840</v>
      </c>
      <c r="P6021" t="s">
        <v>70</v>
      </c>
      <c r="Q6021">
        <v>14</v>
      </c>
      <c r="R6021" t="s">
        <v>213</v>
      </c>
      <c r="S6021" s="2" t="s">
        <v>15</v>
      </c>
      <c r="T6021">
        <v>5</v>
      </c>
      <c r="U6021" t="s">
        <v>28</v>
      </c>
      <c r="V6021" t="s">
        <v>28</v>
      </c>
      <c r="W6021">
        <v>18</v>
      </c>
      <c r="X6021">
        <v>-0.36299999999999999</v>
      </c>
      <c r="Y6021">
        <f>ABS(-1.983-X6021)</f>
        <v>1.62</v>
      </c>
    </row>
    <row r="6022" spans="1:25" x14ac:dyDescent="0.2">
      <c r="A6022" t="s">
        <v>674</v>
      </c>
      <c r="B6022">
        <v>2021</v>
      </c>
      <c r="C6022" t="s">
        <v>816</v>
      </c>
      <c r="D6022" t="s">
        <v>817</v>
      </c>
      <c r="E6022" t="s">
        <v>31</v>
      </c>
      <c r="F6022" t="s">
        <v>424</v>
      </c>
      <c r="G6022">
        <v>78.966667000000001</v>
      </c>
      <c r="H6022">
        <v>11.5</v>
      </c>
      <c r="J6022" s="2" t="s">
        <v>14</v>
      </c>
      <c r="K6022" t="s">
        <v>95</v>
      </c>
      <c r="L6022" t="s">
        <v>143</v>
      </c>
      <c r="M6022" t="s">
        <v>26</v>
      </c>
      <c r="N6022" t="s">
        <v>85</v>
      </c>
      <c r="O6022" s="6" t="s">
        <v>840</v>
      </c>
      <c r="P6022" t="s">
        <v>70</v>
      </c>
      <c r="Q6022">
        <v>14</v>
      </c>
      <c r="R6022" t="s">
        <v>213</v>
      </c>
      <c r="S6022" s="2" t="s">
        <v>37</v>
      </c>
      <c r="T6022">
        <v>5</v>
      </c>
      <c r="U6022" t="s">
        <v>28</v>
      </c>
      <c r="V6022" t="s">
        <v>28</v>
      </c>
      <c r="W6022">
        <v>19</v>
      </c>
      <c r="X6022">
        <v>-0.47499999999999998</v>
      </c>
      <c r="Y6022">
        <f>ABS(-1.061-X6022)</f>
        <v>0.58599999999999997</v>
      </c>
    </row>
    <row r="6023" spans="1:25" x14ac:dyDescent="0.2">
      <c r="A6023" t="s">
        <v>674</v>
      </c>
      <c r="B6023">
        <v>2021</v>
      </c>
      <c r="C6023" t="s">
        <v>816</v>
      </c>
      <c r="D6023" t="s">
        <v>817</v>
      </c>
      <c r="E6023" t="s">
        <v>31</v>
      </c>
      <c r="F6023" t="s">
        <v>424</v>
      </c>
      <c r="G6023">
        <v>78.966667000000001</v>
      </c>
      <c r="H6023">
        <v>11.5</v>
      </c>
      <c r="J6023" s="2" t="s">
        <v>14</v>
      </c>
      <c r="K6023" t="s">
        <v>95</v>
      </c>
      <c r="L6023" t="s">
        <v>143</v>
      </c>
      <c r="M6023" t="s">
        <v>26</v>
      </c>
      <c r="N6023" t="s">
        <v>85</v>
      </c>
      <c r="O6023" s="6" t="s">
        <v>840</v>
      </c>
      <c r="P6023" t="s">
        <v>70</v>
      </c>
      <c r="Q6023">
        <v>14</v>
      </c>
      <c r="R6023" t="s">
        <v>213</v>
      </c>
      <c r="S6023" s="2" t="s">
        <v>116</v>
      </c>
      <c r="T6023">
        <v>5</v>
      </c>
      <c r="U6023" t="s">
        <v>28</v>
      </c>
      <c r="V6023" t="s">
        <v>28</v>
      </c>
      <c r="W6023">
        <v>20</v>
      </c>
      <c r="X6023">
        <v>-0.36299999999999999</v>
      </c>
      <c r="Y6023">
        <f>ABS(-2.122-X6023)</f>
        <v>1.7589999999999999</v>
      </c>
    </row>
    <row r="6024" spans="1:25" x14ac:dyDescent="0.2">
      <c r="A6024" t="s">
        <v>674</v>
      </c>
      <c r="B6024">
        <v>2021</v>
      </c>
      <c r="C6024" t="s">
        <v>816</v>
      </c>
      <c r="D6024" t="s">
        <v>817</v>
      </c>
      <c r="E6024" t="s">
        <v>31</v>
      </c>
      <c r="F6024" t="s">
        <v>424</v>
      </c>
      <c r="G6024">
        <v>78.966667000000001</v>
      </c>
      <c r="H6024">
        <v>11.5</v>
      </c>
      <c r="J6024" s="2" t="s">
        <v>14</v>
      </c>
      <c r="K6024" t="s">
        <v>95</v>
      </c>
      <c r="L6024" t="s">
        <v>143</v>
      </c>
      <c r="M6024" t="s">
        <v>26</v>
      </c>
      <c r="N6024" t="s">
        <v>85</v>
      </c>
      <c r="O6024" s="6" t="s">
        <v>840</v>
      </c>
      <c r="P6024" t="s">
        <v>70</v>
      </c>
      <c r="Q6024">
        <v>14</v>
      </c>
      <c r="R6024" t="s">
        <v>213</v>
      </c>
      <c r="S6024" s="2" t="s">
        <v>117</v>
      </c>
      <c r="T6024">
        <v>5</v>
      </c>
      <c r="U6024" t="s">
        <v>28</v>
      </c>
      <c r="V6024" t="s">
        <v>28</v>
      </c>
      <c r="W6024">
        <v>21</v>
      </c>
      <c r="X6024">
        <v>-0.754</v>
      </c>
      <c r="Y6024">
        <f>ABS(-6.031-X6024)</f>
        <v>5.2769999999999992</v>
      </c>
    </row>
    <row r="6025" spans="1:25" x14ac:dyDescent="0.2">
      <c r="A6025" t="s">
        <v>674</v>
      </c>
      <c r="B6025">
        <v>2021</v>
      </c>
      <c r="C6025" t="s">
        <v>816</v>
      </c>
      <c r="D6025" t="s">
        <v>817</v>
      </c>
      <c r="E6025" t="s">
        <v>31</v>
      </c>
      <c r="F6025" t="s">
        <v>424</v>
      </c>
      <c r="G6025">
        <v>78.966667000000001</v>
      </c>
      <c r="H6025">
        <v>11.5</v>
      </c>
      <c r="J6025" s="2" t="s">
        <v>14</v>
      </c>
      <c r="K6025" t="s">
        <v>95</v>
      </c>
      <c r="L6025" t="s">
        <v>143</v>
      </c>
      <c r="M6025" t="s">
        <v>26</v>
      </c>
      <c r="N6025" t="s">
        <v>85</v>
      </c>
      <c r="O6025" s="6" t="s">
        <v>840</v>
      </c>
      <c r="P6025" t="s">
        <v>70</v>
      </c>
      <c r="Q6025">
        <v>14</v>
      </c>
      <c r="R6025" t="s">
        <v>213</v>
      </c>
      <c r="S6025" s="2" t="s">
        <v>118</v>
      </c>
      <c r="T6025">
        <v>5</v>
      </c>
      <c r="U6025" t="s">
        <v>28</v>
      </c>
      <c r="V6025" t="s">
        <v>28</v>
      </c>
      <c r="W6025">
        <v>22</v>
      </c>
      <c r="X6025">
        <v>2.5129999999999999</v>
      </c>
      <c r="Y6025">
        <f>8.88-X6025</f>
        <v>6.3670000000000009</v>
      </c>
    </row>
    <row r="6026" spans="1:25" x14ac:dyDescent="0.2">
      <c r="A6026" t="s">
        <v>674</v>
      </c>
      <c r="B6026">
        <v>2021</v>
      </c>
      <c r="C6026" t="s">
        <v>816</v>
      </c>
      <c r="D6026" t="s">
        <v>827</v>
      </c>
      <c r="E6026" t="s">
        <v>675</v>
      </c>
      <c r="F6026" t="s">
        <v>424</v>
      </c>
      <c r="G6026">
        <v>78.966667000000001</v>
      </c>
      <c r="H6026">
        <v>11.5</v>
      </c>
      <c r="J6026" s="2" t="s">
        <v>7</v>
      </c>
      <c r="K6026" t="s">
        <v>95</v>
      </c>
      <c r="L6026" t="s">
        <v>143</v>
      </c>
      <c r="M6026" t="s">
        <v>26</v>
      </c>
      <c r="N6026" t="s">
        <v>85</v>
      </c>
      <c r="O6026" s="6" t="s">
        <v>840</v>
      </c>
      <c r="P6026" t="s">
        <v>70</v>
      </c>
      <c r="Q6026">
        <v>3</v>
      </c>
      <c r="R6026" t="s">
        <v>214</v>
      </c>
      <c r="S6026" s="2" t="s">
        <v>7</v>
      </c>
      <c r="T6026">
        <v>5</v>
      </c>
      <c r="U6026" t="s">
        <v>28</v>
      </c>
      <c r="V6026" t="s">
        <v>28</v>
      </c>
      <c r="W6026">
        <v>10</v>
      </c>
      <c r="X6026">
        <v>10.202</v>
      </c>
      <c r="Y6026">
        <f>12.599-X6026</f>
        <v>2.3970000000000002</v>
      </c>
    </row>
    <row r="6027" spans="1:25" x14ac:dyDescent="0.2">
      <c r="A6027" t="s">
        <v>674</v>
      </c>
      <c r="B6027">
        <v>2021</v>
      </c>
      <c r="C6027" t="s">
        <v>816</v>
      </c>
      <c r="D6027" t="s">
        <v>827</v>
      </c>
      <c r="E6027" t="s">
        <v>675</v>
      </c>
      <c r="F6027" t="s">
        <v>424</v>
      </c>
      <c r="G6027">
        <v>78.966667000000001</v>
      </c>
      <c r="H6027">
        <v>11.5</v>
      </c>
      <c r="J6027" s="2" t="s">
        <v>14</v>
      </c>
      <c r="K6027" t="s">
        <v>95</v>
      </c>
      <c r="L6027" t="s">
        <v>143</v>
      </c>
      <c r="M6027" t="s">
        <v>26</v>
      </c>
      <c r="N6027" t="s">
        <v>85</v>
      </c>
      <c r="O6027" s="6" t="s">
        <v>840</v>
      </c>
      <c r="P6027" t="s">
        <v>70</v>
      </c>
      <c r="Q6027">
        <v>3</v>
      </c>
      <c r="R6027" t="s">
        <v>214</v>
      </c>
      <c r="S6027" s="2" t="s">
        <v>9</v>
      </c>
      <c r="T6027">
        <v>5</v>
      </c>
      <c r="U6027" t="s">
        <v>28</v>
      </c>
      <c r="V6027" t="s">
        <v>28</v>
      </c>
      <c r="W6027">
        <v>15</v>
      </c>
      <c r="X6027">
        <v>9.0030000000000001</v>
      </c>
      <c r="Y6027">
        <f>11.261-X6027</f>
        <v>2.2579999999999991</v>
      </c>
    </row>
    <row r="6028" spans="1:25" x14ac:dyDescent="0.2">
      <c r="A6028" t="s">
        <v>674</v>
      </c>
      <c r="B6028">
        <v>2021</v>
      </c>
      <c r="C6028" t="s">
        <v>816</v>
      </c>
      <c r="D6028" t="s">
        <v>827</v>
      </c>
      <c r="E6028" t="s">
        <v>675</v>
      </c>
      <c r="F6028" t="s">
        <v>424</v>
      </c>
      <c r="G6028">
        <v>78.966667000000001</v>
      </c>
      <c r="H6028">
        <v>11.5</v>
      </c>
      <c r="J6028" s="2" t="s">
        <v>14</v>
      </c>
      <c r="K6028" t="s">
        <v>95</v>
      </c>
      <c r="L6028" t="s">
        <v>143</v>
      </c>
      <c r="M6028" t="s">
        <v>26</v>
      </c>
      <c r="N6028" t="s">
        <v>85</v>
      </c>
      <c r="O6028" s="6" t="s">
        <v>840</v>
      </c>
      <c r="P6028" t="s">
        <v>70</v>
      </c>
      <c r="Q6028">
        <v>3</v>
      </c>
      <c r="R6028" t="s">
        <v>214</v>
      </c>
      <c r="S6028" s="2" t="s">
        <v>27</v>
      </c>
      <c r="T6028">
        <v>5</v>
      </c>
      <c r="U6028" t="s">
        <v>28</v>
      </c>
      <c r="V6028" t="s">
        <v>28</v>
      </c>
      <c r="W6028">
        <v>16</v>
      </c>
      <c r="X6028">
        <v>5.5469999999999997</v>
      </c>
      <c r="Y6028">
        <f>7.47-X6028</f>
        <v>1.923</v>
      </c>
    </row>
    <row r="6029" spans="1:25" x14ac:dyDescent="0.2">
      <c r="A6029" t="s">
        <v>674</v>
      </c>
      <c r="B6029">
        <v>2021</v>
      </c>
      <c r="C6029" t="s">
        <v>816</v>
      </c>
      <c r="D6029" t="s">
        <v>827</v>
      </c>
      <c r="E6029" t="s">
        <v>675</v>
      </c>
      <c r="F6029" t="s">
        <v>424</v>
      </c>
      <c r="G6029">
        <v>78.966667000000001</v>
      </c>
      <c r="H6029">
        <v>11.5</v>
      </c>
      <c r="J6029" s="2" t="s">
        <v>14</v>
      </c>
      <c r="K6029" t="s">
        <v>95</v>
      </c>
      <c r="L6029" t="s">
        <v>143</v>
      </c>
      <c r="M6029" t="s">
        <v>26</v>
      </c>
      <c r="N6029" t="s">
        <v>85</v>
      </c>
      <c r="O6029" s="6" t="s">
        <v>840</v>
      </c>
      <c r="P6029" t="s">
        <v>70</v>
      </c>
      <c r="Q6029">
        <v>3</v>
      </c>
      <c r="R6029" t="s">
        <v>214</v>
      </c>
      <c r="S6029" s="2" t="s">
        <v>13</v>
      </c>
      <c r="T6029">
        <v>5</v>
      </c>
      <c r="U6029" t="s">
        <v>28</v>
      </c>
      <c r="V6029" t="s">
        <v>28</v>
      </c>
      <c r="W6029">
        <v>17</v>
      </c>
      <c r="X6029">
        <v>3.7909999999999999</v>
      </c>
      <c r="Y6029">
        <f>6.328-X6029</f>
        <v>2.5370000000000004</v>
      </c>
    </row>
    <row r="6030" spans="1:25" x14ac:dyDescent="0.2">
      <c r="A6030" t="s">
        <v>674</v>
      </c>
      <c r="B6030">
        <v>2021</v>
      </c>
      <c r="C6030" t="s">
        <v>816</v>
      </c>
      <c r="D6030" t="s">
        <v>827</v>
      </c>
      <c r="E6030" t="s">
        <v>675</v>
      </c>
      <c r="F6030" t="s">
        <v>424</v>
      </c>
      <c r="G6030">
        <v>78.966667000000001</v>
      </c>
      <c r="H6030">
        <v>11.5</v>
      </c>
      <c r="J6030" s="2" t="s">
        <v>14</v>
      </c>
      <c r="K6030" t="s">
        <v>95</v>
      </c>
      <c r="L6030" t="s">
        <v>143</v>
      </c>
      <c r="M6030" t="s">
        <v>26</v>
      </c>
      <c r="N6030" t="s">
        <v>85</v>
      </c>
      <c r="O6030" s="6" t="s">
        <v>840</v>
      </c>
      <c r="P6030" t="s">
        <v>70</v>
      </c>
      <c r="Q6030">
        <v>3</v>
      </c>
      <c r="R6030" t="s">
        <v>214</v>
      </c>
      <c r="S6030" s="2" t="s">
        <v>15</v>
      </c>
      <c r="T6030">
        <v>5</v>
      </c>
      <c r="U6030" t="s">
        <v>28</v>
      </c>
      <c r="V6030" t="s">
        <v>28</v>
      </c>
      <c r="W6030">
        <v>18</v>
      </c>
      <c r="X6030">
        <v>2.76</v>
      </c>
      <c r="Y6030">
        <f>4.042-X6030</f>
        <v>1.282</v>
      </c>
    </row>
    <row r="6031" spans="1:25" x14ac:dyDescent="0.2">
      <c r="A6031" t="s">
        <v>674</v>
      </c>
      <c r="B6031">
        <v>2021</v>
      </c>
      <c r="C6031" t="s">
        <v>816</v>
      </c>
      <c r="D6031" t="s">
        <v>827</v>
      </c>
      <c r="E6031" t="s">
        <v>675</v>
      </c>
      <c r="F6031" t="s">
        <v>424</v>
      </c>
      <c r="G6031">
        <v>78.966667000000001</v>
      </c>
      <c r="H6031">
        <v>11.5</v>
      </c>
      <c r="J6031" s="2" t="s">
        <v>14</v>
      </c>
      <c r="K6031" t="s">
        <v>95</v>
      </c>
      <c r="L6031" t="s">
        <v>143</v>
      </c>
      <c r="M6031" t="s">
        <v>26</v>
      </c>
      <c r="N6031" t="s">
        <v>85</v>
      </c>
      <c r="O6031" s="6" t="s">
        <v>840</v>
      </c>
      <c r="P6031" t="s">
        <v>70</v>
      </c>
      <c r="Q6031">
        <v>3</v>
      </c>
      <c r="R6031" t="s">
        <v>214</v>
      </c>
      <c r="S6031" s="2" t="s">
        <v>37</v>
      </c>
      <c r="T6031">
        <v>5</v>
      </c>
      <c r="U6031" t="s">
        <v>28</v>
      </c>
      <c r="V6031" t="s">
        <v>28</v>
      </c>
      <c r="W6031">
        <v>19</v>
      </c>
      <c r="X6031">
        <v>1.8120000000000001</v>
      </c>
      <c r="Y6031">
        <f>2.397-X6031</f>
        <v>0.58499999999999974</v>
      </c>
    </row>
    <row r="6032" spans="1:25" x14ac:dyDescent="0.2">
      <c r="A6032" t="s">
        <v>674</v>
      </c>
      <c r="B6032">
        <v>2021</v>
      </c>
      <c r="C6032" t="s">
        <v>816</v>
      </c>
      <c r="D6032" t="s">
        <v>827</v>
      </c>
      <c r="E6032" t="s">
        <v>675</v>
      </c>
      <c r="F6032" t="s">
        <v>424</v>
      </c>
      <c r="G6032">
        <v>78.966667000000001</v>
      </c>
      <c r="H6032">
        <v>11.5</v>
      </c>
      <c r="J6032" s="2" t="s">
        <v>14</v>
      </c>
      <c r="K6032" t="s">
        <v>95</v>
      </c>
      <c r="L6032" t="s">
        <v>143</v>
      </c>
      <c r="M6032" t="s">
        <v>26</v>
      </c>
      <c r="N6032" t="s">
        <v>85</v>
      </c>
      <c r="O6032" s="6" t="s">
        <v>840</v>
      </c>
      <c r="P6032" t="s">
        <v>70</v>
      </c>
      <c r="Q6032">
        <v>3</v>
      </c>
      <c r="R6032" t="s">
        <v>214</v>
      </c>
      <c r="S6032" s="2" t="s">
        <v>116</v>
      </c>
      <c r="T6032">
        <v>5</v>
      </c>
      <c r="U6032" t="s">
        <v>28</v>
      </c>
      <c r="V6032" t="s">
        <v>28</v>
      </c>
      <c r="W6032">
        <v>20</v>
      </c>
      <c r="X6032">
        <v>1.7</v>
      </c>
      <c r="Y6032">
        <f>4.014-X6032</f>
        <v>2.3140000000000001</v>
      </c>
    </row>
    <row r="6033" spans="1:25" x14ac:dyDescent="0.2">
      <c r="A6033" t="s">
        <v>674</v>
      </c>
      <c r="B6033">
        <v>2021</v>
      </c>
      <c r="C6033" t="s">
        <v>816</v>
      </c>
      <c r="D6033" t="s">
        <v>827</v>
      </c>
      <c r="E6033" t="s">
        <v>675</v>
      </c>
      <c r="F6033" t="s">
        <v>424</v>
      </c>
      <c r="G6033">
        <v>78.966667000000001</v>
      </c>
      <c r="H6033">
        <v>11.5</v>
      </c>
      <c r="J6033" s="2" t="s">
        <v>7</v>
      </c>
      <c r="K6033" t="s">
        <v>95</v>
      </c>
      <c r="L6033" t="s">
        <v>143</v>
      </c>
      <c r="M6033" t="s">
        <v>26</v>
      </c>
      <c r="N6033" t="s">
        <v>85</v>
      </c>
      <c r="O6033" s="6" t="s">
        <v>840</v>
      </c>
      <c r="P6033" t="s">
        <v>70</v>
      </c>
      <c r="Q6033">
        <v>7</v>
      </c>
      <c r="R6033" t="s">
        <v>214</v>
      </c>
      <c r="S6033" s="2" t="s">
        <v>7</v>
      </c>
      <c r="T6033">
        <v>5</v>
      </c>
      <c r="U6033" t="s">
        <v>28</v>
      </c>
      <c r="V6033" t="s">
        <v>28</v>
      </c>
      <c r="W6033">
        <v>10</v>
      </c>
      <c r="X6033">
        <v>9.1989999999999998</v>
      </c>
      <c r="Y6033">
        <f>10.146-X6033</f>
        <v>0.94700000000000095</v>
      </c>
    </row>
    <row r="6034" spans="1:25" x14ac:dyDescent="0.2">
      <c r="A6034" t="s">
        <v>674</v>
      </c>
      <c r="B6034">
        <v>2021</v>
      </c>
      <c r="C6034" t="s">
        <v>816</v>
      </c>
      <c r="D6034" t="s">
        <v>827</v>
      </c>
      <c r="E6034" t="s">
        <v>675</v>
      </c>
      <c r="F6034" t="s">
        <v>424</v>
      </c>
      <c r="G6034">
        <v>78.966667000000001</v>
      </c>
      <c r="H6034">
        <v>11.5</v>
      </c>
      <c r="J6034" s="2" t="s">
        <v>14</v>
      </c>
      <c r="K6034" t="s">
        <v>95</v>
      </c>
      <c r="L6034" t="s">
        <v>143</v>
      </c>
      <c r="M6034" t="s">
        <v>26</v>
      </c>
      <c r="N6034" t="s">
        <v>85</v>
      </c>
      <c r="O6034" s="6" t="s">
        <v>840</v>
      </c>
      <c r="P6034" t="s">
        <v>70</v>
      </c>
      <c r="Q6034">
        <v>7</v>
      </c>
      <c r="R6034" t="s">
        <v>214</v>
      </c>
      <c r="S6034" s="2" t="s">
        <v>9</v>
      </c>
      <c r="T6034">
        <v>5</v>
      </c>
      <c r="U6034" t="s">
        <v>28</v>
      </c>
      <c r="V6034" t="s">
        <v>28</v>
      </c>
      <c r="W6034">
        <v>15</v>
      </c>
      <c r="X6034">
        <v>4.0419999999999998</v>
      </c>
      <c r="Y6034">
        <f>5.38-X6034</f>
        <v>1.3380000000000001</v>
      </c>
    </row>
    <row r="6035" spans="1:25" x14ac:dyDescent="0.2">
      <c r="A6035" t="s">
        <v>674</v>
      </c>
      <c r="B6035">
        <v>2021</v>
      </c>
      <c r="C6035" t="s">
        <v>816</v>
      </c>
      <c r="D6035" t="s">
        <v>827</v>
      </c>
      <c r="E6035" t="s">
        <v>675</v>
      </c>
      <c r="F6035" t="s">
        <v>424</v>
      </c>
      <c r="G6035">
        <v>78.966667000000001</v>
      </c>
      <c r="H6035">
        <v>11.5</v>
      </c>
      <c r="J6035" s="2" t="s">
        <v>14</v>
      </c>
      <c r="K6035" t="s">
        <v>95</v>
      </c>
      <c r="L6035" t="s">
        <v>143</v>
      </c>
      <c r="M6035" t="s">
        <v>26</v>
      </c>
      <c r="N6035" t="s">
        <v>85</v>
      </c>
      <c r="O6035" s="6" t="s">
        <v>840</v>
      </c>
      <c r="P6035" t="s">
        <v>70</v>
      </c>
      <c r="Q6035">
        <v>7</v>
      </c>
      <c r="R6035" t="s">
        <v>214</v>
      </c>
      <c r="S6035" s="2" t="s">
        <v>27</v>
      </c>
      <c r="T6035">
        <v>5</v>
      </c>
      <c r="U6035" t="s">
        <v>28</v>
      </c>
      <c r="V6035" t="s">
        <v>28</v>
      </c>
      <c r="W6035">
        <v>16</v>
      </c>
      <c r="X6035">
        <v>0.58499999999999996</v>
      </c>
      <c r="Y6035">
        <f>1.951-X6035</f>
        <v>1.3660000000000001</v>
      </c>
    </row>
    <row r="6036" spans="1:25" x14ac:dyDescent="0.2">
      <c r="A6036" t="s">
        <v>674</v>
      </c>
      <c r="B6036">
        <v>2021</v>
      </c>
      <c r="C6036" t="s">
        <v>816</v>
      </c>
      <c r="D6036" t="s">
        <v>827</v>
      </c>
      <c r="E6036" t="s">
        <v>675</v>
      </c>
      <c r="F6036" t="s">
        <v>424</v>
      </c>
      <c r="G6036">
        <v>78.966667000000001</v>
      </c>
      <c r="H6036">
        <v>11.5</v>
      </c>
      <c r="J6036" s="2" t="s">
        <v>14</v>
      </c>
      <c r="K6036" t="s">
        <v>95</v>
      </c>
      <c r="L6036" t="s">
        <v>143</v>
      </c>
      <c r="M6036" t="s">
        <v>26</v>
      </c>
      <c r="N6036" t="s">
        <v>85</v>
      </c>
      <c r="O6036" s="6" t="s">
        <v>840</v>
      </c>
      <c r="P6036" t="s">
        <v>70</v>
      </c>
      <c r="Q6036">
        <v>7</v>
      </c>
      <c r="R6036" t="s">
        <v>214</v>
      </c>
      <c r="S6036" s="2" t="s">
        <v>13</v>
      </c>
      <c r="T6036">
        <v>5</v>
      </c>
      <c r="U6036" t="s">
        <v>28</v>
      </c>
      <c r="V6036" t="s">
        <v>28</v>
      </c>
      <c r="W6036">
        <v>17</v>
      </c>
      <c r="X6036">
        <v>1.3380000000000001</v>
      </c>
      <c r="Y6036">
        <f>1.979-X6036</f>
        <v>0.64100000000000001</v>
      </c>
    </row>
    <row r="6037" spans="1:25" x14ac:dyDescent="0.2">
      <c r="A6037" t="s">
        <v>674</v>
      </c>
      <c r="B6037">
        <v>2021</v>
      </c>
      <c r="C6037" t="s">
        <v>816</v>
      </c>
      <c r="D6037" t="s">
        <v>827</v>
      </c>
      <c r="E6037" t="s">
        <v>675</v>
      </c>
      <c r="F6037" t="s">
        <v>424</v>
      </c>
      <c r="G6037">
        <v>78.966667000000001</v>
      </c>
      <c r="H6037">
        <v>11.5</v>
      </c>
      <c r="J6037" s="2" t="s">
        <v>14</v>
      </c>
      <c r="K6037" t="s">
        <v>95</v>
      </c>
      <c r="L6037" t="s">
        <v>143</v>
      </c>
      <c r="M6037" t="s">
        <v>26</v>
      </c>
      <c r="N6037" t="s">
        <v>85</v>
      </c>
      <c r="O6037" s="6" t="s">
        <v>840</v>
      </c>
      <c r="P6037" t="s">
        <v>70</v>
      </c>
      <c r="Q6037">
        <v>7</v>
      </c>
      <c r="R6037" t="s">
        <v>214</v>
      </c>
      <c r="S6037" s="2" t="s">
        <v>15</v>
      </c>
      <c r="T6037">
        <v>5</v>
      </c>
      <c r="U6037" t="s">
        <v>28</v>
      </c>
      <c r="V6037" t="s">
        <v>28</v>
      </c>
      <c r="W6037">
        <v>18</v>
      </c>
      <c r="X6037">
        <v>0.41799999999999998</v>
      </c>
      <c r="Y6037">
        <f>1.645-X6037</f>
        <v>1.2270000000000001</v>
      </c>
    </row>
    <row r="6038" spans="1:25" x14ac:dyDescent="0.2">
      <c r="A6038" t="s">
        <v>674</v>
      </c>
      <c r="B6038">
        <v>2021</v>
      </c>
      <c r="C6038" t="s">
        <v>816</v>
      </c>
      <c r="D6038" t="s">
        <v>827</v>
      </c>
      <c r="E6038" t="s">
        <v>675</v>
      </c>
      <c r="F6038" t="s">
        <v>424</v>
      </c>
      <c r="G6038">
        <v>78.966667000000001</v>
      </c>
      <c r="H6038">
        <v>11.5</v>
      </c>
      <c r="J6038" s="2" t="s">
        <v>14</v>
      </c>
      <c r="K6038" t="s">
        <v>95</v>
      </c>
      <c r="L6038" t="s">
        <v>143</v>
      </c>
      <c r="M6038" t="s">
        <v>26</v>
      </c>
      <c r="N6038" t="s">
        <v>85</v>
      </c>
      <c r="O6038" s="6" t="s">
        <v>840</v>
      </c>
      <c r="P6038" t="s">
        <v>70</v>
      </c>
      <c r="Q6038">
        <v>7</v>
      </c>
      <c r="R6038" t="s">
        <v>214</v>
      </c>
      <c r="S6038" s="2" t="s">
        <v>37</v>
      </c>
      <c r="T6038">
        <v>5</v>
      </c>
      <c r="U6038" t="s">
        <v>28</v>
      </c>
      <c r="V6038" t="s">
        <v>28</v>
      </c>
      <c r="W6038">
        <v>19</v>
      </c>
      <c r="X6038">
        <v>1.0589999999999999</v>
      </c>
      <c r="Y6038">
        <f>1.728-X6038</f>
        <v>0.66900000000000004</v>
      </c>
    </row>
    <row r="6039" spans="1:25" x14ac:dyDescent="0.2">
      <c r="A6039" t="s">
        <v>674</v>
      </c>
      <c r="B6039">
        <v>2021</v>
      </c>
      <c r="C6039" t="s">
        <v>816</v>
      </c>
      <c r="D6039" t="s">
        <v>827</v>
      </c>
      <c r="E6039" t="s">
        <v>675</v>
      </c>
      <c r="F6039" t="s">
        <v>424</v>
      </c>
      <c r="G6039">
        <v>78.966667000000001</v>
      </c>
      <c r="H6039">
        <v>11.5</v>
      </c>
      <c r="J6039" s="2" t="s">
        <v>14</v>
      </c>
      <c r="K6039" t="s">
        <v>95</v>
      </c>
      <c r="L6039" t="s">
        <v>143</v>
      </c>
      <c r="M6039" t="s">
        <v>26</v>
      </c>
      <c r="N6039" t="s">
        <v>85</v>
      </c>
      <c r="O6039" s="6" t="s">
        <v>840</v>
      </c>
      <c r="P6039" t="s">
        <v>70</v>
      </c>
      <c r="Q6039">
        <v>7</v>
      </c>
      <c r="R6039" t="s">
        <v>214</v>
      </c>
      <c r="S6039" s="2" t="s">
        <v>116</v>
      </c>
      <c r="T6039">
        <v>5</v>
      </c>
      <c r="U6039" t="s">
        <v>28</v>
      </c>
      <c r="V6039" t="s">
        <v>28</v>
      </c>
      <c r="W6039">
        <v>20</v>
      </c>
      <c r="X6039">
        <v>-0.83599999999999997</v>
      </c>
      <c r="Y6039">
        <f>ABS(-2.871-X6039)</f>
        <v>2.0350000000000001</v>
      </c>
    </row>
    <row r="6040" spans="1:25" x14ac:dyDescent="0.2">
      <c r="A6040" t="s">
        <v>674</v>
      </c>
      <c r="B6040">
        <v>2021</v>
      </c>
      <c r="C6040" t="s">
        <v>816</v>
      </c>
      <c r="D6040" t="s">
        <v>827</v>
      </c>
      <c r="E6040" t="s">
        <v>675</v>
      </c>
      <c r="F6040" t="s">
        <v>424</v>
      </c>
      <c r="G6040">
        <v>78.966667000000001</v>
      </c>
      <c r="H6040">
        <v>11.5</v>
      </c>
      <c r="J6040" s="2" t="s">
        <v>7</v>
      </c>
      <c r="K6040" t="s">
        <v>95</v>
      </c>
      <c r="L6040" t="s">
        <v>143</v>
      </c>
      <c r="M6040" t="s">
        <v>26</v>
      </c>
      <c r="N6040" t="s">
        <v>85</v>
      </c>
      <c r="O6040" s="6" t="s">
        <v>840</v>
      </c>
      <c r="P6040" t="s">
        <v>70</v>
      </c>
      <c r="Q6040">
        <v>11</v>
      </c>
      <c r="R6040" s="2" t="s">
        <v>214</v>
      </c>
      <c r="S6040" s="2" t="s">
        <v>7</v>
      </c>
      <c r="T6040" s="2">
        <v>5</v>
      </c>
      <c r="U6040" s="2" t="s">
        <v>28</v>
      </c>
      <c r="V6040" s="2" t="s">
        <v>28</v>
      </c>
      <c r="W6040" s="2">
        <v>10</v>
      </c>
      <c r="X6040">
        <v>6.9969999999999999</v>
      </c>
      <c r="Y6040">
        <f>9.143-X6040</f>
        <v>2.1460000000000008</v>
      </c>
    </row>
    <row r="6041" spans="1:25" x14ac:dyDescent="0.2">
      <c r="A6041" t="s">
        <v>674</v>
      </c>
      <c r="B6041">
        <v>2021</v>
      </c>
      <c r="C6041" t="s">
        <v>816</v>
      </c>
      <c r="D6041" t="s">
        <v>827</v>
      </c>
      <c r="E6041" t="s">
        <v>675</v>
      </c>
      <c r="F6041" t="s">
        <v>424</v>
      </c>
      <c r="G6041">
        <v>78.966667000000001</v>
      </c>
      <c r="H6041">
        <v>11.5</v>
      </c>
      <c r="J6041" s="2" t="s">
        <v>14</v>
      </c>
      <c r="K6041" t="s">
        <v>95</v>
      </c>
      <c r="L6041" t="s">
        <v>143</v>
      </c>
      <c r="M6041" t="s">
        <v>26</v>
      </c>
      <c r="N6041" t="s">
        <v>85</v>
      </c>
      <c r="O6041" s="6" t="s">
        <v>840</v>
      </c>
      <c r="P6041" t="s">
        <v>70</v>
      </c>
      <c r="Q6041">
        <v>11</v>
      </c>
      <c r="R6041" s="2" t="s">
        <v>214</v>
      </c>
      <c r="S6041" s="2" t="s">
        <v>9</v>
      </c>
      <c r="T6041" s="2">
        <v>5</v>
      </c>
      <c r="U6041" s="2" t="s">
        <v>28</v>
      </c>
      <c r="V6041" s="2" t="s">
        <v>28</v>
      </c>
      <c r="W6041" s="2">
        <v>15</v>
      </c>
      <c r="X6041">
        <v>2.5640000000000001</v>
      </c>
      <c r="Y6041">
        <f>4.376-X6041</f>
        <v>1.8120000000000003</v>
      </c>
    </row>
    <row r="6042" spans="1:25" x14ac:dyDescent="0.2">
      <c r="A6042" t="s">
        <v>674</v>
      </c>
      <c r="B6042">
        <v>2021</v>
      </c>
      <c r="C6042" t="s">
        <v>816</v>
      </c>
      <c r="D6042" t="s">
        <v>827</v>
      </c>
      <c r="E6042" t="s">
        <v>675</v>
      </c>
      <c r="F6042" t="s">
        <v>424</v>
      </c>
      <c r="G6042">
        <v>78.966667000000001</v>
      </c>
      <c r="H6042">
        <v>11.5</v>
      </c>
      <c r="J6042" s="2" t="s">
        <v>14</v>
      </c>
      <c r="K6042" t="s">
        <v>95</v>
      </c>
      <c r="L6042" t="s">
        <v>143</v>
      </c>
      <c r="M6042" t="s">
        <v>26</v>
      </c>
      <c r="N6042" t="s">
        <v>85</v>
      </c>
      <c r="O6042" s="6" t="s">
        <v>840</v>
      </c>
      <c r="P6042" t="s">
        <v>70</v>
      </c>
      <c r="Q6042">
        <v>11</v>
      </c>
      <c r="R6042" s="2" t="s">
        <v>214</v>
      </c>
      <c r="S6042" s="2" t="s">
        <v>27</v>
      </c>
      <c r="T6042" s="2">
        <v>5</v>
      </c>
      <c r="U6042" s="2" t="s">
        <v>28</v>
      </c>
      <c r="V6042" s="2" t="s">
        <v>28</v>
      </c>
      <c r="W6042" s="2">
        <v>16</v>
      </c>
      <c r="X6042">
        <v>1.9790000000000001</v>
      </c>
      <c r="Y6042">
        <f>2.955-X6042</f>
        <v>0.97599999999999998</v>
      </c>
    </row>
    <row r="6043" spans="1:25" x14ac:dyDescent="0.2">
      <c r="A6043" t="s">
        <v>674</v>
      </c>
      <c r="B6043">
        <v>2021</v>
      </c>
      <c r="C6043" t="s">
        <v>816</v>
      </c>
      <c r="D6043" t="s">
        <v>827</v>
      </c>
      <c r="E6043" t="s">
        <v>675</v>
      </c>
      <c r="F6043" t="s">
        <v>424</v>
      </c>
      <c r="G6043">
        <v>78.966667000000001</v>
      </c>
      <c r="H6043">
        <v>11.5</v>
      </c>
      <c r="J6043" s="2" t="s">
        <v>14</v>
      </c>
      <c r="K6043" t="s">
        <v>95</v>
      </c>
      <c r="L6043" t="s">
        <v>143</v>
      </c>
      <c r="M6043" t="s">
        <v>26</v>
      </c>
      <c r="N6043" t="s">
        <v>85</v>
      </c>
      <c r="O6043" s="6" t="s">
        <v>840</v>
      </c>
      <c r="P6043" t="s">
        <v>70</v>
      </c>
      <c r="Q6043">
        <v>11</v>
      </c>
      <c r="R6043" s="2" t="s">
        <v>214</v>
      </c>
      <c r="S6043" s="2" t="s">
        <v>13</v>
      </c>
      <c r="T6043" s="2">
        <v>5</v>
      </c>
      <c r="U6043" s="2" t="s">
        <v>28</v>
      </c>
      <c r="V6043" s="2" t="s">
        <v>28</v>
      </c>
      <c r="W6043" s="2">
        <v>17</v>
      </c>
      <c r="X6043">
        <v>1.1990000000000001</v>
      </c>
      <c r="Y6043">
        <f>1.923-X6043</f>
        <v>0.72399999999999998</v>
      </c>
    </row>
    <row r="6044" spans="1:25" x14ac:dyDescent="0.2">
      <c r="A6044" t="s">
        <v>674</v>
      </c>
      <c r="B6044">
        <v>2021</v>
      </c>
      <c r="C6044" t="s">
        <v>816</v>
      </c>
      <c r="D6044" t="s">
        <v>827</v>
      </c>
      <c r="E6044" t="s">
        <v>675</v>
      </c>
      <c r="F6044" t="s">
        <v>424</v>
      </c>
      <c r="G6044">
        <v>78.966667000000001</v>
      </c>
      <c r="H6044">
        <v>11.5</v>
      </c>
      <c r="J6044" s="2" t="s">
        <v>14</v>
      </c>
      <c r="K6044" t="s">
        <v>95</v>
      </c>
      <c r="L6044" t="s">
        <v>143</v>
      </c>
      <c r="M6044" t="s">
        <v>26</v>
      </c>
      <c r="N6044" t="s">
        <v>85</v>
      </c>
      <c r="O6044" s="6" t="s">
        <v>840</v>
      </c>
      <c r="P6044" t="s">
        <v>70</v>
      </c>
      <c r="Q6044">
        <v>11</v>
      </c>
      <c r="R6044" s="2" t="s">
        <v>214</v>
      </c>
      <c r="S6044" s="2" t="s">
        <v>15</v>
      </c>
      <c r="T6044" s="2">
        <v>5</v>
      </c>
      <c r="U6044" s="2" t="s">
        <v>28</v>
      </c>
      <c r="V6044" s="2" t="s">
        <v>28</v>
      </c>
      <c r="W6044" s="2">
        <v>18</v>
      </c>
      <c r="X6044">
        <v>0.33400000000000002</v>
      </c>
      <c r="Y6044">
        <f>1.812-X6044</f>
        <v>1.478</v>
      </c>
    </row>
    <row r="6045" spans="1:25" x14ac:dyDescent="0.2">
      <c r="A6045" t="s">
        <v>674</v>
      </c>
      <c r="B6045">
        <v>2021</v>
      </c>
      <c r="C6045" t="s">
        <v>816</v>
      </c>
      <c r="D6045" t="s">
        <v>827</v>
      </c>
      <c r="E6045" t="s">
        <v>675</v>
      </c>
      <c r="F6045" t="s">
        <v>424</v>
      </c>
      <c r="G6045">
        <v>78.966667000000001</v>
      </c>
      <c r="H6045">
        <v>11.5</v>
      </c>
      <c r="J6045" s="2" t="s">
        <v>14</v>
      </c>
      <c r="K6045" t="s">
        <v>95</v>
      </c>
      <c r="L6045" t="s">
        <v>143</v>
      </c>
      <c r="M6045" t="s">
        <v>26</v>
      </c>
      <c r="N6045" t="s">
        <v>85</v>
      </c>
      <c r="O6045" s="6" t="s">
        <v>840</v>
      </c>
      <c r="P6045" t="s">
        <v>70</v>
      </c>
      <c r="Q6045">
        <v>11</v>
      </c>
      <c r="R6045" s="2" t="s">
        <v>214</v>
      </c>
      <c r="S6045" s="2" t="s">
        <v>37</v>
      </c>
      <c r="T6045" s="2">
        <v>5</v>
      </c>
      <c r="U6045" s="2" t="s">
        <v>28</v>
      </c>
      <c r="V6045" s="2" t="s">
        <v>28</v>
      </c>
      <c r="W6045" s="2">
        <v>19</v>
      </c>
      <c r="X6045">
        <v>-0.66900000000000004</v>
      </c>
      <c r="Y6045">
        <f>ABS(-1.031-X6045)</f>
        <v>0.36199999999999988</v>
      </c>
    </row>
    <row r="6046" spans="1:25" x14ac:dyDescent="0.2">
      <c r="A6046" t="s">
        <v>674</v>
      </c>
      <c r="B6046">
        <v>2021</v>
      </c>
      <c r="C6046" t="s">
        <v>816</v>
      </c>
      <c r="D6046" t="s">
        <v>827</v>
      </c>
      <c r="E6046" t="s">
        <v>675</v>
      </c>
      <c r="F6046" t="s">
        <v>424</v>
      </c>
      <c r="G6046">
        <v>78.966667000000001</v>
      </c>
      <c r="H6046">
        <v>11.5</v>
      </c>
      <c r="J6046" s="2" t="s">
        <v>14</v>
      </c>
      <c r="K6046" t="s">
        <v>95</v>
      </c>
      <c r="L6046" t="s">
        <v>143</v>
      </c>
      <c r="M6046" t="s">
        <v>26</v>
      </c>
      <c r="N6046" t="s">
        <v>85</v>
      </c>
      <c r="O6046" s="6" t="s">
        <v>840</v>
      </c>
      <c r="P6046" t="s">
        <v>70</v>
      </c>
      <c r="Q6046">
        <v>11</v>
      </c>
      <c r="R6046" s="2" t="s">
        <v>214</v>
      </c>
      <c r="S6046" s="2" t="s">
        <v>116</v>
      </c>
      <c r="T6046" s="2">
        <v>5</v>
      </c>
      <c r="U6046" s="2" t="s">
        <v>28</v>
      </c>
      <c r="V6046" s="2" t="s">
        <v>28</v>
      </c>
      <c r="W6046" s="2">
        <v>20</v>
      </c>
      <c r="X6046">
        <v>-1.923</v>
      </c>
      <c r="Y6046">
        <f>ABS(-2.592-X6046)</f>
        <v>0.66900000000000004</v>
      </c>
    </row>
    <row r="6047" spans="1:25" x14ac:dyDescent="0.2">
      <c r="A6047" t="s">
        <v>674</v>
      </c>
      <c r="B6047">
        <v>2021</v>
      </c>
      <c r="C6047" t="s">
        <v>816</v>
      </c>
      <c r="D6047" t="s">
        <v>827</v>
      </c>
      <c r="E6047" t="s">
        <v>675</v>
      </c>
      <c r="F6047" t="s">
        <v>424</v>
      </c>
      <c r="G6047">
        <v>78.966667000000001</v>
      </c>
      <c r="H6047">
        <v>11.5</v>
      </c>
      <c r="J6047" s="2" t="s">
        <v>7</v>
      </c>
      <c r="K6047" t="s">
        <v>95</v>
      </c>
      <c r="L6047" t="s">
        <v>143</v>
      </c>
      <c r="M6047" t="s">
        <v>26</v>
      </c>
      <c r="N6047" t="s">
        <v>85</v>
      </c>
      <c r="O6047" s="6" t="s">
        <v>840</v>
      </c>
      <c r="P6047" t="s">
        <v>70</v>
      </c>
      <c r="Q6047">
        <v>14</v>
      </c>
      <c r="R6047" s="2" t="s">
        <v>213</v>
      </c>
      <c r="S6047" s="2" t="s">
        <v>7</v>
      </c>
      <c r="T6047" s="2">
        <v>5</v>
      </c>
      <c r="U6047" s="2" t="s">
        <v>28</v>
      </c>
      <c r="V6047" s="2" t="s">
        <v>28</v>
      </c>
      <c r="W6047" s="2">
        <v>10</v>
      </c>
      <c r="X6047">
        <v>4.6829999999999998</v>
      </c>
      <c r="Y6047">
        <f>6.021-X6047</f>
        <v>1.3380000000000001</v>
      </c>
    </row>
    <row r="6048" spans="1:25" x14ac:dyDescent="0.2">
      <c r="A6048" t="s">
        <v>674</v>
      </c>
      <c r="B6048">
        <v>2021</v>
      </c>
      <c r="C6048" t="s">
        <v>816</v>
      </c>
      <c r="D6048" t="s">
        <v>827</v>
      </c>
      <c r="E6048" t="s">
        <v>675</v>
      </c>
      <c r="F6048" t="s">
        <v>424</v>
      </c>
      <c r="G6048">
        <v>78.966667000000001</v>
      </c>
      <c r="H6048">
        <v>11.5</v>
      </c>
      <c r="J6048" s="2" t="s">
        <v>14</v>
      </c>
      <c r="K6048" t="s">
        <v>95</v>
      </c>
      <c r="L6048" t="s">
        <v>143</v>
      </c>
      <c r="M6048" t="s">
        <v>26</v>
      </c>
      <c r="N6048" t="s">
        <v>85</v>
      </c>
      <c r="O6048" s="6" t="s">
        <v>840</v>
      </c>
      <c r="P6048" t="s">
        <v>70</v>
      </c>
      <c r="Q6048">
        <v>14</v>
      </c>
      <c r="R6048" s="2" t="s">
        <v>213</v>
      </c>
      <c r="S6048" s="2" t="s">
        <v>9</v>
      </c>
      <c r="T6048" s="2">
        <v>5</v>
      </c>
      <c r="U6048" s="2" t="s">
        <v>28</v>
      </c>
      <c r="V6048" s="2" t="s">
        <v>28</v>
      </c>
      <c r="W6048" s="2">
        <v>15</v>
      </c>
      <c r="X6048">
        <v>2.8149999999999999</v>
      </c>
      <c r="Y6048">
        <f>3.652-X6048</f>
        <v>0.83700000000000019</v>
      </c>
    </row>
    <row r="6049" spans="1:25" x14ac:dyDescent="0.2">
      <c r="A6049" t="s">
        <v>674</v>
      </c>
      <c r="B6049">
        <v>2021</v>
      </c>
      <c r="C6049" t="s">
        <v>816</v>
      </c>
      <c r="D6049" t="s">
        <v>827</v>
      </c>
      <c r="E6049" t="s">
        <v>675</v>
      </c>
      <c r="F6049" t="s">
        <v>424</v>
      </c>
      <c r="G6049">
        <v>78.966667000000001</v>
      </c>
      <c r="H6049">
        <v>11.5</v>
      </c>
      <c r="J6049" s="2" t="s">
        <v>14</v>
      </c>
      <c r="K6049" t="s">
        <v>95</v>
      </c>
      <c r="L6049" t="s">
        <v>143</v>
      </c>
      <c r="M6049" t="s">
        <v>26</v>
      </c>
      <c r="N6049" t="s">
        <v>85</v>
      </c>
      <c r="O6049" s="6" t="s">
        <v>840</v>
      </c>
      <c r="P6049" t="s">
        <v>70</v>
      </c>
      <c r="Q6049">
        <v>14</v>
      </c>
      <c r="R6049" s="2" t="s">
        <v>213</v>
      </c>
      <c r="S6049" s="2" t="s">
        <v>27</v>
      </c>
      <c r="T6049" s="2">
        <v>5</v>
      </c>
      <c r="U6049" s="2" t="s">
        <v>28</v>
      </c>
      <c r="V6049" s="2" t="s">
        <v>28</v>
      </c>
      <c r="W6049" s="2">
        <v>16</v>
      </c>
      <c r="X6049">
        <v>0.89200000000000002</v>
      </c>
      <c r="Y6049">
        <f>2.007-X6049</f>
        <v>1.1150000000000002</v>
      </c>
    </row>
    <row r="6050" spans="1:25" x14ac:dyDescent="0.2">
      <c r="A6050" t="s">
        <v>674</v>
      </c>
      <c r="B6050">
        <v>2021</v>
      </c>
      <c r="C6050" t="s">
        <v>816</v>
      </c>
      <c r="D6050" t="s">
        <v>827</v>
      </c>
      <c r="E6050" t="s">
        <v>675</v>
      </c>
      <c r="F6050" t="s">
        <v>424</v>
      </c>
      <c r="G6050">
        <v>78.966667000000001</v>
      </c>
      <c r="H6050">
        <v>11.5</v>
      </c>
      <c r="J6050" s="2" t="s">
        <v>14</v>
      </c>
      <c r="K6050" t="s">
        <v>95</v>
      </c>
      <c r="L6050" t="s">
        <v>143</v>
      </c>
      <c r="M6050" t="s">
        <v>26</v>
      </c>
      <c r="N6050" t="s">
        <v>85</v>
      </c>
      <c r="O6050" s="6" t="s">
        <v>840</v>
      </c>
      <c r="P6050" t="s">
        <v>70</v>
      </c>
      <c r="Q6050">
        <v>14</v>
      </c>
      <c r="R6050" s="2" t="s">
        <v>213</v>
      </c>
      <c r="S6050" s="2" t="s">
        <v>13</v>
      </c>
      <c r="T6050" s="2">
        <v>5</v>
      </c>
      <c r="U6050" s="2" t="s">
        <v>28</v>
      </c>
      <c r="V6050" s="2" t="s">
        <v>28</v>
      </c>
      <c r="W6050" s="2">
        <v>17</v>
      </c>
      <c r="X6050">
        <v>-0.111</v>
      </c>
      <c r="Y6050">
        <f>ABS(-0.53-X6050)</f>
        <v>0.41900000000000004</v>
      </c>
    </row>
    <row r="6051" spans="1:25" x14ac:dyDescent="0.2">
      <c r="A6051" t="s">
        <v>674</v>
      </c>
      <c r="B6051">
        <v>2021</v>
      </c>
      <c r="C6051" t="s">
        <v>816</v>
      </c>
      <c r="D6051" t="s">
        <v>827</v>
      </c>
      <c r="E6051" t="s">
        <v>675</v>
      </c>
      <c r="F6051" t="s">
        <v>424</v>
      </c>
      <c r="G6051">
        <v>78.966667000000001</v>
      </c>
      <c r="H6051">
        <v>11.5</v>
      </c>
      <c r="J6051" s="2" t="s">
        <v>14</v>
      </c>
      <c r="K6051" t="s">
        <v>95</v>
      </c>
      <c r="L6051" t="s">
        <v>143</v>
      </c>
      <c r="M6051" t="s">
        <v>26</v>
      </c>
      <c r="N6051" t="s">
        <v>85</v>
      </c>
      <c r="O6051" s="6" t="s">
        <v>840</v>
      </c>
      <c r="P6051" t="s">
        <v>70</v>
      </c>
      <c r="Q6051">
        <v>14</v>
      </c>
      <c r="R6051" s="2" t="s">
        <v>213</v>
      </c>
      <c r="S6051" s="2" t="s">
        <v>15</v>
      </c>
      <c r="T6051" s="2">
        <v>5</v>
      </c>
      <c r="U6051" s="2" t="s">
        <v>28</v>
      </c>
      <c r="V6051" s="2" t="s">
        <v>28</v>
      </c>
      <c r="W6051" s="2">
        <v>18</v>
      </c>
      <c r="X6051">
        <v>-0.111</v>
      </c>
      <c r="Y6051">
        <f>ABS(-1.645-X6051)</f>
        <v>1.534</v>
      </c>
    </row>
    <row r="6052" spans="1:25" x14ac:dyDescent="0.2">
      <c r="A6052" t="s">
        <v>674</v>
      </c>
      <c r="B6052">
        <v>2021</v>
      </c>
      <c r="C6052" t="s">
        <v>816</v>
      </c>
      <c r="D6052" t="s">
        <v>827</v>
      </c>
      <c r="E6052" t="s">
        <v>675</v>
      </c>
      <c r="F6052" t="s">
        <v>424</v>
      </c>
      <c r="G6052">
        <v>78.966667000000001</v>
      </c>
      <c r="H6052">
        <v>11.5</v>
      </c>
      <c r="J6052" s="2" t="s">
        <v>14</v>
      </c>
      <c r="K6052" t="s">
        <v>95</v>
      </c>
      <c r="L6052" t="s">
        <v>143</v>
      </c>
      <c r="M6052" t="s">
        <v>26</v>
      </c>
      <c r="N6052" t="s">
        <v>85</v>
      </c>
      <c r="O6052" s="6" t="s">
        <v>840</v>
      </c>
      <c r="P6052" t="s">
        <v>70</v>
      </c>
      <c r="Q6052">
        <v>14</v>
      </c>
      <c r="R6052" s="2" t="s">
        <v>213</v>
      </c>
      <c r="S6052" s="2" t="s">
        <v>37</v>
      </c>
      <c r="T6052" s="2">
        <v>5</v>
      </c>
      <c r="U6052" s="2" t="s">
        <v>28</v>
      </c>
      <c r="V6052" s="2" t="s">
        <v>28</v>
      </c>
      <c r="W6052" s="2">
        <v>19</v>
      </c>
      <c r="X6052">
        <v>-0.92</v>
      </c>
      <c r="Y6052">
        <f>ABS(-1.338-X6052)</f>
        <v>0.41800000000000004</v>
      </c>
    </row>
    <row r="6053" spans="1:25" x14ac:dyDescent="0.2">
      <c r="A6053" t="s">
        <v>674</v>
      </c>
      <c r="B6053">
        <v>2021</v>
      </c>
      <c r="C6053" t="s">
        <v>816</v>
      </c>
      <c r="D6053" t="s">
        <v>827</v>
      </c>
      <c r="E6053" t="s">
        <v>675</v>
      </c>
      <c r="F6053" t="s">
        <v>424</v>
      </c>
      <c r="G6053">
        <v>78.966667000000001</v>
      </c>
      <c r="H6053">
        <v>11.5</v>
      </c>
      <c r="J6053" s="2" t="s">
        <v>14</v>
      </c>
      <c r="K6053" t="s">
        <v>95</v>
      </c>
      <c r="L6053" t="s">
        <v>143</v>
      </c>
      <c r="M6053" t="s">
        <v>26</v>
      </c>
      <c r="N6053" t="s">
        <v>85</v>
      </c>
      <c r="O6053" s="6" t="s">
        <v>840</v>
      </c>
      <c r="P6053" t="s">
        <v>70</v>
      </c>
      <c r="Q6053">
        <v>14</v>
      </c>
      <c r="R6053" s="2" t="s">
        <v>213</v>
      </c>
      <c r="S6053" s="2" t="s">
        <v>116</v>
      </c>
      <c r="T6053" s="2">
        <v>5</v>
      </c>
      <c r="U6053" s="2" t="s">
        <v>28</v>
      </c>
      <c r="V6053" s="2" t="s">
        <v>28</v>
      </c>
      <c r="W6053" s="2">
        <v>20</v>
      </c>
      <c r="X6053">
        <v>-0.64100000000000001</v>
      </c>
      <c r="Y6053">
        <f>ABS(-1.868-X6053)</f>
        <v>1.2270000000000001</v>
      </c>
    </row>
    <row r="6054" spans="1:25" x14ac:dyDescent="0.2">
      <c r="A6054" t="s">
        <v>674</v>
      </c>
      <c r="B6054">
        <v>2021</v>
      </c>
      <c r="C6054" t="s">
        <v>816</v>
      </c>
      <c r="D6054" t="s">
        <v>817</v>
      </c>
      <c r="E6054" t="s">
        <v>31</v>
      </c>
      <c r="F6054" t="s">
        <v>424</v>
      </c>
      <c r="G6054">
        <v>78.966667000000001</v>
      </c>
      <c r="H6054">
        <v>11.5</v>
      </c>
      <c r="J6054" s="2" t="s">
        <v>7</v>
      </c>
      <c r="K6054" t="s">
        <v>95</v>
      </c>
      <c r="L6054" t="s">
        <v>143</v>
      </c>
      <c r="M6054" t="s">
        <v>726</v>
      </c>
      <c r="N6054" t="s">
        <v>85</v>
      </c>
      <c r="O6054" t="s">
        <v>84</v>
      </c>
      <c r="Q6054">
        <v>3</v>
      </c>
      <c r="R6054" t="s">
        <v>214</v>
      </c>
      <c r="S6054" s="2" t="s">
        <v>7</v>
      </c>
      <c r="T6054">
        <v>5</v>
      </c>
      <c r="U6054" t="s">
        <v>28</v>
      </c>
      <c r="V6054" t="s">
        <v>28</v>
      </c>
      <c r="W6054">
        <v>10</v>
      </c>
      <c r="X6054">
        <v>0.72839999999999994</v>
      </c>
      <c r="Y6054">
        <v>1.9982492337046007E-2</v>
      </c>
    </row>
    <row r="6055" spans="1:25" x14ac:dyDescent="0.2">
      <c r="A6055" t="s">
        <v>674</v>
      </c>
      <c r="B6055">
        <v>2021</v>
      </c>
      <c r="C6055" t="s">
        <v>816</v>
      </c>
      <c r="D6055" t="s">
        <v>817</v>
      </c>
      <c r="E6055" t="s">
        <v>31</v>
      </c>
      <c r="F6055" t="s">
        <v>424</v>
      </c>
      <c r="G6055">
        <v>78.966667000000001</v>
      </c>
      <c r="H6055">
        <v>11.5</v>
      </c>
      <c r="J6055" s="2" t="s">
        <v>14</v>
      </c>
      <c r="K6055" t="s">
        <v>95</v>
      </c>
      <c r="L6055" t="s">
        <v>143</v>
      </c>
      <c r="M6055" t="s">
        <v>726</v>
      </c>
      <c r="N6055" t="s">
        <v>85</v>
      </c>
      <c r="O6055" t="s">
        <v>84</v>
      </c>
      <c r="Q6055">
        <v>3</v>
      </c>
      <c r="R6055" t="s">
        <v>214</v>
      </c>
      <c r="S6055" s="2" t="s">
        <v>9</v>
      </c>
      <c r="T6055">
        <v>5</v>
      </c>
      <c r="U6055" t="s">
        <v>28</v>
      </c>
      <c r="V6055" t="s">
        <v>28</v>
      </c>
      <c r="W6055">
        <v>15</v>
      </c>
      <c r="X6055">
        <v>0.7278</v>
      </c>
      <c r="Y6055">
        <v>1.0616025621665321E-2</v>
      </c>
    </row>
    <row r="6056" spans="1:25" x14ac:dyDescent="0.2">
      <c r="A6056" t="s">
        <v>674</v>
      </c>
      <c r="B6056">
        <v>2021</v>
      </c>
      <c r="C6056" t="s">
        <v>816</v>
      </c>
      <c r="D6056" t="s">
        <v>817</v>
      </c>
      <c r="E6056" t="s">
        <v>31</v>
      </c>
      <c r="F6056" t="s">
        <v>424</v>
      </c>
      <c r="G6056">
        <v>78.966667000000001</v>
      </c>
      <c r="H6056">
        <v>11.5</v>
      </c>
      <c r="J6056" s="2" t="s">
        <v>14</v>
      </c>
      <c r="K6056" t="s">
        <v>95</v>
      </c>
      <c r="L6056" t="s">
        <v>143</v>
      </c>
      <c r="M6056" t="s">
        <v>726</v>
      </c>
      <c r="N6056" t="s">
        <v>85</v>
      </c>
      <c r="O6056" t="s">
        <v>84</v>
      </c>
      <c r="Q6056">
        <v>3</v>
      </c>
      <c r="R6056" t="s">
        <v>214</v>
      </c>
      <c r="S6056" s="2" t="s">
        <v>15</v>
      </c>
      <c r="T6056">
        <v>5</v>
      </c>
      <c r="U6056" t="s">
        <v>28</v>
      </c>
      <c r="V6056" t="s">
        <v>28</v>
      </c>
      <c r="W6056">
        <v>18</v>
      </c>
      <c r="X6056">
        <v>0.75660000000000005</v>
      </c>
      <c r="Y6056">
        <v>6.8774995456096794E-3</v>
      </c>
    </row>
    <row r="6057" spans="1:25" x14ac:dyDescent="0.2">
      <c r="A6057" t="s">
        <v>674</v>
      </c>
      <c r="B6057">
        <v>2021</v>
      </c>
      <c r="C6057" t="s">
        <v>816</v>
      </c>
      <c r="D6057" t="s">
        <v>817</v>
      </c>
      <c r="E6057" t="s">
        <v>31</v>
      </c>
      <c r="F6057" t="s">
        <v>424</v>
      </c>
      <c r="G6057">
        <v>78.966667000000001</v>
      </c>
      <c r="H6057">
        <v>11.5</v>
      </c>
      <c r="J6057" s="2" t="s">
        <v>14</v>
      </c>
      <c r="K6057" t="s">
        <v>95</v>
      </c>
      <c r="L6057" t="s">
        <v>143</v>
      </c>
      <c r="M6057" t="s">
        <v>726</v>
      </c>
      <c r="N6057" t="s">
        <v>85</v>
      </c>
      <c r="O6057" t="s">
        <v>84</v>
      </c>
      <c r="Q6057">
        <v>3</v>
      </c>
      <c r="R6057" t="s">
        <v>214</v>
      </c>
      <c r="S6057" s="2" t="s">
        <v>37</v>
      </c>
      <c r="T6057">
        <v>5</v>
      </c>
      <c r="U6057" t="s">
        <v>28</v>
      </c>
      <c r="V6057" t="s">
        <v>28</v>
      </c>
      <c r="W6057">
        <v>19</v>
      </c>
      <c r="X6057">
        <v>0.75180000000000002</v>
      </c>
      <c r="Y6057">
        <v>9.9849887330839705E-3</v>
      </c>
    </row>
    <row r="6058" spans="1:25" x14ac:dyDescent="0.2">
      <c r="A6058" t="s">
        <v>674</v>
      </c>
      <c r="B6058">
        <v>2021</v>
      </c>
      <c r="C6058" t="s">
        <v>816</v>
      </c>
      <c r="D6058" t="s">
        <v>817</v>
      </c>
      <c r="E6058" t="s">
        <v>31</v>
      </c>
      <c r="F6058" t="s">
        <v>424</v>
      </c>
      <c r="G6058">
        <v>78.966667000000001</v>
      </c>
      <c r="H6058">
        <v>11.5</v>
      </c>
      <c r="J6058" s="2" t="s">
        <v>14</v>
      </c>
      <c r="K6058" t="s">
        <v>95</v>
      </c>
      <c r="L6058" t="s">
        <v>143</v>
      </c>
      <c r="M6058" t="s">
        <v>726</v>
      </c>
      <c r="N6058" t="s">
        <v>85</v>
      </c>
      <c r="O6058" t="s">
        <v>84</v>
      </c>
      <c r="Q6058">
        <v>3</v>
      </c>
      <c r="R6058" t="s">
        <v>214</v>
      </c>
      <c r="S6058" s="2" t="s">
        <v>116</v>
      </c>
      <c r="T6058">
        <v>5</v>
      </c>
      <c r="U6058" t="s">
        <v>28</v>
      </c>
      <c r="V6058" t="s">
        <v>28</v>
      </c>
      <c r="W6058">
        <v>20</v>
      </c>
      <c r="X6058">
        <v>0.75580000000000003</v>
      </c>
      <c r="Y6058">
        <v>9.2032602918835048E-3</v>
      </c>
    </row>
    <row r="6059" spans="1:25" x14ac:dyDescent="0.2">
      <c r="A6059" t="s">
        <v>674</v>
      </c>
      <c r="B6059">
        <v>2021</v>
      </c>
      <c r="C6059" t="s">
        <v>816</v>
      </c>
      <c r="D6059" t="s">
        <v>817</v>
      </c>
      <c r="E6059" t="s">
        <v>31</v>
      </c>
      <c r="F6059" t="s">
        <v>424</v>
      </c>
      <c r="G6059">
        <v>78.966667000000001</v>
      </c>
      <c r="H6059">
        <v>11.5</v>
      </c>
      <c r="J6059" s="2" t="s">
        <v>14</v>
      </c>
      <c r="K6059" t="s">
        <v>95</v>
      </c>
      <c r="L6059" t="s">
        <v>143</v>
      </c>
      <c r="M6059" t="s">
        <v>726</v>
      </c>
      <c r="N6059" t="s">
        <v>85</v>
      </c>
      <c r="O6059" t="s">
        <v>84</v>
      </c>
      <c r="Q6059">
        <v>3</v>
      </c>
      <c r="R6059" t="s">
        <v>214</v>
      </c>
      <c r="S6059" s="2" t="s">
        <v>117</v>
      </c>
      <c r="T6059">
        <v>5</v>
      </c>
      <c r="U6059" t="s">
        <v>28</v>
      </c>
      <c r="V6059" t="s">
        <v>28</v>
      </c>
      <c r="W6059">
        <v>21</v>
      </c>
      <c r="X6059">
        <v>0.75860000000000005</v>
      </c>
      <c r="Y6059">
        <v>6.0663003552369529E-3</v>
      </c>
    </row>
    <row r="6060" spans="1:25" x14ac:dyDescent="0.2">
      <c r="A6060" t="s">
        <v>674</v>
      </c>
      <c r="B6060">
        <v>2021</v>
      </c>
      <c r="C6060" t="s">
        <v>816</v>
      </c>
      <c r="D6060" t="s">
        <v>817</v>
      </c>
      <c r="E6060" t="s">
        <v>31</v>
      </c>
      <c r="F6060" t="s">
        <v>424</v>
      </c>
      <c r="G6060">
        <v>78.966667000000001</v>
      </c>
      <c r="H6060">
        <v>11.5</v>
      </c>
      <c r="J6060" s="2" t="s">
        <v>14</v>
      </c>
      <c r="K6060" t="s">
        <v>95</v>
      </c>
      <c r="L6060" t="s">
        <v>143</v>
      </c>
      <c r="M6060" t="s">
        <v>726</v>
      </c>
      <c r="N6060" t="s">
        <v>85</v>
      </c>
      <c r="O6060" t="s">
        <v>84</v>
      </c>
      <c r="Q6060">
        <v>3</v>
      </c>
      <c r="R6060" t="s">
        <v>214</v>
      </c>
      <c r="S6060" s="2" t="s">
        <v>118</v>
      </c>
      <c r="T6060">
        <v>5</v>
      </c>
      <c r="U6060" t="s">
        <v>28</v>
      </c>
      <c r="V6060" t="s">
        <v>28</v>
      </c>
      <c r="W6060">
        <v>22</v>
      </c>
      <c r="X6060">
        <v>0.67719999999999991</v>
      </c>
      <c r="Y6060">
        <v>9.4131291290410785E-2</v>
      </c>
    </row>
    <row r="6061" spans="1:25" x14ac:dyDescent="0.2">
      <c r="A6061" t="s">
        <v>674</v>
      </c>
      <c r="B6061">
        <v>2021</v>
      </c>
      <c r="C6061" t="s">
        <v>816</v>
      </c>
      <c r="D6061" t="s">
        <v>817</v>
      </c>
      <c r="E6061" t="s">
        <v>31</v>
      </c>
      <c r="F6061" t="s">
        <v>424</v>
      </c>
      <c r="G6061">
        <v>78.966667000000001</v>
      </c>
      <c r="H6061">
        <v>11.5</v>
      </c>
      <c r="J6061" s="2" t="s">
        <v>7</v>
      </c>
      <c r="K6061" t="s">
        <v>95</v>
      </c>
      <c r="L6061" t="s">
        <v>143</v>
      </c>
      <c r="M6061" t="s">
        <v>726</v>
      </c>
      <c r="N6061" t="s">
        <v>85</v>
      </c>
      <c r="O6061" t="s">
        <v>84</v>
      </c>
      <c r="Q6061">
        <v>7</v>
      </c>
      <c r="R6061" t="s">
        <v>214</v>
      </c>
      <c r="S6061" s="2" t="s">
        <v>7</v>
      </c>
      <c r="T6061">
        <v>5</v>
      </c>
      <c r="U6061" t="s">
        <v>28</v>
      </c>
      <c r="V6061" t="s">
        <v>28</v>
      </c>
      <c r="W6061">
        <v>10</v>
      </c>
      <c r="X6061">
        <v>0.73319999999999996</v>
      </c>
      <c r="Y6061">
        <v>1.3367871932364071E-2</v>
      </c>
    </row>
    <row r="6062" spans="1:25" x14ac:dyDescent="0.2">
      <c r="A6062" t="s">
        <v>674</v>
      </c>
      <c r="B6062">
        <v>2021</v>
      </c>
      <c r="C6062" t="s">
        <v>816</v>
      </c>
      <c r="D6062" t="s">
        <v>817</v>
      </c>
      <c r="E6062" t="s">
        <v>31</v>
      </c>
      <c r="F6062" t="s">
        <v>424</v>
      </c>
      <c r="G6062">
        <v>78.966667000000001</v>
      </c>
      <c r="H6062">
        <v>11.5</v>
      </c>
      <c r="J6062" s="2" t="s">
        <v>14</v>
      </c>
      <c r="K6062" t="s">
        <v>95</v>
      </c>
      <c r="L6062" t="s">
        <v>143</v>
      </c>
      <c r="M6062" t="s">
        <v>726</v>
      </c>
      <c r="N6062" t="s">
        <v>85</v>
      </c>
      <c r="O6062" t="s">
        <v>84</v>
      </c>
      <c r="Q6062">
        <v>7</v>
      </c>
      <c r="R6062" t="s">
        <v>214</v>
      </c>
      <c r="S6062" s="2" t="s">
        <v>9</v>
      </c>
      <c r="T6062">
        <v>5</v>
      </c>
      <c r="U6062" t="s">
        <v>28</v>
      </c>
      <c r="V6062" t="s">
        <v>28</v>
      </c>
      <c r="W6062">
        <v>15</v>
      </c>
      <c r="X6062">
        <v>0.73739999999999994</v>
      </c>
      <c r="Y6062">
        <v>7.6354436675255231E-3</v>
      </c>
    </row>
    <row r="6063" spans="1:25" x14ac:dyDescent="0.2">
      <c r="A6063" t="s">
        <v>674</v>
      </c>
      <c r="B6063">
        <v>2021</v>
      </c>
      <c r="C6063" t="s">
        <v>816</v>
      </c>
      <c r="D6063" t="s">
        <v>817</v>
      </c>
      <c r="E6063" t="s">
        <v>31</v>
      </c>
      <c r="F6063" t="s">
        <v>424</v>
      </c>
      <c r="G6063">
        <v>78.966667000000001</v>
      </c>
      <c r="H6063">
        <v>11.5</v>
      </c>
      <c r="J6063" s="2" t="s">
        <v>14</v>
      </c>
      <c r="K6063" t="s">
        <v>95</v>
      </c>
      <c r="L6063" t="s">
        <v>143</v>
      </c>
      <c r="M6063" t="s">
        <v>726</v>
      </c>
      <c r="N6063" t="s">
        <v>85</v>
      </c>
      <c r="O6063" t="s">
        <v>84</v>
      </c>
      <c r="Q6063">
        <v>7</v>
      </c>
      <c r="R6063" t="s">
        <v>214</v>
      </c>
      <c r="S6063" s="2" t="s">
        <v>15</v>
      </c>
      <c r="T6063">
        <v>5</v>
      </c>
      <c r="U6063" t="s">
        <v>28</v>
      </c>
      <c r="V6063" t="s">
        <v>28</v>
      </c>
      <c r="W6063">
        <v>18</v>
      </c>
      <c r="X6063">
        <v>0.76100000000000012</v>
      </c>
      <c r="Y6063">
        <v>4.123105625609625E-3</v>
      </c>
    </row>
    <row r="6064" spans="1:25" x14ac:dyDescent="0.2">
      <c r="A6064" t="s">
        <v>674</v>
      </c>
      <c r="B6064">
        <v>2021</v>
      </c>
      <c r="C6064" t="s">
        <v>816</v>
      </c>
      <c r="D6064" t="s">
        <v>817</v>
      </c>
      <c r="E6064" t="s">
        <v>31</v>
      </c>
      <c r="F6064" t="s">
        <v>424</v>
      </c>
      <c r="G6064">
        <v>78.966667000000001</v>
      </c>
      <c r="H6064">
        <v>11.5</v>
      </c>
      <c r="J6064" s="2" t="s">
        <v>14</v>
      </c>
      <c r="K6064" t="s">
        <v>95</v>
      </c>
      <c r="L6064" t="s">
        <v>143</v>
      </c>
      <c r="M6064" t="s">
        <v>726</v>
      </c>
      <c r="N6064" t="s">
        <v>85</v>
      </c>
      <c r="O6064" t="s">
        <v>84</v>
      </c>
      <c r="Q6064">
        <v>7</v>
      </c>
      <c r="R6064" t="s">
        <v>214</v>
      </c>
      <c r="S6064" s="2" t="s">
        <v>37</v>
      </c>
      <c r="T6064">
        <v>5</v>
      </c>
      <c r="U6064" t="s">
        <v>28</v>
      </c>
      <c r="V6064" t="s">
        <v>28</v>
      </c>
      <c r="W6064">
        <v>19</v>
      </c>
      <c r="X6064">
        <v>0.75760000000000005</v>
      </c>
      <c r="Y6064">
        <v>8.5029406677940029E-3</v>
      </c>
    </row>
    <row r="6065" spans="1:25" x14ac:dyDescent="0.2">
      <c r="A6065" t="s">
        <v>674</v>
      </c>
      <c r="B6065">
        <v>2021</v>
      </c>
      <c r="C6065" t="s">
        <v>816</v>
      </c>
      <c r="D6065" t="s">
        <v>817</v>
      </c>
      <c r="E6065" t="s">
        <v>31</v>
      </c>
      <c r="F6065" t="s">
        <v>424</v>
      </c>
      <c r="G6065">
        <v>78.966667000000001</v>
      </c>
      <c r="H6065">
        <v>11.5</v>
      </c>
      <c r="J6065" s="2" t="s">
        <v>14</v>
      </c>
      <c r="K6065" t="s">
        <v>95</v>
      </c>
      <c r="L6065" t="s">
        <v>143</v>
      </c>
      <c r="M6065" t="s">
        <v>726</v>
      </c>
      <c r="N6065" t="s">
        <v>85</v>
      </c>
      <c r="O6065" t="s">
        <v>84</v>
      </c>
      <c r="Q6065">
        <v>7</v>
      </c>
      <c r="R6065" t="s">
        <v>214</v>
      </c>
      <c r="S6065" s="2" t="s">
        <v>116</v>
      </c>
      <c r="T6065">
        <v>5</v>
      </c>
      <c r="U6065" t="s">
        <v>28</v>
      </c>
      <c r="V6065" t="s">
        <v>28</v>
      </c>
      <c r="W6065">
        <v>20</v>
      </c>
      <c r="X6065">
        <v>0.77080000000000004</v>
      </c>
      <c r="Y6065">
        <v>5.9329587896776257E-3</v>
      </c>
    </row>
    <row r="6066" spans="1:25" x14ac:dyDescent="0.2">
      <c r="A6066" t="s">
        <v>674</v>
      </c>
      <c r="B6066">
        <v>2021</v>
      </c>
      <c r="C6066" t="s">
        <v>816</v>
      </c>
      <c r="D6066" t="s">
        <v>817</v>
      </c>
      <c r="E6066" t="s">
        <v>31</v>
      </c>
      <c r="F6066" t="s">
        <v>424</v>
      </c>
      <c r="G6066">
        <v>78.966667000000001</v>
      </c>
      <c r="H6066">
        <v>11.5</v>
      </c>
      <c r="J6066" s="2" t="s">
        <v>14</v>
      </c>
      <c r="K6066" t="s">
        <v>95</v>
      </c>
      <c r="L6066" t="s">
        <v>143</v>
      </c>
      <c r="M6066" t="s">
        <v>726</v>
      </c>
      <c r="N6066" t="s">
        <v>85</v>
      </c>
      <c r="O6066" t="s">
        <v>84</v>
      </c>
      <c r="Q6066">
        <v>7</v>
      </c>
      <c r="R6066" t="s">
        <v>214</v>
      </c>
      <c r="S6066" s="2" t="s">
        <v>117</v>
      </c>
      <c r="T6066">
        <v>5</v>
      </c>
      <c r="U6066" t="s">
        <v>28</v>
      </c>
      <c r="V6066" t="s">
        <v>28</v>
      </c>
      <c r="W6066">
        <v>21</v>
      </c>
      <c r="X6066">
        <v>0.71719999999999995</v>
      </c>
      <c r="Y6066">
        <v>3.5024277294472987E-2</v>
      </c>
    </row>
    <row r="6067" spans="1:25" x14ac:dyDescent="0.2">
      <c r="A6067" t="s">
        <v>674</v>
      </c>
      <c r="B6067">
        <v>2021</v>
      </c>
      <c r="C6067" t="s">
        <v>816</v>
      </c>
      <c r="D6067" t="s">
        <v>817</v>
      </c>
      <c r="E6067" t="s">
        <v>31</v>
      </c>
      <c r="F6067" t="s">
        <v>424</v>
      </c>
      <c r="G6067">
        <v>78.966667000000001</v>
      </c>
      <c r="H6067">
        <v>11.5</v>
      </c>
      <c r="J6067" s="2" t="s">
        <v>14</v>
      </c>
      <c r="K6067" t="s">
        <v>95</v>
      </c>
      <c r="L6067" t="s">
        <v>143</v>
      </c>
      <c r="M6067" t="s">
        <v>726</v>
      </c>
      <c r="N6067" t="s">
        <v>85</v>
      </c>
      <c r="O6067" t="s">
        <v>84</v>
      </c>
      <c r="Q6067">
        <v>7</v>
      </c>
      <c r="R6067" t="s">
        <v>214</v>
      </c>
      <c r="S6067" s="2" t="s">
        <v>118</v>
      </c>
      <c r="T6067">
        <v>5</v>
      </c>
      <c r="U6067" t="s">
        <v>28</v>
      </c>
      <c r="V6067" t="s">
        <v>28</v>
      </c>
      <c r="W6067">
        <v>22</v>
      </c>
      <c r="X6067">
        <v>0.49359999999999998</v>
      </c>
      <c r="Y6067">
        <v>8.1254538334790571E-2</v>
      </c>
    </row>
    <row r="6068" spans="1:25" x14ac:dyDescent="0.2">
      <c r="A6068" t="s">
        <v>674</v>
      </c>
      <c r="B6068">
        <v>2021</v>
      </c>
      <c r="C6068" t="s">
        <v>816</v>
      </c>
      <c r="D6068" t="s">
        <v>817</v>
      </c>
      <c r="E6068" t="s">
        <v>31</v>
      </c>
      <c r="F6068" t="s">
        <v>424</v>
      </c>
      <c r="G6068">
        <v>78.966667000000001</v>
      </c>
      <c r="H6068">
        <v>11.5</v>
      </c>
      <c r="J6068" s="2" t="s">
        <v>7</v>
      </c>
      <c r="K6068" t="s">
        <v>95</v>
      </c>
      <c r="L6068" t="s">
        <v>143</v>
      </c>
      <c r="M6068" t="s">
        <v>726</v>
      </c>
      <c r="N6068" t="s">
        <v>85</v>
      </c>
      <c r="O6068" t="s">
        <v>84</v>
      </c>
      <c r="Q6068">
        <v>11</v>
      </c>
      <c r="R6068" t="s">
        <v>214</v>
      </c>
      <c r="S6068" s="2" t="s">
        <v>7</v>
      </c>
      <c r="T6068">
        <v>5</v>
      </c>
      <c r="U6068" t="s">
        <v>28</v>
      </c>
      <c r="V6068" t="s">
        <v>28</v>
      </c>
      <c r="W6068">
        <v>10</v>
      </c>
      <c r="X6068">
        <v>0.72840000000000005</v>
      </c>
      <c r="Y6068">
        <v>1.0876580344938597E-2</v>
      </c>
    </row>
    <row r="6069" spans="1:25" x14ac:dyDescent="0.2">
      <c r="A6069" t="s">
        <v>674</v>
      </c>
      <c r="B6069">
        <v>2021</v>
      </c>
      <c r="C6069" t="s">
        <v>816</v>
      </c>
      <c r="D6069" t="s">
        <v>817</v>
      </c>
      <c r="E6069" t="s">
        <v>31</v>
      </c>
      <c r="F6069" t="s">
        <v>424</v>
      </c>
      <c r="G6069">
        <v>78.966667000000001</v>
      </c>
      <c r="H6069">
        <v>11.5</v>
      </c>
      <c r="J6069" s="2" t="s">
        <v>14</v>
      </c>
      <c r="K6069" t="s">
        <v>95</v>
      </c>
      <c r="L6069" t="s">
        <v>143</v>
      </c>
      <c r="M6069" t="s">
        <v>726</v>
      </c>
      <c r="N6069" t="s">
        <v>85</v>
      </c>
      <c r="O6069" t="s">
        <v>84</v>
      </c>
      <c r="Q6069">
        <v>11</v>
      </c>
      <c r="R6069" t="s">
        <v>214</v>
      </c>
      <c r="S6069" s="2" t="s">
        <v>9</v>
      </c>
      <c r="T6069">
        <v>5</v>
      </c>
      <c r="U6069" t="s">
        <v>28</v>
      </c>
      <c r="V6069" t="s">
        <v>28</v>
      </c>
      <c r="W6069">
        <v>15</v>
      </c>
      <c r="X6069">
        <v>0.73580000000000001</v>
      </c>
      <c r="Y6069">
        <v>9.5498691090484568E-3</v>
      </c>
    </row>
    <row r="6070" spans="1:25" x14ac:dyDescent="0.2">
      <c r="A6070" t="s">
        <v>674</v>
      </c>
      <c r="B6070">
        <v>2021</v>
      </c>
      <c r="C6070" t="s">
        <v>816</v>
      </c>
      <c r="D6070" t="s">
        <v>817</v>
      </c>
      <c r="E6070" t="s">
        <v>31</v>
      </c>
      <c r="F6070" t="s">
        <v>424</v>
      </c>
      <c r="G6070">
        <v>78.966667000000001</v>
      </c>
      <c r="H6070">
        <v>11.5</v>
      </c>
      <c r="J6070" s="2" t="s">
        <v>14</v>
      </c>
      <c r="K6070" t="s">
        <v>95</v>
      </c>
      <c r="L6070" t="s">
        <v>143</v>
      </c>
      <c r="M6070" t="s">
        <v>726</v>
      </c>
      <c r="N6070" t="s">
        <v>85</v>
      </c>
      <c r="O6070" t="s">
        <v>84</v>
      </c>
      <c r="Q6070">
        <v>11</v>
      </c>
      <c r="R6070" t="s">
        <v>214</v>
      </c>
      <c r="S6070" s="2" t="s">
        <v>15</v>
      </c>
      <c r="T6070">
        <v>5</v>
      </c>
      <c r="U6070" t="s">
        <v>28</v>
      </c>
      <c r="V6070" t="s">
        <v>28</v>
      </c>
      <c r="W6070">
        <v>18</v>
      </c>
      <c r="X6070">
        <v>0.74639999999999995</v>
      </c>
      <c r="Y6070">
        <v>3.3087762088122148E-2</v>
      </c>
    </row>
    <row r="6071" spans="1:25" x14ac:dyDescent="0.2">
      <c r="A6071" t="s">
        <v>674</v>
      </c>
      <c r="B6071">
        <v>2021</v>
      </c>
      <c r="C6071" t="s">
        <v>816</v>
      </c>
      <c r="D6071" t="s">
        <v>817</v>
      </c>
      <c r="E6071" t="s">
        <v>31</v>
      </c>
      <c r="F6071" t="s">
        <v>424</v>
      </c>
      <c r="G6071">
        <v>78.966667000000001</v>
      </c>
      <c r="H6071">
        <v>11.5</v>
      </c>
      <c r="J6071" s="2" t="s">
        <v>14</v>
      </c>
      <c r="K6071" t="s">
        <v>95</v>
      </c>
      <c r="L6071" t="s">
        <v>143</v>
      </c>
      <c r="M6071" t="s">
        <v>726</v>
      </c>
      <c r="N6071" t="s">
        <v>85</v>
      </c>
      <c r="O6071" t="s">
        <v>84</v>
      </c>
      <c r="Q6071">
        <v>11</v>
      </c>
      <c r="R6071" t="s">
        <v>214</v>
      </c>
      <c r="S6071" s="2" t="s">
        <v>37</v>
      </c>
      <c r="T6071">
        <v>5</v>
      </c>
      <c r="U6071" t="s">
        <v>28</v>
      </c>
      <c r="V6071" t="s">
        <v>28</v>
      </c>
      <c r="W6071">
        <v>19</v>
      </c>
      <c r="X6071">
        <v>0.76</v>
      </c>
      <c r="Y6071">
        <v>2.1342445970414289E-2</v>
      </c>
    </row>
    <row r="6072" spans="1:25" x14ac:dyDescent="0.2">
      <c r="A6072" t="s">
        <v>674</v>
      </c>
      <c r="B6072">
        <v>2021</v>
      </c>
      <c r="C6072" t="s">
        <v>816</v>
      </c>
      <c r="D6072" t="s">
        <v>817</v>
      </c>
      <c r="E6072" t="s">
        <v>31</v>
      </c>
      <c r="F6072" t="s">
        <v>424</v>
      </c>
      <c r="G6072">
        <v>78.966667000000001</v>
      </c>
      <c r="H6072">
        <v>11.5</v>
      </c>
      <c r="J6072" s="2" t="s">
        <v>14</v>
      </c>
      <c r="K6072" t="s">
        <v>95</v>
      </c>
      <c r="L6072" t="s">
        <v>143</v>
      </c>
      <c r="M6072" t="s">
        <v>726</v>
      </c>
      <c r="N6072" t="s">
        <v>85</v>
      </c>
      <c r="O6072" t="s">
        <v>84</v>
      </c>
      <c r="Q6072">
        <v>11</v>
      </c>
      <c r="R6072" t="s">
        <v>214</v>
      </c>
      <c r="S6072" s="2" t="s">
        <v>116</v>
      </c>
      <c r="T6072">
        <v>5</v>
      </c>
      <c r="U6072" t="s">
        <v>28</v>
      </c>
      <c r="V6072" t="s">
        <v>28</v>
      </c>
      <c r="W6072">
        <v>20</v>
      </c>
      <c r="X6072">
        <v>0.73319999999999985</v>
      </c>
      <c r="Y6072">
        <v>2.8595454184192536E-2</v>
      </c>
    </row>
    <row r="6073" spans="1:25" x14ac:dyDescent="0.2">
      <c r="A6073" t="s">
        <v>674</v>
      </c>
      <c r="B6073">
        <v>2021</v>
      </c>
      <c r="C6073" t="s">
        <v>816</v>
      </c>
      <c r="D6073" t="s">
        <v>817</v>
      </c>
      <c r="E6073" t="s">
        <v>31</v>
      </c>
      <c r="F6073" t="s">
        <v>424</v>
      </c>
      <c r="G6073">
        <v>78.966667000000001</v>
      </c>
      <c r="H6073">
        <v>11.5</v>
      </c>
      <c r="J6073" s="2" t="s">
        <v>14</v>
      </c>
      <c r="K6073" t="s">
        <v>95</v>
      </c>
      <c r="L6073" t="s">
        <v>143</v>
      </c>
      <c r="M6073" t="s">
        <v>726</v>
      </c>
      <c r="N6073" t="s">
        <v>85</v>
      </c>
      <c r="O6073" t="s">
        <v>84</v>
      </c>
      <c r="Q6073">
        <v>11</v>
      </c>
      <c r="R6073" t="s">
        <v>214</v>
      </c>
      <c r="S6073" s="2" t="s">
        <v>117</v>
      </c>
      <c r="T6073">
        <v>5</v>
      </c>
      <c r="U6073" t="s">
        <v>28</v>
      </c>
      <c r="V6073" t="s">
        <v>28</v>
      </c>
      <c r="W6073">
        <v>21</v>
      </c>
      <c r="X6073">
        <v>0.68219999999999992</v>
      </c>
      <c r="Y6073">
        <v>2.9431275881282318E-2</v>
      </c>
    </row>
    <row r="6074" spans="1:25" x14ac:dyDescent="0.2">
      <c r="A6074" t="s">
        <v>674</v>
      </c>
      <c r="B6074">
        <v>2021</v>
      </c>
      <c r="C6074" t="s">
        <v>816</v>
      </c>
      <c r="D6074" t="s">
        <v>817</v>
      </c>
      <c r="E6074" t="s">
        <v>31</v>
      </c>
      <c r="F6074" t="s">
        <v>424</v>
      </c>
      <c r="G6074">
        <v>78.966667000000001</v>
      </c>
      <c r="H6074">
        <v>11.5</v>
      </c>
      <c r="J6074" s="2" t="s">
        <v>14</v>
      </c>
      <c r="K6074" t="s">
        <v>95</v>
      </c>
      <c r="L6074" t="s">
        <v>143</v>
      </c>
      <c r="M6074" t="s">
        <v>726</v>
      </c>
      <c r="N6074" t="s">
        <v>85</v>
      </c>
      <c r="O6074" t="s">
        <v>84</v>
      </c>
      <c r="Q6074">
        <v>11</v>
      </c>
      <c r="R6074" t="s">
        <v>214</v>
      </c>
      <c r="S6074" s="2" t="s">
        <v>118</v>
      </c>
      <c r="T6074">
        <v>5</v>
      </c>
      <c r="U6074" t="s">
        <v>28</v>
      </c>
      <c r="V6074" t="s">
        <v>28</v>
      </c>
      <c r="W6074">
        <v>22</v>
      </c>
      <c r="X6074">
        <v>0.37720000000000004</v>
      </c>
      <c r="Y6074">
        <v>7.5612168332881674E-2</v>
      </c>
    </row>
    <row r="6075" spans="1:25" x14ac:dyDescent="0.2">
      <c r="A6075" t="s">
        <v>674</v>
      </c>
      <c r="B6075">
        <v>2021</v>
      </c>
      <c r="C6075" t="s">
        <v>816</v>
      </c>
      <c r="D6075" t="s">
        <v>817</v>
      </c>
      <c r="E6075" t="s">
        <v>31</v>
      </c>
      <c r="F6075" t="s">
        <v>424</v>
      </c>
      <c r="G6075">
        <v>78.966667000000001</v>
      </c>
      <c r="H6075">
        <v>11.5</v>
      </c>
      <c r="J6075" s="2" t="s">
        <v>7</v>
      </c>
      <c r="K6075" t="s">
        <v>95</v>
      </c>
      <c r="L6075" t="s">
        <v>143</v>
      </c>
      <c r="M6075" t="s">
        <v>726</v>
      </c>
      <c r="N6075" t="s">
        <v>85</v>
      </c>
      <c r="O6075" t="s">
        <v>84</v>
      </c>
      <c r="Q6075">
        <v>14</v>
      </c>
      <c r="R6075" t="s">
        <v>213</v>
      </c>
      <c r="S6075" s="2" t="s">
        <v>7</v>
      </c>
      <c r="T6075">
        <v>5</v>
      </c>
      <c r="U6075" t="s">
        <v>28</v>
      </c>
      <c r="V6075" t="s">
        <v>28</v>
      </c>
      <c r="W6075">
        <v>10</v>
      </c>
      <c r="X6075">
        <v>0.74240000000000006</v>
      </c>
      <c r="Y6075">
        <v>1.6040573555827262E-2</v>
      </c>
    </row>
    <row r="6076" spans="1:25" x14ac:dyDescent="0.2">
      <c r="A6076" t="s">
        <v>674</v>
      </c>
      <c r="B6076">
        <v>2021</v>
      </c>
      <c r="C6076" t="s">
        <v>816</v>
      </c>
      <c r="D6076" t="s">
        <v>817</v>
      </c>
      <c r="E6076" t="s">
        <v>31</v>
      </c>
      <c r="F6076" t="s">
        <v>424</v>
      </c>
      <c r="G6076">
        <v>78.966667000000001</v>
      </c>
      <c r="H6076">
        <v>11.5</v>
      </c>
      <c r="J6076" s="2" t="s">
        <v>14</v>
      </c>
      <c r="K6076" t="s">
        <v>95</v>
      </c>
      <c r="L6076" t="s">
        <v>143</v>
      </c>
      <c r="M6076" t="s">
        <v>726</v>
      </c>
      <c r="N6076" t="s">
        <v>85</v>
      </c>
      <c r="O6076" t="s">
        <v>84</v>
      </c>
      <c r="Q6076">
        <v>14</v>
      </c>
      <c r="R6076" t="s">
        <v>213</v>
      </c>
      <c r="S6076" s="2" t="s">
        <v>9</v>
      </c>
      <c r="T6076">
        <v>5</v>
      </c>
      <c r="U6076" t="s">
        <v>28</v>
      </c>
      <c r="V6076" t="s">
        <v>28</v>
      </c>
      <c r="W6076">
        <v>15</v>
      </c>
      <c r="X6076">
        <v>0.73499999999999999</v>
      </c>
      <c r="Y6076">
        <v>9.4074438611158814E-3</v>
      </c>
    </row>
    <row r="6077" spans="1:25" x14ac:dyDescent="0.2">
      <c r="A6077" t="s">
        <v>674</v>
      </c>
      <c r="B6077">
        <v>2021</v>
      </c>
      <c r="C6077" t="s">
        <v>816</v>
      </c>
      <c r="D6077" t="s">
        <v>817</v>
      </c>
      <c r="E6077" t="s">
        <v>31</v>
      </c>
      <c r="F6077" t="s">
        <v>424</v>
      </c>
      <c r="G6077">
        <v>78.966667000000001</v>
      </c>
      <c r="H6077">
        <v>11.5</v>
      </c>
      <c r="J6077" s="2" t="s">
        <v>14</v>
      </c>
      <c r="K6077" t="s">
        <v>95</v>
      </c>
      <c r="L6077" t="s">
        <v>143</v>
      </c>
      <c r="M6077" t="s">
        <v>726</v>
      </c>
      <c r="N6077" t="s">
        <v>85</v>
      </c>
      <c r="O6077" t="s">
        <v>84</v>
      </c>
      <c r="Q6077">
        <v>14</v>
      </c>
      <c r="R6077" t="s">
        <v>213</v>
      </c>
      <c r="S6077" s="2" t="s">
        <v>15</v>
      </c>
      <c r="T6077">
        <v>5</v>
      </c>
      <c r="U6077" t="s">
        <v>28</v>
      </c>
      <c r="V6077" t="s">
        <v>28</v>
      </c>
      <c r="W6077">
        <v>18</v>
      </c>
      <c r="X6077">
        <v>0.73439999999999994</v>
      </c>
      <c r="Y6077">
        <v>6.8802616229327512E-2</v>
      </c>
    </row>
    <row r="6078" spans="1:25" x14ac:dyDescent="0.2">
      <c r="A6078" t="s">
        <v>674</v>
      </c>
      <c r="B6078">
        <v>2021</v>
      </c>
      <c r="C6078" t="s">
        <v>816</v>
      </c>
      <c r="D6078" t="s">
        <v>817</v>
      </c>
      <c r="E6078" t="s">
        <v>31</v>
      </c>
      <c r="F6078" t="s">
        <v>424</v>
      </c>
      <c r="G6078">
        <v>78.966667000000001</v>
      </c>
      <c r="H6078">
        <v>11.5</v>
      </c>
      <c r="J6078" s="2" t="s">
        <v>14</v>
      </c>
      <c r="K6078" t="s">
        <v>95</v>
      </c>
      <c r="L6078" t="s">
        <v>143</v>
      </c>
      <c r="M6078" t="s">
        <v>726</v>
      </c>
      <c r="N6078" t="s">
        <v>85</v>
      </c>
      <c r="O6078" t="s">
        <v>84</v>
      </c>
      <c r="Q6078">
        <v>14</v>
      </c>
      <c r="R6078" t="s">
        <v>213</v>
      </c>
      <c r="S6078" s="2" t="s">
        <v>37</v>
      </c>
      <c r="T6078">
        <v>5</v>
      </c>
      <c r="U6078" t="s">
        <v>28</v>
      </c>
      <c r="V6078" t="s">
        <v>28</v>
      </c>
      <c r="W6078">
        <v>19</v>
      </c>
      <c r="X6078">
        <v>0.72660000000000002</v>
      </c>
      <c r="Y6078">
        <v>5.7002631518202826E-2</v>
      </c>
    </row>
    <row r="6079" spans="1:25" x14ac:dyDescent="0.2">
      <c r="A6079" t="s">
        <v>674</v>
      </c>
      <c r="B6079">
        <v>2021</v>
      </c>
      <c r="C6079" t="s">
        <v>816</v>
      </c>
      <c r="D6079" t="s">
        <v>817</v>
      </c>
      <c r="E6079" t="s">
        <v>31</v>
      </c>
      <c r="F6079" t="s">
        <v>424</v>
      </c>
      <c r="G6079">
        <v>78.966667000000001</v>
      </c>
      <c r="H6079">
        <v>11.5</v>
      </c>
      <c r="J6079" s="2" t="s">
        <v>14</v>
      </c>
      <c r="K6079" t="s">
        <v>95</v>
      </c>
      <c r="L6079" t="s">
        <v>143</v>
      </c>
      <c r="M6079" t="s">
        <v>726</v>
      </c>
      <c r="N6079" t="s">
        <v>85</v>
      </c>
      <c r="O6079" t="s">
        <v>84</v>
      </c>
      <c r="Q6079">
        <v>14</v>
      </c>
      <c r="R6079" t="s">
        <v>213</v>
      </c>
      <c r="S6079" s="2" t="s">
        <v>116</v>
      </c>
      <c r="T6079">
        <v>5</v>
      </c>
      <c r="U6079" t="s">
        <v>28</v>
      </c>
      <c r="V6079" t="s">
        <v>28</v>
      </c>
      <c r="W6079">
        <v>20</v>
      </c>
      <c r="X6079">
        <v>0.7208</v>
      </c>
      <c r="Y6079">
        <v>4.4611657669266572E-2</v>
      </c>
    </row>
    <row r="6080" spans="1:25" x14ac:dyDescent="0.2">
      <c r="A6080" t="s">
        <v>674</v>
      </c>
      <c r="B6080">
        <v>2021</v>
      </c>
      <c r="C6080" t="s">
        <v>816</v>
      </c>
      <c r="D6080" t="s">
        <v>817</v>
      </c>
      <c r="E6080" t="s">
        <v>31</v>
      </c>
      <c r="F6080" t="s">
        <v>424</v>
      </c>
      <c r="G6080">
        <v>78.966667000000001</v>
      </c>
      <c r="H6080">
        <v>11.5</v>
      </c>
      <c r="J6080" s="2" t="s">
        <v>14</v>
      </c>
      <c r="K6080" t="s">
        <v>95</v>
      </c>
      <c r="L6080" t="s">
        <v>143</v>
      </c>
      <c r="M6080" t="s">
        <v>726</v>
      </c>
      <c r="N6080" t="s">
        <v>85</v>
      </c>
      <c r="O6080" t="s">
        <v>84</v>
      </c>
      <c r="Q6080">
        <v>14</v>
      </c>
      <c r="R6080" t="s">
        <v>213</v>
      </c>
      <c r="S6080" s="2" t="s">
        <v>117</v>
      </c>
      <c r="T6080">
        <v>5</v>
      </c>
      <c r="U6080" t="s">
        <v>28</v>
      </c>
      <c r="V6080" t="s">
        <v>28</v>
      </c>
      <c r="W6080">
        <v>21</v>
      </c>
      <c r="X6080">
        <v>0.62680000000000002</v>
      </c>
      <c r="Y6080">
        <v>5.7190034096859563E-2</v>
      </c>
    </row>
    <row r="6081" spans="1:25" x14ac:dyDescent="0.2">
      <c r="A6081" t="s">
        <v>674</v>
      </c>
      <c r="B6081">
        <v>2021</v>
      </c>
      <c r="C6081" t="s">
        <v>816</v>
      </c>
      <c r="D6081" t="s">
        <v>817</v>
      </c>
      <c r="E6081" t="s">
        <v>31</v>
      </c>
      <c r="F6081" t="s">
        <v>424</v>
      </c>
      <c r="G6081">
        <v>78.966667000000001</v>
      </c>
      <c r="H6081">
        <v>11.5</v>
      </c>
      <c r="J6081" s="2" t="s">
        <v>14</v>
      </c>
      <c r="K6081" t="s">
        <v>95</v>
      </c>
      <c r="L6081" t="s">
        <v>143</v>
      </c>
      <c r="M6081" t="s">
        <v>726</v>
      </c>
      <c r="N6081" t="s">
        <v>85</v>
      </c>
      <c r="O6081" t="s">
        <v>84</v>
      </c>
      <c r="Q6081">
        <v>14</v>
      </c>
      <c r="R6081" t="s">
        <v>213</v>
      </c>
      <c r="S6081" s="2" t="s">
        <v>118</v>
      </c>
      <c r="T6081">
        <v>5</v>
      </c>
      <c r="U6081" t="s">
        <v>28</v>
      </c>
      <c r="V6081" t="s">
        <v>28</v>
      </c>
      <c r="W6081">
        <v>22</v>
      </c>
      <c r="X6081">
        <v>0.33979999999999999</v>
      </c>
      <c r="Y6081">
        <v>0.10444711580508104</v>
      </c>
    </row>
    <row r="6082" spans="1:25" x14ac:dyDescent="0.2">
      <c r="A6082" t="s">
        <v>674</v>
      </c>
      <c r="B6082">
        <v>2021</v>
      </c>
      <c r="C6082" t="s">
        <v>816</v>
      </c>
      <c r="D6082" t="s">
        <v>827</v>
      </c>
      <c r="E6082" t="s">
        <v>675</v>
      </c>
      <c r="F6082" t="s">
        <v>424</v>
      </c>
      <c r="G6082">
        <v>78.966667000000001</v>
      </c>
      <c r="H6082">
        <v>11.5</v>
      </c>
      <c r="J6082" s="2" t="s">
        <v>7</v>
      </c>
      <c r="K6082" t="s">
        <v>95</v>
      </c>
      <c r="L6082" t="s">
        <v>143</v>
      </c>
      <c r="M6082" t="s">
        <v>726</v>
      </c>
      <c r="N6082" t="s">
        <v>85</v>
      </c>
      <c r="O6082" t="s">
        <v>84</v>
      </c>
      <c r="Q6082">
        <v>3</v>
      </c>
      <c r="R6082" t="s">
        <v>214</v>
      </c>
      <c r="S6082" s="2" t="s">
        <v>7</v>
      </c>
      <c r="T6082">
        <v>5</v>
      </c>
      <c r="U6082" t="s">
        <v>28</v>
      </c>
      <c r="V6082" t="s">
        <v>28</v>
      </c>
      <c r="W6082">
        <v>10</v>
      </c>
      <c r="X6082">
        <v>0.73319999999999985</v>
      </c>
      <c r="Y6082">
        <v>4.4384682042419646E-3</v>
      </c>
    </row>
    <row r="6083" spans="1:25" x14ac:dyDescent="0.2">
      <c r="A6083" t="s">
        <v>674</v>
      </c>
      <c r="B6083">
        <v>2021</v>
      </c>
      <c r="C6083" t="s">
        <v>816</v>
      </c>
      <c r="D6083" t="s">
        <v>827</v>
      </c>
      <c r="E6083" t="s">
        <v>675</v>
      </c>
      <c r="F6083" t="s">
        <v>424</v>
      </c>
      <c r="G6083">
        <v>78.966667000000001</v>
      </c>
      <c r="H6083">
        <v>11.5</v>
      </c>
      <c r="J6083" s="2" t="s">
        <v>14</v>
      </c>
      <c r="K6083" t="s">
        <v>95</v>
      </c>
      <c r="L6083" t="s">
        <v>143</v>
      </c>
      <c r="M6083" t="s">
        <v>726</v>
      </c>
      <c r="N6083" t="s">
        <v>85</v>
      </c>
      <c r="O6083" t="s">
        <v>84</v>
      </c>
      <c r="Q6083">
        <v>3</v>
      </c>
      <c r="R6083" t="s">
        <v>214</v>
      </c>
      <c r="S6083" s="2" t="s">
        <v>9</v>
      </c>
      <c r="T6083">
        <v>5</v>
      </c>
      <c r="U6083" t="s">
        <v>28</v>
      </c>
      <c r="V6083" t="s">
        <v>28</v>
      </c>
      <c r="W6083">
        <v>15</v>
      </c>
      <c r="X6083">
        <v>0.73480000000000001</v>
      </c>
      <c r="Y6083">
        <v>4.4384682042294572E-3</v>
      </c>
    </row>
    <row r="6084" spans="1:25" x14ac:dyDescent="0.2">
      <c r="A6084" t="s">
        <v>674</v>
      </c>
      <c r="B6084">
        <v>2021</v>
      </c>
      <c r="C6084" t="s">
        <v>816</v>
      </c>
      <c r="D6084" t="s">
        <v>827</v>
      </c>
      <c r="E6084" t="s">
        <v>675</v>
      </c>
      <c r="F6084" t="s">
        <v>424</v>
      </c>
      <c r="G6084">
        <v>78.966667000000001</v>
      </c>
      <c r="H6084">
        <v>11.5</v>
      </c>
      <c r="J6084" s="2" t="s">
        <v>14</v>
      </c>
      <c r="K6084" t="s">
        <v>95</v>
      </c>
      <c r="L6084" t="s">
        <v>143</v>
      </c>
      <c r="M6084" t="s">
        <v>726</v>
      </c>
      <c r="N6084" t="s">
        <v>85</v>
      </c>
      <c r="O6084" t="s">
        <v>84</v>
      </c>
      <c r="Q6084">
        <v>3</v>
      </c>
      <c r="R6084" t="s">
        <v>214</v>
      </c>
      <c r="S6084" s="2" t="s">
        <v>27</v>
      </c>
      <c r="T6084">
        <v>5</v>
      </c>
      <c r="U6084" t="s">
        <v>28</v>
      </c>
      <c r="V6084" t="s">
        <v>28</v>
      </c>
      <c r="W6084">
        <v>16</v>
      </c>
      <c r="X6084">
        <v>0.73699999999999999</v>
      </c>
      <c r="Y6084">
        <v>2.0087309426597928E-2</v>
      </c>
    </row>
    <row r="6085" spans="1:25" x14ac:dyDescent="0.2">
      <c r="A6085" t="s">
        <v>674</v>
      </c>
      <c r="B6085">
        <v>2021</v>
      </c>
      <c r="C6085" t="s">
        <v>816</v>
      </c>
      <c r="D6085" t="s">
        <v>827</v>
      </c>
      <c r="E6085" t="s">
        <v>675</v>
      </c>
      <c r="F6085" t="s">
        <v>424</v>
      </c>
      <c r="G6085">
        <v>78.966667000000001</v>
      </c>
      <c r="H6085">
        <v>11.5</v>
      </c>
      <c r="J6085" s="2" t="s">
        <v>14</v>
      </c>
      <c r="K6085" t="s">
        <v>95</v>
      </c>
      <c r="L6085" t="s">
        <v>143</v>
      </c>
      <c r="M6085" t="s">
        <v>726</v>
      </c>
      <c r="N6085" t="s">
        <v>85</v>
      </c>
      <c r="O6085" t="s">
        <v>84</v>
      </c>
      <c r="Q6085">
        <v>3</v>
      </c>
      <c r="R6085" t="s">
        <v>214</v>
      </c>
      <c r="S6085" s="2" t="s">
        <v>13</v>
      </c>
      <c r="T6085">
        <v>5</v>
      </c>
      <c r="U6085" t="s">
        <v>28</v>
      </c>
      <c r="V6085" t="s">
        <v>28</v>
      </c>
      <c r="W6085">
        <v>17</v>
      </c>
      <c r="X6085">
        <v>0.73460000000000003</v>
      </c>
      <c r="Y6085">
        <v>1.9514097468239698E-2</v>
      </c>
    </row>
    <row r="6086" spans="1:25" x14ac:dyDescent="0.2">
      <c r="A6086" t="s">
        <v>674</v>
      </c>
      <c r="B6086">
        <v>2021</v>
      </c>
      <c r="C6086" t="s">
        <v>816</v>
      </c>
      <c r="D6086" t="s">
        <v>827</v>
      </c>
      <c r="E6086" t="s">
        <v>675</v>
      </c>
      <c r="F6086" t="s">
        <v>424</v>
      </c>
      <c r="G6086">
        <v>78.966667000000001</v>
      </c>
      <c r="H6086">
        <v>11.5</v>
      </c>
      <c r="J6086" s="2" t="s">
        <v>14</v>
      </c>
      <c r="K6086" t="s">
        <v>95</v>
      </c>
      <c r="L6086" t="s">
        <v>143</v>
      </c>
      <c r="M6086" t="s">
        <v>726</v>
      </c>
      <c r="N6086" t="s">
        <v>85</v>
      </c>
      <c r="O6086" t="s">
        <v>84</v>
      </c>
      <c r="Q6086">
        <v>3</v>
      </c>
      <c r="R6086" t="s">
        <v>214</v>
      </c>
      <c r="S6086" s="2" t="s">
        <v>15</v>
      </c>
      <c r="T6086">
        <v>5</v>
      </c>
      <c r="U6086" t="s">
        <v>28</v>
      </c>
      <c r="V6086" t="s">
        <v>28</v>
      </c>
      <c r="W6086">
        <v>18</v>
      </c>
      <c r="X6086">
        <v>0.69059999999999999</v>
      </c>
      <c r="Y6086">
        <v>1.7812916661792501E-2</v>
      </c>
    </row>
    <row r="6087" spans="1:25" x14ac:dyDescent="0.2">
      <c r="A6087" t="s">
        <v>674</v>
      </c>
      <c r="B6087">
        <v>2021</v>
      </c>
      <c r="C6087" t="s">
        <v>816</v>
      </c>
      <c r="D6087" t="s">
        <v>827</v>
      </c>
      <c r="E6087" t="s">
        <v>675</v>
      </c>
      <c r="F6087" t="s">
        <v>424</v>
      </c>
      <c r="G6087">
        <v>78.966667000000001</v>
      </c>
      <c r="H6087">
        <v>11.5</v>
      </c>
      <c r="J6087" s="2" t="s">
        <v>14</v>
      </c>
      <c r="K6087" t="s">
        <v>95</v>
      </c>
      <c r="L6087" t="s">
        <v>143</v>
      </c>
      <c r="M6087" t="s">
        <v>726</v>
      </c>
      <c r="N6087" t="s">
        <v>85</v>
      </c>
      <c r="O6087" t="s">
        <v>84</v>
      </c>
      <c r="Q6087">
        <v>3</v>
      </c>
      <c r="R6087" t="s">
        <v>214</v>
      </c>
      <c r="S6087" s="2" t="s">
        <v>37</v>
      </c>
      <c r="T6087">
        <v>5</v>
      </c>
      <c r="U6087" t="s">
        <v>28</v>
      </c>
      <c r="V6087" t="s">
        <v>28</v>
      </c>
      <c r="W6087">
        <v>19</v>
      </c>
      <c r="X6087">
        <v>0.69259999999999988</v>
      </c>
      <c r="Y6087">
        <v>5.3197744313063797E-3</v>
      </c>
    </row>
    <row r="6088" spans="1:25" x14ac:dyDescent="0.2">
      <c r="A6088" t="s">
        <v>674</v>
      </c>
      <c r="B6088">
        <v>2021</v>
      </c>
      <c r="C6088" t="s">
        <v>816</v>
      </c>
      <c r="D6088" t="s">
        <v>827</v>
      </c>
      <c r="E6088" t="s">
        <v>675</v>
      </c>
      <c r="F6088" t="s">
        <v>424</v>
      </c>
      <c r="G6088">
        <v>78.966667000000001</v>
      </c>
      <c r="H6088">
        <v>11.5</v>
      </c>
      <c r="J6088" s="2" t="s">
        <v>14</v>
      </c>
      <c r="K6088" t="s">
        <v>95</v>
      </c>
      <c r="L6088" t="s">
        <v>143</v>
      </c>
      <c r="M6088" t="s">
        <v>726</v>
      </c>
      <c r="N6088" t="s">
        <v>85</v>
      </c>
      <c r="O6088" t="s">
        <v>84</v>
      </c>
      <c r="Q6088">
        <v>3</v>
      </c>
      <c r="R6088" t="s">
        <v>214</v>
      </c>
      <c r="S6088" s="2" t="s">
        <v>116</v>
      </c>
      <c r="T6088">
        <v>5</v>
      </c>
      <c r="U6088" t="s">
        <v>28</v>
      </c>
      <c r="V6088" t="s">
        <v>28</v>
      </c>
      <c r="W6088">
        <v>20</v>
      </c>
      <c r="X6088">
        <v>0.49440000000000001</v>
      </c>
      <c r="Y6088">
        <v>9.0317772337452931E-2</v>
      </c>
    </row>
    <row r="6089" spans="1:25" x14ac:dyDescent="0.2">
      <c r="A6089" t="s">
        <v>674</v>
      </c>
      <c r="B6089">
        <v>2021</v>
      </c>
      <c r="C6089" t="s">
        <v>816</v>
      </c>
      <c r="D6089" t="s">
        <v>827</v>
      </c>
      <c r="E6089" t="s">
        <v>675</v>
      </c>
      <c r="F6089" t="s">
        <v>424</v>
      </c>
      <c r="G6089">
        <v>78.966667000000001</v>
      </c>
      <c r="H6089">
        <v>11.5</v>
      </c>
      <c r="J6089" s="2" t="s">
        <v>7</v>
      </c>
      <c r="K6089" t="s">
        <v>95</v>
      </c>
      <c r="L6089" t="s">
        <v>143</v>
      </c>
      <c r="M6089" t="s">
        <v>726</v>
      </c>
      <c r="N6089" t="s">
        <v>85</v>
      </c>
      <c r="O6089" t="s">
        <v>84</v>
      </c>
      <c r="Q6089">
        <v>7</v>
      </c>
      <c r="R6089" t="s">
        <v>214</v>
      </c>
      <c r="S6089" s="2" t="s">
        <v>7</v>
      </c>
      <c r="T6089">
        <v>5</v>
      </c>
      <c r="U6089" t="s">
        <v>28</v>
      </c>
      <c r="V6089" t="s">
        <v>28</v>
      </c>
      <c r="W6089">
        <v>10</v>
      </c>
      <c r="X6089">
        <v>0.73680000000000001</v>
      </c>
      <c r="Y6089">
        <v>6.3403469936625517E-3</v>
      </c>
    </row>
    <row r="6090" spans="1:25" x14ac:dyDescent="0.2">
      <c r="A6090" t="s">
        <v>674</v>
      </c>
      <c r="B6090">
        <v>2021</v>
      </c>
      <c r="C6090" t="s">
        <v>816</v>
      </c>
      <c r="D6090" t="s">
        <v>827</v>
      </c>
      <c r="E6090" t="s">
        <v>675</v>
      </c>
      <c r="F6090" t="s">
        <v>424</v>
      </c>
      <c r="G6090">
        <v>78.966667000000001</v>
      </c>
      <c r="H6090">
        <v>11.5</v>
      </c>
      <c r="J6090" s="2" t="s">
        <v>14</v>
      </c>
      <c r="K6090" t="s">
        <v>95</v>
      </c>
      <c r="L6090" t="s">
        <v>143</v>
      </c>
      <c r="M6090" t="s">
        <v>726</v>
      </c>
      <c r="N6090" t="s">
        <v>85</v>
      </c>
      <c r="O6090" t="s">
        <v>84</v>
      </c>
      <c r="Q6090">
        <v>7</v>
      </c>
      <c r="R6090" t="s">
        <v>214</v>
      </c>
      <c r="S6090" s="2" t="s">
        <v>9</v>
      </c>
      <c r="T6090">
        <v>5</v>
      </c>
      <c r="U6090" t="s">
        <v>28</v>
      </c>
      <c r="V6090" t="s">
        <v>28</v>
      </c>
      <c r="W6090">
        <v>15</v>
      </c>
      <c r="X6090">
        <v>0.74600000000000011</v>
      </c>
      <c r="Y6090">
        <v>7.5166481891726731E-3</v>
      </c>
    </row>
    <row r="6091" spans="1:25" x14ac:dyDescent="0.2">
      <c r="A6091" t="s">
        <v>674</v>
      </c>
      <c r="B6091">
        <v>2021</v>
      </c>
      <c r="C6091" t="s">
        <v>816</v>
      </c>
      <c r="D6091" t="s">
        <v>827</v>
      </c>
      <c r="E6091" t="s">
        <v>675</v>
      </c>
      <c r="F6091" t="s">
        <v>424</v>
      </c>
      <c r="G6091">
        <v>78.966667000000001</v>
      </c>
      <c r="H6091">
        <v>11.5</v>
      </c>
      <c r="J6091" s="2" t="s">
        <v>14</v>
      </c>
      <c r="K6091" t="s">
        <v>95</v>
      </c>
      <c r="L6091" t="s">
        <v>143</v>
      </c>
      <c r="M6091" t="s">
        <v>726</v>
      </c>
      <c r="N6091" t="s">
        <v>85</v>
      </c>
      <c r="O6091" t="s">
        <v>84</v>
      </c>
      <c r="Q6091">
        <v>7</v>
      </c>
      <c r="R6091" t="s">
        <v>214</v>
      </c>
      <c r="S6091" s="2" t="s">
        <v>27</v>
      </c>
      <c r="T6091">
        <v>5</v>
      </c>
      <c r="U6091" t="s">
        <v>28</v>
      </c>
      <c r="V6091" t="s">
        <v>28</v>
      </c>
      <c r="W6091">
        <v>16</v>
      </c>
      <c r="X6091">
        <v>0.73399999999999999</v>
      </c>
      <c r="Y6091">
        <v>1.5921683328094696E-2</v>
      </c>
    </row>
    <row r="6092" spans="1:25" x14ac:dyDescent="0.2">
      <c r="A6092" t="s">
        <v>674</v>
      </c>
      <c r="B6092">
        <v>2021</v>
      </c>
      <c r="C6092" t="s">
        <v>816</v>
      </c>
      <c r="D6092" t="s">
        <v>827</v>
      </c>
      <c r="E6092" t="s">
        <v>675</v>
      </c>
      <c r="F6092" t="s">
        <v>424</v>
      </c>
      <c r="G6092">
        <v>78.966667000000001</v>
      </c>
      <c r="H6092">
        <v>11.5</v>
      </c>
      <c r="J6092" s="2" t="s">
        <v>14</v>
      </c>
      <c r="K6092" t="s">
        <v>95</v>
      </c>
      <c r="L6092" t="s">
        <v>143</v>
      </c>
      <c r="M6092" t="s">
        <v>726</v>
      </c>
      <c r="N6092" t="s">
        <v>85</v>
      </c>
      <c r="O6092" t="s">
        <v>84</v>
      </c>
      <c r="Q6092">
        <v>7</v>
      </c>
      <c r="R6092" t="s">
        <v>214</v>
      </c>
      <c r="S6092" s="2" t="s">
        <v>13</v>
      </c>
      <c r="T6092">
        <v>5</v>
      </c>
      <c r="U6092" t="s">
        <v>28</v>
      </c>
      <c r="V6092" t="s">
        <v>28</v>
      </c>
      <c r="W6092">
        <v>17</v>
      </c>
      <c r="X6092">
        <v>0.72459999999999991</v>
      </c>
      <c r="Y6092">
        <v>3.569033482611212E-2</v>
      </c>
    </row>
    <row r="6093" spans="1:25" x14ac:dyDescent="0.2">
      <c r="A6093" t="s">
        <v>674</v>
      </c>
      <c r="B6093">
        <v>2021</v>
      </c>
      <c r="C6093" t="s">
        <v>816</v>
      </c>
      <c r="D6093" t="s">
        <v>827</v>
      </c>
      <c r="E6093" t="s">
        <v>675</v>
      </c>
      <c r="F6093" t="s">
        <v>424</v>
      </c>
      <c r="G6093">
        <v>78.966667000000001</v>
      </c>
      <c r="H6093">
        <v>11.5</v>
      </c>
      <c r="J6093" s="2" t="s">
        <v>14</v>
      </c>
      <c r="K6093" t="s">
        <v>95</v>
      </c>
      <c r="L6093" t="s">
        <v>143</v>
      </c>
      <c r="M6093" t="s">
        <v>726</v>
      </c>
      <c r="N6093" t="s">
        <v>85</v>
      </c>
      <c r="O6093" t="s">
        <v>84</v>
      </c>
      <c r="Q6093">
        <v>7</v>
      </c>
      <c r="R6093" t="s">
        <v>214</v>
      </c>
      <c r="S6093" s="2" t="s">
        <v>15</v>
      </c>
      <c r="T6093">
        <v>5</v>
      </c>
      <c r="U6093" t="s">
        <v>28</v>
      </c>
      <c r="V6093" t="s">
        <v>28</v>
      </c>
      <c r="W6093">
        <v>18</v>
      </c>
      <c r="X6093">
        <v>0.64239999999999997</v>
      </c>
      <c r="Y6093">
        <v>4.1404106076573716E-2</v>
      </c>
    </row>
    <row r="6094" spans="1:25" x14ac:dyDescent="0.2">
      <c r="A6094" t="s">
        <v>674</v>
      </c>
      <c r="B6094">
        <v>2021</v>
      </c>
      <c r="C6094" t="s">
        <v>816</v>
      </c>
      <c r="D6094" t="s">
        <v>827</v>
      </c>
      <c r="E6094" t="s">
        <v>675</v>
      </c>
      <c r="F6094" t="s">
        <v>424</v>
      </c>
      <c r="G6094">
        <v>78.966667000000001</v>
      </c>
      <c r="H6094">
        <v>11.5</v>
      </c>
      <c r="J6094" s="2" t="s">
        <v>14</v>
      </c>
      <c r="K6094" t="s">
        <v>95</v>
      </c>
      <c r="L6094" t="s">
        <v>143</v>
      </c>
      <c r="M6094" t="s">
        <v>726</v>
      </c>
      <c r="N6094" t="s">
        <v>85</v>
      </c>
      <c r="O6094" t="s">
        <v>84</v>
      </c>
      <c r="Q6094">
        <v>7</v>
      </c>
      <c r="R6094" t="s">
        <v>214</v>
      </c>
      <c r="S6094" s="2" t="s">
        <v>37</v>
      </c>
      <c r="T6094">
        <v>5</v>
      </c>
      <c r="U6094" t="s">
        <v>28</v>
      </c>
      <c r="V6094" t="s">
        <v>28</v>
      </c>
      <c r="W6094">
        <v>19</v>
      </c>
      <c r="X6094">
        <v>0.55840000000000001</v>
      </c>
      <c r="Y6094">
        <v>0.12933019755648706</v>
      </c>
    </row>
    <row r="6095" spans="1:25" x14ac:dyDescent="0.2">
      <c r="A6095" t="s">
        <v>674</v>
      </c>
      <c r="B6095">
        <v>2021</v>
      </c>
      <c r="C6095" t="s">
        <v>816</v>
      </c>
      <c r="D6095" t="s">
        <v>827</v>
      </c>
      <c r="E6095" t="s">
        <v>675</v>
      </c>
      <c r="F6095" t="s">
        <v>424</v>
      </c>
      <c r="G6095">
        <v>78.966667000000001</v>
      </c>
      <c r="H6095">
        <v>11.5</v>
      </c>
      <c r="J6095" s="2" t="s">
        <v>14</v>
      </c>
      <c r="K6095" t="s">
        <v>95</v>
      </c>
      <c r="L6095" t="s">
        <v>143</v>
      </c>
      <c r="M6095" t="s">
        <v>726</v>
      </c>
      <c r="N6095" t="s">
        <v>85</v>
      </c>
      <c r="O6095" t="s">
        <v>84</v>
      </c>
      <c r="Q6095">
        <v>7</v>
      </c>
      <c r="R6095" t="s">
        <v>214</v>
      </c>
      <c r="S6095" s="2" t="s">
        <v>116</v>
      </c>
      <c r="T6095">
        <v>5</v>
      </c>
      <c r="U6095" t="s">
        <v>28</v>
      </c>
      <c r="V6095" t="s">
        <v>28</v>
      </c>
      <c r="W6095">
        <v>20</v>
      </c>
      <c r="X6095">
        <v>9.5400000000000013E-2</v>
      </c>
      <c r="Y6095">
        <v>2.4764894508154056E-2</v>
      </c>
    </row>
    <row r="6096" spans="1:25" x14ac:dyDescent="0.2">
      <c r="A6096" t="s">
        <v>674</v>
      </c>
      <c r="B6096">
        <v>2021</v>
      </c>
      <c r="C6096" t="s">
        <v>816</v>
      </c>
      <c r="D6096" t="s">
        <v>827</v>
      </c>
      <c r="E6096" t="s">
        <v>675</v>
      </c>
      <c r="F6096" t="s">
        <v>424</v>
      </c>
      <c r="G6096">
        <v>78.966667000000001</v>
      </c>
      <c r="H6096">
        <v>11.5</v>
      </c>
      <c r="J6096" s="2" t="s">
        <v>7</v>
      </c>
      <c r="K6096" t="s">
        <v>95</v>
      </c>
      <c r="L6096" t="s">
        <v>143</v>
      </c>
      <c r="M6096" t="s">
        <v>726</v>
      </c>
      <c r="N6096" t="s">
        <v>85</v>
      </c>
      <c r="O6096" t="s">
        <v>84</v>
      </c>
      <c r="Q6096">
        <v>11</v>
      </c>
      <c r="R6096" s="2" t="s">
        <v>214</v>
      </c>
      <c r="S6096" s="2" t="s">
        <v>7</v>
      </c>
      <c r="T6096" s="2">
        <v>5</v>
      </c>
      <c r="U6096" s="2" t="s">
        <v>28</v>
      </c>
      <c r="V6096" s="2" t="s">
        <v>28</v>
      </c>
      <c r="W6096" s="2">
        <v>10</v>
      </c>
      <c r="X6096">
        <v>0.74839999999999995</v>
      </c>
      <c r="Y6096">
        <v>6.188699378701118E-3</v>
      </c>
    </row>
    <row r="6097" spans="1:25" x14ac:dyDescent="0.2">
      <c r="A6097" t="s">
        <v>674</v>
      </c>
      <c r="B6097">
        <v>2021</v>
      </c>
      <c r="C6097" t="s">
        <v>816</v>
      </c>
      <c r="D6097" t="s">
        <v>827</v>
      </c>
      <c r="E6097" t="s">
        <v>675</v>
      </c>
      <c r="F6097" t="s">
        <v>424</v>
      </c>
      <c r="G6097">
        <v>78.966667000000001</v>
      </c>
      <c r="H6097">
        <v>11.5</v>
      </c>
      <c r="J6097" s="2" t="s">
        <v>14</v>
      </c>
      <c r="K6097" t="s">
        <v>95</v>
      </c>
      <c r="L6097" t="s">
        <v>143</v>
      </c>
      <c r="M6097" t="s">
        <v>726</v>
      </c>
      <c r="N6097" t="s">
        <v>85</v>
      </c>
      <c r="O6097" t="s">
        <v>84</v>
      </c>
      <c r="Q6097">
        <v>11</v>
      </c>
      <c r="R6097" s="2" t="s">
        <v>214</v>
      </c>
      <c r="S6097" s="2" t="s">
        <v>9</v>
      </c>
      <c r="T6097" s="2">
        <v>5</v>
      </c>
      <c r="U6097" s="2" t="s">
        <v>28</v>
      </c>
      <c r="V6097" s="2" t="s">
        <v>28</v>
      </c>
      <c r="W6097" s="2">
        <v>15</v>
      </c>
      <c r="X6097">
        <v>0.74940000000000007</v>
      </c>
      <c r="Y6097">
        <v>6.5038450165989968E-3</v>
      </c>
    </row>
    <row r="6098" spans="1:25" x14ac:dyDescent="0.2">
      <c r="A6098" t="s">
        <v>674</v>
      </c>
      <c r="B6098">
        <v>2021</v>
      </c>
      <c r="C6098" t="s">
        <v>816</v>
      </c>
      <c r="D6098" t="s">
        <v>827</v>
      </c>
      <c r="E6098" t="s">
        <v>675</v>
      </c>
      <c r="F6098" t="s">
        <v>424</v>
      </c>
      <c r="G6098">
        <v>78.966667000000001</v>
      </c>
      <c r="H6098">
        <v>11.5</v>
      </c>
      <c r="J6098" s="2" t="s">
        <v>14</v>
      </c>
      <c r="K6098" t="s">
        <v>95</v>
      </c>
      <c r="L6098" t="s">
        <v>143</v>
      </c>
      <c r="M6098" t="s">
        <v>726</v>
      </c>
      <c r="N6098" t="s">
        <v>85</v>
      </c>
      <c r="O6098" t="s">
        <v>84</v>
      </c>
      <c r="Q6098">
        <v>11</v>
      </c>
      <c r="R6098" s="2" t="s">
        <v>214</v>
      </c>
      <c r="S6098" s="2" t="s">
        <v>27</v>
      </c>
      <c r="T6098" s="2">
        <v>5</v>
      </c>
      <c r="U6098" s="2" t="s">
        <v>28</v>
      </c>
      <c r="V6098" s="2" t="s">
        <v>28</v>
      </c>
      <c r="W6098" s="2">
        <v>16</v>
      </c>
      <c r="X6098">
        <v>0.73419999999999996</v>
      </c>
      <c r="Y6098">
        <v>1.8033302526163544E-2</v>
      </c>
    </row>
    <row r="6099" spans="1:25" x14ac:dyDescent="0.2">
      <c r="A6099" t="s">
        <v>674</v>
      </c>
      <c r="B6099">
        <v>2021</v>
      </c>
      <c r="C6099" t="s">
        <v>816</v>
      </c>
      <c r="D6099" t="s">
        <v>827</v>
      </c>
      <c r="E6099" t="s">
        <v>675</v>
      </c>
      <c r="F6099" t="s">
        <v>424</v>
      </c>
      <c r="G6099">
        <v>78.966667000000001</v>
      </c>
      <c r="H6099">
        <v>11.5</v>
      </c>
      <c r="J6099" s="2" t="s">
        <v>14</v>
      </c>
      <c r="K6099" t="s">
        <v>95</v>
      </c>
      <c r="L6099" t="s">
        <v>143</v>
      </c>
      <c r="M6099" t="s">
        <v>726</v>
      </c>
      <c r="N6099" t="s">
        <v>85</v>
      </c>
      <c r="O6099" t="s">
        <v>84</v>
      </c>
      <c r="Q6099">
        <v>11</v>
      </c>
      <c r="R6099" s="2" t="s">
        <v>214</v>
      </c>
      <c r="S6099" s="2" t="s">
        <v>13</v>
      </c>
      <c r="T6099" s="2">
        <v>5</v>
      </c>
      <c r="U6099" s="2" t="s">
        <v>28</v>
      </c>
      <c r="V6099" s="2" t="s">
        <v>28</v>
      </c>
      <c r="W6099" s="2">
        <v>17</v>
      </c>
      <c r="X6099">
        <v>0.68240000000000001</v>
      </c>
      <c r="Y6099">
        <v>4.5560948190309564E-2</v>
      </c>
    </row>
    <row r="6100" spans="1:25" x14ac:dyDescent="0.2">
      <c r="A6100" t="s">
        <v>674</v>
      </c>
      <c r="B6100">
        <v>2021</v>
      </c>
      <c r="C6100" t="s">
        <v>816</v>
      </c>
      <c r="D6100" t="s">
        <v>827</v>
      </c>
      <c r="E6100" t="s">
        <v>675</v>
      </c>
      <c r="F6100" t="s">
        <v>424</v>
      </c>
      <c r="G6100">
        <v>78.966667000000001</v>
      </c>
      <c r="H6100">
        <v>11.5</v>
      </c>
      <c r="J6100" s="2" t="s">
        <v>14</v>
      </c>
      <c r="K6100" t="s">
        <v>95</v>
      </c>
      <c r="L6100" t="s">
        <v>143</v>
      </c>
      <c r="M6100" t="s">
        <v>726</v>
      </c>
      <c r="N6100" t="s">
        <v>85</v>
      </c>
      <c r="O6100" t="s">
        <v>84</v>
      </c>
      <c r="Q6100">
        <v>11</v>
      </c>
      <c r="R6100" s="2" t="s">
        <v>214</v>
      </c>
      <c r="S6100" s="2" t="s">
        <v>15</v>
      </c>
      <c r="T6100" s="2">
        <v>5</v>
      </c>
      <c r="U6100" s="2" t="s">
        <v>28</v>
      </c>
      <c r="V6100" s="2" t="s">
        <v>28</v>
      </c>
      <c r="W6100" s="2">
        <v>18</v>
      </c>
      <c r="X6100">
        <v>0.61899999999999999</v>
      </c>
      <c r="Y6100">
        <v>6.8377627920249692E-2</v>
      </c>
    </row>
    <row r="6101" spans="1:25" x14ac:dyDescent="0.2">
      <c r="A6101" t="s">
        <v>674</v>
      </c>
      <c r="B6101">
        <v>2021</v>
      </c>
      <c r="C6101" t="s">
        <v>816</v>
      </c>
      <c r="D6101" t="s">
        <v>827</v>
      </c>
      <c r="E6101" t="s">
        <v>675</v>
      </c>
      <c r="F6101" t="s">
        <v>424</v>
      </c>
      <c r="G6101">
        <v>78.966667000000001</v>
      </c>
      <c r="H6101">
        <v>11.5</v>
      </c>
      <c r="J6101" s="2" t="s">
        <v>14</v>
      </c>
      <c r="K6101" t="s">
        <v>95</v>
      </c>
      <c r="L6101" t="s">
        <v>143</v>
      </c>
      <c r="M6101" t="s">
        <v>726</v>
      </c>
      <c r="N6101" t="s">
        <v>85</v>
      </c>
      <c r="O6101" t="s">
        <v>84</v>
      </c>
      <c r="Q6101">
        <v>11</v>
      </c>
      <c r="R6101" s="2" t="s">
        <v>214</v>
      </c>
      <c r="S6101" s="2" t="s">
        <v>37</v>
      </c>
      <c r="T6101" s="2">
        <v>5</v>
      </c>
      <c r="U6101" s="2" t="s">
        <v>28</v>
      </c>
      <c r="V6101" s="2" t="s">
        <v>28</v>
      </c>
      <c r="W6101" s="2">
        <v>19</v>
      </c>
      <c r="X6101">
        <v>0.3852000000000001</v>
      </c>
      <c r="Y6101">
        <v>0.12005498740160665</v>
      </c>
    </row>
    <row r="6102" spans="1:25" x14ac:dyDescent="0.2">
      <c r="A6102" t="s">
        <v>674</v>
      </c>
      <c r="B6102">
        <v>2021</v>
      </c>
      <c r="C6102" t="s">
        <v>816</v>
      </c>
      <c r="D6102" t="s">
        <v>827</v>
      </c>
      <c r="E6102" t="s">
        <v>675</v>
      </c>
      <c r="F6102" t="s">
        <v>424</v>
      </c>
      <c r="G6102">
        <v>78.966667000000001</v>
      </c>
      <c r="H6102">
        <v>11.5</v>
      </c>
      <c r="J6102" s="2" t="s">
        <v>14</v>
      </c>
      <c r="K6102" t="s">
        <v>95</v>
      </c>
      <c r="L6102" t="s">
        <v>143</v>
      </c>
      <c r="M6102" t="s">
        <v>726</v>
      </c>
      <c r="N6102" t="s">
        <v>85</v>
      </c>
      <c r="O6102" t="s">
        <v>84</v>
      </c>
      <c r="Q6102">
        <v>11</v>
      </c>
      <c r="R6102" s="2" t="s">
        <v>214</v>
      </c>
      <c r="S6102" s="2" t="s">
        <v>116</v>
      </c>
      <c r="T6102" s="2">
        <v>5</v>
      </c>
      <c r="U6102" s="2" t="s">
        <v>28</v>
      </c>
      <c r="V6102" s="2" t="s">
        <v>28</v>
      </c>
      <c r="W6102" s="2">
        <v>20</v>
      </c>
      <c r="X6102">
        <v>0.1056</v>
      </c>
      <c r="Y6102">
        <v>2.2810085488660484E-2</v>
      </c>
    </row>
    <row r="6103" spans="1:25" x14ac:dyDescent="0.2">
      <c r="A6103" t="s">
        <v>674</v>
      </c>
      <c r="B6103">
        <v>2021</v>
      </c>
      <c r="C6103" t="s">
        <v>816</v>
      </c>
      <c r="D6103" t="s">
        <v>827</v>
      </c>
      <c r="E6103" t="s">
        <v>675</v>
      </c>
      <c r="F6103" t="s">
        <v>424</v>
      </c>
      <c r="G6103">
        <v>78.966667000000001</v>
      </c>
      <c r="H6103">
        <v>11.5</v>
      </c>
      <c r="J6103" s="2" t="s">
        <v>7</v>
      </c>
      <c r="K6103" t="s">
        <v>95</v>
      </c>
      <c r="L6103" t="s">
        <v>143</v>
      </c>
      <c r="M6103" t="s">
        <v>726</v>
      </c>
      <c r="N6103" t="s">
        <v>85</v>
      </c>
      <c r="O6103" t="s">
        <v>84</v>
      </c>
      <c r="Q6103">
        <v>14</v>
      </c>
      <c r="R6103" s="2" t="s">
        <v>213</v>
      </c>
      <c r="S6103" s="2" t="s">
        <v>7</v>
      </c>
      <c r="T6103" s="2">
        <v>5</v>
      </c>
      <c r="U6103" s="2" t="s">
        <v>28</v>
      </c>
      <c r="V6103" s="2" t="s">
        <v>28</v>
      </c>
      <c r="W6103" s="2">
        <v>10</v>
      </c>
      <c r="X6103">
        <v>0.74059999999999993</v>
      </c>
      <c r="Y6103">
        <v>5.0793700396766471E-3</v>
      </c>
    </row>
    <row r="6104" spans="1:25" x14ac:dyDescent="0.2">
      <c r="A6104" t="s">
        <v>674</v>
      </c>
      <c r="B6104">
        <v>2021</v>
      </c>
      <c r="C6104" t="s">
        <v>816</v>
      </c>
      <c r="D6104" t="s">
        <v>827</v>
      </c>
      <c r="E6104" t="s">
        <v>675</v>
      </c>
      <c r="F6104" t="s">
        <v>424</v>
      </c>
      <c r="G6104">
        <v>78.966667000000001</v>
      </c>
      <c r="H6104">
        <v>11.5</v>
      </c>
      <c r="J6104" s="2" t="s">
        <v>14</v>
      </c>
      <c r="K6104" t="s">
        <v>95</v>
      </c>
      <c r="L6104" t="s">
        <v>143</v>
      </c>
      <c r="M6104" t="s">
        <v>726</v>
      </c>
      <c r="N6104" t="s">
        <v>85</v>
      </c>
      <c r="O6104" t="s">
        <v>84</v>
      </c>
      <c r="Q6104">
        <v>14</v>
      </c>
      <c r="R6104" s="2" t="s">
        <v>213</v>
      </c>
      <c r="S6104" s="2" t="s">
        <v>9</v>
      </c>
      <c r="T6104" s="2">
        <v>5</v>
      </c>
      <c r="U6104" s="2" t="s">
        <v>28</v>
      </c>
      <c r="V6104" s="2" t="s">
        <v>28</v>
      </c>
      <c r="W6104" s="2">
        <v>15</v>
      </c>
      <c r="X6104">
        <v>0.75500000000000012</v>
      </c>
      <c r="Y6104">
        <v>6.041522986787673E-3</v>
      </c>
    </row>
    <row r="6105" spans="1:25" x14ac:dyDescent="0.2">
      <c r="A6105" t="s">
        <v>674</v>
      </c>
      <c r="B6105">
        <v>2021</v>
      </c>
      <c r="C6105" t="s">
        <v>816</v>
      </c>
      <c r="D6105" t="s">
        <v>827</v>
      </c>
      <c r="E6105" t="s">
        <v>675</v>
      </c>
      <c r="F6105" t="s">
        <v>424</v>
      </c>
      <c r="G6105">
        <v>78.966667000000001</v>
      </c>
      <c r="H6105">
        <v>11.5</v>
      </c>
      <c r="J6105" s="2" t="s">
        <v>14</v>
      </c>
      <c r="K6105" t="s">
        <v>95</v>
      </c>
      <c r="L6105" t="s">
        <v>143</v>
      </c>
      <c r="M6105" t="s">
        <v>726</v>
      </c>
      <c r="N6105" t="s">
        <v>85</v>
      </c>
      <c r="O6105" t="s">
        <v>84</v>
      </c>
      <c r="Q6105">
        <v>14</v>
      </c>
      <c r="R6105" s="2" t="s">
        <v>213</v>
      </c>
      <c r="S6105" s="2" t="s">
        <v>27</v>
      </c>
      <c r="T6105" s="2">
        <v>5</v>
      </c>
      <c r="U6105" s="2" t="s">
        <v>28</v>
      </c>
      <c r="V6105" s="2" t="s">
        <v>28</v>
      </c>
      <c r="W6105" s="2">
        <v>16</v>
      </c>
      <c r="X6105">
        <v>0.7168000000000001</v>
      </c>
      <c r="Y6105">
        <v>2.9482198018461792E-2</v>
      </c>
    </row>
    <row r="6106" spans="1:25" x14ac:dyDescent="0.2">
      <c r="A6106" t="s">
        <v>674</v>
      </c>
      <c r="B6106">
        <v>2021</v>
      </c>
      <c r="C6106" t="s">
        <v>816</v>
      </c>
      <c r="D6106" t="s">
        <v>827</v>
      </c>
      <c r="E6106" t="s">
        <v>675</v>
      </c>
      <c r="F6106" t="s">
        <v>424</v>
      </c>
      <c r="G6106">
        <v>78.966667000000001</v>
      </c>
      <c r="H6106">
        <v>11.5</v>
      </c>
      <c r="J6106" s="2" t="s">
        <v>14</v>
      </c>
      <c r="K6106" t="s">
        <v>95</v>
      </c>
      <c r="L6106" t="s">
        <v>143</v>
      </c>
      <c r="M6106" t="s">
        <v>726</v>
      </c>
      <c r="N6106" t="s">
        <v>85</v>
      </c>
      <c r="O6106" t="s">
        <v>84</v>
      </c>
      <c r="Q6106">
        <v>14</v>
      </c>
      <c r="R6106" s="2" t="s">
        <v>213</v>
      </c>
      <c r="S6106" s="2" t="s">
        <v>13</v>
      </c>
      <c r="T6106" s="2">
        <v>5</v>
      </c>
      <c r="U6106" s="2" t="s">
        <v>28</v>
      </c>
      <c r="V6106" s="2" t="s">
        <v>28</v>
      </c>
      <c r="W6106" s="2">
        <v>17</v>
      </c>
      <c r="X6106">
        <v>0.66799999999999993</v>
      </c>
      <c r="Y6106">
        <v>3.5355339059328569E-2</v>
      </c>
    </row>
    <row r="6107" spans="1:25" x14ac:dyDescent="0.2">
      <c r="A6107" t="s">
        <v>674</v>
      </c>
      <c r="B6107">
        <v>2021</v>
      </c>
      <c r="C6107" t="s">
        <v>816</v>
      </c>
      <c r="D6107" t="s">
        <v>827</v>
      </c>
      <c r="E6107" t="s">
        <v>675</v>
      </c>
      <c r="F6107" t="s">
        <v>424</v>
      </c>
      <c r="G6107">
        <v>78.966667000000001</v>
      </c>
      <c r="H6107">
        <v>11.5</v>
      </c>
      <c r="J6107" s="2" t="s">
        <v>14</v>
      </c>
      <c r="K6107" t="s">
        <v>95</v>
      </c>
      <c r="L6107" t="s">
        <v>143</v>
      </c>
      <c r="M6107" t="s">
        <v>726</v>
      </c>
      <c r="N6107" t="s">
        <v>85</v>
      </c>
      <c r="O6107" t="s">
        <v>84</v>
      </c>
      <c r="Q6107">
        <v>14</v>
      </c>
      <c r="R6107" s="2" t="s">
        <v>213</v>
      </c>
      <c r="S6107" s="2" t="s">
        <v>15</v>
      </c>
      <c r="T6107" s="2">
        <v>5</v>
      </c>
      <c r="U6107" s="2" t="s">
        <v>28</v>
      </c>
      <c r="V6107" s="2" t="s">
        <v>28</v>
      </c>
      <c r="W6107" s="2">
        <v>18</v>
      </c>
      <c r="X6107">
        <v>0.5948</v>
      </c>
      <c r="Y6107">
        <v>6.2953951424830262E-2</v>
      </c>
    </row>
    <row r="6108" spans="1:25" x14ac:dyDescent="0.2">
      <c r="A6108" t="s">
        <v>674</v>
      </c>
      <c r="B6108">
        <v>2021</v>
      </c>
      <c r="C6108" t="s">
        <v>816</v>
      </c>
      <c r="D6108" t="s">
        <v>827</v>
      </c>
      <c r="E6108" t="s">
        <v>675</v>
      </c>
      <c r="F6108" t="s">
        <v>424</v>
      </c>
      <c r="G6108">
        <v>78.966667000000001</v>
      </c>
      <c r="H6108">
        <v>11.5</v>
      </c>
      <c r="J6108" s="2" t="s">
        <v>14</v>
      </c>
      <c r="K6108" t="s">
        <v>95</v>
      </c>
      <c r="L6108" t="s">
        <v>143</v>
      </c>
      <c r="M6108" t="s">
        <v>726</v>
      </c>
      <c r="N6108" t="s">
        <v>85</v>
      </c>
      <c r="O6108" t="s">
        <v>84</v>
      </c>
      <c r="Q6108">
        <v>14</v>
      </c>
      <c r="R6108" s="2" t="s">
        <v>213</v>
      </c>
      <c r="S6108" s="2" t="s">
        <v>37</v>
      </c>
      <c r="T6108" s="2">
        <v>5</v>
      </c>
      <c r="U6108" s="2" t="s">
        <v>28</v>
      </c>
      <c r="V6108" s="2" t="s">
        <v>28</v>
      </c>
      <c r="W6108" s="2">
        <v>19</v>
      </c>
      <c r="X6108">
        <v>0.30599999999999999</v>
      </c>
      <c r="Y6108">
        <v>0.14046529820564224</v>
      </c>
    </row>
    <row r="6109" spans="1:25" x14ac:dyDescent="0.2">
      <c r="A6109" t="s">
        <v>674</v>
      </c>
      <c r="B6109">
        <v>2021</v>
      </c>
      <c r="C6109" t="s">
        <v>816</v>
      </c>
      <c r="D6109" t="s">
        <v>827</v>
      </c>
      <c r="E6109" t="s">
        <v>675</v>
      </c>
      <c r="F6109" t="s">
        <v>424</v>
      </c>
      <c r="G6109">
        <v>78.966667000000001</v>
      </c>
      <c r="H6109">
        <v>11.5</v>
      </c>
      <c r="J6109" s="2" t="s">
        <v>14</v>
      </c>
      <c r="K6109" t="s">
        <v>95</v>
      </c>
      <c r="L6109" t="s">
        <v>143</v>
      </c>
      <c r="M6109" t="s">
        <v>726</v>
      </c>
      <c r="N6109" t="s">
        <v>85</v>
      </c>
      <c r="O6109" t="s">
        <v>84</v>
      </c>
      <c r="Q6109">
        <v>14</v>
      </c>
      <c r="R6109" s="2" t="s">
        <v>213</v>
      </c>
      <c r="S6109" s="2" t="s">
        <v>116</v>
      </c>
      <c r="T6109" s="2">
        <v>5</v>
      </c>
      <c r="U6109" s="2" t="s">
        <v>28</v>
      </c>
      <c r="V6109" s="2" t="s">
        <v>28</v>
      </c>
      <c r="W6109" s="2">
        <v>20</v>
      </c>
      <c r="X6109">
        <v>0.2606</v>
      </c>
      <c r="Y6109">
        <v>0.15143909666925523</v>
      </c>
    </row>
    <row r="6110" spans="1:25" x14ac:dyDescent="0.2">
      <c r="A6110" t="s">
        <v>674</v>
      </c>
      <c r="B6110">
        <v>2021</v>
      </c>
      <c r="C6110" t="s">
        <v>816</v>
      </c>
      <c r="D6110" t="s">
        <v>817</v>
      </c>
      <c r="E6110" t="s">
        <v>31</v>
      </c>
      <c r="F6110" t="s">
        <v>424</v>
      </c>
      <c r="G6110">
        <v>78.966667000000001</v>
      </c>
      <c r="H6110">
        <v>11.5</v>
      </c>
      <c r="J6110" s="2" t="s">
        <v>7</v>
      </c>
      <c r="K6110" t="s">
        <v>3</v>
      </c>
      <c r="L6110" t="s">
        <v>3</v>
      </c>
      <c r="M6110" t="s">
        <v>12</v>
      </c>
      <c r="N6110" t="s">
        <v>85</v>
      </c>
      <c r="O6110" t="s">
        <v>141</v>
      </c>
      <c r="P6110" t="s">
        <v>381</v>
      </c>
      <c r="Q6110">
        <v>7</v>
      </c>
      <c r="R6110" s="2" t="s">
        <v>214</v>
      </c>
      <c r="S6110" s="2" t="s">
        <v>7</v>
      </c>
      <c r="T6110" s="2">
        <v>4</v>
      </c>
      <c r="U6110" s="2" t="s">
        <v>28</v>
      </c>
      <c r="V6110" s="2" t="s">
        <v>28</v>
      </c>
      <c r="W6110" s="2">
        <v>15</v>
      </c>
      <c r="X6110">
        <v>630.6</v>
      </c>
      <c r="Y6110">
        <f>924.7-X6110</f>
        <v>294.10000000000002</v>
      </c>
    </row>
    <row r="6111" spans="1:25" x14ac:dyDescent="0.2">
      <c r="A6111" t="s">
        <v>674</v>
      </c>
      <c r="B6111">
        <v>2021</v>
      </c>
      <c r="C6111" t="s">
        <v>816</v>
      </c>
      <c r="D6111" t="s">
        <v>817</v>
      </c>
      <c r="E6111" t="s">
        <v>31</v>
      </c>
      <c r="F6111" t="s">
        <v>424</v>
      </c>
      <c r="G6111">
        <v>78.966667000000001</v>
      </c>
      <c r="H6111">
        <v>11.5</v>
      </c>
      <c r="J6111" s="2" t="s">
        <v>14</v>
      </c>
      <c r="K6111" t="s">
        <v>3</v>
      </c>
      <c r="L6111" t="s">
        <v>3</v>
      </c>
      <c r="M6111" t="s">
        <v>12</v>
      </c>
      <c r="N6111" t="s">
        <v>85</v>
      </c>
      <c r="O6111" t="s">
        <v>141</v>
      </c>
      <c r="P6111" t="s">
        <v>381</v>
      </c>
      <c r="Q6111">
        <v>7</v>
      </c>
      <c r="R6111" s="2" t="s">
        <v>214</v>
      </c>
      <c r="S6111" s="2" t="s">
        <v>116</v>
      </c>
      <c r="T6111" s="2">
        <v>4</v>
      </c>
      <c r="U6111" s="2" t="s">
        <v>28</v>
      </c>
      <c r="V6111" s="2" t="s">
        <v>28</v>
      </c>
      <c r="W6111" s="2">
        <v>20</v>
      </c>
      <c r="X6111">
        <v>680</v>
      </c>
      <c r="Y6111">
        <f>1063.5-X6111</f>
        <v>383.5</v>
      </c>
    </row>
    <row r="6112" spans="1:25" x14ac:dyDescent="0.2">
      <c r="A6112" t="s">
        <v>674</v>
      </c>
      <c r="B6112">
        <v>2021</v>
      </c>
      <c r="C6112" t="s">
        <v>816</v>
      </c>
      <c r="D6112" t="s">
        <v>817</v>
      </c>
      <c r="E6112" t="s">
        <v>31</v>
      </c>
      <c r="F6112" t="s">
        <v>424</v>
      </c>
      <c r="G6112">
        <v>78.966667000000001</v>
      </c>
      <c r="H6112">
        <v>11.5</v>
      </c>
      <c r="J6112" s="2" t="s">
        <v>14</v>
      </c>
      <c r="K6112" t="s">
        <v>3</v>
      </c>
      <c r="L6112" t="s">
        <v>3</v>
      </c>
      <c r="M6112" t="s">
        <v>12</v>
      </c>
      <c r="N6112" t="s">
        <v>85</v>
      </c>
      <c r="O6112" t="s">
        <v>141</v>
      </c>
      <c r="P6112" t="s">
        <v>381</v>
      </c>
      <c r="Q6112">
        <v>7</v>
      </c>
      <c r="R6112" s="2" t="s">
        <v>214</v>
      </c>
      <c r="S6112" s="2" t="s">
        <v>118</v>
      </c>
      <c r="T6112" s="2">
        <v>4</v>
      </c>
      <c r="U6112" s="2" t="s">
        <v>28</v>
      </c>
      <c r="V6112" s="2" t="s">
        <v>28</v>
      </c>
      <c r="W6112" s="2">
        <v>22</v>
      </c>
      <c r="X6112">
        <v>468.2</v>
      </c>
      <c r="Y6112">
        <f>592.9-X6112</f>
        <v>124.69999999999999</v>
      </c>
    </row>
    <row r="6113" spans="1:25" x14ac:dyDescent="0.2">
      <c r="A6113" t="s">
        <v>674</v>
      </c>
      <c r="B6113">
        <v>2021</v>
      </c>
      <c r="C6113" t="s">
        <v>816</v>
      </c>
      <c r="D6113" t="s">
        <v>817</v>
      </c>
      <c r="E6113" t="s">
        <v>31</v>
      </c>
      <c r="F6113" t="s">
        <v>424</v>
      </c>
      <c r="G6113">
        <v>78.966667000000001</v>
      </c>
      <c r="H6113">
        <v>11.5</v>
      </c>
      <c r="J6113" s="2" t="s">
        <v>14</v>
      </c>
      <c r="K6113" t="s">
        <v>3</v>
      </c>
      <c r="L6113" t="s">
        <v>3</v>
      </c>
      <c r="M6113" t="s">
        <v>12</v>
      </c>
      <c r="N6113" t="s">
        <v>85</v>
      </c>
      <c r="O6113" t="s">
        <v>141</v>
      </c>
      <c r="P6113" t="s">
        <v>381</v>
      </c>
      <c r="Q6113">
        <v>7</v>
      </c>
      <c r="R6113" s="2" t="s">
        <v>214</v>
      </c>
      <c r="S6113" s="2" t="s">
        <v>177</v>
      </c>
      <c r="T6113" s="2">
        <v>4</v>
      </c>
      <c r="U6113" s="2" t="s">
        <v>28</v>
      </c>
      <c r="V6113" s="2" t="s">
        <v>28</v>
      </c>
      <c r="W6113" s="2">
        <v>23</v>
      </c>
      <c r="X6113">
        <v>637.6</v>
      </c>
      <c r="Y6113">
        <f>795.3-X6113</f>
        <v>157.69999999999993</v>
      </c>
    </row>
    <row r="6114" spans="1:25" x14ac:dyDescent="0.2">
      <c r="A6114" t="s">
        <v>674</v>
      </c>
      <c r="B6114">
        <v>2021</v>
      </c>
      <c r="C6114" t="s">
        <v>816</v>
      </c>
      <c r="D6114" t="s">
        <v>817</v>
      </c>
      <c r="E6114" t="s">
        <v>31</v>
      </c>
      <c r="F6114" t="s">
        <v>424</v>
      </c>
      <c r="G6114">
        <v>78.966667000000001</v>
      </c>
      <c r="H6114">
        <v>11.5</v>
      </c>
      <c r="J6114" s="2" t="s">
        <v>14</v>
      </c>
      <c r="K6114" t="s">
        <v>3</v>
      </c>
      <c r="L6114" t="s">
        <v>3</v>
      </c>
      <c r="M6114" t="s">
        <v>12</v>
      </c>
      <c r="N6114" t="s">
        <v>85</v>
      </c>
      <c r="O6114" t="s">
        <v>141</v>
      </c>
      <c r="P6114" t="s">
        <v>381</v>
      </c>
      <c r="Q6114">
        <v>7</v>
      </c>
      <c r="R6114" s="2" t="s">
        <v>214</v>
      </c>
      <c r="S6114" s="2" t="s">
        <v>178</v>
      </c>
      <c r="T6114" s="2">
        <v>4</v>
      </c>
      <c r="U6114" s="2" t="s">
        <v>28</v>
      </c>
      <c r="V6114" s="2" t="s">
        <v>28</v>
      </c>
      <c r="W6114" s="2">
        <v>24</v>
      </c>
      <c r="X6114">
        <v>404.7</v>
      </c>
      <c r="Y6114">
        <f>545.9-X6114</f>
        <v>141.19999999999999</v>
      </c>
    </row>
    <row r="6115" spans="1:25" x14ac:dyDescent="0.2">
      <c r="A6115" t="s">
        <v>674</v>
      </c>
      <c r="B6115">
        <v>2021</v>
      </c>
      <c r="C6115" t="s">
        <v>816</v>
      </c>
      <c r="D6115" t="s">
        <v>817</v>
      </c>
      <c r="E6115" t="s">
        <v>31</v>
      </c>
      <c r="F6115" t="s">
        <v>424</v>
      </c>
      <c r="G6115">
        <v>78.966667000000001</v>
      </c>
      <c r="H6115">
        <v>11.5</v>
      </c>
      <c r="J6115" s="2" t="s">
        <v>14</v>
      </c>
      <c r="K6115" t="s">
        <v>3</v>
      </c>
      <c r="L6115" t="s">
        <v>3</v>
      </c>
      <c r="M6115" t="s">
        <v>12</v>
      </c>
      <c r="N6115" t="s">
        <v>85</v>
      </c>
      <c r="O6115" t="s">
        <v>141</v>
      </c>
      <c r="P6115" t="s">
        <v>381</v>
      </c>
      <c r="Q6115">
        <v>7</v>
      </c>
      <c r="R6115" s="2" t="s">
        <v>214</v>
      </c>
      <c r="S6115" s="2" t="s">
        <v>179</v>
      </c>
      <c r="T6115" s="2">
        <v>4</v>
      </c>
      <c r="U6115" s="2" t="s">
        <v>28</v>
      </c>
      <c r="V6115" s="2" t="s">
        <v>28</v>
      </c>
      <c r="W6115" s="2">
        <v>25</v>
      </c>
      <c r="X6115">
        <v>0</v>
      </c>
      <c r="Y6115">
        <v>0</v>
      </c>
    </row>
    <row r="6116" spans="1:25" x14ac:dyDescent="0.2">
      <c r="A6116" t="s">
        <v>674</v>
      </c>
      <c r="B6116">
        <v>2021</v>
      </c>
      <c r="C6116" t="s">
        <v>816</v>
      </c>
      <c r="D6116" t="s">
        <v>827</v>
      </c>
      <c r="E6116" t="s">
        <v>675</v>
      </c>
      <c r="F6116" t="s">
        <v>424</v>
      </c>
      <c r="G6116">
        <v>78.966667000000001</v>
      </c>
      <c r="H6116">
        <v>11.5</v>
      </c>
      <c r="J6116" s="2" t="s">
        <v>7</v>
      </c>
      <c r="K6116" t="s">
        <v>3</v>
      </c>
      <c r="L6116" t="s">
        <v>3</v>
      </c>
      <c r="M6116" t="s">
        <v>12</v>
      </c>
      <c r="N6116" t="s">
        <v>85</v>
      </c>
      <c r="O6116" t="s">
        <v>141</v>
      </c>
      <c r="P6116" t="s">
        <v>381</v>
      </c>
      <c r="Q6116">
        <v>7</v>
      </c>
      <c r="R6116" s="2" t="s">
        <v>214</v>
      </c>
      <c r="S6116" t="s">
        <v>7</v>
      </c>
      <c r="T6116">
        <v>3</v>
      </c>
      <c r="U6116" s="2" t="s">
        <v>28</v>
      </c>
      <c r="V6116" s="2" t="s">
        <v>28</v>
      </c>
      <c r="W6116" s="2">
        <v>15</v>
      </c>
      <c r="X6116">
        <v>736.3</v>
      </c>
      <c r="Y6116">
        <f>885.4-X6116</f>
        <v>149.10000000000002</v>
      </c>
    </row>
    <row r="6117" spans="1:25" x14ac:dyDescent="0.2">
      <c r="A6117" t="s">
        <v>674</v>
      </c>
      <c r="B6117">
        <v>2021</v>
      </c>
      <c r="C6117" t="s">
        <v>816</v>
      </c>
      <c r="D6117" t="s">
        <v>827</v>
      </c>
      <c r="E6117" t="s">
        <v>675</v>
      </c>
      <c r="F6117" t="s">
        <v>424</v>
      </c>
      <c r="G6117">
        <v>78.966667000000001</v>
      </c>
      <c r="H6117">
        <v>11.5</v>
      </c>
      <c r="J6117" s="2" t="s">
        <v>14</v>
      </c>
      <c r="K6117" t="s">
        <v>3</v>
      </c>
      <c r="L6117" t="s">
        <v>3</v>
      </c>
      <c r="M6117" t="s">
        <v>12</v>
      </c>
      <c r="N6117" t="s">
        <v>85</v>
      </c>
      <c r="O6117" t="s">
        <v>141</v>
      </c>
      <c r="P6117" t="s">
        <v>381</v>
      </c>
      <c r="Q6117">
        <v>7</v>
      </c>
      <c r="R6117" s="2" t="s">
        <v>214</v>
      </c>
      <c r="S6117" t="s">
        <v>15</v>
      </c>
      <c r="T6117">
        <v>4</v>
      </c>
      <c r="U6117" s="2" t="s">
        <v>28</v>
      </c>
      <c r="V6117" s="2" t="s">
        <v>28</v>
      </c>
      <c r="W6117" s="2">
        <v>18</v>
      </c>
      <c r="X6117">
        <v>792.2</v>
      </c>
      <c r="Y6117">
        <f>908.7-X6117</f>
        <v>116.5</v>
      </c>
    </row>
    <row r="6118" spans="1:25" x14ac:dyDescent="0.2">
      <c r="A6118" t="s">
        <v>674</v>
      </c>
      <c r="B6118">
        <v>2021</v>
      </c>
      <c r="C6118" t="s">
        <v>816</v>
      </c>
      <c r="D6118" t="s">
        <v>827</v>
      </c>
      <c r="E6118" t="s">
        <v>675</v>
      </c>
      <c r="F6118" t="s">
        <v>424</v>
      </c>
      <c r="G6118">
        <v>78.966667000000001</v>
      </c>
      <c r="H6118">
        <v>11.5</v>
      </c>
      <c r="J6118" s="2" t="s">
        <v>14</v>
      </c>
      <c r="K6118" t="s">
        <v>3</v>
      </c>
      <c r="L6118" t="s">
        <v>3</v>
      </c>
      <c r="M6118" t="s">
        <v>12</v>
      </c>
      <c r="N6118" t="s">
        <v>85</v>
      </c>
      <c r="O6118" t="s">
        <v>141</v>
      </c>
      <c r="P6118" t="s">
        <v>381</v>
      </c>
      <c r="Q6118">
        <v>7</v>
      </c>
      <c r="R6118" s="2" t="s">
        <v>214</v>
      </c>
      <c r="S6118" t="s">
        <v>37</v>
      </c>
      <c r="T6118">
        <v>4</v>
      </c>
      <c r="U6118" s="2" t="s">
        <v>28</v>
      </c>
      <c r="V6118" s="2" t="s">
        <v>28</v>
      </c>
      <c r="W6118" s="2">
        <v>19</v>
      </c>
      <c r="X6118">
        <v>810.9</v>
      </c>
      <c r="Y6118">
        <f>913.4-X6118</f>
        <v>102.5</v>
      </c>
    </row>
    <row r="6119" spans="1:25" x14ac:dyDescent="0.2">
      <c r="A6119" t="s">
        <v>674</v>
      </c>
      <c r="B6119">
        <v>2021</v>
      </c>
      <c r="C6119" t="s">
        <v>816</v>
      </c>
      <c r="D6119" t="s">
        <v>827</v>
      </c>
      <c r="E6119" t="s">
        <v>675</v>
      </c>
      <c r="F6119" t="s">
        <v>424</v>
      </c>
      <c r="G6119">
        <v>78.966667000000001</v>
      </c>
      <c r="H6119">
        <v>11.5</v>
      </c>
      <c r="J6119" s="2" t="s">
        <v>14</v>
      </c>
      <c r="K6119" t="s">
        <v>3</v>
      </c>
      <c r="L6119" t="s">
        <v>3</v>
      </c>
      <c r="M6119" t="s">
        <v>12</v>
      </c>
      <c r="N6119" t="s">
        <v>85</v>
      </c>
      <c r="O6119" t="s">
        <v>141</v>
      </c>
      <c r="P6119" t="s">
        <v>381</v>
      </c>
      <c r="Q6119">
        <v>7</v>
      </c>
      <c r="R6119" s="2" t="s">
        <v>214</v>
      </c>
      <c r="S6119" t="s">
        <v>117</v>
      </c>
      <c r="T6119">
        <v>4</v>
      </c>
      <c r="U6119" s="2" t="s">
        <v>28</v>
      </c>
      <c r="V6119" s="2" t="s">
        <v>28</v>
      </c>
      <c r="W6119" s="2">
        <v>21</v>
      </c>
      <c r="X6119">
        <v>883.1</v>
      </c>
      <c r="Y6119">
        <v>0</v>
      </c>
    </row>
    <row r="6120" spans="1:25" x14ac:dyDescent="0.2">
      <c r="A6120" t="s">
        <v>674</v>
      </c>
      <c r="B6120">
        <v>2021</v>
      </c>
      <c r="C6120" t="s">
        <v>816</v>
      </c>
      <c r="D6120" t="s">
        <v>827</v>
      </c>
      <c r="E6120" t="s">
        <v>675</v>
      </c>
      <c r="F6120" t="s">
        <v>424</v>
      </c>
      <c r="G6120">
        <v>78.966667000000001</v>
      </c>
      <c r="H6120">
        <v>11.5</v>
      </c>
      <c r="J6120" s="2" t="s">
        <v>14</v>
      </c>
      <c r="K6120" t="s">
        <v>3</v>
      </c>
      <c r="L6120" t="s">
        <v>3</v>
      </c>
      <c r="M6120" t="s">
        <v>12</v>
      </c>
      <c r="N6120" t="s">
        <v>85</v>
      </c>
      <c r="O6120" t="s">
        <v>141</v>
      </c>
      <c r="P6120" t="s">
        <v>381</v>
      </c>
      <c r="Q6120">
        <v>7</v>
      </c>
      <c r="R6120" s="2" t="s">
        <v>214</v>
      </c>
      <c r="S6120" t="s">
        <v>118</v>
      </c>
      <c r="T6120">
        <v>4</v>
      </c>
      <c r="U6120" s="2" t="s">
        <v>28</v>
      </c>
      <c r="V6120" s="2" t="s">
        <v>28</v>
      </c>
      <c r="W6120" s="2">
        <v>22</v>
      </c>
      <c r="X6120">
        <v>801.6</v>
      </c>
      <c r="Y6120">
        <f>1001.9-X6120</f>
        <v>200.29999999999995</v>
      </c>
    </row>
    <row r="6121" spans="1:25" x14ac:dyDescent="0.2">
      <c r="A6121" t="s">
        <v>674</v>
      </c>
      <c r="B6121">
        <v>2021</v>
      </c>
      <c r="C6121" t="s">
        <v>816</v>
      </c>
      <c r="D6121" t="s">
        <v>817</v>
      </c>
      <c r="E6121" t="s">
        <v>31</v>
      </c>
      <c r="F6121" t="s">
        <v>424</v>
      </c>
      <c r="G6121">
        <v>78.966667000000001</v>
      </c>
      <c r="H6121">
        <v>11.5</v>
      </c>
      <c r="J6121" s="2" t="s">
        <v>7</v>
      </c>
      <c r="K6121" t="s">
        <v>3</v>
      </c>
      <c r="L6121" t="s">
        <v>3</v>
      </c>
      <c r="M6121" t="s">
        <v>12</v>
      </c>
      <c r="N6121" t="s">
        <v>85</v>
      </c>
      <c r="O6121" t="s">
        <v>141</v>
      </c>
      <c r="P6121" t="s">
        <v>381</v>
      </c>
      <c r="Q6121">
        <v>14</v>
      </c>
      <c r="R6121" s="2" t="s">
        <v>213</v>
      </c>
      <c r="S6121" s="2" t="s">
        <v>7</v>
      </c>
      <c r="T6121" s="2">
        <v>4</v>
      </c>
      <c r="U6121" s="2" t="s">
        <v>28</v>
      </c>
      <c r="V6121" s="2" t="s">
        <v>28</v>
      </c>
      <c r="W6121" s="2">
        <v>15</v>
      </c>
      <c r="X6121">
        <v>487.4</v>
      </c>
      <c r="Y6121">
        <f>629-X6121</f>
        <v>141.60000000000002</v>
      </c>
    </row>
    <row r="6122" spans="1:25" x14ac:dyDescent="0.2">
      <c r="A6122" t="s">
        <v>674</v>
      </c>
      <c r="B6122">
        <v>2021</v>
      </c>
      <c r="C6122" t="s">
        <v>816</v>
      </c>
      <c r="D6122" t="s">
        <v>817</v>
      </c>
      <c r="E6122" t="s">
        <v>31</v>
      </c>
      <c r="F6122" t="s">
        <v>424</v>
      </c>
      <c r="G6122">
        <v>78.966667000000001</v>
      </c>
      <c r="H6122">
        <v>11.5</v>
      </c>
      <c r="J6122" s="2" t="s">
        <v>14</v>
      </c>
      <c r="K6122" t="s">
        <v>3</v>
      </c>
      <c r="L6122" t="s">
        <v>3</v>
      </c>
      <c r="M6122" t="s">
        <v>12</v>
      </c>
      <c r="N6122" t="s">
        <v>85</v>
      </c>
      <c r="O6122" t="s">
        <v>141</v>
      </c>
      <c r="P6122" t="s">
        <v>381</v>
      </c>
      <c r="Q6122">
        <v>14</v>
      </c>
      <c r="R6122" s="2" t="s">
        <v>213</v>
      </c>
      <c r="S6122" s="2" t="s">
        <v>116</v>
      </c>
      <c r="T6122" s="2">
        <v>4</v>
      </c>
      <c r="U6122" s="2" t="s">
        <v>28</v>
      </c>
      <c r="V6122" s="2" t="s">
        <v>28</v>
      </c>
      <c r="W6122" s="2">
        <v>20</v>
      </c>
      <c r="X6122">
        <v>366.7</v>
      </c>
      <c r="Y6122">
        <f>589.6-X6122</f>
        <v>222.90000000000003</v>
      </c>
    </row>
    <row r="6123" spans="1:25" x14ac:dyDescent="0.2">
      <c r="A6123" t="s">
        <v>674</v>
      </c>
      <c r="B6123">
        <v>2021</v>
      </c>
      <c r="C6123" t="s">
        <v>816</v>
      </c>
      <c r="D6123" t="s">
        <v>817</v>
      </c>
      <c r="E6123" t="s">
        <v>31</v>
      </c>
      <c r="F6123" t="s">
        <v>424</v>
      </c>
      <c r="G6123">
        <v>78.966667000000001</v>
      </c>
      <c r="H6123">
        <v>11.5</v>
      </c>
      <c r="J6123" s="2" t="s">
        <v>14</v>
      </c>
      <c r="K6123" t="s">
        <v>3</v>
      </c>
      <c r="L6123" t="s">
        <v>3</v>
      </c>
      <c r="M6123" t="s">
        <v>12</v>
      </c>
      <c r="N6123" t="s">
        <v>85</v>
      </c>
      <c r="O6123" t="s">
        <v>141</v>
      </c>
      <c r="P6123" t="s">
        <v>381</v>
      </c>
      <c r="Q6123">
        <v>14</v>
      </c>
      <c r="R6123" s="2" t="s">
        <v>213</v>
      </c>
      <c r="S6123" s="2" t="s">
        <v>118</v>
      </c>
      <c r="T6123" s="2">
        <v>4</v>
      </c>
      <c r="U6123" s="2" t="s">
        <v>28</v>
      </c>
      <c r="V6123" s="2" t="s">
        <v>28</v>
      </c>
      <c r="W6123" s="2">
        <v>22</v>
      </c>
      <c r="X6123">
        <v>376</v>
      </c>
      <c r="Y6123">
        <f>547.8-X6123</f>
        <v>171.79999999999995</v>
      </c>
    </row>
    <row r="6124" spans="1:25" x14ac:dyDescent="0.2">
      <c r="A6124" t="s">
        <v>674</v>
      </c>
      <c r="B6124">
        <v>2021</v>
      </c>
      <c r="C6124" t="s">
        <v>816</v>
      </c>
      <c r="D6124" t="s">
        <v>817</v>
      </c>
      <c r="E6124" t="s">
        <v>31</v>
      </c>
      <c r="F6124" t="s">
        <v>424</v>
      </c>
      <c r="G6124">
        <v>78.966667000000001</v>
      </c>
      <c r="H6124">
        <v>11.5</v>
      </c>
      <c r="J6124" s="2" t="s">
        <v>14</v>
      </c>
      <c r="K6124" t="s">
        <v>3</v>
      </c>
      <c r="L6124" t="s">
        <v>3</v>
      </c>
      <c r="M6124" t="s">
        <v>12</v>
      </c>
      <c r="N6124" t="s">
        <v>85</v>
      </c>
      <c r="O6124" t="s">
        <v>141</v>
      </c>
      <c r="P6124" t="s">
        <v>381</v>
      </c>
      <c r="Q6124">
        <v>14</v>
      </c>
      <c r="R6124" s="2" t="s">
        <v>213</v>
      </c>
      <c r="S6124" s="2" t="s">
        <v>177</v>
      </c>
      <c r="T6124" s="2">
        <v>4</v>
      </c>
      <c r="U6124" s="2" t="s">
        <v>28</v>
      </c>
      <c r="V6124" s="2" t="s">
        <v>28</v>
      </c>
      <c r="W6124" s="2">
        <v>23</v>
      </c>
      <c r="X6124">
        <v>213.5</v>
      </c>
      <c r="Y6124">
        <f>313.3-X6124</f>
        <v>99.800000000000011</v>
      </c>
    </row>
    <row r="6125" spans="1:25" x14ac:dyDescent="0.2">
      <c r="A6125" t="s">
        <v>674</v>
      </c>
      <c r="B6125">
        <v>2021</v>
      </c>
      <c r="C6125" t="s">
        <v>816</v>
      </c>
      <c r="D6125" t="s">
        <v>817</v>
      </c>
      <c r="E6125" t="s">
        <v>31</v>
      </c>
      <c r="F6125" t="s">
        <v>424</v>
      </c>
      <c r="G6125">
        <v>78.966667000000001</v>
      </c>
      <c r="H6125">
        <v>11.5</v>
      </c>
      <c r="J6125" s="2" t="s">
        <v>14</v>
      </c>
      <c r="K6125" t="s">
        <v>3</v>
      </c>
      <c r="L6125" t="s">
        <v>3</v>
      </c>
      <c r="M6125" t="s">
        <v>12</v>
      </c>
      <c r="N6125" t="s">
        <v>85</v>
      </c>
      <c r="O6125" t="s">
        <v>141</v>
      </c>
      <c r="P6125" t="s">
        <v>381</v>
      </c>
      <c r="Q6125">
        <v>14</v>
      </c>
      <c r="R6125" s="2" t="s">
        <v>213</v>
      </c>
      <c r="S6125" s="2" t="s">
        <v>178</v>
      </c>
      <c r="T6125" s="2">
        <v>4</v>
      </c>
      <c r="U6125" s="2" t="s">
        <v>28</v>
      </c>
      <c r="V6125" s="2" t="s">
        <v>28</v>
      </c>
      <c r="W6125" s="2">
        <v>24</v>
      </c>
      <c r="X6125">
        <v>0</v>
      </c>
      <c r="Y6125">
        <v>0</v>
      </c>
    </row>
    <row r="6126" spans="1:25" x14ac:dyDescent="0.2">
      <c r="A6126" t="s">
        <v>674</v>
      </c>
      <c r="B6126">
        <v>2021</v>
      </c>
      <c r="C6126" t="s">
        <v>816</v>
      </c>
      <c r="D6126" t="s">
        <v>817</v>
      </c>
      <c r="E6126" t="s">
        <v>31</v>
      </c>
      <c r="F6126" t="s">
        <v>424</v>
      </c>
      <c r="G6126">
        <v>78.966667000000001</v>
      </c>
      <c r="H6126">
        <v>11.5</v>
      </c>
      <c r="J6126" s="2" t="s">
        <v>14</v>
      </c>
      <c r="K6126" t="s">
        <v>3</v>
      </c>
      <c r="L6126" t="s">
        <v>3</v>
      </c>
      <c r="M6126" t="s">
        <v>12</v>
      </c>
      <c r="N6126" t="s">
        <v>85</v>
      </c>
      <c r="O6126" t="s">
        <v>141</v>
      </c>
      <c r="P6126" t="s">
        <v>381</v>
      </c>
      <c r="Q6126">
        <v>14</v>
      </c>
      <c r="R6126" s="2" t="s">
        <v>213</v>
      </c>
      <c r="S6126" s="2" t="s">
        <v>179</v>
      </c>
      <c r="T6126" s="2">
        <v>4</v>
      </c>
      <c r="U6126" s="2" t="s">
        <v>28</v>
      </c>
      <c r="V6126" s="2" t="s">
        <v>28</v>
      </c>
      <c r="W6126" s="2">
        <v>25</v>
      </c>
      <c r="X6126">
        <v>0</v>
      </c>
      <c r="Y6126">
        <v>0</v>
      </c>
    </row>
    <row r="6127" spans="1:25" x14ac:dyDescent="0.2">
      <c r="A6127" t="s">
        <v>674</v>
      </c>
      <c r="B6127">
        <v>2021</v>
      </c>
      <c r="C6127" t="s">
        <v>816</v>
      </c>
      <c r="D6127" t="s">
        <v>827</v>
      </c>
      <c r="E6127" t="s">
        <v>675</v>
      </c>
      <c r="F6127" t="s">
        <v>424</v>
      </c>
      <c r="G6127">
        <v>78.966667000000001</v>
      </c>
      <c r="H6127">
        <v>11.5</v>
      </c>
      <c r="J6127" s="2" t="s">
        <v>7</v>
      </c>
      <c r="K6127" t="s">
        <v>3</v>
      </c>
      <c r="L6127" t="s">
        <v>3</v>
      </c>
      <c r="M6127" t="s">
        <v>12</v>
      </c>
      <c r="N6127" t="s">
        <v>85</v>
      </c>
      <c r="O6127" t="s">
        <v>141</v>
      </c>
      <c r="P6127" t="s">
        <v>381</v>
      </c>
      <c r="Q6127">
        <v>14</v>
      </c>
      <c r="R6127" s="2" t="s">
        <v>213</v>
      </c>
      <c r="S6127" t="s">
        <v>7</v>
      </c>
      <c r="T6127">
        <v>3</v>
      </c>
      <c r="U6127" s="2" t="s">
        <v>28</v>
      </c>
      <c r="V6127" s="2" t="s">
        <v>28</v>
      </c>
      <c r="W6127" s="2">
        <v>15</v>
      </c>
      <c r="X6127">
        <v>737.6</v>
      </c>
      <c r="Y6127">
        <f>809.2-X6127</f>
        <v>71.600000000000023</v>
      </c>
    </row>
    <row r="6128" spans="1:25" x14ac:dyDescent="0.2">
      <c r="A6128" t="s">
        <v>674</v>
      </c>
      <c r="B6128">
        <v>2021</v>
      </c>
      <c r="C6128" t="s">
        <v>816</v>
      </c>
      <c r="D6128" t="s">
        <v>827</v>
      </c>
      <c r="E6128" t="s">
        <v>675</v>
      </c>
      <c r="F6128" t="s">
        <v>424</v>
      </c>
      <c r="G6128">
        <v>78.966667000000001</v>
      </c>
      <c r="H6128">
        <v>11.5</v>
      </c>
      <c r="J6128" s="2" t="s">
        <v>14</v>
      </c>
      <c r="K6128" t="s">
        <v>3</v>
      </c>
      <c r="L6128" t="s">
        <v>3</v>
      </c>
      <c r="M6128" t="s">
        <v>12</v>
      </c>
      <c r="N6128" t="s">
        <v>85</v>
      </c>
      <c r="O6128" t="s">
        <v>141</v>
      </c>
      <c r="P6128" t="s">
        <v>381</v>
      </c>
      <c r="Q6128">
        <v>14</v>
      </c>
      <c r="R6128" s="2" t="s">
        <v>213</v>
      </c>
      <c r="S6128" t="s">
        <v>15</v>
      </c>
      <c r="T6128">
        <v>4</v>
      </c>
      <c r="U6128" s="2" t="s">
        <v>28</v>
      </c>
      <c r="V6128" s="2" t="s">
        <v>28</v>
      </c>
      <c r="W6128" s="2">
        <v>18</v>
      </c>
      <c r="X6128">
        <v>691.3</v>
      </c>
      <c r="Y6128">
        <f>823.1-X6128</f>
        <v>131.80000000000007</v>
      </c>
    </row>
    <row r="6129" spans="1:25" x14ac:dyDescent="0.2">
      <c r="A6129" t="s">
        <v>674</v>
      </c>
      <c r="B6129">
        <v>2021</v>
      </c>
      <c r="C6129" t="s">
        <v>816</v>
      </c>
      <c r="D6129" t="s">
        <v>827</v>
      </c>
      <c r="E6129" t="s">
        <v>675</v>
      </c>
      <c r="F6129" t="s">
        <v>424</v>
      </c>
      <c r="G6129">
        <v>78.966667000000001</v>
      </c>
      <c r="H6129">
        <v>11.5</v>
      </c>
      <c r="J6129" s="2" t="s">
        <v>14</v>
      </c>
      <c r="K6129" t="s">
        <v>3</v>
      </c>
      <c r="L6129" t="s">
        <v>3</v>
      </c>
      <c r="M6129" t="s">
        <v>12</v>
      </c>
      <c r="N6129" t="s">
        <v>85</v>
      </c>
      <c r="O6129" t="s">
        <v>141</v>
      </c>
      <c r="P6129" t="s">
        <v>381</v>
      </c>
      <c r="Q6129">
        <v>14</v>
      </c>
      <c r="R6129" s="2" t="s">
        <v>213</v>
      </c>
      <c r="S6129" t="s">
        <v>37</v>
      </c>
      <c r="T6129">
        <v>4</v>
      </c>
      <c r="U6129" s="2" t="s">
        <v>28</v>
      </c>
      <c r="V6129" s="2" t="s">
        <v>28</v>
      </c>
      <c r="W6129" s="2">
        <v>19</v>
      </c>
      <c r="X6129">
        <v>737.6</v>
      </c>
      <c r="Y6129">
        <f>885.5-X6129</f>
        <v>147.89999999999998</v>
      </c>
    </row>
    <row r="6130" spans="1:25" x14ac:dyDescent="0.2">
      <c r="A6130" t="s">
        <v>674</v>
      </c>
      <c r="B6130">
        <v>2021</v>
      </c>
      <c r="C6130" t="s">
        <v>816</v>
      </c>
      <c r="D6130" t="s">
        <v>827</v>
      </c>
      <c r="E6130" t="s">
        <v>675</v>
      </c>
      <c r="F6130" t="s">
        <v>424</v>
      </c>
      <c r="G6130">
        <v>78.966667000000001</v>
      </c>
      <c r="H6130">
        <v>11.5</v>
      </c>
      <c r="J6130" s="2" t="s">
        <v>14</v>
      </c>
      <c r="K6130" t="s">
        <v>3</v>
      </c>
      <c r="L6130" t="s">
        <v>3</v>
      </c>
      <c r="M6130" t="s">
        <v>12</v>
      </c>
      <c r="N6130" t="s">
        <v>85</v>
      </c>
      <c r="O6130" t="s">
        <v>141</v>
      </c>
      <c r="P6130" t="s">
        <v>381</v>
      </c>
      <c r="Q6130">
        <v>14</v>
      </c>
      <c r="R6130" s="2" t="s">
        <v>213</v>
      </c>
      <c r="S6130" t="s">
        <v>117</v>
      </c>
      <c r="T6130">
        <v>4</v>
      </c>
      <c r="U6130" s="2" t="s">
        <v>28</v>
      </c>
      <c r="V6130" s="2" t="s">
        <v>28</v>
      </c>
      <c r="W6130" s="2">
        <v>21</v>
      </c>
      <c r="X6130">
        <v>0</v>
      </c>
      <c r="Y6130">
        <v>0</v>
      </c>
    </row>
    <row r="6131" spans="1:25" x14ac:dyDescent="0.2">
      <c r="A6131" t="s">
        <v>674</v>
      </c>
      <c r="B6131">
        <v>2021</v>
      </c>
      <c r="C6131" t="s">
        <v>816</v>
      </c>
      <c r="D6131" t="s">
        <v>827</v>
      </c>
      <c r="E6131" t="s">
        <v>675</v>
      </c>
      <c r="F6131" t="s">
        <v>424</v>
      </c>
      <c r="G6131">
        <v>78.966667000000001</v>
      </c>
      <c r="H6131">
        <v>11.5</v>
      </c>
      <c r="J6131" s="2" t="s">
        <v>14</v>
      </c>
      <c r="K6131" t="s">
        <v>3</v>
      </c>
      <c r="L6131" t="s">
        <v>3</v>
      </c>
      <c r="M6131" t="s">
        <v>12</v>
      </c>
      <c r="N6131" t="s">
        <v>85</v>
      </c>
      <c r="O6131" t="s">
        <v>141</v>
      </c>
      <c r="P6131" t="s">
        <v>381</v>
      </c>
      <c r="Q6131">
        <v>14</v>
      </c>
      <c r="R6131" s="2" t="s">
        <v>213</v>
      </c>
      <c r="S6131" t="s">
        <v>118</v>
      </c>
      <c r="T6131">
        <v>4</v>
      </c>
      <c r="U6131" s="2" t="s">
        <v>28</v>
      </c>
      <c r="V6131" s="2" t="s">
        <v>28</v>
      </c>
      <c r="W6131" s="2">
        <v>22</v>
      </c>
      <c r="X6131">
        <v>0</v>
      </c>
      <c r="Y6131">
        <v>0</v>
      </c>
    </row>
    <row r="6132" spans="1:25" x14ac:dyDescent="0.2">
      <c r="A6132" t="s">
        <v>674</v>
      </c>
      <c r="B6132">
        <v>2021</v>
      </c>
      <c r="C6132" t="s">
        <v>816</v>
      </c>
      <c r="D6132" t="s">
        <v>817</v>
      </c>
      <c r="E6132" t="s">
        <v>31</v>
      </c>
      <c r="F6132" t="s">
        <v>424</v>
      </c>
      <c r="G6132">
        <v>78.966667000000001</v>
      </c>
      <c r="H6132">
        <v>11.5</v>
      </c>
      <c r="J6132" s="2" t="s">
        <v>7</v>
      </c>
      <c r="K6132" t="s">
        <v>3</v>
      </c>
      <c r="L6132" t="s">
        <v>3</v>
      </c>
      <c r="M6132" t="s">
        <v>727</v>
      </c>
      <c r="N6132" t="s">
        <v>86</v>
      </c>
      <c r="O6132" t="s">
        <v>42</v>
      </c>
      <c r="P6132" t="s">
        <v>758</v>
      </c>
      <c r="Q6132">
        <v>14</v>
      </c>
      <c r="R6132" s="2" t="s">
        <v>213</v>
      </c>
      <c r="S6132" s="2" t="s">
        <v>7</v>
      </c>
      <c r="T6132" s="2">
        <v>4</v>
      </c>
      <c r="U6132" s="2" t="s">
        <v>28</v>
      </c>
      <c r="V6132" s="2" t="s">
        <v>28</v>
      </c>
      <c r="W6132" s="2">
        <v>15</v>
      </c>
      <c r="X6132">
        <v>0.21240000000000001</v>
      </c>
      <c r="Y6132">
        <f>0.268-X6132</f>
        <v>5.5600000000000011E-2</v>
      </c>
    </row>
    <row r="6133" spans="1:25" x14ac:dyDescent="0.2">
      <c r="A6133" t="s">
        <v>674</v>
      </c>
      <c r="B6133">
        <v>2021</v>
      </c>
      <c r="C6133" t="s">
        <v>816</v>
      </c>
      <c r="D6133" t="s">
        <v>817</v>
      </c>
      <c r="E6133" t="s">
        <v>31</v>
      </c>
      <c r="F6133" t="s">
        <v>424</v>
      </c>
      <c r="G6133">
        <v>78.966667000000001</v>
      </c>
      <c r="H6133">
        <v>11.5</v>
      </c>
      <c r="J6133" s="2" t="s">
        <v>14</v>
      </c>
      <c r="K6133" t="s">
        <v>3</v>
      </c>
      <c r="L6133" t="s">
        <v>3</v>
      </c>
      <c r="M6133" t="s">
        <v>727</v>
      </c>
      <c r="N6133" t="s">
        <v>86</v>
      </c>
      <c r="O6133" t="s">
        <v>42</v>
      </c>
      <c r="P6133" t="s">
        <v>758</v>
      </c>
      <c r="Q6133">
        <v>14</v>
      </c>
      <c r="R6133" s="2" t="s">
        <v>213</v>
      </c>
      <c r="S6133" s="2" t="s">
        <v>116</v>
      </c>
      <c r="T6133" s="2">
        <v>4</v>
      </c>
      <c r="U6133" s="2" t="s">
        <v>28</v>
      </c>
      <c r="V6133" s="2" t="s">
        <v>28</v>
      </c>
      <c r="W6133" s="2">
        <v>20</v>
      </c>
      <c r="X6133">
        <v>0.16769999999999999</v>
      </c>
      <c r="Y6133">
        <f>0.2082-X6133</f>
        <v>4.0500000000000008E-2</v>
      </c>
    </row>
    <row r="6134" spans="1:25" x14ac:dyDescent="0.2">
      <c r="A6134" t="s">
        <v>674</v>
      </c>
      <c r="B6134">
        <v>2021</v>
      </c>
      <c r="C6134" t="s">
        <v>816</v>
      </c>
      <c r="D6134" t="s">
        <v>817</v>
      </c>
      <c r="E6134" t="s">
        <v>31</v>
      </c>
      <c r="F6134" t="s">
        <v>424</v>
      </c>
      <c r="G6134">
        <v>78.966667000000001</v>
      </c>
      <c r="H6134">
        <v>11.5</v>
      </c>
      <c r="J6134" s="2" t="s">
        <v>14</v>
      </c>
      <c r="K6134" t="s">
        <v>3</v>
      </c>
      <c r="L6134" t="s">
        <v>3</v>
      </c>
      <c r="M6134" t="s">
        <v>727</v>
      </c>
      <c r="N6134" t="s">
        <v>86</v>
      </c>
      <c r="O6134" t="s">
        <v>42</v>
      </c>
      <c r="P6134" t="s">
        <v>758</v>
      </c>
      <c r="Q6134">
        <v>14</v>
      </c>
      <c r="R6134" s="2" t="s">
        <v>213</v>
      </c>
      <c r="S6134" s="2" t="s">
        <v>118</v>
      </c>
      <c r="T6134" s="2">
        <v>4</v>
      </c>
      <c r="U6134" s="2" t="s">
        <v>28</v>
      </c>
      <c r="V6134" s="2" t="s">
        <v>28</v>
      </c>
      <c r="W6134" s="2">
        <v>22</v>
      </c>
      <c r="X6134">
        <v>0.1024</v>
      </c>
      <c r="Y6134">
        <f>0.1354-X6134</f>
        <v>3.2999999999999988E-2</v>
      </c>
    </row>
    <row r="6135" spans="1:25" x14ac:dyDescent="0.2">
      <c r="A6135" t="s">
        <v>674</v>
      </c>
      <c r="B6135">
        <v>2021</v>
      </c>
      <c r="C6135" t="s">
        <v>816</v>
      </c>
      <c r="D6135" t="s">
        <v>817</v>
      </c>
      <c r="E6135" t="s">
        <v>31</v>
      </c>
      <c r="F6135" t="s">
        <v>424</v>
      </c>
      <c r="G6135">
        <v>78.966667000000001</v>
      </c>
      <c r="H6135">
        <v>11.5</v>
      </c>
      <c r="J6135" s="2" t="s">
        <v>14</v>
      </c>
      <c r="K6135" t="s">
        <v>3</v>
      </c>
      <c r="L6135" t="s">
        <v>3</v>
      </c>
      <c r="M6135" t="s">
        <v>727</v>
      </c>
      <c r="N6135" t="s">
        <v>86</v>
      </c>
      <c r="O6135" t="s">
        <v>42</v>
      </c>
      <c r="P6135" t="s">
        <v>758</v>
      </c>
      <c r="Q6135">
        <v>14</v>
      </c>
      <c r="R6135" s="2" t="s">
        <v>213</v>
      </c>
      <c r="S6135" s="2" t="s">
        <v>177</v>
      </c>
      <c r="T6135" s="2">
        <v>4</v>
      </c>
      <c r="U6135" s="2" t="s">
        <v>28</v>
      </c>
      <c r="V6135" s="2" t="s">
        <v>28</v>
      </c>
      <c r="W6135" s="2">
        <v>23</v>
      </c>
      <c r="X6135">
        <v>5.0200000000000002E-2</v>
      </c>
      <c r="Y6135">
        <f>0.0646-X6135</f>
        <v>1.4400000000000003E-2</v>
      </c>
    </row>
    <row r="6136" spans="1:25" x14ac:dyDescent="0.2">
      <c r="A6136" t="s">
        <v>674</v>
      </c>
      <c r="B6136">
        <v>2021</v>
      </c>
      <c r="C6136" t="s">
        <v>816</v>
      </c>
      <c r="D6136" t="s">
        <v>817</v>
      </c>
      <c r="E6136" t="s">
        <v>31</v>
      </c>
      <c r="F6136" t="s">
        <v>424</v>
      </c>
      <c r="G6136">
        <v>78.966667000000001</v>
      </c>
      <c r="H6136">
        <v>11.5</v>
      </c>
      <c r="J6136" s="2" t="s">
        <v>14</v>
      </c>
      <c r="K6136" t="s">
        <v>3</v>
      </c>
      <c r="L6136" t="s">
        <v>3</v>
      </c>
      <c r="M6136" t="s">
        <v>727</v>
      </c>
      <c r="N6136" t="s">
        <v>86</v>
      </c>
      <c r="O6136" t="s">
        <v>42</v>
      </c>
      <c r="P6136" t="s">
        <v>758</v>
      </c>
      <c r="Q6136">
        <v>14</v>
      </c>
      <c r="R6136" s="2" t="s">
        <v>213</v>
      </c>
      <c r="S6136" s="2" t="s">
        <v>178</v>
      </c>
      <c r="T6136" s="2">
        <v>4</v>
      </c>
      <c r="U6136" s="2" t="s">
        <v>28</v>
      </c>
      <c r="V6136" s="2" t="s">
        <v>28</v>
      </c>
      <c r="W6136" s="2">
        <v>24</v>
      </c>
      <c r="X6136">
        <v>0</v>
      </c>
      <c r="Y6136">
        <v>0</v>
      </c>
    </row>
    <row r="6137" spans="1:25" x14ac:dyDescent="0.2">
      <c r="A6137" t="s">
        <v>674</v>
      </c>
      <c r="B6137">
        <v>2021</v>
      </c>
      <c r="C6137" t="s">
        <v>816</v>
      </c>
      <c r="D6137" t="s">
        <v>817</v>
      </c>
      <c r="E6137" t="s">
        <v>31</v>
      </c>
      <c r="F6137" t="s">
        <v>424</v>
      </c>
      <c r="G6137">
        <v>78.966667000000001</v>
      </c>
      <c r="H6137">
        <v>11.5</v>
      </c>
      <c r="J6137" s="2" t="s">
        <v>14</v>
      </c>
      <c r="K6137" t="s">
        <v>3</v>
      </c>
      <c r="L6137" t="s">
        <v>3</v>
      </c>
      <c r="M6137" t="s">
        <v>727</v>
      </c>
      <c r="N6137" t="s">
        <v>86</v>
      </c>
      <c r="O6137" t="s">
        <v>42</v>
      </c>
      <c r="P6137" t="s">
        <v>758</v>
      </c>
      <c r="Q6137">
        <v>14</v>
      </c>
      <c r="R6137" s="2" t="s">
        <v>213</v>
      </c>
      <c r="S6137" s="2" t="s">
        <v>179</v>
      </c>
      <c r="T6137" s="2">
        <v>4</v>
      </c>
      <c r="U6137" s="2" t="s">
        <v>28</v>
      </c>
      <c r="V6137" s="2" t="s">
        <v>28</v>
      </c>
      <c r="W6137" s="2">
        <v>25</v>
      </c>
      <c r="X6137">
        <v>0</v>
      </c>
      <c r="Y6137">
        <v>0</v>
      </c>
    </row>
    <row r="6138" spans="1:25" x14ac:dyDescent="0.2">
      <c r="A6138" t="s">
        <v>674</v>
      </c>
      <c r="B6138">
        <v>2021</v>
      </c>
      <c r="C6138" t="s">
        <v>816</v>
      </c>
      <c r="D6138" t="s">
        <v>827</v>
      </c>
      <c r="E6138" t="s">
        <v>675</v>
      </c>
      <c r="F6138" t="s">
        <v>424</v>
      </c>
      <c r="G6138">
        <v>78.966667000000001</v>
      </c>
      <c r="H6138">
        <v>11.5</v>
      </c>
      <c r="J6138" s="2" t="s">
        <v>7</v>
      </c>
      <c r="K6138" t="s">
        <v>3</v>
      </c>
      <c r="L6138" t="s">
        <v>3</v>
      </c>
      <c r="M6138" t="s">
        <v>727</v>
      </c>
      <c r="N6138" t="s">
        <v>86</v>
      </c>
      <c r="O6138" t="s">
        <v>42</v>
      </c>
      <c r="P6138" t="s">
        <v>758</v>
      </c>
      <c r="Q6138">
        <v>14</v>
      </c>
      <c r="R6138" s="2" t="s">
        <v>213</v>
      </c>
      <c r="S6138" t="s">
        <v>7</v>
      </c>
      <c r="T6138">
        <v>3</v>
      </c>
      <c r="U6138" s="2" t="s">
        <v>28</v>
      </c>
      <c r="V6138" s="2" t="s">
        <v>28</v>
      </c>
      <c r="W6138" s="2">
        <v>15</v>
      </c>
      <c r="X6138">
        <v>0.22289999999999999</v>
      </c>
      <c r="Y6138">
        <f>0.2632-X6138</f>
        <v>4.0300000000000002E-2</v>
      </c>
    </row>
    <row r="6139" spans="1:25" x14ac:dyDescent="0.2">
      <c r="A6139" t="s">
        <v>674</v>
      </c>
      <c r="B6139">
        <v>2021</v>
      </c>
      <c r="C6139" t="s">
        <v>816</v>
      </c>
      <c r="D6139" t="s">
        <v>827</v>
      </c>
      <c r="E6139" t="s">
        <v>675</v>
      </c>
      <c r="F6139" t="s">
        <v>424</v>
      </c>
      <c r="G6139">
        <v>78.966667000000001</v>
      </c>
      <c r="H6139">
        <v>11.5</v>
      </c>
      <c r="J6139" s="2" t="s">
        <v>14</v>
      </c>
      <c r="K6139" t="s">
        <v>3</v>
      </c>
      <c r="L6139" t="s">
        <v>3</v>
      </c>
      <c r="M6139" t="s">
        <v>727</v>
      </c>
      <c r="N6139" t="s">
        <v>86</v>
      </c>
      <c r="O6139" t="s">
        <v>42</v>
      </c>
      <c r="P6139" t="s">
        <v>758</v>
      </c>
      <c r="Q6139">
        <v>14</v>
      </c>
      <c r="R6139" s="2" t="s">
        <v>213</v>
      </c>
      <c r="S6139" t="s">
        <v>15</v>
      </c>
      <c r="T6139">
        <v>4</v>
      </c>
      <c r="U6139" s="2" t="s">
        <v>28</v>
      </c>
      <c r="V6139" s="2" t="s">
        <v>28</v>
      </c>
      <c r="W6139" s="2">
        <v>18</v>
      </c>
      <c r="X6139">
        <v>6.9699999999999998E-2</v>
      </c>
      <c r="Y6139">
        <f>0.0916-X6139</f>
        <v>2.1900000000000003E-2</v>
      </c>
    </row>
    <row r="6140" spans="1:25" x14ac:dyDescent="0.2">
      <c r="A6140" t="s">
        <v>674</v>
      </c>
      <c r="B6140">
        <v>2021</v>
      </c>
      <c r="C6140" t="s">
        <v>816</v>
      </c>
      <c r="D6140" t="s">
        <v>827</v>
      </c>
      <c r="E6140" t="s">
        <v>675</v>
      </c>
      <c r="F6140" t="s">
        <v>424</v>
      </c>
      <c r="G6140">
        <v>78.966667000000001</v>
      </c>
      <c r="H6140">
        <v>11.5</v>
      </c>
      <c r="J6140" s="2" t="s">
        <v>14</v>
      </c>
      <c r="K6140" t="s">
        <v>3</v>
      </c>
      <c r="L6140" t="s">
        <v>3</v>
      </c>
      <c r="M6140" t="s">
        <v>727</v>
      </c>
      <c r="N6140" t="s">
        <v>86</v>
      </c>
      <c r="O6140" t="s">
        <v>42</v>
      </c>
      <c r="P6140" t="s">
        <v>758</v>
      </c>
      <c r="Q6140">
        <v>14</v>
      </c>
      <c r="R6140" s="2" t="s">
        <v>213</v>
      </c>
      <c r="S6140" t="s">
        <v>37</v>
      </c>
      <c r="T6140">
        <v>4</v>
      </c>
      <c r="U6140" s="2" t="s">
        <v>28</v>
      </c>
      <c r="V6140" s="2" t="s">
        <v>28</v>
      </c>
      <c r="W6140" s="2">
        <v>19</v>
      </c>
      <c r="X6140">
        <v>4.24E-2</v>
      </c>
      <c r="Y6140">
        <f>0.052-X6140</f>
        <v>9.5999999999999974E-3</v>
      </c>
    </row>
    <row r="6141" spans="1:25" x14ac:dyDescent="0.2">
      <c r="A6141" t="s">
        <v>674</v>
      </c>
      <c r="B6141">
        <v>2021</v>
      </c>
      <c r="C6141" t="s">
        <v>816</v>
      </c>
      <c r="D6141" t="s">
        <v>827</v>
      </c>
      <c r="E6141" t="s">
        <v>675</v>
      </c>
      <c r="F6141" t="s">
        <v>424</v>
      </c>
      <c r="G6141">
        <v>78.966667000000001</v>
      </c>
      <c r="H6141">
        <v>11.5</v>
      </c>
      <c r="J6141" s="2" t="s">
        <v>14</v>
      </c>
      <c r="K6141" t="s">
        <v>3</v>
      </c>
      <c r="L6141" t="s">
        <v>3</v>
      </c>
      <c r="M6141" t="s">
        <v>727</v>
      </c>
      <c r="N6141" t="s">
        <v>86</v>
      </c>
      <c r="O6141" t="s">
        <v>42</v>
      </c>
      <c r="P6141" t="s">
        <v>758</v>
      </c>
      <c r="Q6141">
        <v>14</v>
      </c>
      <c r="R6141" s="2" t="s">
        <v>213</v>
      </c>
      <c r="S6141" t="s">
        <v>117</v>
      </c>
      <c r="T6141">
        <v>4</v>
      </c>
      <c r="U6141" s="2" t="s">
        <v>28</v>
      </c>
      <c r="V6141" s="2" t="s">
        <v>28</v>
      </c>
      <c r="W6141" s="2">
        <v>21</v>
      </c>
      <c r="X6141">
        <v>0</v>
      </c>
      <c r="Y6141">
        <v>0</v>
      </c>
    </row>
    <row r="6142" spans="1:25" x14ac:dyDescent="0.2">
      <c r="A6142" t="s">
        <v>674</v>
      </c>
      <c r="B6142">
        <v>2021</v>
      </c>
      <c r="C6142" t="s">
        <v>816</v>
      </c>
      <c r="D6142" t="s">
        <v>827</v>
      </c>
      <c r="E6142" t="s">
        <v>675</v>
      </c>
      <c r="F6142" t="s">
        <v>424</v>
      </c>
      <c r="G6142">
        <v>78.966667000000001</v>
      </c>
      <c r="H6142">
        <v>11.5</v>
      </c>
      <c r="J6142" s="2" t="s">
        <v>14</v>
      </c>
      <c r="K6142" t="s">
        <v>3</v>
      </c>
      <c r="L6142" t="s">
        <v>3</v>
      </c>
      <c r="M6142" t="s">
        <v>727</v>
      </c>
      <c r="N6142" t="s">
        <v>86</v>
      </c>
      <c r="O6142" t="s">
        <v>42</v>
      </c>
      <c r="P6142" t="s">
        <v>758</v>
      </c>
      <c r="Q6142">
        <v>14</v>
      </c>
      <c r="R6142" s="2" t="s">
        <v>213</v>
      </c>
      <c r="S6142" t="s">
        <v>118</v>
      </c>
      <c r="T6142">
        <v>4</v>
      </c>
      <c r="U6142" s="2" t="s">
        <v>28</v>
      </c>
      <c r="V6142" s="2" t="s">
        <v>28</v>
      </c>
      <c r="W6142" s="2">
        <v>22</v>
      </c>
      <c r="X6142">
        <v>0</v>
      </c>
      <c r="Y6142">
        <v>0</v>
      </c>
    </row>
    <row r="6143" spans="1:25" x14ac:dyDescent="0.2">
      <c r="A6143" t="s">
        <v>678</v>
      </c>
      <c r="B6143">
        <v>2020</v>
      </c>
      <c r="C6143" t="s">
        <v>826</v>
      </c>
      <c r="D6143" t="s">
        <v>824</v>
      </c>
      <c r="E6143" t="s">
        <v>114</v>
      </c>
      <c r="F6143" t="s">
        <v>679</v>
      </c>
      <c r="G6143">
        <v>37.016666999999998</v>
      </c>
      <c r="H6143">
        <v>122.4</v>
      </c>
      <c r="I6143" t="s">
        <v>545</v>
      </c>
      <c r="J6143" s="2" t="s">
        <v>7</v>
      </c>
      <c r="K6143" t="s">
        <v>143</v>
      </c>
      <c r="L6143" t="s">
        <v>143</v>
      </c>
      <c r="M6143" t="s">
        <v>26</v>
      </c>
      <c r="N6143" t="s">
        <v>85</v>
      </c>
      <c r="O6143" t="s">
        <v>462</v>
      </c>
      <c r="P6143" t="s">
        <v>72</v>
      </c>
      <c r="Q6143">
        <v>90</v>
      </c>
      <c r="R6143" s="2" t="s">
        <v>213</v>
      </c>
      <c r="S6143" t="s">
        <v>7</v>
      </c>
      <c r="T6143">
        <v>9</v>
      </c>
      <c r="U6143">
        <v>8.1</v>
      </c>
      <c r="V6143">
        <v>400</v>
      </c>
      <c r="W6143" t="s">
        <v>28</v>
      </c>
      <c r="X6143">
        <v>1.234</v>
      </c>
      <c r="Y6143">
        <f>1.39-X6143</f>
        <v>0.15599999999999992</v>
      </c>
    </row>
    <row r="6144" spans="1:25" x14ac:dyDescent="0.2">
      <c r="A6144" t="s">
        <v>678</v>
      </c>
      <c r="B6144">
        <v>2020</v>
      </c>
      <c r="C6144" t="s">
        <v>826</v>
      </c>
      <c r="D6144" t="s">
        <v>824</v>
      </c>
      <c r="E6144" t="s">
        <v>114</v>
      </c>
      <c r="F6144" t="s">
        <v>679</v>
      </c>
      <c r="G6144">
        <v>37.016666999999998</v>
      </c>
      <c r="H6144">
        <v>122.4</v>
      </c>
      <c r="I6144" t="s">
        <v>545</v>
      </c>
      <c r="J6144" s="2" t="s">
        <v>5</v>
      </c>
      <c r="K6144" t="s">
        <v>143</v>
      </c>
      <c r="L6144" t="s">
        <v>143</v>
      </c>
      <c r="M6144" t="s">
        <v>26</v>
      </c>
      <c r="N6144" t="s">
        <v>85</v>
      </c>
      <c r="O6144" t="s">
        <v>462</v>
      </c>
      <c r="P6144" t="s">
        <v>72</v>
      </c>
      <c r="Q6144">
        <v>90</v>
      </c>
      <c r="R6144" s="2" t="s">
        <v>213</v>
      </c>
      <c r="S6144" t="s">
        <v>9</v>
      </c>
      <c r="T6144">
        <v>9</v>
      </c>
      <c r="U6144">
        <v>7.8</v>
      </c>
      <c r="V6144">
        <v>1000</v>
      </c>
      <c r="W6144" t="s">
        <v>28</v>
      </c>
      <c r="X6144">
        <v>1.6439999999999999</v>
      </c>
      <c r="Y6144">
        <f>1.717-X6144</f>
        <v>7.3000000000000176E-2</v>
      </c>
    </row>
    <row r="6145" spans="1:25" x14ac:dyDescent="0.2">
      <c r="A6145" t="s">
        <v>678</v>
      </c>
      <c r="B6145">
        <v>2020</v>
      </c>
      <c r="C6145" t="s">
        <v>826</v>
      </c>
      <c r="D6145" t="s">
        <v>824</v>
      </c>
      <c r="E6145" t="s">
        <v>114</v>
      </c>
      <c r="F6145" t="s">
        <v>679</v>
      </c>
      <c r="G6145">
        <v>37.016666999999998</v>
      </c>
      <c r="H6145">
        <v>122.4</v>
      </c>
      <c r="I6145" t="s">
        <v>545</v>
      </c>
      <c r="J6145" s="2" t="s">
        <v>7</v>
      </c>
      <c r="K6145" t="s">
        <v>143</v>
      </c>
      <c r="L6145" t="s">
        <v>143</v>
      </c>
      <c r="M6145" t="s">
        <v>26</v>
      </c>
      <c r="N6145" t="s">
        <v>85</v>
      </c>
      <c r="O6145" s="6" t="s">
        <v>841</v>
      </c>
      <c r="P6145" t="s">
        <v>72</v>
      </c>
      <c r="Q6145">
        <v>90</v>
      </c>
      <c r="R6145" s="2" t="s">
        <v>213</v>
      </c>
      <c r="S6145" t="s">
        <v>7</v>
      </c>
      <c r="T6145">
        <v>9</v>
      </c>
      <c r="U6145">
        <v>8.1</v>
      </c>
      <c r="V6145">
        <v>400</v>
      </c>
      <c r="W6145" t="s">
        <v>28</v>
      </c>
      <c r="X6145">
        <v>1.7270000000000001</v>
      </c>
      <c r="Y6145">
        <f>1.902-X6145</f>
        <v>0.17499999999999982</v>
      </c>
    </row>
    <row r="6146" spans="1:25" x14ac:dyDescent="0.2">
      <c r="A6146" t="s">
        <v>678</v>
      </c>
      <c r="B6146">
        <v>2020</v>
      </c>
      <c r="C6146" t="s">
        <v>826</v>
      </c>
      <c r="D6146" t="s">
        <v>824</v>
      </c>
      <c r="E6146" t="s">
        <v>114</v>
      </c>
      <c r="F6146" t="s">
        <v>679</v>
      </c>
      <c r="G6146">
        <v>37.016666999999998</v>
      </c>
      <c r="H6146">
        <v>122.4</v>
      </c>
      <c r="I6146" t="s">
        <v>545</v>
      </c>
      <c r="J6146" s="2" t="s">
        <v>5</v>
      </c>
      <c r="K6146" t="s">
        <v>143</v>
      </c>
      <c r="L6146" t="s">
        <v>143</v>
      </c>
      <c r="M6146" t="s">
        <v>26</v>
      </c>
      <c r="N6146" t="s">
        <v>85</v>
      </c>
      <c r="O6146" s="6" t="s">
        <v>841</v>
      </c>
      <c r="P6146" t="s">
        <v>72</v>
      </c>
      <c r="Q6146">
        <v>90</v>
      </c>
      <c r="R6146" s="2" t="s">
        <v>213</v>
      </c>
      <c r="S6146" t="s">
        <v>9</v>
      </c>
      <c r="T6146">
        <v>9</v>
      </c>
      <c r="U6146">
        <v>7.8</v>
      </c>
      <c r="V6146">
        <v>1000</v>
      </c>
      <c r="W6146" t="s">
        <v>28</v>
      </c>
      <c r="X6146">
        <v>2.161</v>
      </c>
      <c r="Y6146">
        <f>2.283-X6146</f>
        <v>0.12199999999999989</v>
      </c>
    </row>
    <row r="6147" spans="1:25" x14ac:dyDescent="0.2">
      <c r="A6147" t="s">
        <v>678</v>
      </c>
      <c r="B6147">
        <v>2020</v>
      </c>
      <c r="C6147" t="s">
        <v>826</v>
      </c>
      <c r="D6147" t="s">
        <v>824</v>
      </c>
      <c r="E6147" t="s">
        <v>114</v>
      </c>
      <c r="F6147" t="s">
        <v>679</v>
      </c>
      <c r="G6147">
        <v>37.016666999999998</v>
      </c>
      <c r="H6147">
        <v>122.4</v>
      </c>
      <c r="I6147" t="s">
        <v>545</v>
      </c>
      <c r="J6147" s="2" t="s">
        <v>7</v>
      </c>
      <c r="K6147" t="s">
        <v>143</v>
      </c>
      <c r="L6147" t="s">
        <v>143</v>
      </c>
      <c r="M6147" t="s">
        <v>26</v>
      </c>
      <c r="N6147" t="s">
        <v>85</v>
      </c>
      <c r="O6147" t="s">
        <v>839</v>
      </c>
      <c r="P6147" t="s">
        <v>72</v>
      </c>
      <c r="Q6147">
        <v>90</v>
      </c>
      <c r="R6147" s="2" t="s">
        <v>213</v>
      </c>
      <c r="S6147" t="s">
        <v>7</v>
      </c>
      <c r="T6147">
        <v>9</v>
      </c>
      <c r="U6147">
        <v>8.1</v>
      </c>
      <c r="V6147">
        <v>400</v>
      </c>
      <c r="W6147" t="s">
        <v>28</v>
      </c>
      <c r="X6147">
        <v>3.3460000000000001</v>
      </c>
      <c r="Y6147">
        <f>3.624-X6147</f>
        <v>0.27800000000000002</v>
      </c>
    </row>
    <row r="6148" spans="1:25" x14ac:dyDescent="0.2">
      <c r="A6148" t="s">
        <v>678</v>
      </c>
      <c r="B6148">
        <v>2020</v>
      </c>
      <c r="C6148" t="s">
        <v>826</v>
      </c>
      <c r="D6148" t="s">
        <v>824</v>
      </c>
      <c r="E6148" t="s">
        <v>114</v>
      </c>
      <c r="F6148" t="s">
        <v>679</v>
      </c>
      <c r="G6148">
        <v>37.016666999999998</v>
      </c>
      <c r="H6148">
        <v>122.4</v>
      </c>
      <c r="I6148" t="s">
        <v>545</v>
      </c>
      <c r="J6148" s="2" t="s">
        <v>5</v>
      </c>
      <c r="K6148" t="s">
        <v>143</v>
      </c>
      <c r="L6148" t="s">
        <v>143</v>
      </c>
      <c r="M6148" t="s">
        <v>26</v>
      </c>
      <c r="N6148" t="s">
        <v>85</v>
      </c>
      <c r="O6148" t="s">
        <v>839</v>
      </c>
      <c r="P6148" t="s">
        <v>72</v>
      </c>
      <c r="Q6148">
        <v>90</v>
      </c>
      <c r="R6148" s="2" t="s">
        <v>213</v>
      </c>
      <c r="S6148" t="s">
        <v>9</v>
      </c>
      <c r="T6148">
        <v>9</v>
      </c>
      <c r="U6148">
        <v>7.8</v>
      </c>
      <c r="V6148">
        <v>1000</v>
      </c>
      <c r="W6148" t="s">
        <v>28</v>
      </c>
      <c r="X6148">
        <v>3.9660000000000002</v>
      </c>
      <c r="Y6148">
        <f>4.054-X6148</f>
        <v>8.8000000000000078E-2</v>
      </c>
    </row>
    <row r="6149" spans="1:25" x14ac:dyDescent="0.2">
      <c r="A6149" t="s">
        <v>678</v>
      </c>
      <c r="B6149">
        <v>2020</v>
      </c>
      <c r="C6149" t="s">
        <v>826</v>
      </c>
      <c r="D6149" t="s">
        <v>824</v>
      </c>
      <c r="E6149" t="s">
        <v>114</v>
      </c>
      <c r="F6149" t="s">
        <v>679</v>
      </c>
      <c r="G6149">
        <v>37.016666999999998</v>
      </c>
      <c r="H6149">
        <v>122.4</v>
      </c>
      <c r="I6149" t="s">
        <v>545</v>
      </c>
      <c r="J6149" s="2" t="s">
        <v>7</v>
      </c>
      <c r="K6149" t="s">
        <v>143</v>
      </c>
      <c r="L6149" t="s">
        <v>143</v>
      </c>
      <c r="M6149" t="s">
        <v>638</v>
      </c>
      <c r="N6149" t="s">
        <v>85</v>
      </c>
      <c r="O6149" t="s">
        <v>107</v>
      </c>
      <c r="P6149" t="s">
        <v>126</v>
      </c>
      <c r="Q6149">
        <v>30</v>
      </c>
      <c r="R6149" s="2" t="s">
        <v>214</v>
      </c>
      <c r="S6149" t="s">
        <v>7</v>
      </c>
      <c r="T6149">
        <v>3</v>
      </c>
      <c r="U6149">
        <v>8.1</v>
      </c>
      <c r="V6149">
        <v>400</v>
      </c>
      <c r="W6149" t="s">
        <v>28</v>
      </c>
      <c r="X6149">
        <v>2.1666666666666665</v>
      </c>
      <c r="Y6149">
        <v>0.12503332889007371</v>
      </c>
    </row>
    <row r="6150" spans="1:25" x14ac:dyDescent="0.2">
      <c r="A6150" t="s">
        <v>678</v>
      </c>
      <c r="B6150">
        <v>2020</v>
      </c>
      <c r="C6150" t="s">
        <v>826</v>
      </c>
      <c r="D6150" t="s">
        <v>824</v>
      </c>
      <c r="E6150" t="s">
        <v>114</v>
      </c>
      <c r="F6150" t="s">
        <v>679</v>
      </c>
      <c r="G6150">
        <v>37.016666999999998</v>
      </c>
      <c r="H6150">
        <v>122.4</v>
      </c>
      <c r="I6150" t="s">
        <v>545</v>
      </c>
      <c r="J6150" s="2" t="s">
        <v>5</v>
      </c>
      <c r="K6150" t="s">
        <v>143</v>
      </c>
      <c r="L6150" t="s">
        <v>143</v>
      </c>
      <c r="M6150" t="s">
        <v>638</v>
      </c>
      <c r="N6150" t="s">
        <v>85</v>
      </c>
      <c r="O6150" t="s">
        <v>107</v>
      </c>
      <c r="P6150" t="s">
        <v>126</v>
      </c>
      <c r="Q6150">
        <v>30</v>
      </c>
      <c r="R6150" s="2" t="s">
        <v>214</v>
      </c>
      <c r="S6150" t="s">
        <v>9</v>
      </c>
      <c r="T6150">
        <v>3</v>
      </c>
      <c r="U6150">
        <v>7.8</v>
      </c>
      <c r="V6150">
        <v>1000</v>
      </c>
      <c r="W6150" t="s">
        <v>28</v>
      </c>
      <c r="X6150">
        <v>1.6966666666666665</v>
      </c>
      <c r="Y6150">
        <v>0.14977761292440647</v>
      </c>
    </row>
    <row r="6151" spans="1:25" x14ac:dyDescent="0.2">
      <c r="A6151" t="s">
        <v>678</v>
      </c>
      <c r="B6151">
        <v>2020</v>
      </c>
      <c r="C6151" t="s">
        <v>826</v>
      </c>
      <c r="D6151" t="s">
        <v>824</v>
      </c>
      <c r="E6151" t="s">
        <v>114</v>
      </c>
      <c r="F6151" t="s">
        <v>679</v>
      </c>
      <c r="G6151">
        <v>37.016666999999998</v>
      </c>
      <c r="H6151">
        <v>122.4</v>
      </c>
      <c r="I6151" t="s">
        <v>545</v>
      </c>
      <c r="J6151" s="2" t="s">
        <v>7</v>
      </c>
      <c r="K6151" t="s">
        <v>143</v>
      </c>
      <c r="L6151" t="s">
        <v>143</v>
      </c>
      <c r="M6151" t="s">
        <v>638</v>
      </c>
      <c r="N6151" t="s">
        <v>85</v>
      </c>
      <c r="O6151" t="s">
        <v>107</v>
      </c>
      <c r="P6151" t="s">
        <v>126</v>
      </c>
      <c r="Q6151">
        <v>60</v>
      </c>
      <c r="R6151" s="2" t="s">
        <v>214</v>
      </c>
      <c r="S6151" t="s">
        <v>7</v>
      </c>
      <c r="T6151">
        <v>3</v>
      </c>
      <c r="U6151">
        <v>8.1</v>
      </c>
      <c r="V6151">
        <v>400</v>
      </c>
      <c r="W6151" t="s">
        <v>28</v>
      </c>
      <c r="X6151">
        <v>1.22</v>
      </c>
      <c r="Y6151">
        <v>0.17088007490635032</v>
      </c>
    </row>
    <row r="6152" spans="1:25" x14ac:dyDescent="0.2">
      <c r="A6152" t="s">
        <v>678</v>
      </c>
      <c r="B6152">
        <v>2020</v>
      </c>
      <c r="C6152" t="s">
        <v>826</v>
      </c>
      <c r="D6152" t="s">
        <v>824</v>
      </c>
      <c r="E6152" t="s">
        <v>114</v>
      </c>
      <c r="F6152" t="s">
        <v>679</v>
      </c>
      <c r="G6152">
        <v>37.016666999999998</v>
      </c>
      <c r="H6152">
        <v>122.4</v>
      </c>
      <c r="I6152" t="s">
        <v>545</v>
      </c>
      <c r="J6152" s="2" t="s">
        <v>5</v>
      </c>
      <c r="K6152" t="s">
        <v>143</v>
      </c>
      <c r="L6152" t="s">
        <v>143</v>
      </c>
      <c r="M6152" t="s">
        <v>638</v>
      </c>
      <c r="N6152" t="s">
        <v>85</v>
      </c>
      <c r="O6152" t="s">
        <v>107</v>
      </c>
      <c r="P6152" t="s">
        <v>126</v>
      </c>
      <c r="Q6152">
        <v>60</v>
      </c>
      <c r="R6152" s="2" t="s">
        <v>214</v>
      </c>
      <c r="S6152" t="s">
        <v>9</v>
      </c>
      <c r="T6152">
        <v>3</v>
      </c>
      <c r="U6152">
        <v>7.8</v>
      </c>
      <c r="V6152">
        <v>1000</v>
      </c>
      <c r="W6152" t="s">
        <v>28</v>
      </c>
      <c r="X6152">
        <v>0.93666666666666665</v>
      </c>
      <c r="Y6152">
        <v>4.0414518843273781E-2</v>
      </c>
    </row>
    <row r="6153" spans="1:25" x14ac:dyDescent="0.2">
      <c r="A6153" t="s">
        <v>678</v>
      </c>
      <c r="B6153">
        <v>2020</v>
      </c>
      <c r="C6153" t="s">
        <v>826</v>
      </c>
      <c r="D6153" t="s">
        <v>824</v>
      </c>
      <c r="E6153" t="s">
        <v>114</v>
      </c>
      <c r="F6153" t="s">
        <v>679</v>
      </c>
      <c r="G6153">
        <v>37.016666999999998</v>
      </c>
      <c r="H6153">
        <v>122.4</v>
      </c>
      <c r="I6153" t="s">
        <v>545</v>
      </c>
      <c r="J6153" s="2" t="s">
        <v>7</v>
      </c>
      <c r="K6153" t="s">
        <v>143</v>
      </c>
      <c r="L6153" t="s">
        <v>143</v>
      </c>
      <c r="M6153" t="s">
        <v>638</v>
      </c>
      <c r="N6153" t="s">
        <v>85</v>
      </c>
      <c r="O6153" t="s">
        <v>107</v>
      </c>
      <c r="P6153" t="s">
        <v>126</v>
      </c>
      <c r="Q6153">
        <v>90</v>
      </c>
      <c r="R6153" s="2" t="s">
        <v>213</v>
      </c>
      <c r="S6153" t="s">
        <v>7</v>
      </c>
      <c r="T6153">
        <v>10</v>
      </c>
      <c r="U6153">
        <v>8.1</v>
      </c>
      <c r="V6153">
        <v>400</v>
      </c>
      <c r="W6153" t="s">
        <v>28</v>
      </c>
      <c r="X6153">
        <v>0.93499999999999994</v>
      </c>
      <c r="Y6153">
        <v>0.10936686477682014</v>
      </c>
    </row>
    <row r="6154" spans="1:25" x14ac:dyDescent="0.2">
      <c r="A6154" t="s">
        <v>678</v>
      </c>
      <c r="B6154">
        <v>2020</v>
      </c>
      <c r="C6154" t="s">
        <v>826</v>
      </c>
      <c r="D6154" t="s">
        <v>824</v>
      </c>
      <c r="E6154" t="s">
        <v>114</v>
      </c>
      <c r="F6154" t="s">
        <v>679</v>
      </c>
      <c r="G6154">
        <v>37.016666999999998</v>
      </c>
      <c r="H6154">
        <v>122.4</v>
      </c>
      <c r="I6154" t="s">
        <v>545</v>
      </c>
      <c r="J6154" s="2" t="s">
        <v>5</v>
      </c>
      <c r="K6154" t="s">
        <v>143</v>
      </c>
      <c r="L6154" t="s">
        <v>143</v>
      </c>
      <c r="M6154" t="s">
        <v>638</v>
      </c>
      <c r="N6154" t="s">
        <v>85</v>
      </c>
      <c r="O6154" t="s">
        <v>107</v>
      </c>
      <c r="P6154" t="s">
        <v>126</v>
      </c>
      <c r="Q6154">
        <v>90</v>
      </c>
      <c r="R6154" s="2" t="s">
        <v>213</v>
      </c>
      <c r="S6154" t="s">
        <v>9</v>
      </c>
      <c r="T6154">
        <v>10</v>
      </c>
      <c r="U6154">
        <v>7.8</v>
      </c>
      <c r="V6154">
        <v>1000</v>
      </c>
      <c r="W6154" t="s">
        <v>28</v>
      </c>
      <c r="X6154">
        <v>0.88000000000000012</v>
      </c>
      <c r="Y6154">
        <v>6.8960536218590662E-2</v>
      </c>
    </row>
    <row r="6155" spans="1:25" x14ac:dyDescent="0.2">
      <c r="A6155" t="s">
        <v>678</v>
      </c>
      <c r="B6155">
        <v>2020</v>
      </c>
      <c r="C6155" t="s">
        <v>826</v>
      </c>
      <c r="D6155" t="s">
        <v>824</v>
      </c>
      <c r="E6155" t="s">
        <v>114</v>
      </c>
      <c r="F6155" t="s">
        <v>679</v>
      </c>
      <c r="G6155">
        <v>37.016666999999998</v>
      </c>
      <c r="H6155">
        <v>122.4</v>
      </c>
      <c r="I6155" t="s">
        <v>545</v>
      </c>
      <c r="J6155" s="2" t="s">
        <v>7</v>
      </c>
      <c r="K6155" t="s">
        <v>143</v>
      </c>
      <c r="L6155" t="s">
        <v>143</v>
      </c>
      <c r="M6155" t="s">
        <v>638</v>
      </c>
      <c r="N6155" t="s">
        <v>85</v>
      </c>
      <c r="O6155" t="s">
        <v>221</v>
      </c>
      <c r="P6155" t="s">
        <v>126</v>
      </c>
      <c r="Q6155">
        <v>30</v>
      </c>
      <c r="R6155" s="2" t="s">
        <v>214</v>
      </c>
      <c r="S6155" t="s">
        <v>7</v>
      </c>
      <c r="T6155">
        <v>3</v>
      </c>
      <c r="U6155">
        <v>8.1</v>
      </c>
      <c r="V6155">
        <v>400</v>
      </c>
      <c r="W6155" t="s">
        <v>28</v>
      </c>
      <c r="X6155">
        <v>25.716666666666665</v>
      </c>
      <c r="Y6155">
        <v>0.36828431046317112</v>
      </c>
    </row>
    <row r="6156" spans="1:25" x14ac:dyDescent="0.2">
      <c r="A6156" t="s">
        <v>678</v>
      </c>
      <c r="B6156">
        <v>2020</v>
      </c>
      <c r="C6156" t="s">
        <v>826</v>
      </c>
      <c r="D6156" t="s">
        <v>824</v>
      </c>
      <c r="E6156" t="s">
        <v>114</v>
      </c>
      <c r="F6156" t="s">
        <v>679</v>
      </c>
      <c r="G6156">
        <v>37.016666999999998</v>
      </c>
      <c r="H6156">
        <v>122.4</v>
      </c>
      <c r="I6156" t="s">
        <v>545</v>
      </c>
      <c r="J6156" s="2" t="s">
        <v>5</v>
      </c>
      <c r="K6156" t="s">
        <v>143</v>
      </c>
      <c r="L6156" t="s">
        <v>143</v>
      </c>
      <c r="M6156" t="s">
        <v>638</v>
      </c>
      <c r="N6156" t="s">
        <v>85</v>
      </c>
      <c r="O6156" t="s">
        <v>221</v>
      </c>
      <c r="P6156" t="s">
        <v>126</v>
      </c>
      <c r="Q6156">
        <v>30</v>
      </c>
      <c r="R6156" s="2" t="s">
        <v>214</v>
      </c>
      <c r="S6156" t="s">
        <v>9</v>
      </c>
      <c r="T6156">
        <v>3</v>
      </c>
      <c r="U6156">
        <v>7.8</v>
      </c>
      <c r="V6156">
        <v>1000</v>
      </c>
      <c r="W6156" t="s">
        <v>28</v>
      </c>
      <c r="X6156">
        <v>25.709999999999997</v>
      </c>
      <c r="Y6156">
        <v>0.64373907757724202</v>
      </c>
    </row>
    <row r="6157" spans="1:25" x14ac:dyDescent="0.2">
      <c r="A6157" t="s">
        <v>678</v>
      </c>
      <c r="B6157">
        <v>2020</v>
      </c>
      <c r="C6157" t="s">
        <v>826</v>
      </c>
      <c r="D6157" t="s">
        <v>824</v>
      </c>
      <c r="E6157" t="s">
        <v>114</v>
      </c>
      <c r="F6157" t="s">
        <v>679</v>
      </c>
      <c r="G6157">
        <v>37.016666999999998</v>
      </c>
      <c r="H6157">
        <v>122.4</v>
      </c>
      <c r="I6157" t="s">
        <v>545</v>
      </c>
      <c r="J6157" s="2" t="s">
        <v>7</v>
      </c>
      <c r="K6157" t="s">
        <v>143</v>
      </c>
      <c r="L6157" t="s">
        <v>143</v>
      </c>
      <c r="M6157" t="s">
        <v>638</v>
      </c>
      <c r="N6157" t="s">
        <v>85</v>
      </c>
      <c r="O6157" t="s">
        <v>221</v>
      </c>
      <c r="P6157" t="s">
        <v>126</v>
      </c>
      <c r="Q6157">
        <v>60</v>
      </c>
      <c r="R6157" s="2" t="s">
        <v>214</v>
      </c>
      <c r="S6157" t="s">
        <v>7</v>
      </c>
      <c r="T6157">
        <v>3</v>
      </c>
      <c r="U6157">
        <v>8.1</v>
      </c>
      <c r="V6157">
        <v>400</v>
      </c>
      <c r="W6157" t="s">
        <v>28</v>
      </c>
      <c r="X6157">
        <v>25.553333333333331</v>
      </c>
      <c r="Y6157">
        <v>0.40771722226726342</v>
      </c>
    </row>
    <row r="6158" spans="1:25" x14ac:dyDescent="0.2">
      <c r="A6158" t="s">
        <v>678</v>
      </c>
      <c r="B6158">
        <v>2020</v>
      </c>
      <c r="C6158" t="s">
        <v>826</v>
      </c>
      <c r="D6158" t="s">
        <v>824</v>
      </c>
      <c r="E6158" t="s">
        <v>114</v>
      </c>
      <c r="F6158" t="s">
        <v>679</v>
      </c>
      <c r="G6158">
        <v>37.016666999999998</v>
      </c>
      <c r="H6158">
        <v>122.4</v>
      </c>
      <c r="I6158" t="s">
        <v>545</v>
      </c>
      <c r="J6158" s="2" t="s">
        <v>5</v>
      </c>
      <c r="K6158" t="s">
        <v>143</v>
      </c>
      <c r="L6158" t="s">
        <v>143</v>
      </c>
      <c r="M6158" t="s">
        <v>638</v>
      </c>
      <c r="N6158" t="s">
        <v>85</v>
      </c>
      <c r="O6158" t="s">
        <v>221</v>
      </c>
      <c r="P6158" t="s">
        <v>126</v>
      </c>
      <c r="Q6158">
        <v>60</v>
      </c>
      <c r="R6158" s="2" t="s">
        <v>214</v>
      </c>
      <c r="S6158" t="s">
        <v>9</v>
      </c>
      <c r="T6158">
        <v>3</v>
      </c>
      <c r="U6158">
        <v>7.8</v>
      </c>
      <c r="V6158">
        <v>1000</v>
      </c>
      <c r="W6158" t="s">
        <v>28</v>
      </c>
      <c r="X6158">
        <v>26.636666666666667</v>
      </c>
      <c r="Y6158">
        <v>0.7613365440679527</v>
      </c>
    </row>
    <row r="6159" spans="1:25" x14ac:dyDescent="0.2">
      <c r="A6159" t="s">
        <v>678</v>
      </c>
      <c r="B6159">
        <v>2020</v>
      </c>
      <c r="C6159" t="s">
        <v>826</v>
      </c>
      <c r="D6159" t="s">
        <v>824</v>
      </c>
      <c r="E6159" t="s">
        <v>114</v>
      </c>
      <c r="F6159" t="s">
        <v>679</v>
      </c>
      <c r="G6159">
        <v>37.016666999999998</v>
      </c>
      <c r="H6159">
        <v>122.4</v>
      </c>
      <c r="I6159" t="s">
        <v>545</v>
      </c>
      <c r="J6159" s="2" t="s">
        <v>7</v>
      </c>
      <c r="K6159" t="s">
        <v>143</v>
      </c>
      <c r="L6159" t="s">
        <v>143</v>
      </c>
      <c r="M6159" t="s">
        <v>638</v>
      </c>
      <c r="N6159" t="s">
        <v>85</v>
      </c>
      <c r="O6159" t="s">
        <v>221</v>
      </c>
      <c r="P6159" t="s">
        <v>126</v>
      </c>
      <c r="Q6159">
        <v>90</v>
      </c>
      <c r="R6159" s="2" t="s">
        <v>213</v>
      </c>
      <c r="S6159" t="s">
        <v>7</v>
      </c>
      <c r="T6159">
        <v>10</v>
      </c>
      <c r="U6159">
        <v>8.1</v>
      </c>
      <c r="V6159">
        <v>400</v>
      </c>
      <c r="W6159" t="s">
        <v>28</v>
      </c>
      <c r="X6159">
        <v>26.395999999999997</v>
      </c>
      <c r="Y6159">
        <v>0.96170219460657969</v>
      </c>
    </row>
    <row r="6160" spans="1:25" x14ac:dyDescent="0.2">
      <c r="A6160" t="s">
        <v>678</v>
      </c>
      <c r="B6160">
        <v>2020</v>
      </c>
      <c r="C6160" t="s">
        <v>826</v>
      </c>
      <c r="D6160" t="s">
        <v>824</v>
      </c>
      <c r="E6160" t="s">
        <v>114</v>
      </c>
      <c r="F6160" t="s">
        <v>679</v>
      </c>
      <c r="G6160">
        <v>37.016666999999998</v>
      </c>
      <c r="H6160">
        <v>122.4</v>
      </c>
      <c r="I6160" t="s">
        <v>545</v>
      </c>
      <c r="J6160" s="2" t="s">
        <v>5</v>
      </c>
      <c r="K6160" t="s">
        <v>143</v>
      </c>
      <c r="L6160" t="s">
        <v>143</v>
      </c>
      <c r="M6160" t="s">
        <v>638</v>
      </c>
      <c r="N6160" t="s">
        <v>85</v>
      </c>
      <c r="O6160" t="s">
        <v>221</v>
      </c>
      <c r="P6160" t="s">
        <v>126</v>
      </c>
      <c r="Q6160">
        <v>90</v>
      </c>
      <c r="R6160" s="2" t="s">
        <v>213</v>
      </c>
      <c r="S6160" t="s">
        <v>9</v>
      </c>
      <c r="T6160">
        <v>10</v>
      </c>
      <c r="U6160">
        <v>7.8</v>
      </c>
      <c r="V6160">
        <v>1000</v>
      </c>
      <c r="W6160" t="s">
        <v>28</v>
      </c>
      <c r="X6160">
        <v>28.641999999999996</v>
      </c>
      <c r="Y6160">
        <v>2.1285665494777364</v>
      </c>
    </row>
    <row r="6161" spans="1:25" x14ac:dyDescent="0.2">
      <c r="A6161" t="s">
        <v>678</v>
      </c>
      <c r="B6161">
        <v>2020</v>
      </c>
      <c r="C6161" t="s">
        <v>826</v>
      </c>
      <c r="D6161" t="s">
        <v>824</v>
      </c>
      <c r="E6161" t="s">
        <v>114</v>
      </c>
      <c r="F6161" t="s">
        <v>679</v>
      </c>
      <c r="G6161">
        <v>37.016666999999998</v>
      </c>
      <c r="H6161">
        <v>122.4</v>
      </c>
      <c r="I6161" t="s">
        <v>545</v>
      </c>
      <c r="J6161" s="2" t="s">
        <v>7</v>
      </c>
      <c r="K6161" t="s">
        <v>143</v>
      </c>
      <c r="L6161" t="s">
        <v>143</v>
      </c>
      <c r="M6161" t="s">
        <v>638</v>
      </c>
      <c r="N6161" t="s">
        <v>86</v>
      </c>
      <c r="O6161" t="s">
        <v>272</v>
      </c>
      <c r="Q6161">
        <v>30</v>
      </c>
      <c r="R6161" s="2" t="s">
        <v>214</v>
      </c>
      <c r="S6161" t="s">
        <v>7</v>
      </c>
      <c r="T6161">
        <v>3</v>
      </c>
      <c r="U6161">
        <v>8.1</v>
      </c>
      <c r="V6161">
        <v>400</v>
      </c>
      <c r="W6161" t="s">
        <v>28</v>
      </c>
      <c r="X6161">
        <v>11.889334927842034</v>
      </c>
      <c r="Y6161">
        <v>0.5306096621697034</v>
      </c>
    </row>
    <row r="6162" spans="1:25" x14ac:dyDescent="0.2">
      <c r="A6162" t="s">
        <v>678</v>
      </c>
      <c r="B6162">
        <v>2020</v>
      </c>
      <c r="C6162" t="s">
        <v>826</v>
      </c>
      <c r="D6162" t="s">
        <v>824</v>
      </c>
      <c r="E6162" t="s">
        <v>114</v>
      </c>
      <c r="F6162" t="s">
        <v>679</v>
      </c>
      <c r="G6162">
        <v>37.016666999999998</v>
      </c>
      <c r="H6162">
        <v>122.4</v>
      </c>
      <c r="I6162" t="s">
        <v>545</v>
      </c>
      <c r="J6162" s="2" t="s">
        <v>5</v>
      </c>
      <c r="K6162" t="s">
        <v>143</v>
      </c>
      <c r="L6162" t="s">
        <v>143</v>
      </c>
      <c r="M6162" t="s">
        <v>638</v>
      </c>
      <c r="N6162" t="s">
        <v>86</v>
      </c>
      <c r="O6162" t="s">
        <v>272</v>
      </c>
      <c r="Q6162">
        <v>30</v>
      </c>
      <c r="R6162" s="2" t="s">
        <v>214</v>
      </c>
      <c r="S6162" t="s">
        <v>9</v>
      </c>
      <c r="T6162">
        <v>3</v>
      </c>
      <c r="U6162">
        <v>7.8</v>
      </c>
      <c r="V6162">
        <v>1000</v>
      </c>
      <c r="W6162" t="s">
        <v>28</v>
      </c>
      <c r="X6162">
        <v>15.212453386895602</v>
      </c>
      <c r="Y6162">
        <v>1.0100490625148664</v>
      </c>
    </row>
    <row r="6163" spans="1:25" x14ac:dyDescent="0.2">
      <c r="A6163" t="s">
        <v>678</v>
      </c>
      <c r="B6163">
        <v>2020</v>
      </c>
      <c r="C6163" t="s">
        <v>826</v>
      </c>
      <c r="D6163" t="s">
        <v>824</v>
      </c>
      <c r="E6163" t="s">
        <v>114</v>
      </c>
      <c r="F6163" t="s">
        <v>679</v>
      </c>
      <c r="G6163">
        <v>37.016666999999998</v>
      </c>
      <c r="H6163">
        <v>122.4</v>
      </c>
      <c r="I6163" t="s">
        <v>545</v>
      </c>
      <c r="J6163" s="2" t="s">
        <v>7</v>
      </c>
      <c r="K6163" t="s">
        <v>143</v>
      </c>
      <c r="L6163" t="s">
        <v>143</v>
      </c>
      <c r="M6163" t="s">
        <v>638</v>
      </c>
      <c r="N6163" t="s">
        <v>86</v>
      </c>
      <c r="O6163" t="s">
        <v>272</v>
      </c>
      <c r="Q6163">
        <v>60</v>
      </c>
      <c r="R6163" s="2" t="s">
        <v>214</v>
      </c>
      <c r="S6163" t="s">
        <v>7</v>
      </c>
      <c r="T6163">
        <v>3</v>
      </c>
      <c r="U6163">
        <v>8.1</v>
      </c>
      <c r="V6163">
        <v>400</v>
      </c>
      <c r="W6163" t="s">
        <v>28</v>
      </c>
      <c r="X6163">
        <v>21.520827489481064</v>
      </c>
      <c r="Y6163">
        <v>3.2479960084715169</v>
      </c>
    </row>
    <row r="6164" spans="1:25" x14ac:dyDescent="0.2">
      <c r="A6164" t="s">
        <v>678</v>
      </c>
      <c r="B6164">
        <v>2020</v>
      </c>
      <c r="C6164" t="s">
        <v>826</v>
      </c>
      <c r="D6164" t="s">
        <v>824</v>
      </c>
      <c r="E6164" t="s">
        <v>114</v>
      </c>
      <c r="F6164" t="s">
        <v>679</v>
      </c>
      <c r="G6164">
        <v>37.016666999999998</v>
      </c>
      <c r="H6164">
        <v>122.4</v>
      </c>
      <c r="I6164" t="s">
        <v>545</v>
      </c>
      <c r="J6164" s="2" t="s">
        <v>5</v>
      </c>
      <c r="K6164" t="s">
        <v>143</v>
      </c>
      <c r="L6164" t="s">
        <v>143</v>
      </c>
      <c r="M6164" t="s">
        <v>638</v>
      </c>
      <c r="N6164" t="s">
        <v>86</v>
      </c>
      <c r="O6164" t="s">
        <v>272</v>
      </c>
      <c r="Q6164">
        <v>60</v>
      </c>
      <c r="R6164" s="2" t="s">
        <v>214</v>
      </c>
      <c r="S6164" t="s">
        <v>9</v>
      </c>
      <c r="T6164">
        <v>3</v>
      </c>
      <c r="U6164">
        <v>7.8</v>
      </c>
      <c r="V6164">
        <v>1000</v>
      </c>
      <c r="W6164" t="s">
        <v>28</v>
      </c>
      <c r="X6164">
        <v>28.481888669446302</v>
      </c>
      <c r="Y6164">
        <v>1.6922958791027392</v>
      </c>
    </row>
    <row r="6165" spans="1:25" x14ac:dyDescent="0.2">
      <c r="A6165" t="s">
        <v>678</v>
      </c>
      <c r="B6165">
        <v>2020</v>
      </c>
      <c r="C6165" t="s">
        <v>826</v>
      </c>
      <c r="D6165" t="s">
        <v>824</v>
      </c>
      <c r="E6165" t="s">
        <v>114</v>
      </c>
      <c r="F6165" t="s">
        <v>679</v>
      </c>
      <c r="G6165">
        <v>37.016666999999998</v>
      </c>
      <c r="H6165">
        <v>122.4</v>
      </c>
      <c r="I6165" t="s">
        <v>545</v>
      </c>
      <c r="J6165" s="2" t="s">
        <v>7</v>
      </c>
      <c r="K6165" t="s">
        <v>143</v>
      </c>
      <c r="L6165" t="s">
        <v>143</v>
      </c>
      <c r="M6165" t="s">
        <v>638</v>
      </c>
      <c r="N6165" t="s">
        <v>86</v>
      </c>
      <c r="O6165" t="s">
        <v>272</v>
      </c>
      <c r="Q6165">
        <v>90</v>
      </c>
      <c r="R6165" s="2" t="s">
        <v>213</v>
      </c>
      <c r="S6165" t="s">
        <v>7</v>
      </c>
      <c r="T6165">
        <v>10</v>
      </c>
      <c r="U6165">
        <v>8.1</v>
      </c>
      <c r="V6165">
        <v>400</v>
      </c>
      <c r="W6165" t="s">
        <v>28</v>
      </c>
      <c r="X6165">
        <v>28.589264703779701</v>
      </c>
      <c r="Y6165">
        <v>3.5649166107729937</v>
      </c>
    </row>
    <row r="6166" spans="1:25" x14ac:dyDescent="0.2">
      <c r="A6166" t="s">
        <v>678</v>
      </c>
      <c r="B6166">
        <v>2020</v>
      </c>
      <c r="C6166" t="s">
        <v>826</v>
      </c>
      <c r="D6166" t="s">
        <v>824</v>
      </c>
      <c r="E6166" t="s">
        <v>114</v>
      </c>
      <c r="F6166" t="s">
        <v>679</v>
      </c>
      <c r="G6166">
        <v>37.016666999999998</v>
      </c>
      <c r="H6166">
        <v>122.4</v>
      </c>
      <c r="I6166" t="s">
        <v>545</v>
      </c>
      <c r="J6166" s="2" t="s">
        <v>5</v>
      </c>
      <c r="K6166" t="s">
        <v>143</v>
      </c>
      <c r="L6166" t="s">
        <v>143</v>
      </c>
      <c r="M6166" t="s">
        <v>638</v>
      </c>
      <c r="N6166" t="s">
        <v>86</v>
      </c>
      <c r="O6166" t="s">
        <v>272</v>
      </c>
      <c r="Q6166">
        <v>90</v>
      </c>
      <c r="R6166" s="2" t="s">
        <v>213</v>
      </c>
      <c r="S6166" t="s">
        <v>9</v>
      </c>
      <c r="T6166">
        <v>10</v>
      </c>
      <c r="U6166">
        <v>7.8</v>
      </c>
      <c r="V6166">
        <v>1000</v>
      </c>
      <c r="W6166" t="s">
        <v>28</v>
      </c>
      <c r="X6166">
        <v>32.657810254990665</v>
      </c>
      <c r="Y6166">
        <v>2.6356989592694937</v>
      </c>
    </row>
    <row r="6167" spans="1:25" x14ac:dyDescent="0.2">
      <c r="A6167" t="s">
        <v>678</v>
      </c>
      <c r="B6167">
        <v>2020</v>
      </c>
      <c r="C6167" t="s">
        <v>826</v>
      </c>
      <c r="D6167" t="s">
        <v>824</v>
      </c>
      <c r="E6167" t="s">
        <v>114</v>
      </c>
      <c r="F6167" t="s">
        <v>679</v>
      </c>
      <c r="G6167">
        <v>37.016666999999998</v>
      </c>
      <c r="H6167">
        <v>122.4</v>
      </c>
      <c r="I6167" t="s">
        <v>545</v>
      </c>
      <c r="J6167" s="2" t="s">
        <v>7</v>
      </c>
      <c r="K6167" t="s">
        <v>143</v>
      </c>
      <c r="L6167" t="s">
        <v>143</v>
      </c>
      <c r="M6167" t="s">
        <v>638</v>
      </c>
      <c r="N6167" t="s">
        <v>85</v>
      </c>
      <c r="O6167" t="s">
        <v>347</v>
      </c>
      <c r="P6167" t="s">
        <v>126</v>
      </c>
      <c r="Q6167">
        <v>60</v>
      </c>
      <c r="R6167" s="2" t="s">
        <v>214</v>
      </c>
      <c r="S6167" t="s">
        <v>7</v>
      </c>
      <c r="T6167">
        <v>3</v>
      </c>
      <c r="U6167">
        <v>8.1</v>
      </c>
      <c r="V6167">
        <v>400</v>
      </c>
      <c r="W6167" t="s">
        <v>28</v>
      </c>
      <c r="X6167">
        <v>30.466666666666669</v>
      </c>
      <c r="Y6167">
        <v>1.1846237100000001</v>
      </c>
    </row>
    <row r="6168" spans="1:25" x14ac:dyDescent="0.2">
      <c r="A6168" t="s">
        <v>678</v>
      </c>
      <c r="B6168">
        <v>2020</v>
      </c>
      <c r="C6168" t="s">
        <v>826</v>
      </c>
      <c r="D6168" t="s">
        <v>824</v>
      </c>
      <c r="E6168" t="s">
        <v>114</v>
      </c>
      <c r="F6168" t="s">
        <v>679</v>
      </c>
      <c r="G6168">
        <v>37.016666999999998</v>
      </c>
      <c r="H6168">
        <v>122.4</v>
      </c>
      <c r="I6168" t="s">
        <v>545</v>
      </c>
      <c r="J6168" s="2" t="s">
        <v>5</v>
      </c>
      <c r="K6168" t="s">
        <v>143</v>
      </c>
      <c r="L6168" t="s">
        <v>143</v>
      </c>
      <c r="M6168" t="s">
        <v>638</v>
      </c>
      <c r="N6168" t="s">
        <v>85</v>
      </c>
      <c r="O6168" t="s">
        <v>347</v>
      </c>
      <c r="P6168" t="s">
        <v>126</v>
      </c>
      <c r="Q6168">
        <v>60</v>
      </c>
      <c r="R6168" s="2" t="s">
        <v>214</v>
      </c>
      <c r="S6168" t="s">
        <v>9</v>
      </c>
      <c r="T6168">
        <v>3</v>
      </c>
      <c r="U6168">
        <v>7.8</v>
      </c>
      <c r="V6168">
        <v>1000</v>
      </c>
      <c r="W6168" t="s">
        <v>28</v>
      </c>
      <c r="X6168">
        <v>30.566666666666666</v>
      </c>
      <c r="Y6168">
        <v>3.8423083340000002</v>
      </c>
    </row>
    <row r="6169" spans="1:25" x14ac:dyDescent="0.2">
      <c r="A6169" t="s">
        <v>678</v>
      </c>
      <c r="B6169">
        <v>2020</v>
      </c>
      <c r="C6169" t="s">
        <v>826</v>
      </c>
      <c r="D6169" t="s">
        <v>824</v>
      </c>
      <c r="E6169" t="s">
        <v>114</v>
      </c>
      <c r="F6169" t="s">
        <v>679</v>
      </c>
      <c r="G6169">
        <v>37.016666999999998</v>
      </c>
      <c r="H6169">
        <v>122.4</v>
      </c>
      <c r="I6169" t="s">
        <v>545</v>
      </c>
      <c r="J6169" s="2" t="s">
        <v>7</v>
      </c>
      <c r="K6169" t="s">
        <v>143</v>
      </c>
      <c r="L6169" t="s">
        <v>143</v>
      </c>
      <c r="M6169" t="s">
        <v>638</v>
      </c>
      <c r="N6169" t="s">
        <v>85</v>
      </c>
      <c r="O6169" t="s">
        <v>347</v>
      </c>
      <c r="P6169" t="s">
        <v>126</v>
      </c>
      <c r="Q6169">
        <v>90</v>
      </c>
      <c r="R6169" s="2" t="s">
        <v>213</v>
      </c>
      <c r="S6169" t="s">
        <v>7</v>
      </c>
      <c r="T6169">
        <v>10</v>
      </c>
      <c r="U6169">
        <v>8.1</v>
      </c>
      <c r="V6169">
        <v>400</v>
      </c>
      <c r="W6169" t="s">
        <v>28</v>
      </c>
      <c r="X6169">
        <v>39.81</v>
      </c>
      <c r="Y6169">
        <v>2.815967369</v>
      </c>
    </row>
    <row r="6170" spans="1:25" x14ac:dyDescent="0.2">
      <c r="A6170" t="s">
        <v>678</v>
      </c>
      <c r="B6170">
        <v>2020</v>
      </c>
      <c r="C6170" t="s">
        <v>826</v>
      </c>
      <c r="D6170" t="s">
        <v>824</v>
      </c>
      <c r="E6170" t="s">
        <v>114</v>
      </c>
      <c r="F6170" t="s">
        <v>679</v>
      </c>
      <c r="G6170">
        <v>37.016666999999998</v>
      </c>
      <c r="H6170">
        <v>122.4</v>
      </c>
      <c r="I6170" t="s">
        <v>545</v>
      </c>
      <c r="J6170" s="2" t="s">
        <v>5</v>
      </c>
      <c r="K6170" t="s">
        <v>143</v>
      </c>
      <c r="L6170" t="s">
        <v>143</v>
      </c>
      <c r="M6170" t="s">
        <v>638</v>
      </c>
      <c r="N6170" t="s">
        <v>85</v>
      </c>
      <c r="O6170" t="s">
        <v>347</v>
      </c>
      <c r="P6170" t="s">
        <v>126</v>
      </c>
      <c r="Q6170">
        <v>90</v>
      </c>
      <c r="R6170" s="2" t="s">
        <v>213</v>
      </c>
      <c r="S6170" t="s">
        <v>9</v>
      </c>
      <c r="T6170">
        <v>10</v>
      </c>
      <c r="U6170">
        <v>7.8</v>
      </c>
      <c r="V6170">
        <v>1000</v>
      </c>
      <c r="W6170" t="s">
        <v>28</v>
      </c>
      <c r="X6170">
        <v>38.159999999999997</v>
      </c>
      <c r="Y6170">
        <v>2.4948054919999998</v>
      </c>
    </row>
    <row r="6171" spans="1:25" x14ac:dyDescent="0.2">
      <c r="A6171" t="s">
        <v>678</v>
      </c>
      <c r="B6171">
        <v>2020</v>
      </c>
      <c r="C6171" t="s">
        <v>826</v>
      </c>
      <c r="D6171" t="s">
        <v>824</v>
      </c>
      <c r="E6171" t="s">
        <v>114</v>
      </c>
      <c r="F6171" t="s">
        <v>679</v>
      </c>
      <c r="G6171">
        <v>37.016666999999998</v>
      </c>
      <c r="H6171">
        <v>122.4</v>
      </c>
      <c r="I6171" t="s">
        <v>545</v>
      </c>
      <c r="J6171" s="2" t="s">
        <v>7</v>
      </c>
      <c r="K6171" t="s">
        <v>143</v>
      </c>
      <c r="L6171" t="s">
        <v>143</v>
      </c>
      <c r="M6171" t="s">
        <v>638</v>
      </c>
      <c r="N6171" t="s">
        <v>85</v>
      </c>
      <c r="O6171" t="s">
        <v>680</v>
      </c>
      <c r="P6171" t="s">
        <v>126</v>
      </c>
      <c r="Q6171">
        <v>60</v>
      </c>
      <c r="R6171" s="2" t="s">
        <v>214</v>
      </c>
      <c r="S6171" t="s">
        <v>7</v>
      </c>
      <c r="T6171">
        <v>3</v>
      </c>
      <c r="U6171">
        <v>8.1</v>
      </c>
      <c r="V6171">
        <v>400</v>
      </c>
      <c r="W6171" t="s">
        <v>28</v>
      </c>
      <c r="X6171">
        <v>15.14</v>
      </c>
      <c r="Y6171">
        <v>0.58170180500000002</v>
      </c>
    </row>
    <row r="6172" spans="1:25" x14ac:dyDescent="0.2">
      <c r="A6172" t="s">
        <v>678</v>
      </c>
      <c r="B6172">
        <v>2020</v>
      </c>
      <c r="C6172" t="s">
        <v>826</v>
      </c>
      <c r="D6172" t="s">
        <v>824</v>
      </c>
      <c r="E6172" t="s">
        <v>114</v>
      </c>
      <c r="F6172" t="s">
        <v>679</v>
      </c>
      <c r="G6172">
        <v>37.016666999999998</v>
      </c>
      <c r="H6172">
        <v>122.4</v>
      </c>
      <c r="I6172" t="s">
        <v>545</v>
      </c>
      <c r="J6172" s="2" t="s">
        <v>5</v>
      </c>
      <c r="K6172" t="s">
        <v>143</v>
      </c>
      <c r="L6172" t="s">
        <v>143</v>
      </c>
      <c r="M6172" t="s">
        <v>638</v>
      </c>
      <c r="N6172" t="s">
        <v>85</v>
      </c>
      <c r="O6172" t="s">
        <v>680</v>
      </c>
      <c r="P6172" t="s">
        <v>126</v>
      </c>
      <c r="Q6172">
        <v>60</v>
      </c>
      <c r="R6172" s="2" t="s">
        <v>214</v>
      </c>
      <c r="S6172" t="s">
        <v>9</v>
      </c>
      <c r="T6172">
        <v>3</v>
      </c>
      <c r="U6172">
        <v>7.8</v>
      </c>
      <c r="V6172">
        <v>1000</v>
      </c>
      <c r="W6172" t="s">
        <v>28</v>
      </c>
      <c r="X6172">
        <v>15.51</v>
      </c>
      <c r="Y6172">
        <v>0.67801740300000002</v>
      </c>
    </row>
    <row r="6173" spans="1:25" x14ac:dyDescent="0.2">
      <c r="A6173" t="s">
        <v>678</v>
      </c>
      <c r="B6173">
        <v>2020</v>
      </c>
      <c r="C6173" t="s">
        <v>826</v>
      </c>
      <c r="D6173" t="s">
        <v>824</v>
      </c>
      <c r="E6173" t="s">
        <v>114</v>
      </c>
      <c r="F6173" t="s">
        <v>679</v>
      </c>
      <c r="G6173">
        <v>37.016666999999998</v>
      </c>
      <c r="H6173">
        <v>122.4</v>
      </c>
      <c r="I6173" t="s">
        <v>545</v>
      </c>
      <c r="J6173" s="2" t="s">
        <v>7</v>
      </c>
      <c r="K6173" t="s">
        <v>143</v>
      </c>
      <c r="L6173" t="s">
        <v>143</v>
      </c>
      <c r="M6173" t="s">
        <v>638</v>
      </c>
      <c r="N6173" t="s">
        <v>85</v>
      </c>
      <c r="O6173" t="s">
        <v>680</v>
      </c>
      <c r="P6173" t="s">
        <v>126</v>
      </c>
      <c r="Q6173">
        <v>90</v>
      </c>
      <c r="R6173" s="2" t="s">
        <v>213</v>
      </c>
      <c r="S6173" t="s">
        <v>7</v>
      </c>
      <c r="T6173">
        <v>10</v>
      </c>
      <c r="U6173">
        <v>8.1</v>
      </c>
      <c r="V6173">
        <v>400</v>
      </c>
      <c r="W6173" t="s">
        <v>28</v>
      </c>
      <c r="X6173">
        <v>18.62</v>
      </c>
      <c r="Y6173">
        <v>0.88073982399999995</v>
      </c>
    </row>
    <row r="6174" spans="1:25" x14ac:dyDescent="0.2">
      <c r="A6174" t="s">
        <v>678</v>
      </c>
      <c r="B6174">
        <v>2020</v>
      </c>
      <c r="C6174" t="s">
        <v>826</v>
      </c>
      <c r="D6174" t="s">
        <v>824</v>
      </c>
      <c r="E6174" t="s">
        <v>114</v>
      </c>
      <c r="F6174" t="s">
        <v>679</v>
      </c>
      <c r="G6174">
        <v>37.016666999999998</v>
      </c>
      <c r="H6174">
        <v>122.4</v>
      </c>
      <c r="I6174" t="s">
        <v>545</v>
      </c>
      <c r="J6174" s="2" t="s">
        <v>5</v>
      </c>
      <c r="K6174" t="s">
        <v>143</v>
      </c>
      <c r="L6174" t="s">
        <v>143</v>
      </c>
      <c r="M6174" t="s">
        <v>638</v>
      </c>
      <c r="N6174" t="s">
        <v>85</v>
      </c>
      <c r="O6174" t="s">
        <v>680</v>
      </c>
      <c r="P6174" t="s">
        <v>126</v>
      </c>
      <c r="Q6174">
        <v>90</v>
      </c>
      <c r="R6174" s="2" t="s">
        <v>213</v>
      </c>
      <c r="S6174" t="s">
        <v>9</v>
      </c>
      <c r="T6174">
        <v>10</v>
      </c>
      <c r="U6174">
        <v>7.8</v>
      </c>
      <c r="V6174">
        <v>1000</v>
      </c>
      <c r="W6174" t="s">
        <v>28</v>
      </c>
      <c r="X6174">
        <v>18.7</v>
      </c>
      <c r="Y6174">
        <v>1.026349615</v>
      </c>
    </row>
    <row r="6175" spans="1:25" x14ac:dyDescent="0.2">
      <c r="A6175" t="s">
        <v>678</v>
      </c>
      <c r="B6175">
        <v>2020</v>
      </c>
      <c r="C6175" t="s">
        <v>826</v>
      </c>
      <c r="D6175" t="s">
        <v>824</v>
      </c>
      <c r="E6175" t="s">
        <v>114</v>
      </c>
      <c r="F6175" t="s">
        <v>679</v>
      </c>
      <c r="G6175">
        <v>37.016666999999998</v>
      </c>
      <c r="H6175">
        <v>122.4</v>
      </c>
      <c r="I6175" t="s">
        <v>545</v>
      </c>
      <c r="J6175" s="2" t="s">
        <v>7</v>
      </c>
      <c r="K6175" t="s">
        <v>143</v>
      </c>
      <c r="L6175" t="s">
        <v>143</v>
      </c>
      <c r="M6175" t="s">
        <v>638</v>
      </c>
      <c r="N6175" t="s">
        <v>85</v>
      </c>
      <c r="O6175" t="s">
        <v>681</v>
      </c>
      <c r="P6175" t="s">
        <v>126</v>
      </c>
      <c r="Q6175">
        <v>60</v>
      </c>
      <c r="R6175" s="2" t="s">
        <v>214</v>
      </c>
      <c r="S6175" t="s">
        <v>7</v>
      </c>
      <c r="T6175">
        <v>3</v>
      </c>
      <c r="U6175">
        <v>8.1</v>
      </c>
      <c r="V6175">
        <v>400</v>
      </c>
      <c r="W6175" t="s">
        <v>28</v>
      </c>
      <c r="X6175">
        <v>18.41</v>
      </c>
      <c r="Y6175">
        <v>3.581345185</v>
      </c>
    </row>
    <row r="6176" spans="1:25" x14ac:dyDescent="0.2">
      <c r="A6176" t="s">
        <v>678</v>
      </c>
      <c r="B6176">
        <v>2020</v>
      </c>
      <c r="C6176" t="s">
        <v>826</v>
      </c>
      <c r="D6176" t="s">
        <v>824</v>
      </c>
      <c r="E6176" t="s">
        <v>114</v>
      </c>
      <c r="F6176" t="s">
        <v>679</v>
      </c>
      <c r="G6176">
        <v>37.016666999999998</v>
      </c>
      <c r="H6176">
        <v>122.4</v>
      </c>
      <c r="I6176" t="s">
        <v>545</v>
      </c>
      <c r="J6176" s="2" t="s">
        <v>5</v>
      </c>
      <c r="K6176" t="s">
        <v>143</v>
      </c>
      <c r="L6176" t="s">
        <v>143</v>
      </c>
      <c r="M6176" t="s">
        <v>638</v>
      </c>
      <c r="N6176" t="s">
        <v>85</v>
      </c>
      <c r="O6176" t="s">
        <v>681</v>
      </c>
      <c r="P6176" t="s">
        <v>126</v>
      </c>
      <c r="Q6176">
        <v>60</v>
      </c>
      <c r="R6176" s="2" t="s">
        <v>214</v>
      </c>
      <c r="S6176" t="s">
        <v>9</v>
      </c>
      <c r="T6176">
        <v>3</v>
      </c>
      <c r="U6176">
        <v>7.8</v>
      </c>
      <c r="V6176">
        <v>1000</v>
      </c>
      <c r="W6176" t="s">
        <v>28</v>
      </c>
      <c r="X6176">
        <v>15.72</v>
      </c>
      <c r="Y6176">
        <v>4.3691456070000001</v>
      </c>
    </row>
    <row r="6177" spans="1:25" x14ac:dyDescent="0.2">
      <c r="A6177" t="s">
        <v>678</v>
      </c>
      <c r="B6177">
        <v>2020</v>
      </c>
      <c r="C6177" t="s">
        <v>826</v>
      </c>
      <c r="D6177" t="s">
        <v>824</v>
      </c>
      <c r="E6177" t="s">
        <v>114</v>
      </c>
      <c r="F6177" t="s">
        <v>679</v>
      </c>
      <c r="G6177">
        <v>37.016666999999998</v>
      </c>
      <c r="H6177">
        <v>122.4</v>
      </c>
      <c r="I6177" t="s">
        <v>545</v>
      </c>
      <c r="J6177" s="2" t="s">
        <v>7</v>
      </c>
      <c r="K6177" t="s">
        <v>143</v>
      </c>
      <c r="L6177" t="s">
        <v>143</v>
      </c>
      <c r="M6177" t="s">
        <v>638</v>
      </c>
      <c r="N6177" t="s">
        <v>85</v>
      </c>
      <c r="O6177" t="s">
        <v>681</v>
      </c>
      <c r="P6177" t="s">
        <v>126</v>
      </c>
      <c r="Q6177">
        <v>90</v>
      </c>
      <c r="R6177" s="2" t="s">
        <v>213</v>
      </c>
      <c r="S6177" t="s">
        <v>7</v>
      </c>
      <c r="T6177">
        <v>10</v>
      </c>
      <c r="U6177">
        <v>8.1</v>
      </c>
      <c r="V6177">
        <v>400</v>
      </c>
      <c r="W6177" t="s">
        <v>28</v>
      </c>
      <c r="X6177">
        <v>18.16</v>
      </c>
      <c r="Y6177">
        <v>2.1240331129999999</v>
      </c>
    </row>
    <row r="6178" spans="1:25" x14ac:dyDescent="0.2">
      <c r="A6178" t="s">
        <v>678</v>
      </c>
      <c r="B6178">
        <v>2020</v>
      </c>
      <c r="C6178" t="s">
        <v>826</v>
      </c>
      <c r="D6178" t="s">
        <v>824</v>
      </c>
      <c r="E6178" t="s">
        <v>114</v>
      </c>
      <c r="F6178" t="s">
        <v>679</v>
      </c>
      <c r="G6178">
        <v>37.016666999999998</v>
      </c>
      <c r="H6178">
        <v>122.4</v>
      </c>
      <c r="I6178" t="s">
        <v>545</v>
      </c>
      <c r="J6178" s="2" t="s">
        <v>5</v>
      </c>
      <c r="K6178" t="s">
        <v>143</v>
      </c>
      <c r="L6178" t="s">
        <v>143</v>
      </c>
      <c r="M6178" t="s">
        <v>638</v>
      </c>
      <c r="N6178" t="s">
        <v>85</v>
      </c>
      <c r="O6178" t="s">
        <v>681</v>
      </c>
      <c r="P6178" t="s">
        <v>126</v>
      </c>
      <c r="Q6178">
        <v>90</v>
      </c>
      <c r="R6178" s="2" t="s">
        <v>213</v>
      </c>
      <c r="S6178" t="s">
        <v>9</v>
      </c>
      <c r="T6178">
        <v>10</v>
      </c>
      <c r="U6178">
        <v>7.8</v>
      </c>
      <c r="V6178">
        <v>1000</v>
      </c>
      <c r="W6178" t="s">
        <v>28</v>
      </c>
      <c r="X6178">
        <v>17.5</v>
      </c>
      <c r="Y6178">
        <v>1.811772919</v>
      </c>
    </row>
    <row r="6179" spans="1:25" x14ac:dyDescent="0.2">
      <c r="A6179" t="s">
        <v>678</v>
      </c>
      <c r="B6179">
        <v>2020</v>
      </c>
      <c r="C6179" t="s">
        <v>826</v>
      </c>
      <c r="D6179" t="s">
        <v>824</v>
      </c>
      <c r="E6179" t="s">
        <v>114</v>
      </c>
      <c r="F6179" t="s">
        <v>679</v>
      </c>
      <c r="G6179">
        <v>37.016666999999998</v>
      </c>
      <c r="H6179">
        <v>122.4</v>
      </c>
      <c r="I6179" t="s">
        <v>545</v>
      </c>
      <c r="J6179" s="2" t="s">
        <v>7</v>
      </c>
      <c r="K6179" t="s">
        <v>143</v>
      </c>
      <c r="L6179" t="s">
        <v>143</v>
      </c>
      <c r="M6179" t="s">
        <v>638</v>
      </c>
      <c r="N6179" t="s">
        <v>85</v>
      </c>
      <c r="O6179" t="s">
        <v>682</v>
      </c>
      <c r="P6179" t="s">
        <v>126</v>
      </c>
      <c r="Q6179">
        <v>60</v>
      </c>
      <c r="R6179" s="2" t="s">
        <v>214</v>
      </c>
      <c r="S6179" t="s">
        <v>7</v>
      </c>
      <c r="T6179">
        <v>3</v>
      </c>
      <c r="U6179">
        <v>8.1</v>
      </c>
      <c r="V6179">
        <v>400</v>
      </c>
      <c r="W6179" t="s">
        <v>28</v>
      </c>
      <c r="X6179">
        <v>2.44</v>
      </c>
      <c r="Y6179">
        <v>0.185022521</v>
      </c>
    </row>
    <row r="6180" spans="1:25" x14ac:dyDescent="0.2">
      <c r="A6180" t="s">
        <v>678</v>
      </c>
      <c r="B6180">
        <v>2020</v>
      </c>
      <c r="C6180" t="s">
        <v>826</v>
      </c>
      <c r="D6180" t="s">
        <v>824</v>
      </c>
      <c r="E6180" t="s">
        <v>114</v>
      </c>
      <c r="F6180" t="s">
        <v>679</v>
      </c>
      <c r="G6180">
        <v>37.016666999999998</v>
      </c>
      <c r="H6180">
        <v>122.4</v>
      </c>
      <c r="I6180" t="s">
        <v>545</v>
      </c>
      <c r="J6180" s="2" t="s">
        <v>5</v>
      </c>
      <c r="K6180" t="s">
        <v>143</v>
      </c>
      <c r="L6180" t="s">
        <v>143</v>
      </c>
      <c r="M6180" t="s">
        <v>638</v>
      </c>
      <c r="N6180" t="s">
        <v>85</v>
      </c>
      <c r="O6180" t="s">
        <v>682</v>
      </c>
      <c r="P6180" t="s">
        <v>126</v>
      </c>
      <c r="Q6180">
        <v>60</v>
      </c>
      <c r="R6180" s="2" t="s">
        <v>214</v>
      </c>
      <c r="S6180" t="s">
        <v>9</v>
      </c>
      <c r="T6180">
        <v>3</v>
      </c>
      <c r="U6180">
        <v>7.8</v>
      </c>
      <c r="V6180">
        <v>1000</v>
      </c>
      <c r="W6180" t="s">
        <v>28</v>
      </c>
      <c r="X6180">
        <v>2.79</v>
      </c>
      <c r="Y6180">
        <v>0.22546248799999999</v>
      </c>
    </row>
    <row r="6181" spans="1:25" x14ac:dyDescent="0.2">
      <c r="A6181" t="s">
        <v>678</v>
      </c>
      <c r="B6181">
        <v>2020</v>
      </c>
      <c r="C6181" t="s">
        <v>826</v>
      </c>
      <c r="D6181" t="s">
        <v>824</v>
      </c>
      <c r="E6181" t="s">
        <v>114</v>
      </c>
      <c r="F6181" t="s">
        <v>679</v>
      </c>
      <c r="G6181">
        <v>37.016666999999998</v>
      </c>
      <c r="H6181">
        <v>122.4</v>
      </c>
      <c r="I6181" t="s">
        <v>545</v>
      </c>
      <c r="J6181" s="2" t="s">
        <v>7</v>
      </c>
      <c r="K6181" t="s">
        <v>143</v>
      </c>
      <c r="L6181" t="s">
        <v>143</v>
      </c>
      <c r="M6181" t="s">
        <v>638</v>
      </c>
      <c r="N6181" t="s">
        <v>85</v>
      </c>
      <c r="O6181" t="s">
        <v>682</v>
      </c>
      <c r="P6181" t="s">
        <v>126</v>
      </c>
      <c r="Q6181">
        <v>90</v>
      </c>
      <c r="R6181" s="2" t="s">
        <v>213</v>
      </c>
      <c r="S6181" t="s">
        <v>7</v>
      </c>
      <c r="T6181">
        <v>10</v>
      </c>
      <c r="U6181">
        <v>8.1</v>
      </c>
      <c r="V6181">
        <v>400</v>
      </c>
      <c r="W6181" t="s">
        <v>28</v>
      </c>
      <c r="X6181">
        <v>2.33</v>
      </c>
      <c r="Y6181">
        <v>0.164991582</v>
      </c>
    </row>
    <row r="6182" spans="1:25" x14ac:dyDescent="0.2">
      <c r="A6182" t="s">
        <v>678</v>
      </c>
      <c r="B6182">
        <v>2020</v>
      </c>
      <c r="C6182" t="s">
        <v>826</v>
      </c>
      <c r="D6182" t="s">
        <v>824</v>
      </c>
      <c r="E6182" t="s">
        <v>114</v>
      </c>
      <c r="F6182" t="s">
        <v>679</v>
      </c>
      <c r="G6182">
        <v>37.016666999999998</v>
      </c>
      <c r="H6182">
        <v>122.4</v>
      </c>
      <c r="I6182" t="s">
        <v>545</v>
      </c>
      <c r="J6182" s="2" t="s">
        <v>5</v>
      </c>
      <c r="K6182" t="s">
        <v>143</v>
      </c>
      <c r="L6182" t="s">
        <v>143</v>
      </c>
      <c r="M6182" t="s">
        <v>638</v>
      </c>
      <c r="N6182" t="s">
        <v>85</v>
      </c>
      <c r="O6182" t="s">
        <v>682</v>
      </c>
      <c r="P6182" t="s">
        <v>126</v>
      </c>
      <c r="Q6182">
        <v>90</v>
      </c>
      <c r="R6182" s="2" t="s">
        <v>213</v>
      </c>
      <c r="S6182" t="s">
        <v>9</v>
      </c>
      <c r="T6182">
        <v>10</v>
      </c>
      <c r="U6182">
        <v>7.8</v>
      </c>
      <c r="V6182">
        <v>1000</v>
      </c>
      <c r="W6182" t="s">
        <v>28</v>
      </c>
      <c r="X6182">
        <v>2.2799999999999998</v>
      </c>
      <c r="Y6182">
        <v>0.16241579</v>
      </c>
    </row>
    <row r="6183" spans="1:25" x14ac:dyDescent="0.2">
      <c r="A6183" t="s">
        <v>678</v>
      </c>
      <c r="B6183">
        <v>2020</v>
      </c>
      <c r="C6183" t="s">
        <v>826</v>
      </c>
      <c r="D6183" t="s">
        <v>824</v>
      </c>
      <c r="E6183" t="s">
        <v>114</v>
      </c>
      <c r="F6183" t="s">
        <v>679</v>
      </c>
      <c r="G6183">
        <v>37.016666999999998</v>
      </c>
      <c r="H6183">
        <v>122.4</v>
      </c>
      <c r="I6183" t="s">
        <v>545</v>
      </c>
      <c r="J6183" s="2" t="s">
        <v>7</v>
      </c>
      <c r="K6183" t="s">
        <v>143</v>
      </c>
      <c r="L6183" t="s">
        <v>143</v>
      </c>
      <c r="M6183" t="s">
        <v>638</v>
      </c>
      <c r="N6183" t="s">
        <v>85</v>
      </c>
      <c r="O6183" t="s">
        <v>249</v>
      </c>
      <c r="P6183" t="s">
        <v>126</v>
      </c>
      <c r="Q6183">
        <v>60</v>
      </c>
      <c r="R6183" s="2" t="s">
        <v>214</v>
      </c>
      <c r="S6183" t="s">
        <v>7</v>
      </c>
      <c r="T6183">
        <v>3</v>
      </c>
      <c r="U6183">
        <v>8.1</v>
      </c>
      <c r="V6183">
        <v>400</v>
      </c>
      <c r="W6183" t="s">
        <v>28</v>
      </c>
      <c r="X6183">
        <v>2.4500000000000002</v>
      </c>
      <c r="Y6183">
        <v>0.69026086600000003</v>
      </c>
    </row>
    <row r="6184" spans="1:25" x14ac:dyDescent="0.2">
      <c r="A6184" t="s">
        <v>678</v>
      </c>
      <c r="B6184">
        <v>2020</v>
      </c>
      <c r="C6184" t="s">
        <v>826</v>
      </c>
      <c r="D6184" t="s">
        <v>824</v>
      </c>
      <c r="E6184" t="s">
        <v>114</v>
      </c>
      <c r="F6184" t="s">
        <v>679</v>
      </c>
      <c r="G6184">
        <v>37.016666999999998</v>
      </c>
      <c r="H6184">
        <v>122.4</v>
      </c>
      <c r="I6184" t="s">
        <v>545</v>
      </c>
      <c r="J6184" s="2" t="s">
        <v>5</v>
      </c>
      <c r="K6184" t="s">
        <v>143</v>
      </c>
      <c r="L6184" t="s">
        <v>143</v>
      </c>
      <c r="M6184" t="s">
        <v>638</v>
      </c>
      <c r="N6184" t="s">
        <v>85</v>
      </c>
      <c r="O6184" t="s">
        <v>249</v>
      </c>
      <c r="P6184" t="s">
        <v>126</v>
      </c>
      <c r="Q6184">
        <v>60</v>
      </c>
      <c r="R6184" s="2" t="s">
        <v>214</v>
      </c>
      <c r="S6184" t="s">
        <v>9</v>
      </c>
      <c r="T6184">
        <v>3</v>
      </c>
      <c r="U6184">
        <v>7.8</v>
      </c>
      <c r="V6184">
        <v>1000</v>
      </c>
      <c r="W6184" t="s">
        <v>28</v>
      </c>
      <c r="X6184">
        <v>3.27</v>
      </c>
      <c r="Y6184">
        <v>0.25493184299999999</v>
      </c>
    </row>
    <row r="6185" spans="1:25" x14ac:dyDescent="0.2">
      <c r="A6185" t="s">
        <v>678</v>
      </c>
      <c r="B6185">
        <v>2020</v>
      </c>
      <c r="C6185" t="s">
        <v>826</v>
      </c>
      <c r="D6185" t="s">
        <v>824</v>
      </c>
      <c r="E6185" t="s">
        <v>114</v>
      </c>
      <c r="F6185" t="s">
        <v>679</v>
      </c>
      <c r="G6185">
        <v>37.016666999999998</v>
      </c>
      <c r="H6185">
        <v>122.4</v>
      </c>
      <c r="I6185" t="s">
        <v>545</v>
      </c>
      <c r="J6185" s="2" t="s">
        <v>7</v>
      </c>
      <c r="K6185" t="s">
        <v>143</v>
      </c>
      <c r="L6185" t="s">
        <v>143</v>
      </c>
      <c r="M6185" t="s">
        <v>638</v>
      </c>
      <c r="N6185" t="s">
        <v>85</v>
      </c>
      <c r="O6185" t="s">
        <v>249</v>
      </c>
      <c r="P6185" t="s">
        <v>126</v>
      </c>
      <c r="Q6185">
        <v>90</v>
      </c>
      <c r="R6185" s="2" t="s">
        <v>213</v>
      </c>
      <c r="S6185" t="s">
        <v>7</v>
      </c>
      <c r="T6185">
        <v>10</v>
      </c>
      <c r="U6185">
        <v>8.1</v>
      </c>
      <c r="V6185">
        <v>400</v>
      </c>
      <c r="W6185" t="s">
        <v>28</v>
      </c>
      <c r="X6185">
        <v>3.6</v>
      </c>
      <c r="Y6185">
        <v>0.68082589000000004</v>
      </c>
    </row>
    <row r="6186" spans="1:25" x14ac:dyDescent="0.2">
      <c r="A6186" t="s">
        <v>678</v>
      </c>
      <c r="B6186">
        <v>2020</v>
      </c>
      <c r="C6186" t="s">
        <v>826</v>
      </c>
      <c r="D6186" t="s">
        <v>824</v>
      </c>
      <c r="E6186" t="s">
        <v>114</v>
      </c>
      <c r="F6186" t="s">
        <v>679</v>
      </c>
      <c r="G6186">
        <v>37.016666999999998</v>
      </c>
      <c r="H6186">
        <v>122.4</v>
      </c>
      <c r="I6186" t="s">
        <v>545</v>
      </c>
      <c r="J6186" s="2" t="s">
        <v>5</v>
      </c>
      <c r="K6186" t="s">
        <v>143</v>
      </c>
      <c r="L6186" t="s">
        <v>143</v>
      </c>
      <c r="M6186" t="s">
        <v>638</v>
      </c>
      <c r="N6186" t="s">
        <v>85</v>
      </c>
      <c r="O6186" t="s">
        <v>249</v>
      </c>
      <c r="P6186" t="s">
        <v>126</v>
      </c>
      <c r="Q6186">
        <v>90</v>
      </c>
      <c r="R6186" s="2" t="s">
        <v>213</v>
      </c>
      <c r="S6186" t="s">
        <v>9</v>
      </c>
      <c r="T6186">
        <v>10</v>
      </c>
      <c r="U6186">
        <v>7.8</v>
      </c>
      <c r="V6186">
        <v>1000</v>
      </c>
      <c r="W6186" t="s">
        <v>28</v>
      </c>
      <c r="X6186">
        <v>4.8</v>
      </c>
      <c r="Y6186">
        <v>1.2899549189999999</v>
      </c>
    </row>
    <row r="6187" spans="1:25" x14ac:dyDescent="0.2">
      <c r="A6187" t="s">
        <v>678</v>
      </c>
      <c r="B6187">
        <v>2020</v>
      </c>
      <c r="C6187" t="s">
        <v>826</v>
      </c>
      <c r="D6187" t="s">
        <v>824</v>
      </c>
      <c r="E6187" t="s">
        <v>114</v>
      </c>
      <c r="F6187" t="s">
        <v>679</v>
      </c>
      <c r="G6187">
        <v>37.016666999999998</v>
      </c>
      <c r="H6187">
        <v>122.4</v>
      </c>
      <c r="I6187" t="s">
        <v>545</v>
      </c>
      <c r="J6187" s="2" t="s">
        <v>7</v>
      </c>
      <c r="K6187" t="s">
        <v>143</v>
      </c>
      <c r="L6187" t="s">
        <v>143</v>
      </c>
      <c r="M6187" t="s">
        <v>638</v>
      </c>
      <c r="N6187" t="s">
        <v>85</v>
      </c>
      <c r="O6187" t="s">
        <v>276</v>
      </c>
      <c r="P6187" t="s">
        <v>126</v>
      </c>
      <c r="Q6187">
        <v>60</v>
      </c>
      <c r="R6187" s="2" t="s">
        <v>214</v>
      </c>
      <c r="S6187" t="s">
        <v>7</v>
      </c>
      <c r="T6187">
        <v>3</v>
      </c>
      <c r="U6187">
        <v>8.1</v>
      </c>
      <c r="V6187">
        <v>400</v>
      </c>
      <c r="W6187" t="s">
        <v>28</v>
      </c>
      <c r="X6187">
        <v>1.3</v>
      </c>
      <c r="Y6187">
        <v>6.3102820000000004E-2</v>
      </c>
    </row>
    <row r="6188" spans="1:25" x14ac:dyDescent="0.2">
      <c r="A6188" t="s">
        <v>678</v>
      </c>
      <c r="B6188">
        <v>2020</v>
      </c>
      <c r="C6188" t="s">
        <v>826</v>
      </c>
      <c r="D6188" t="s">
        <v>824</v>
      </c>
      <c r="E6188" t="s">
        <v>114</v>
      </c>
      <c r="F6188" t="s">
        <v>679</v>
      </c>
      <c r="G6188">
        <v>37.016666999999998</v>
      </c>
      <c r="H6188">
        <v>122.4</v>
      </c>
      <c r="I6188" t="s">
        <v>545</v>
      </c>
      <c r="J6188" s="2" t="s">
        <v>5</v>
      </c>
      <c r="K6188" t="s">
        <v>143</v>
      </c>
      <c r="L6188" t="s">
        <v>143</v>
      </c>
      <c r="M6188" t="s">
        <v>638</v>
      </c>
      <c r="N6188" t="s">
        <v>85</v>
      </c>
      <c r="O6188" t="s">
        <v>276</v>
      </c>
      <c r="P6188" t="s">
        <v>126</v>
      </c>
      <c r="Q6188">
        <v>60</v>
      </c>
      <c r="R6188" s="2" t="s">
        <v>214</v>
      </c>
      <c r="S6188" t="s">
        <v>9</v>
      </c>
      <c r="T6188">
        <v>3</v>
      </c>
      <c r="U6188">
        <v>7.8</v>
      </c>
      <c r="V6188">
        <v>1000</v>
      </c>
      <c r="W6188" t="s">
        <v>28</v>
      </c>
      <c r="X6188">
        <v>1.38</v>
      </c>
      <c r="Y6188">
        <v>4.5634253999999999E-2</v>
      </c>
    </row>
    <row r="6189" spans="1:25" x14ac:dyDescent="0.2">
      <c r="A6189" t="s">
        <v>678</v>
      </c>
      <c r="B6189">
        <v>2020</v>
      </c>
      <c r="C6189" t="s">
        <v>826</v>
      </c>
      <c r="D6189" t="s">
        <v>824</v>
      </c>
      <c r="E6189" t="s">
        <v>114</v>
      </c>
      <c r="F6189" t="s">
        <v>679</v>
      </c>
      <c r="G6189">
        <v>37.016666999999998</v>
      </c>
      <c r="H6189">
        <v>122.4</v>
      </c>
      <c r="I6189" t="s">
        <v>545</v>
      </c>
      <c r="J6189" s="2" t="s">
        <v>7</v>
      </c>
      <c r="K6189" t="s">
        <v>143</v>
      </c>
      <c r="L6189" t="s">
        <v>143</v>
      </c>
      <c r="M6189" t="s">
        <v>638</v>
      </c>
      <c r="N6189" t="s">
        <v>85</v>
      </c>
      <c r="O6189" t="s">
        <v>276</v>
      </c>
      <c r="P6189" t="s">
        <v>126</v>
      </c>
      <c r="Q6189">
        <v>90</v>
      </c>
      <c r="R6189" s="2" t="s">
        <v>213</v>
      </c>
      <c r="S6189" t="s">
        <v>7</v>
      </c>
      <c r="T6189">
        <v>10</v>
      </c>
      <c r="U6189">
        <v>8.1</v>
      </c>
      <c r="V6189">
        <v>400</v>
      </c>
      <c r="W6189" t="s">
        <v>28</v>
      </c>
      <c r="X6189">
        <v>1.17</v>
      </c>
      <c r="Y6189">
        <v>9.8497510999999996E-2</v>
      </c>
    </row>
    <row r="6190" spans="1:25" x14ac:dyDescent="0.2">
      <c r="A6190" t="s">
        <v>678</v>
      </c>
      <c r="B6190">
        <v>2020</v>
      </c>
      <c r="C6190" t="s">
        <v>826</v>
      </c>
      <c r="D6190" t="s">
        <v>824</v>
      </c>
      <c r="E6190" t="s">
        <v>114</v>
      </c>
      <c r="F6190" t="s">
        <v>679</v>
      </c>
      <c r="G6190">
        <v>37.016666999999998</v>
      </c>
      <c r="H6190">
        <v>122.4</v>
      </c>
      <c r="I6190" t="s">
        <v>545</v>
      </c>
      <c r="J6190" s="2" t="s">
        <v>5</v>
      </c>
      <c r="K6190" t="s">
        <v>143</v>
      </c>
      <c r="L6190" t="s">
        <v>143</v>
      </c>
      <c r="M6190" t="s">
        <v>638</v>
      </c>
      <c r="N6190" t="s">
        <v>85</v>
      </c>
      <c r="O6190" t="s">
        <v>276</v>
      </c>
      <c r="P6190" t="s">
        <v>126</v>
      </c>
      <c r="Q6190">
        <v>90</v>
      </c>
      <c r="R6190" s="2" t="s">
        <v>213</v>
      </c>
      <c r="S6190" t="s">
        <v>9</v>
      </c>
      <c r="T6190">
        <v>10</v>
      </c>
      <c r="U6190">
        <v>7.8</v>
      </c>
      <c r="V6190">
        <v>1000</v>
      </c>
      <c r="W6190" t="s">
        <v>28</v>
      </c>
      <c r="X6190">
        <v>1.17</v>
      </c>
      <c r="Y6190">
        <v>0.112461489</v>
      </c>
    </row>
    <row r="6191" spans="1:25" x14ac:dyDescent="0.2">
      <c r="A6191" t="s">
        <v>678</v>
      </c>
      <c r="B6191">
        <v>2020</v>
      </c>
      <c r="C6191" t="s">
        <v>826</v>
      </c>
      <c r="D6191" t="s">
        <v>824</v>
      </c>
      <c r="E6191" t="s">
        <v>114</v>
      </c>
      <c r="F6191" t="s">
        <v>679</v>
      </c>
      <c r="G6191">
        <v>37.016666999999998</v>
      </c>
      <c r="H6191">
        <v>122.4</v>
      </c>
      <c r="I6191" t="s">
        <v>545</v>
      </c>
      <c r="J6191" s="2" t="s">
        <v>7</v>
      </c>
      <c r="K6191" t="s">
        <v>143</v>
      </c>
      <c r="L6191" t="s">
        <v>143</v>
      </c>
      <c r="M6191" t="s">
        <v>638</v>
      </c>
      <c r="N6191" t="s">
        <v>85</v>
      </c>
      <c r="O6191" t="s">
        <v>683</v>
      </c>
      <c r="P6191" t="s">
        <v>126</v>
      </c>
      <c r="Q6191">
        <v>60</v>
      </c>
      <c r="R6191" s="2" t="s">
        <v>214</v>
      </c>
      <c r="S6191" t="s">
        <v>7</v>
      </c>
      <c r="T6191">
        <v>3</v>
      </c>
      <c r="U6191">
        <v>8.1</v>
      </c>
      <c r="V6191">
        <v>400</v>
      </c>
      <c r="W6191" t="s">
        <v>28</v>
      </c>
      <c r="X6191">
        <v>10.11</v>
      </c>
      <c r="Y6191">
        <v>0.100203285</v>
      </c>
    </row>
    <row r="6192" spans="1:25" x14ac:dyDescent="0.2">
      <c r="A6192" t="s">
        <v>678</v>
      </c>
      <c r="B6192">
        <v>2020</v>
      </c>
      <c r="C6192" t="s">
        <v>826</v>
      </c>
      <c r="D6192" t="s">
        <v>824</v>
      </c>
      <c r="E6192" t="s">
        <v>114</v>
      </c>
      <c r="F6192" t="s">
        <v>679</v>
      </c>
      <c r="G6192">
        <v>37.016666999999998</v>
      </c>
      <c r="H6192">
        <v>122.4</v>
      </c>
      <c r="I6192" t="s">
        <v>545</v>
      </c>
      <c r="J6192" s="2" t="s">
        <v>5</v>
      </c>
      <c r="K6192" t="s">
        <v>143</v>
      </c>
      <c r="L6192" t="s">
        <v>143</v>
      </c>
      <c r="M6192" t="s">
        <v>638</v>
      </c>
      <c r="N6192" t="s">
        <v>85</v>
      </c>
      <c r="O6192" t="s">
        <v>683</v>
      </c>
      <c r="P6192" t="s">
        <v>126</v>
      </c>
      <c r="Q6192">
        <v>60</v>
      </c>
      <c r="R6192" s="2" t="s">
        <v>214</v>
      </c>
      <c r="S6192" t="s">
        <v>9</v>
      </c>
      <c r="T6192">
        <v>3</v>
      </c>
      <c r="U6192">
        <v>7.8</v>
      </c>
      <c r="V6192">
        <v>1000</v>
      </c>
      <c r="W6192" t="s">
        <v>28</v>
      </c>
      <c r="X6192">
        <v>6.43</v>
      </c>
      <c r="Y6192">
        <v>0.25099106500000001</v>
      </c>
    </row>
    <row r="6193" spans="1:25" x14ac:dyDescent="0.2">
      <c r="A6193" t="s">
        <v>678</v>
      </c>
      <c r="B6193">
        <v>2020</v>
      </c>
      <c r="C6193" t="s">
        <v>826</v>
      </c>
      <c r="D6193" t="s">
        <v>824</v>
      </c>
      <c r="E6193" t="s">
        <v>114</v>
      </c>
      <c r="F6193" t="s">
        <v>679</v>
      </c>
      <c r="G6193">
        <v>37.016666999999998</v>
      </c>
      <c r="H6193">
        <v>122.4</v>
      </c>
      <c r="I6193" t="s">
        <v>545</v>
      </c>
      <c r="J6193" s="2" t="s">
        <v>7</v>
      </c>
      <c r="K6193" t="s">
        <v>143</v>
      </c>
      <c r="L6193" t="s">
        <v>143</v>
      </c>
      <c r="M6193" t="s">
        <v>638</v>
      </c>
      <c r="N6193" t="s">
        <v>85</v>
      </c>
      <c r="O6193" t="s">
        <v>683</v>
      </c>
      <c r="P6193" t="s">
        <v>126</v>
      </c>
      <c r="Q6193">
        <v>90</v>
      </c>
      <c r="R6193" s="2" t="s">
        <v>213</v>
      </c>
      <c r="S6193" t="s">
        <v>7</v>
      </c>
      <c r="T6193">
        <v>10</v>
      </c>
      <c r="U6193">
        <v>8.1</v>
      </c>
      <c r="V6193">
        <v>400</v>
      </c>
      <c r="W6193" t="s">
        <v>28</v>
      </c>
      <c r="X6193">
        <v>7.55</v>
      </c>
      <c r="Y6193">
        <v>1.1554277399999999</v>
      </c>
    </row>
    <row r="6194" spans="1:25" x14ac:dyDescent="0.2">
      <c r="A6194" t="s">
        <v>678</v>
      </c>
      <c r="B6194">
        <v>2020</v>
      </c>
      <c r="C6194" t="s">
        <v>826</v>
      </c>
      <c r="D6194" t="s">
        <v>824</v>
      </c>
      <c r="E6194" t="s">
        <v>114</v>
      </c>
      <c r="F6194" t="s">
        <v>679</v>
      </c>
      <c r="G6194">
        <v>37.016666999999998</v>
      </c>
      <c r="H6194">
        <v>122.4</v>
      </c>
      <c r="I6194" t="s">
        <v>545</v>
      </c>
      <c r="J6194" s="2" t="s">
        <v>5</v>
      </c>
      <c r="K6194" t="s">
        <v>143</v>
      </c>
      <c r="L6194" t="s">
        <v>143</v>
      </c>
      <c r="M6194" t="s">
        <v>638</v>
      </c>
      <c r="N6194" t="s">
        <v>85</v>
      </c>
      <c r="O6194" t="s">
        <v>683</v>
      </c>
      <c r="P6194" t="s">
        <v>126</v>
      </c>
      <c r="Q6194">
        <v>90</v>
      </c>
      <c r="R6194" s="2" t="s">
        <v>213</v>
      </c>
      <c r="S6194" t="s">
        <v>9</v>
      </c>
      <c r="T6194">
        <v>10</v>
      </c>
      <c r="U6194">
        <v>7.8</v>
      </c>
      <c r="V6194">
        <v>1000</v>
      </c>
      <c r="W6194" t="s">
        <v>28</v>
      </c>
      <c r="X6194">
        <v>6.99</v>
      </c>
      <c r="Y6194">
        <v>0.72721798400000004</v>
      </c>
    </row>
    <row r="6195" spans="1:25" x14ac:dyDescent="0.2">
      <c r="A6195" t="s">
        <v>678</v>
      </c>
      <c r="B6195">
        <v>2020</v>
      </c>
      <c r="C6195" t="s">
        <v>826</v>
      </c>
      <c r="D6195" t="s">
        <v>824</v>
      </c>
      <c r="E6195" t="s">
        <v>114</v>
      </c>
      <c r="F6195" t="s">
        <v>679</v>
      </c>
      <c r="G6195">
        <v>37.016666999999998</v>
      </c>
      <c r="H6195">
        <v>122.4</v>
      </c>
      <c r="I6195" t="s">
        <v>545</v>
      </c>
      <c r="J6195" s="2" t="s">
        <v>7</v>
      </c>
      <c r="K6195" t="s">
        <v>143</v>
      </c>
      <c r="L6195" t="s">
        <v>143</v>
      </c>
      <c r="M6195" t="s">
        <v>638</v>
      </c>
      <c r="N6195" t="s">
        <v>85</v>
      </c>
      <c r="O6195" t="s">
        <v>684</v>
      </c>
      <c r="P6195" t="s">
        <v>685</v>
      </c>
      <c r="Q6195">
        <v>60</v>
      </c>
      <c r="R6195" s="2" t="s">
        <v>214</v>
      </c>
      <c r="S6195" t="s">
        <v>7</v>
      </c>
      <c r="T6195">
        <v>3</v>
      </c>
      <c r="U6195">
        <v>8.1</v>
      </c>
      <c r="V6195">
        <v>400</v>
      </c>
      <c r="W6195" t="s">
        <v>28</v>
      </c>
      <c r="X6195">
        <v>18.693333333333332</v>
      </c>
      <c r="Y6195">
        <v>1.7170420301592313</v>
      </c>
    </row>
    <row r="6196" spans="1:25" x14ac:dyDescent="0.2">
      <c r="A6196" t="s">
        <v>678</v>
      </c>
      <c r="B6196">
        <v>2020</v>
      </c>
      <c r="C6196" t="s">
        <v>826</v>
      </c>
      <c r="D6196" t="s">
        <v>824</v>
      </c>
      <c r="E6196" t="s">
        <v>114</v>
      </c>
      <c r="F6196" t="s">
        <v>679</v>
      </c>
      <c r="G6196">
        <v>37.016666999999998</v>
      </c>
      <c r="H6196">
        <v>122.4</v>
      </c>
      <c r="I6196" t="s">
        <v>545</v>
      </c>
      <c r="J6196" s="2" t="s">
        <v>5</v>
      </c>
      <c r="K6196" t="s">
        <v>143</v>
      </c>
      <c r="L6196" t="s">
        <v>143</v>
      </c>
      <c r="M6196" t="s">
        <v>638</v>
      </c>
      <c r="N6196" t="s">
        <v>85</v>
      </c>
      <c r="O6196" t="s">
        <v>684</v>
      </c>
      <c r="P6196" t="s">
        <v>685</v>
      </c>
      <c r="Q6196">
        <v>60</v>
      </c>
      <c r="R6196" s="2" t="s">
        <v>214</v>
      </c>
      <c r="S6196" t="s">
        <v>9</v>
      </c>
      <c r="T6196">
        <v>3</v>
      </c>
      <c r="U6196">
        <v>7.8</v>
      </c>
      <c r="V6196">
        <v>1000</v>
      </c>
      <c r="W6196" t="s">
        <v>28</v>
      </c>
      <c r="X6196">
        <v>17.32</v>
      </c>
      <c r="Y6196">
        <v>3.5450105782634811</v>
      </c>
    </row>
    <row r="6197" spans="1:25" x14ac:dyDescent="0.2">
      <c r="A6197" t="s">
        <v>678</v>
      </c>
      <c r="B6197">
        <v>2020</v>
      </c>
      <c r="C6197" t="s">
        <v>826</v>
      </c>
      <c r="D6197" t="s">
        <v>824</v>
      </c>
      <c r="E6197" t="s">
        <v>114</v>
      </c>
      <c r="F6197" t="s">
        <v>679</v>
      </c>
      <c r="G6197">
        <v>37.016666999999998</v>
      </c>
      <c r="H6197">
        <v>122.4</v>
      </c>
      <c r="I6197" t="s">
        <v>545</v>
      </c>
      <c r="J6197" s="2" t="s">
        <v>7</v>
      </c>
      <c r="K6197" t="s">
        <v>143</v>
      </c>
      <c r="L6197" t="s">
        <v>143</v>
      </c>
      <c r="M6197" t="s">
        <v>638</v>
      </c>
      <c r="N6197" t="s">
        <v>85</v>
      </c>
      <c r="O6197" t="s">
        <v>684</v>
      </c>
      <c r="P6197" t="s">
        <v>685</v>
      </c>
      <c r="Q6197">
        <v>90</v>
      </c>
      <c r="R6197" s="2" t="s">
        <v>213</v>
      </c>
      <c r="S6197" t="s">
        <v>7</v>
      </c>
      <c r="T6197">
        <v>10</v>
      </c>
      <c r="U6197">
        <v>8.1</v>
      </c>
      <c r="V6197">
        <v>400</v>
      </c>
      <c r="W6197" t="s">
        <v>28</v>
      </c>
      <c r="X6197">
        <v>8.995000000000001</v>
      </c>
      <c r="Y6197">
        <v>0.7121396331779728</v>
      </c>
    </row>
    <row r="6198" spans="1:25" x14ac:dyDescent="0.2">
      <c r="A6198" t="s">
        <v>678</v>
      </c>
      <c r="B6198">
        <v>2020</v>
      </c>
      <c r="C6198" t="s">
        <v>826</v>
      </c>
      <c r="D6198" t="s">
        <v>824</v>
      </c>
      <c r="E6198" t="s">
        <v>114</v>
      </c>
      <c r="F6198" t="s">
        <v>679</v>
      </c>
      <c r="G6198">
        <v>37.016666999999998</v>
      </c>
      <c r="H6198">
        <v>122.4</v>
      </c>
      <c r="I6198" t="s">
        <v>545</v>
      </c>
      <c r="J6198" s="2" t="s">
        <v>5</v>
      </c>
      <c r="K6198" t="s">
        <v>143</v>
      </c>
      <c r="L6198" t="s">
        <v>143</v>
      </c>
      <c r="M6198" t="s">
        <v>638</v>
      </c>
      <c r="N6198" t="s">
        <v>85</v>
      </c>
      <c r="O6198" t="s">
        <v>684</v>
      </c>
      <c r="P6198" t="s">
        <v>685</v>
      </c>
      <c r="Q6198">
        <v>90</v>
      </c>
      <c r="R6198" s="2" t="s">
        <v>213</v>
      </c>
      <c r="S6198" t="s">
        <v>9</v>
      </c>
      <c r="T6198">
        <v>10</v>
      </c>
      <c r="U6198">
        <v>7.8</v>
      </c>
      <c r="V6198">
        <v>1000</v>
      </c>
      <c r="W6198" t="s">
        <v>28</v>
      </c>
      <c r="X6198">
        <v>10.452500000000001</v>
      </c>
      <c r="Y6198">
        <v>1.571512010771787</v>
      </c>
    </row>
    <row r="6199" spans="1:25" x14ac:dyDescent="0.2">
      <c r="A6199" t="s">
        <v>678</v>
      </c>
      <c r="B6199">
        <v>2020</v>
      </c>
      <c r="C6199" t="s">
        <v>826</v>
      </c>
      <c r="D6199" t="s">
        <v>824</v>
      </c>
      <c r="E6199" t="s">
        <v>114</v>
      </c>
      <c r="F6199" t="s">
        <v>679</v>
      </c>
      <c r="G6199">
        <v>37.016666999999998</v>
      </c>
      <c r="H6199">
        <v>122.4</v>
      </c>
      <c r="I6199" t="s">
        <v>545</v>
      </c>
      <c r="J6199" s="2" t="s">
        <v>7</v>
      </c>
      <c r="K6199" t="s">
        <v>143</v>
      </c>
      <c r="L6199" t="s">
        <v>143</v>
      </c>
      <c r="M6199" t="s">
        <v>638</v>
      </c>
      <c r="N6199" t="s">
        <v>85</v>
      </c>
      <c r="O6199" t="s">
        <v>686</v>
      </c>
      <c r="P6199" t="s">
        <v>685</v>
      </c>
      <c r="Q6199">
        <v>60</v>
      </c>
      <c r="R6199" s="2" t="s">
        <v>214</v>
      </c>
      <c r="S6199" t="s">
        <v>7</v>
      </c>
      <c r="T6199">
        <v>3</v>
      </c>
      <c r="U6199">
        <v>8.1</v>
      </c>
      <c r="V6199">
        <v>400</v>
      </c>
      <c r="W6199" t="s">
        <v>28</v>
      </c>
      <c r="X6199">
        <v>13.13</v>
      </c>
      <c r="Y6199">
        <v>1.5875767697972907</v>
      </c>
    </row>
    <row r="6200" spans="1:25" x14ac:dyDescent="0.2">
      <c r="A6200" t="s">
        <v>678</v>
      </c>
      <c r="B6200">
        <v>2020</v>
      </c>
      <c r="C6200" t="s">
        <v>826</v>
      </c>
      <c r="D6200" t="s">
        <v>824</v>
      </c>
      <c r="E6200" t="s">
        <v>114</v>
      </c>
      <c r="F6200" t="s">
        <v>679</v>
      </c>
      <c r="G6200">
        <v>37.016666999999998</v>
      </c>
      <c r="H6200">
        <v>122.4</v>
      </c>
      <c r="I6200" t="s">
        <v>545</v>
      </c>
      <c r="J6200" s="2" t="s">
        <v>5</v>
      </c>
      <c r="K6200" t="s">
        <v>143</v>
      </c>
      <c r="L6200" t="s">
        <v>143</v>
      </c>
      <c r="M6200" t="s">
        <v>638</v>
      </c>
      <c r="N6200" t="s">
        <v>85</v>
      </c>
      <c r="O6200" t="s">
        <v>686</v>
      </c>
      <c r="P6200" t="s">
        <v>685</v>
      </c>
      <c r="Q6200">
        <v>60</v>
      </c>
      <c r="R6200" s="2" t="s">
        <v>214</v>
      </c>
      <c r="S6200" t="s">
        <v>9</v>
      </c>
      <c r="T6200">
        <v>3</v>
      </c>
      <c r="U6200">
        <v>7.8</v>
      </c>
      <c r="V6200">
        <v>1000</v>
      </c>
      <c r="W6200" t="s">
        <v>28</v>
      </c>
      <c r="X6200">
        <v>9.4766666666666666</v>
      </c>
      <c r="Y6200">
        <v>1.7251183534277681</v>
      </c>
    </row>
    <row r="6201" spans="1:25" x14ac:dyDescent="0.2">
      <c r="A6201" t="s">
        <v>678</v>
      </c>
      <c r="B6201">
        <v>2020</v>
      </c>
      <c r="C6201" t="s">
        <v>826</v>
      </c>
      <c r="D6201" t="s">
        <v>824</v>
      </c>
      <c r="E6201" t="s">
        <v>114</v>
      </c>
      <c r="F6201" t="s">
        <v>679</v>
      </c>
      <c r="G6201">
        <v>37.016666999999998</v>
      </c>
      <c r="H6201">
        <v>122.4</v>
      </c>
      <c r="I6201" t="s">
        <v>545</v>
      </c>
      <c r="J6201" s="2" t="s">
        <v>7</v>
      </c>
      <c r="K6201" t="s">
        <v>143</v>
      </c>
      <c r="L6201" t="s">
        <v>143</v>
      </c>
      <c r="M6201" t="s">
        <v>638</v>
      </c>
      <c r="N6201" t="s">
        <v>85</v>
      </c>
      <c r="O6201" t="s">
        <v>686</v>
      </c>
      <c r="P6201" t="s">
        <v>685</v>
      </c>
      <c r="Q6201">
        <v>90</v>
      </c>
      <c r="R6201" s="2" t="s">
        <v>213</v>
      </c>
      <c r="S6201" t="s">
        <v>7</v>
      </c>
      <c r="T6201">
        <v>10</v>
      </c>
      <c r="U6201">
        <v>8.1</v>
      </c>
      <c r="V6201">
        <v>400</v>
      </c>
      <c r="W6201" t="s">
        <v>28</v>
      </c>
      <c r="X6201">
        <v>3.5124999999999997</v>
      </c>
      <c r="Y6201">
        <v>1.1476777795680668</v>
      </c>
    </row>
    <row r="6202" spans="1:25" x14ac:dyDescent="0.2">
      <c r="A6202" t="s">
        <v>678</v>
      </c>
      <c r="B6202">
        <v>2020</v>
      </c>
      <c r="C6202" t="s">
        <v>826</v>
      </c>
      <c r="D6202" t="s">
        <v>824</v>
      </c>
      <c r="E6202" t="s">
        <v>114</v>
      </c>
      <c r="F6202" t="s">
        <v>679</v>
      </c>
      <c r="G6202">
        <v>37.016666999999998</v>
      </c>
      <c r="H6202">
        <v>122.4</v>
      </c>
      <c r="I6202" t="s">
        <v>545</v>
      </c>
      <c r="J6202" s="2" t="s">
        <v>5</v>
      </c>
      <c r="K6202" t="s">
        <v>143</v>
      </c>
      <c r="L6202" t="s">
        <v>143</v>
      </c>
      <c r="M6202" t="s">
        <v>638</v>
      </c>
      <c r="N6202" t="s">
        <v>85</v>
      </c>
      <c r="O6202" t="s">
        <v>686</v>
      </c>
      <c r="P6202" t="s">
        <v>685</v>
      </c>
      <c r="Q6202">
        <v>90</v>
      </c>
      <c r="R6202" s="2" t="s">
        <v>213</v>
      </c>
      <c r="S6202" t="s">
        <v>9</v>
      </c>
      <c r="T6202">
        <v>10</v>
      </c>
      <c r="U6202">
        <v>7.8</v>
      </c>
      <c r="V6202">
        <v>1000</v>
      </c>
      <c r="W6202" t="s">
        <v>28</v>
      </c>
      <c r="X6202">
        <v>6.0950000000000006</v>
      </c>
      <c r="Y6202">
        <v>1.3365734440832509</v>
      </c>
    </row>
    <row r="6203" spans="1:25" x14ac:dyDescent="0.2">
      <c r="A6203" t="s">
        <v>678</v>
      </c>
      <c r="B6203">
        <v>2020</v>
      </c>
      <c r="C6203" t="s">
        <v>826</v>
      </c>
      <c r="D6203" t="s">
        <v>824</v>
      </c>
      <c r="E6203" t="s">
        <v>114</v>
      </c>
      <c r="F6203" t="s">
        <v>679</v>
      </c>
      <c r="G6203">
        <v>37.016666999999998</v>
      </c>
      <c r="H6203">
        <v>122.4</v>
      </c>
      <c r="I6203" t="s">
        <v>545</v>
      </c>
      <c r="J6203" s="2" t="s">
        <v>7</v>
      </c>
      <c r="K6203" t="s">
        <v>143</v>
      </c>
      <c r="L6203" t="s">
        <v>143</v>
      </c>
      <c r="M6203" t="s">
        <v>638</v>
      </c>
      <c r="N6203" t="s">
        <v>85</v>
      </c>
      <c r="O6203" t="s">
        <v>687</v>
      </c>
      <c r="P6203" t="s">
        <v>685</v>
      </c>
      <c r="Q6203">
        <v>60</v>
      </c>
      <c r="R6203" s="2" t="s">
        <v>214</v>
      </c>
      <c r="S6203" t="s">
        <v>7</v>
      </c>
      <c r="T6203">
        <v>3</v>
      </c>
      <c r="U6203">
        <v>8.1</v>
      </c>
      <c r="V6203">
        <v>400</v>
      </c>
      <c r="W6203" t="s">
        <v>28</v>
      </c>
      <c r="X6203">
        <v>3.6466666666666669</v>
      </c>
      <c r="Y6203">
        <v>0.1422439219556792</v>
      </c>
    </row>
    <row r="6204" spans="1:25" x14ac:dyDescent="0.2">
      <c r="A6204" t="s">
        <v>678</v>
      </c>
      <c r="B6204">
        <v>2020</v>
      </c>
      <c r="C6204" t="s">
        <v>826</v>
      </c>
      <c r="D6204" t="s">
        <v>824</v>
      </c>
      <c r="E6204" t="s">
        <v>114</v>
      </c>
      <c r="F6204" t="s">
        <v>679</v>
      </c>
      <c r="G6204">
        <v>37.016666999999998</v>
      </c>
      <c r="H6204">
        <v>122.4</v>
      </c>
      <c r="I6204" t="s">
        <v>545</v>
      </c>
      <c r="J6204" s="2" t="s">
        <v>5</v>
      </c>
      <c r="K6204" t="s">
        <v>143</v>
      </c>
      <c r="L6204" t="s">
        <v>143</v>
      </c>
      <c r="M6204" t="s">
        <v>638</v>
      </c>
      <c r="N6204" t="s">
        <v>85</v>
      </c>
      <c r="O6204" t="s">
        <v>687</v>
      </c>
      <c r="P6204" t="s">
        <v>685</v>
      </c>
      <c r="Q6204">
        <v>60</v>
      </c>
      <c r="R6204" s="2" t="s">
        <v>214</v>
      </c>
      <c r="S6204" t="s">
        <v>9</v>
      </c>
      <c r="T6204">
        <v>3</v>
      </c>
      <c r="U6204">
        <v>7.8</v>
      </c>
      <c r="V6204">
        <v>1000</v>
      </c>
      <c r="W6204" t="s">
        <v>28</v>
      </c>
      <c r="X6204">
        <v>3.8733333333333335</v>
      </c>
      <c r="Y6204">
        <v>8.0208062770106489E-2</v>
      </c>
    </row>
    <row r="6205" spans="1:25" x14ac:dyDescent="0.2">
      <c r="A6205" t="s">
        <v>678</v>
      </c>
      <c r="B6205">
        <v>2020</v>
      </c>
      <c r="C6205" t="s">
        <v>826</v>
      </c>
      <c r="D6205" t="s">
        <v>824</v>
      </c>
      <c r="E6205" t="s">
        <v>114</v>
      </c>
      <c r="F6205" t="s">
        <v>679</v>
      </c>
      <c r="G6205">
        <v>37.016666999999998</v>
      </c>
      <c r="H6205">
        <v>122.4</v>
      </c>
      <c r="I6205" t="s">
        <v>545</v>
      </c>
      <c r="J6205" s="2" t="s">
        <v>7</v>
      </c>
      <c r="K6205" t="s">
        <v>143</v>
      </c>
      <c r="L6205" t="s">
        <v>143</v>
      </c>
      <c r="M6205" t="s">
        <v>638</v>
      </c>
      <c r="N6205" t="s">
        <v>85</v>
      </c>
      <c r="O6205" t="s">
        <v>687</v>
      </c>
      <c r="P6205" t="s">
        <v>685</v>
      </c>
      <c r="Q6205">
        <v>90</v>
      </c>
      <c r="R6205" s="2" t="s">
        <v>213</v>
      </c>
      <c r="S6205" t="s">
        <v>7</v>
      </c>
      <c r="T6205">
        <v>10</v>
      </c>
      <c r="U6205">
        <v>8.1</v>
      </c>
      <c r="V6205">
        <v>400</v>
      </c>
      <c r="W6205" t="s">
        <v>28</v>
      </c>
      <c r="X6205">
        <v>2.7337500000000001</v>
      </c>
      <c r="Y6205">
        <v>0.30241586787544333</v>
      </c>
    </row>
    <row r="6206" spans="1:25" x14ac:dyDescent="0.2">
      <c r="A6206" t="s">
        <v>678</v>
      </c>
      <c r="B6206">
        <v>2020</v>
      </c>
      <c r="C6206" t="s">
        <v>826</v>
      </c>
      <c r="D6206" t="s">
        <v>824</v>
      </c>
      <c r="E6206" t="s">
        <v>114</v>
      </c>
      <c r="F6206" t="s">
        <v>679</v>
      </c>
      <c r="G6206">
        <v>37.016666999999998</v>
      </c>
      <c r="H6206">
        <v>122.4</v>
      </c>
      <c r="I6206" t="s">
        <v>545</v>
      </c>
      <c r="J6206" s="2" t="s">
        <v>5</v>
      </c>
      <c r="K6206" t="s">
        <v>143</v>
      </c>
      <c r="L6206" t="s">
        <v>143</v>
      </c>
      <c r="M6206" t="s">
        <v>638</v>
      </c>
      <c r="N6206" t="s">
        <v>85</v>
      </c>
      <c r="O6206" t="s">
        <v>687</v>
      </c>
      <c r="P6206" t="s">
        <v>685</v>
      </c>
      <c r="Q6206">
        <v>90</v>
      </c>
      <c r="R6206" s="2" t="s">
        <v>213</v>
      </c>
      <c r="S6206" t="s">
        <v>9</v>
      </c>
      <c r="T6206">
        <v>10</v>
      </c>
      <c r="U6206">
        <v>7.8</v>
      </c>
      <c r="V6206">
        <v>1000</v>
      </c>
      <c r="W6206" t="s">
        <v>28</v>
      </c>
      <c r="X6206">
        <v>3.07125</v>
      </c>
      <c r="Y6206">
        <v>0.26259352075566739</v>
      </c>
    </row>
    <row r="6207" spans="1:25" x14ac:dyDescent="0.2">
      <c r="A6207" t="s">
        <v>678</v>
      </c>
      <c r="B6207">
        <v>2020</v>
      </c>
      <c r="C6207" t="s">
        <v>826</v>
      </c>
      <c r="D6207" t="s">
        <v>824</v>
      </c>
      <c r="E6207" t="s">
        <v>114</v>
      </c>
      <c r="F6207" t="s">
        <v>679</v>
      </c>
      <c r="G6207">
        <v>37.016666999999998</v>
      </c>
      <c r="H6207">
        <v>122.4</v>
      </c>
      <c r="I6207" t="s">
        <v>545</v>
      </c>
      <c r="J6207" s="2" t="s">
        <v>7</v>
      </c>
      <c r="K6207" t="s">
        <v>143</v>
      </c>
      <c r="L6207" t="s">
        <v>143</v>
      </c>
      <c r="M6207" t="s">
        <v>638</v>
      </c>
      <c r="N6207" t="s">
        <v>85</v>
      </c>
      <c r="O6207" t="s">
        <v>688</v>
      </c>
      <c r="P6207" t="s">
        <v>685</v>
      </c>
      <c r="Q6207">
        <v>60</v>
      </c>
      <c r="R6207" s="2" t="s">
        <v>214</v>
      </c>
      <c r="S6207" t="s">
        <v>7</v>
      </c>
      <c r="T6207">
        <v>3</v>
      </c>
      <c r="U6207">
        <v>8.1</v>
      </c>
      <c r="V6207">
        <v>400</v>
      </c>
      <c r="W6207" t="s">
        <v>28</v>
      </c>
      <c r="X6207">
        <v>2.1766666666666663</v>
      </c>
      <c r="Y6207">
        <v>0.12897028081435399</v>
      </c>
    </row>
    <row r="6208" spans="1:25" x14ac:dyDescent="0.2">
      <c r="A6208" t="s">
        <v>678</v>
      </c>
      <c r="B6208">
        <v>2020</v>
      </c>
      <c r="C6208" t="s">
        <v>826</v>
      </c>
      <c r="D6208" t="s">
        <v>824</v>
      </c>
      <c r="E6208" t="s">
        <v>114</v>
      </c>
      <c r="F6208" t="s">
        <v>679</v>
      </c>
      <c r="G6208">
        <v>37.016666999999998</v>
      </c>
      <c r="H6208">
        <v>122.4</v>
      </c>
      <c r="I6208" t="s">
        <v>545</v>
      </c>
      <c r="J6208" s="2" t="s">
        <v>5</v>
      </c>
      <c r="K6208" t="s">
        <v>143</v>
      </c>
      <c r="L6208" t="s">
        <v>143</v>
      </c>
      <c r="M6208" t="s">
        <v>638</v>
      </c>
      <c r="N6208" t="s">
        <v>85</v>
      </c>
      <c r="O6208" t="s">
        <v>688</v>
      </c>
      <c r="P6208" t="s">
        <v>685</v>
      </c>
      <c r="Q6208">
        <v>60</v>
      </c>
      <c r="R6208" s="2" t="s">
        <v>214</v>
      </c>
      <c r="S6208" t="s">
        <v>9</v>
      </c>
      <c r="T6208">
        <v>3</v>
      </c>
      <c r="U6208">
        <v>7.8</v>
      </c>
      <c r="V6208">
        <v>1000</v>
      </c>
      <c r="W6208" t="s">
        <v>28</v>
      </c>
      <c r="X6208">
        <v>4.2733333333333334</v>
      </c>
      <c r="Y6208">
        <v>0.30664855018951825</v>
      </c>
    </row>
    <row r="6209" spans="1:25" x14ac:dyDescent="0.2">
      <c r="A6209" t="s">
        <v>678</v>
      </c>
      <c r="B6209">
        <v>2020</v>
      </c>
      <c r="C6209" t="s">
        <v>826</v>
      </c>
      <c r="D6209" t="s">
        <v>824</v>
      </c>
      <c r="E6209" t="s">
        <v>114</v>
      </c>
      <c r="F6209" t="s">
        <v>679</v>
      </c>
      <c r="G6209">
        <v>37.016666999999998</v>
      </c>
      <c r="H6209">
        <v>122.4</v>
      </c>
      <c r="I6209" t="s">
        <v>545</v>
      </c>
      <c r="J6209" s="2" t="s">
        <v>7</v>
      </c>
      <c r="K6209" t="s">
        <v>143</v>
      </c>
      <c r="L6209" t="s">
        <v>143</v>
      </c>
      <c r="M6209" t="s">
        <v>638</v>
      </c>
      <c r="N6209" t="s">
        <v>85</v>
      </c>
      <c r="O6209" t="s">
        <v>688</v>
      </c>
      <c r="P6209" t="s">
        <v>685</v>
      </c>
      <c r="Q6209">
        <v>90</v>
      </c>
      <c r="R6209" s="2" t="s">
        <v>213</v>
      </c>
      <c r="S6209" t="s">
        <v>7</v>
      </c>
      <c r="T6209">
        <v>10</v>
      </c>
      <c r="U6209">
        <v>8.1</v>
      </c>
      <c r="V6209">
        <v>400</v>
      </c>
      <c r="W6209" t="s">
        <v>28</v>
      </c>
      <c r="X6209">
        <v>2.9299999999999997</v>
      </c>
      <c r="Y6209">
        <v>0.70360297246184744</v>
      </c>
    </row>
    <row r="6210" spans="1:25" x14ac:dyDescent="0.2">
      <c r="A6210" t="s">
        <v>678</v>
      </c>
      <c r="B6210">
        <v>2020</v>
      </c>
      <c r="C6210" t="s">
        <v>826</v>
      </c>
      <c r="D6210" t="s">
        <v>824</v>
      </c>
      <c r="E6210" t="s">
        <v>114</v>
      </c>
      <c r="F6210" t="s">
        <v>679</v>
      </c>
      <c r="G6210">
        <v>37.016666999999998</v>
      </c>
      <c r="H6210">
        <v>122.4</v>
      </c>
      <c r="I6210" t="s">
        <v>545</v>
      </c>
      <c r="J6210" s="2" t="s">
        <v>5</v>
      </c>
      <c r="K6210" t="s">
        <v>143</v>
      </c>
      <c r="L6210" t="s">
        <v>143</v>
      </c>
      <c r="M6210" t="s">
        <v>638</v>
      </c>
      <c r="N6210" t="s">
        <v>85</v>
      </c>
      <c r="O6210" t="s">
        <v>688</v>
      </c>
      <c r="P6210" t="s">
        <v>685</v>
      </c>
      <c r="Q6210">
        <v>90</v>
      </c>
      <c r="R6210" s="2" t="s">
        <v>213</v>
      </c>
      <c r="S6210" t="s">
        <v>9</v>
      </c>
      <c r="T6210">
        <v>10</v>
      </c>
      <c r="U6210">
        <v>7.8</v>
      </c>
      <c r="V6210">
        <v>1000</v>
      </c>
      <c r="W6210" t="s">
        <v>28</v>
      </c>
      <c r="X6210">
        <v>2.3812500000000001</v>
      </c>
      <c r="Y6210">
        <v>0.48289121815521568</v>
      </c>
    </row>
    <row r="6211" spans="1:25" x14ac:dyDescent="0.2">
      <c r="A6211" t="s">
        <v>678</v>
      </c>
      <c r="B6211">
        <v>2020</v>
      </c>
      <c r="C6211" t="s">
        <v>826</v>
      </c>
      <c r="D6211" t="s">
        <v>824</v>
      </c>
      <c r="E6211" t="s">
        <v>114</v>
      </c>
      <c r="F6211" t="s">
        <v>679</v>
      </c>
      <c r="G6211">
        <v>37.016666999999998</v>
      </c>
      <c r="H6211">
        <v>122.4</v>
      </c>
      <c r="I6211" t="s">
        <v>545</v>
      </c>
      <c r="J6211" s="2" t="s">
        <v>7</v>
      </c>
      <c r="K6211" t="s">
        <v>143</v>
      </c>
      <c r="L6211" t="s">
        <v>143</v>
      </c>
      <c r="M6211" t="s">
        <v>638</v>
      </c>
      <c r="N6211" t="s">
        <v>85</v>
      </c>
      <c r="O6211" t="s">
        <v>689</v>
      </c>
      <c r="P6211" t="s">
        <v>685</v>
      </c>
      <c r="Q6211">
        <v>60</v>
      </c>
      <c r="R6211" s="2" t="s">
        <v>214</v>
      </c>
      <c r="S6211" t="s">
        <v>7</v>
      </c>
      <c r="T6211">
        <v>3</v>
      </c>
      <c r="U6211">
        <v>8.1</v>
      </c>
      <c r="V6211">
        <v>400</v>
      </c>
      <c r="W6211" t="s">
        <v>28</v>
      </c>
      <c r="X6211">
        <v>2.5566666666666666</v>
      </c>
      <c r="Y6211">
        <v>0.32192131543800628</v>
      </c>
    </row>
    <row r="6212" spans="1:25" x14ac:dyDescent="0.2">
      <c r="A6212" t="s">
        <v>678</v>
      </c>
      <c r="B6212">
        <v>2020</v>
      </c>
      <c r="C6212" t="s">
        <v>826</v>
      </c>
      <c r="D6212" t="s">
        <v>824</v>
      </c>
      <c r="E6212" t="s">
        <v>114</v>
      </c>
      <c r="F6212" t="s">
        <v>679</v>
      </c>
      <c r="G6212">
        <v>37.016666999999998</v>
      </c>
      <c r="H6212">
        <v>122.4</v>
      </c>
      <c r="I6212" t="s">
        <v>545</v>
      </c>
      <c r="J6212" s="2" t="s">
        <v>5</v>
      </c>
      <c r="K6212" t="s">
        <v>143</v>
      </c>
      <c r="L6212" t="s">
        <v>143</v>
      </c>
      <c r="M6212" t="s">
        <v>638</v>
      </c>
      <c r="N6212" t="s">
        <v>85</v>
      </c>
      <c r="O6212" t="s">
        <v>689</v>
      </c>
      <c r="P6212" t="s">
        <v>685</v>
      </c>
      <c r="Q6212">
        <v>60</v>
      </c>
      <c r="R6212" s="2" t="s">
        <v>214</v>
      </c>
      <c r="S6212" t="s">
        <v>9</v>
      </c>
      <c r="T6212">
        <v>3</v>
      </c>
      <c r="U6212">
        <v>7.8</v>
      </c>
      <c r="V6212">
        <v>1000</v>
      </c>
      <c r="W6212" t="s">
        <v>28</v>
      </c>
      <c r="X6212">
        <v>5.13</v>
      </c>
      <c r="Y6212">
        <v>0.15874507866387541</v>
      </c>
    </row>
    <row r="6213" spans="1:25" x14ac:dyDescent="0.2">
      <c r="A6213" t="s">
        <v>678</v>
      </c>
      <c r="B6213">
        <v>2020</v>
      </c>
      <c r="C6213" t="s">
        <v>826</v>
      </c>
      <c r="D6213" t="s">
        <v>824</v>
      </c>
      <c r="E6213" t="s">
        <v>114</v>
      </c>
      <c r="F6213" t="s">
        <v>679</v>
      </c>
      <c r="G6213">
        <v>37.016666999999998</v>
      </c>
      <c r="H6213">
        <v>122.4</v>
      </c>
      <c r="I6213" t="s">
        <v>545</v>
      </c>
      <c r="J6213" s="2" t="s">
        <v>7</v>
      </c>
      <c r="K6213" t="s">
        <v>143</v>
      </c>
      <c r="L6213" t="s">
        <v>143</v>
      </c>
      <c r="M6213" t="s">
        <v>638</v>
      </c>
      <c r="N6213" t="s">
        <v>85</v>
      </c>
      <c r="O6213" t="s">
        <v>689</v>
      </c>
      <c r="P6213" t="s">
        <v>685</v>
      </c>
      <c r="Q6213">
        <v>90</v>
      </c>
      <c r="R6213" s="2" t="s">
        <v>213</v>
      </c>
      <c r="S6213" t="s">
        <v>7</v>
      </c>
      <c r="T6213">
        <v>10</v>
      </c>
      <c r="U6213">
        <v>8.1</v>
      </c>
      <c r="V6213">
        <v>400</v>
      </c>
      <c r="W6213" t="s">
        <v>28</v>
      </c>
      <c r="X6213">
        <v>3.1125000000000003</v>
      </c>
      <c r="Y6213">
        <v>0.79715117763194565</v>
      </c>
    </row>
    <row r="6214" spans="1:25" x14ac:dyDescent="0.2">
      <c r="A6214" t="s">
        <v>678</v>
      </c>
      <c r="B6214">
        <v>2020</v>
      </c>
      <c r="C6214" t="s">
        <v>826</v>
      </c>
      <c r="D6214" t="s">
        <v>824</v>
      </c>
      <c r="E6214" t="s">
        <v>114</v>
      </c>
      <c r="F6214" t="s">
        <v>679</v>
      </c>
      <c r="G6214">
        <v>37.016666999999998</v>
      </c>
      <c r="H6214">
        <v>122.4</v>
      </c>
      <c r="I6214" t="s">
        <v>545</v>
      </c>
      <c r="J6214" s="2" t="s">
        <v>5</v>
      </c>
      <c r="K6214" t="s">
        <v>143</v>
      </c>
      <c r="L6214" t="s">
        <v>143</v>
      </c>
      <c r="M6214" t="s">
        <v>638</v>
      </c>
      <c r="N6214" t="s">
        <v>85</v>
      </c>
      <c r="O6214" t="s">
        <v>689</v>
      </c>
      <c r="P6214" t="s">
        <v>685</v>
      </c>
      <c r="Q6214">
        <v>90</v>
      </c>
      <c r="R6214" s="2" t="s">
        <v>213</v>
      </c>
      <c r="S6214" t="s">
        <v>9</v>
      </c>
      <c r="T6214">
        <v>10</v>
      </c>
      <c r="U6214">
        <v>7.8</v>
      </c>
      <c r="V6214">
        <v>1000</v>
      </c>
      <c r="W6214" t="s">
        <v>28</v>
      </c>
      <c r="X6214">
        <v>2.9424999999999999</v>
      </c>
      <c r="Y6214">
        <v>0.64048530706912432</v>
      </c>
    </row>
    <row r="6215" spans="1:25" x14ac:dyDescent="0.2">
      <c r="A6215" t="s">
        <v>678</v>
      </c>
      <c r="B6215">
        <v>2020</v>
      </c>
      <c r="C6215" t="s">
        <v>826</v>
      </c>
      <c r="D6215" t="s">
        <v>824</v>
      </c>
      <c r="E6215" t="s">
        <v>114</v>
      </c>
      <c r="F6215" t="s">
        <v>679</v>
      </c>
      <c r="G6215">
        <v>37.016666999999998</v>
      </c>
      <c r="H6215">
        <v>122.4</v>
      </c>
      <c r="I6215" t="s">
        <v>545</v>
      </c>
      <c r="J6215" s="2" t="s">
        <v>7</v>
      </c>
      <c r="K6215" t="s">
        <v>143</v>
      </c>
      <c r="L6215" t="s">
        <v>143</v>
      </c>
      <c r="M6215" t="s">
        <v>638</v>
      </c>
      <c r="N6215" t="s">
        <v>85</v>
      </c>
      <c r="O6215" t="s">
        <v>690</v>
      </c>
      <c r="P6215" t="s">
        <v>685</v>
      </c>
      <c r="Q6215">
        <v>60</v>
      </c>
      <c r="R6215" s="2" t="s">
        <v>214</v>
      </c>
      <c r="S6215" t="s">
        <v>7</v>
      </c>
      <c r="T6215">
        <v>3</v>
      </c>
      <c r="U6215">
        <v>8.1</v>
      </c>
      <c r="V6215">
        <v>400</v>
      </c>
      <c r="W6215" t="s">
        <v>28</v>
      </c>
      <c r="X6215">
        <v>0.37666666666666665</v>
      </c>
      <c r="Y6215">
        <v>0.1616580753730954</v>
      </c>
    </row>
    <row r="6216" spans="1:25" x14ac:dyDescent="0.2">
      <c r="A6216" t="s">
        <v>678</v>
      </c>
      <c r="B6216">
        <v>2020</v>
      </c>
      <c r="C6216" t="s">
        <v>826</v>
      </c>
      <c r="D6216" t="s">
        <v>824</v>
      </c>
      <c r="E6216" t="s">
        <v>114</v>
      </c>
      <c r="F6216" t="s">
        <v>679</v>
      </c>
      <c r="G6216">
        <v>37.016666999999998</v>
      </c>
      <c r="H6216">
        <v>122.4</v>
      </c>
      <c r="I6216" t="s">
        <v>545</v>
      </c>
      <c r="J6216" s="2" t="s">
        <v>5</v>
      </c>
      <c r="K6216" t="s">
        <v>143</v>
      </c>
      <c r="L6216" t="s">
        <v>143</v>
      </c>
      <c r="M6216" t="s">
        <v>638</v>
      </c>
      <c r="N6216" t="s">
        <v>85</v>
      </c>
      <c r="O6216" t="s">
        <v>690</v>
      </c>
      <c r="P6216" t="s">
        <v>685</v>
      </c>
      <c r="Q6216">
        <v>60</v>
      </c>
      <c r="R6216" s="2" t="s">
        <v>214</v>
      </c>
      <c r="S6216" t="s">
        <v>9</v>
      </c>
      <c r="T6216">
        <v>3</v>
      </c>
      <c r="U6216">
        <v>7.8</v>
      </c>
      <c r="V6216">
        <v>1000</v>
      </c>
      <c r="W6216" t="s">
        <v>28</v>
      </c>
      <c r="X6216">
        <v>0.97666666666666657</v>
      </c>
      <c r="Y6216">
        <v>1.527525231651948E-2</v>
      </c>
    </row>
    <row r="6217" spans="1:25" x14ac:dyDescent="0.2">
      <c r="A6217" t="s">
        <v>678</v>
      </c>
      <c r="B6217">
        <v>2020</v>
      </c>
      <c r="C6217" t="s">
        <v>826</v>
      </c>
      <c r="D6217" t="s">
        <v>824</v>
      </c>
      <c r="E6217" t="s">
        <v>114</v>
      </c>
      <c r="F6217" t="s">
        <v>679</v>
      </c>
      <c r="G6217">
        <v>37.016666999999998</v>
      </c>
      <c r="H6217">
        <v>122.4</v>
      </c>
      <c r="I6217" t="s">
        <v>545</v>
      </c>
      <c r="J6217" s="2" t="s">
        <v>7</v>
      </c>
      <c r="K6217" t="s">
        <v>143</v>
      </c>
      <c r="L6217" t="s">
        <v>143</v>
      </c>
      <c r="M6217" t="s">
        <v>638</v>
      </c>
      <c r="N6217" t="s">
        <v>85</v>
      </c>
      <c r="O6217" t="s">
        <v>690</v>
      </c>
      <c r="P6217" t="s">
        <v>685</v>
      </c>
      <c r="Q6217">
        <v>90</v>
      </c>
      <c r="R6217" s="2" t="s">
        <v>213</v>
      </c>
      <c r="S6217" t="s">
        <v>7</v>
      </c>
      <c r="T6217">
        <v>10</v>
      </c>
      <c r="U6217">
        <v>8.1</v>
      </c>
      <c r="V6217">
        <v>400</v>
      </c>
      <c r="W6217" t="s">
        <v>28</v>
      </c>
      <c r="X6217">
        <v>0.75374999999999992</v>
      </c>
      <c r="Y6217">
        <v>0.28789569043566576</v>
      </c>
    </row>
    <row r="6218" spans="1:25" x14ac:dyDescent="0.2">
      <c r="A6218" t="s">
        <v>678</v>
      </c>
      <c r="B6218">
        <v>2020</v>
      </c>
      <c r="C6218" t="s">
        <v>826</v>
      </c>
      <c r="D6218" t="s">
        <v>824</v>
      </c>
      <c r="E6218" t="s">
        <v>114</v>
      </c>
      <c r="F6218" t="s">
        <v>679</v>
      </c>
      <c r="G6218">
        <v>37.016666999999998</v>
      </c>
      <c r="H6218">
        <v>122.4</v>
      </c>
      <c r="I6218" t="s">
        <v>545</v>
      </c>
      <c r="J6218" s="2" t="s">
        <v>5</v>
      </c>
      <c r="K6218" t="s">
        <v>143</v>
      </c>
      <c r="L6218" t="s">
        <v>143</v>
      </c>
      <c r="M6218" t="s">
        <v>638</v>
      </c>
      <c r="N6218" t="s">
        <v>85</v>
      </c>
      <c r="O6218" t="s">
        <v>690</v>
      </c>
      <c r="P6218" t="s">
        <v>685</v>
      </c>
      <c r="Q6218">
        <v>90</v>
      </c>
      <c r="R6218" s="2" t="s">
        <v>213</v>
      </c>
      <c r="S6218" t="s">
        <v>9</v>
      </c>
      <c r="T6218">
        <v>10</v>
      </c>
      <c r="U6218">
        <v>7.8</v>
      </c>
      <c r="V6218">
        <v>1000</v>
      </c>
      <c r="W6218" t="s">
        <v>28</v>
      </c>
      <c r="X6218">
        <v>0.55375000000000008</v>
      </c>
      <c r="Y6218">
        <v>0.27717645230842686</v>
      </c>
    </row>
    <row r="6219" spans="1:25" x14ac:dyDescent="0.2">
      <c r="A6219" t="s">
        <v>678</v>
      </c>
      <c r="B6219">
        <v>2020</v>
      </c>
      <c r="C6219" t="s">
        <v>826</v>
      </c>
      <c r="D6219" t="s">
        <v>824</v>
      </c>
      <c r="E6219" t="s">
        <v>114</v>
      </c>
      <c r="F6219" t="s">
        <v>679</v>
      </c>
      <c r="G6219">
        <v>37.016666999999998</v>
      </c>
      <c r="H6219">
        <v>122.4</v>
      </c>
      <c r="I6219" t="s">
        <v>545</v>
      </c>
      <c r="J6219" s="2" t="s">
        <v>7</v>
      </c>
      <c r="K6219" t="s">
        <v>143</v>
      </c>
      <c r="L6219" t="s">
        <v>143</v>
      </c>
      <c r="M6219" t="s">
        <v>638</v>
      </c>
      <c r="N6219" t="s">
        <v>85</v>
      </c>
      <c r="O6219" t="s">
        <v>691</v>
      </c>
      <c r="P6219" t="s">
        <v>685</v>
      </c>
      <c r="Q6219">
        <v>60</v>
      </c>
      <c r="R6219" s="2" t="s">
        <v>214</v>
      </c>
      <c r="S6219" t="s">
        <v>7</v>
      </c>
      <c r="T6219">
        <v>3</v>
      </c>
      <c r="U6219">
        <v>8.1</v>
      </c>
      <c r="V6219">
        <v>400</v>
      </c>
      <c r="W6219" t="s">
        <v>28</v>
      </c>
      <c r="X6219">
        <v>2.1666666666666665</v>
      </c>
      <c r="Y6219">
        <v>0.8396626306638475</v>
      </c>
    </row>
    <row r="6220" spans="1:25" x14ac:dyDescent="0.2">
      <c r="A6220" t="s">
        <v>678</v>
      </c>
      <c r="B6220">
        <v>2020</v>
      </c>
      <c r="C6220" t="s">
        <v>826</v>
      </c>
      <c r="D6220" t="s">
        <v>824</v>
      </c>
      <c r="E6220" t="s">
        <v>114</v>
      </c>
      <c r="F6220" t="s">
        <v>679</v>
      </c>
      <c r="G6220">
        <v>37.016666999999998</v>
      </c>
      <c r="H6220">
        <v>122.4</v>
      </c>
      <c r="I6220" t="s">
        <v>545</v>
      </c>
      <c r="J6220" s="2" t="s">
        <v>5</v>
      </c>
      <c r="K6220" t="s">
        <v>143</v>
      </c>
      <c r="L6220" t="s">
        <v>143</v>
      </c>
      <c r="M6220" t="s">
        <v>638</v>
      </c>
      <c r="N6220" t="s">
        <v>85</v>
      </c>
      <c r="O6220" t="s">
        <v>691</v>
      </c>
      <c r="P6220" t="s">
        <v>685</v>
      </c>
      <c r="Q6220">
        <v>60</v>
      </c>
      <c r="R6220" s="2" t="s">
        <v>214</v>
      </c>
      <c r="S6220" t="s">
        <v>9</v>
      </c>
      <c r="T6220">
        <v>3</v>
      </c>
      <c r="U6220">
        <v>7.8</v>
      </c>
      <c r="V6220">
        <v>1000</v>
      </c>
      <c r="W6220" t="s">
        <v>28</v>
      </c>
      <c r="X6220">
        <v>4.8600000000000003</v>
      </c>
      <c r="Y6220">
        <v>1.1497391008398381</v>
      </c>
    </row>
    <row r="6221" spans="1:25" x14ac:dyDescent="0.2">
      <c r="A6221" t="s">
        <v>678</v>
      </c>
      <c r="B6221">
        <v>2020</v>
      </c>
      <c r="C6221" t="s">
        <v>826</v>
      </c>
      <c r="D6221" t="s">
        <v>824</v>
      </c>
      <c r="E6221" t="s">
        <v>114</v>
      </c>
      <c r="F6221" t="s">
        <v>679</v>
      </c>
      <c r="G6221">
        <v>37.016666999999998</v>
      </c>
      <c r="H6221">
        <v>122.4</v>
      </c>
      <c r="I6221" t="s">
        <v>545</v>
      </c>
      <c r="J6221" s="2" t="s">
        <v>7</v>
      </c>
      <c r="K6221" t="s">
        <v>143</v>
      </c>
      <c r="L6221" t="s">
        <v>143</v>
      </c>
      <c r="M6221" t="s">
        <v>638</v>
      </c>
      <c r="N6221" t="s">
        <v>85</v>
      </c>
      <c r="O6221" t="s">
        <v>691</v>
      </c>
      <c r="P6221" t="s">
        <v>685</v>
      </c>
      <c r="Q6221">
        <v>90</v>
      </c>
      <c r="R6221" s="2" t="s">
        <v>213</v>
      </c>
      <c r="S6221" t="s">
        <v>7</v>
      </c>
      <c r="T6221">
        <v>10</v>
      </c>
      <c r="U6221">
        <v>8.1</v>
      </c>
      <c r="V6221">
        <v>400</v>
      </c>
      <c r="W6221" t="s">
        <v>28</v>
      </c>
      <c r="X6221">
        <v>2.19625</v>
      </c>
      <c r="Y6221">
        <v>0.72478445071621067</v>
      </c>
    </row>
    <row r="6222" spans="1:25" x14ac:dyDescent="0.2">
      <c r="A6222" t="s">
        <v>678</v>
      </c>
      <c r="B6222">
        <v>2020</v>
      </c>
      <c r="C6222" t="s">
        <v>826</v>
      </c>
      <c r="D6222" t="s">
        <v>824</v>
      </c>
      <c r="E6222" t="s">
        <v>114</v>
      </c>
      <c r="F6222" t="s">
        <v>679</v>
      </c>
      <c r="G6222">
        <v>37.016666999999998</v>
      </c>
      <c r="H6222">
        <v>122.4</v>
      </c>
      <c r="I6222" t="s">
        <v>545</v>
      </c>
      <c r="J6222" s="2" t="s">
        <v>5</v>
      </c>
      <c r="K6222" t="s">
        <v>143</v>
      </c>
      <c r="L6222" t="s">
        <v>143</v>
      </c>
      <c r="M6222" t="s">
        <v>638</v>
      </c>
      <c r="N6222" t="s">
        <v>85</v>
      </c>
      <c r="O6222" t="s">
        <v>691</v>
      </c>
      <c r="P6222" t="s">
        <v>685</v>
      </c>
      <c r="Q6222">
        <v>90</v>
      </c>
      <c r="R6222" s="2" t="s">
        <v>213</v>
      </c>
      <c r="S6222" t="s">
        <v>9</v>
      </c>
      <c r="T6222">
        <v>10</v>
      </c>
      <c r="U6222">
        <v>7.8</v>
      </c>
      <c r="V6222">
        <v>1000</v>
      </c>
      <c r="W6222" t="s">
        <v>28</v>
      </c>
      <c r="X6222">
        <v>3.2650000000000001</v>
      </c>
      <c r="Y6222">
        <v>1.0593663874491879</v>
      </c>
    </row>
    <row r="6223" spans="1:25" x14ac:dyDescent="0.2">
      <c r="A6223" t="s">
        <v>678</v>
      </c>
      <c r="B6223">
        <v>2020</v>
      </c>
      <c r="C6223" t="s">
        <v>826</v>
      </c>
      <c r="D6223" t="s">
        <v>824</v>
      </c>
      <c r="E6223" t="s">
        <v>114</v>
      </c>
      <c r="F6223" t="s">
        <v>679</v>
      </c>
      <c r="G6223">
        <v>37.016666999999998</v>
      </c>
      <c r="H6223">
        <v>122.4</v>
      </c>
      <c r="I6223" t="s">
        <v>545</v>
      </c>
      <c r="J6223" s="2" t="s">
        <v>7</v>
      </c>
      <c r="K6223" t="s">
        <v>143</v>
      </c>
      <c r="L6223" t="s">
        <v>143</v>
      </c>
      <c r="M6223" t="s">
        <v>638</v>
      </c>
      <c r="N6223" t="s">
        <v>85</v>
      </c>
      <c r="O6223" t="s">
        <v>692</v>
      </c>
      <c r="P6223" t="s">
        <v>685</v>
      </c>
      <c r="Q6223">
        <v>60</v>
      </c>
      <c r="R6223" s="2" t="s">
        <v>214</v>
      </c>
      <c r="S6223" t="s">
        <v>7</v>
      </c>
      <c r="T6223">
        <v>3</v>
      </c>
      <c r="U6223">
        <v>8.1</v>
      </c>
      <c r="V6223">
        <v>400</v>
      </c>
      <c r="W6223" t="s">
        <v>28</v>
      </c>
      <c r="X6223">
        <v>3.2333333333333329</v>
      </c>
      <c r="Y6223">
        <v>0.98571463077978949</v>
      </c>
    </row>
    <row r="6224" spans="1:25" x14ac:dyDescent="0.2">
      <c r="A6224" t="s">
        <v>678</v>
      </c>
      <c r="B6224">
        <v>2020</v>
      </c>
      <c r="C6224" t="s">
        <v>826</v>
      </c>
      <c r="D6224" t="s">
        <v>824</v>
      </c>
      <c r="E6224" t="s">
        <v>114</v>
      </c>
      <c r="F6224" t="s">
        <v>679</v>
      </c>
      <c r="G6224">
        <v>37.016666999999998</v>
      </c>
      <c r="H6224">
        <v>122.4</v>
      </c>
      <c r="I6224" t="s">
        <v>545</v>
      </c>
      <c r="J6224" s="2" t="s">
        <v>5</v>
      </c>
      <c r="K6224" t="s">
        <v>143</v>
      </c>
      <c r="L6224" t="s">
        <v>143</v>
      </c>
      <c r="M6224" t="s">
        <v>638</v>
      </c>
      <c r="N6224" t="s">
        <v>85</v>
      </c>
      <c r="O6224" t="s">
        <v>692</v>
      </c>
      <c r="P6224" t="s">
        <v>685</v>
      </c>
      <c r="Q6224">
        <v>60</v>
      </c>
      <c r="R6224" s="2" t="s">
        <v>214</v>
      </c>
      <c r="S6224" t="s">
        <v>9</v>
      </c>
      <c r="T6224">
        <v>3</v>
      </c>
      <c r="U6224">
        <v>7.8</v>
      </c>
      <c r="V6224">
        <v>1000</v>
      </c>
      <c r="W6224" t="s">
        <v>28</v>
      </c>
      <c r="X6224">
        <v>8.1366666666666649</v>
      </c>
      <c r="Y6224">
        <v>0.12897028081435399</v>
      </c>
    </row>
    <row r="6225" spans="1:25" x14ac:dyDescent="0.2">
      <c r="A6225" t="s">
        <v>678</v>
      </c>
      <c r="B6225">
        <v>2020</v>
      </c>
      <c r="C6225" t="s">
        <v>826</v>
      </c>
      <c r="D6225" t="s">
        <v>824</v>
      </c>
      <c r="E6225" t="s">
        <v>114</v>
      </c>
      <c r="F6225" t="s">
        <v>679</v>
      </c>
      <c r="G6225">
        <v>37.016666999999998</v>
      </c>
      <c r="H6225">
        <v>122.4</v>
      </c>
      <c r="I6225" t="s">
        <v>545</v>
      </c>
      <c r="J6225" s="2" t="s">
        <v>7</v>
      </c>
      <c r="K6225" t="s">
        <v>143</v>
      </c>
      <c r="L6225" t="s">
        <v>143</v>
      </c>
      <c r="M6225" t="s">
        <v>638</v>
      </c>
      <c r="N6225" t="s">
        <v>85</v>
      </c>
      <c r="O6225" t="s">
        <v>692</v>
      </c>
      <c r="P6225" t="s">
        <v>685</v>
      </c>
      <c r="Q6225">
        <v>90</v>
      </c>
      <c r="R6225" s="2" t="s">
        <v>213</v>
      </c>
      <c r="S6225" t="s">
        <v>7</v>
      </c>
      <c r="T6225">
        <v>10</v>
      </c>
      <c r="U6225">
        <v>8.1</v>
      </c>
      <c r="V6225">
        <v>400</v>
      </c>
      <c r="W6225" t="s">
        <v>28</v>
      </c>
      <c r="X6225">
        <v>4.0125000000000002</v>
      </c>
      <c r="Y6225">
        <v>1.2904013772023466</v>
      </c>
    </row>
    <row r="6226" spans="1:25" x14ac:dyDescent="0.2">
      <c r="A6226" t="s">
        <v>678</v>
      </c>
      <c r="B6226">
        <v>2020</v>
      </c>
      <c r="C6226" t="s">
        <v>826</v>
      </c>
      <c r="D6226" t="s">
        <v>824</v>
      </c>
      <c r="E6226" t="s">
        <v>114</v>
      </c>
      <c r="F6226" t="s">
        <v>679</v>
      </c>
      <c r="G6226">
        <v>37.016666999999998</v>
      </c>
      <c r="H6226">
        <v>122.4</v>
      </c>
      <c r="I6226" t="s">
        <v>545</v>
      </c>
      <c r="J6226" s="2" t="s">
        <v>5</v>
      </c>
      <c r="K6226" t="s">
        <v>143</v>
      </c>
      <c r="L6226" t="s">
        <v>143</v>
      </c>
      <c r="M6226" t="s">
        <v>638</v>
      </c>
      <c r="N6226" t="s">
        <v>85</v>
      </c>
      <c r="O6226" t="s">
        <v>692</v>
      </c>
      <c r="P6226" t="s">
        <v>685</v>
      </c>
      <c r="Q6226">
        <v>90</v>
      </c>
      <c r="R6226" s="2" t="s">
        <v>213</v>
      </c>
      <c r="S6226" t="s">
        <v>9</v>
      </c>
      <c r="T6226">
        <v>10</v>
      </c>
      <c r="U6226">
        <v>7.8</v>
      </c>
      <c r="V6226">
        <v>1000</v>
      </c>
      <c r="W6226" t="s">
        <v>28</v>
      </c>
      <c r="X6226">
        <v>4.0649999999999995</v>
      </c>
      <c r="Y6226">
        <v>0.78341742203174225</v>
      </c>
    </row>
    <row r="6227" spans="1:25" x14ac:dyDescent="0.2">
      <c r="A6227" t="s">
        <v>678</v>
      </c>
      <c r="B6227">
        <v>2020</v>
      </c>
      <c r="C6227" t="s">
        <v>826</v>
      </c>
      <c r="D6227" t="s">
        <v>824</v>
      </c>
      <c r="E6227" t="s">
        <v>114</v>
      </c>
      <c r="F6227" t="s">
        <v>679</v>
      </c>
      <c r="G6227">
        <v>37.016666999999998</v>
      </c>
      <c r="H6227">
        <v>122.4</v>
      </c>
      <c r="I6227" t="s">
        <v>545</v>
      </c>
      <c r="J6227" s="2" t="s">
        <v>7</v>
      </c>
      <c r="K6227" t="s">
        <v>143</v>
      </c>
      <c r="L6227" t="s">
        <v>143</v>
      </c>
      <c r="M6227" t="s">
        <v>638</v>
      </c>
      <c r="N6227" t="s">
        <v>85</v>
      </c>
      <c r="O6227" t="s">
        <v>693</v>
      </c>
      <c r="P6227" t="s">
        <v>685</v>
      </c>
      <c r="Q6227">
        <v>60</v>
      </c>
      <c r="R6227" s="2" t="s">
        <v>214</v>
      </c>
      <c r="S6227" t="s">
        <v>7</v>
      </c>
      <c r="T6227">
        <v>3</v>
      </c>
      <c r="U6227">
        <v>8.1</v>
      </c>
      <c r="V6227">
        <v>400</v>
      </c>
      <c r="W6227" t="s">
        <v>28</v>
      </c>
      <c r="X6227">
        <v>5.3466666666666667</v>
      </c>
      <c r="Y6227">
        <v>0.39551653989856517</v>
      </c>
    </row>
    <row r="6228" spans="1:25" x14ac:dyDescent="0.2">
      <c r="A6228" t="s">
        <v>678</v>
      </c>
      <c r="B6228">
        <v>2020</v>
      </c>
      <c r="C6228" t="s">
        <v>826</v>
      </c>
      <c r="D6228" t="s">
        <v>824</v>
      </c>
      <c r="E6228" t="s">
        <v>114</v>
      </c>
      <c r="F6228" t="s">
        <v>679</v>
      </c>
      <c r="G6228">
        <v>37.016666999999998</v>
      </c>
      <c r="H6228">
        <v>122.4</v>
      </c>
      <c r="I6228" t="s">
        <v>545</v>
      </c>
      <c r="J6228" s="2" t="s">
        <v>5</v>
      </c>
      <c r="K6228" t="s">
        <v>143</v>
      </c>
      <c r="L6228" t="s">
        <v>143</v>
      </c>
      <c r="M6228" t="s">
        <v>638</v>
      </c>
      <c r="N6228" t="s">
        <v>85</v>
      </c>
      <c r="O6228" t="s">
        <v>693</v>
      </c>
      <c r="P6228" t="s">
        <v>685</v>
      </c>
      <c r="Q6228">
        <v>60</v>
      </c>
      <c r="R6228" s="2" t="s">
        <v>214</v>
      </c>
      <c r="S6228" t="s">
        <v>9</v>
      </c>
      <c r="T6228">
        <v>3</v>
      </c>
      <c r="U6228">
        <v>7.8</v>
      </c>
      <c r="V6228">
        <v>1000</v>
      </c>
      <c r="W6228" t="s">
        <v>28</v>
      </c>
      <c r="X6228">
        <v>9.98</v>
      </c>
      <c r="Y6228">
        <v>0.70738956735309622</v>
      </c>
    </row>
    <row r="6229" spans="1:25" x14ac:dyDescent="0.2">
      <c r="A6229" t="s">
        <v>678</v>
      </c>
      <c r="B6229">
        <v>2020</v>
      </c>
      <c r="C6229" t="s">
        <v>826</v>
      </c>
      <c r="D6229" t="s">
        <v>824</v>
      </c>
      <c r="E6229" t="s">
        <v>114</v>
      </c>
      <c r="F6229" t="s">
        <v>679</v>
      </c>
      <c r="G6229">
        <v>37.016666999999998</v>
      </c>
      <c r="H6229">
        <v>122.4</v>
      </c>
      <c r="I6229" t="s">
        <v>545</v>
      </c>
      <c r="J6229" s="2" t="s">
        <v>7</v>
      </c>
      <c r="K6229" t="s">
        <v>143</v>
      </c>
      <c r="L6229" t="s">
        <v>143</v>
      </c>
      <c r="M6229" t="s">
        <v>638</v>
      </c>
      <c r="N6229" t="s">
        <v>85</v>
      </c>
      <c r="O6229" t="s">
        <v>693</v>
      </c>
      <c r="P6229" t="s">
        <v>685</v>
      </c>
      <c r="Q6229">
        <v>90</v>
      </c>
      <c r="R6229" s="2" t="s">
        <v>213</v>
      </c>
      <c r="S6229" t="s">
        <v>7</v>
      </c>
      <c r="T6229">
        <v>10</v>
      </c>
      <c r="U6229">
        <v>8.1</v>
      </c>
      <c r="V6229">
        <v>400</v>
      </c>
      <c r="W6229" t="s">
        <v>28</v>
      </c>
      <c r="X6229">
        <v>6.5049999999999999</v>
      </c>
      <c r="Y6229">
        <v>1.1733468613938718</v>
      </c>
    </row>
    <row r="6230" spans="1:25" x14ac:dyDescent="0.2">
      <c r="A6230" t="s">
        <v>678</v>
      </c>
      <c r="B6230">
        <v>2020</v>
      </c>
      <c r="C6230" t="s">
        <v>826</v>
      </c>
      <c r="D6230" t="s">
        <v>824</v>
      </c>
      <c r="E6230" t="s">
        <v>114</v>
      </c>
      <c r="F6230" t="s">
        <v>679</v>
      </c>
      <c r="G6230">
        <v>37.016666999999998</v>
      </c>
      <c r="H6230">
        <v>122.4</v>
      </c>
      <c r="I6230" t="s">
        <v>545</v>
      </c>
      <c r="J6230" s="2" t="s">
        <v>5</v>
      </c>
      <c r="K6230" t="s">
        <v>143</v>
      </c>
      <c r="L6230" t="s">
        <v>143</v>
      </c>
      <c r="M6230" t="s">
        <v>638</v>
      </c>
      <c r="N6230" t="s">
        <v>85</v>
      </c>
      <c r="O6230" t="s">
        <v>693</v>
      </c>
      <c r="P6230" t="s">
        <v>685</v>
      </c>
      <c r="Q6230">
        <v>90</v>
      </c>
      <c r="R6230" s="2" t="s">
        <v>213</v>
      </c>
      <c r="S6230" t="s">
        <v>9</v>
      </c>
      <c r="T6230">
        <v>10</v>
      </c>
      <c r="U6230">
        <v>7.8</v>
      </c>
      <c r="V6230">
        <v>1000</v>
      </c>
      <c r="W6230" t="s">
        <v>28</v>
      </c>
      <c r="X6230">
        <v>5.8362499999999997</v>
      </c>
      <c r="Y6230">
        <v>0.88288387037674509</v>
      </c>
    </row>
    <row r="6231" spans="1:25" x14ac:dyDescent="0.2">
      <c r="A6231" t="s">
        <v>678</v>
      </c>
      <c r="B6231">
        <v>2020</v>
      </c>
      <c r="C6231" t="s">
        <v>826</v>
      </c>
      <c r="D6231" t="s">
        <v>824</v>
      </c>
      <c r="E6231" t="s">
        <v>114</v>
      </c>
      <c r="F6231" t="s">
        <v>679</v>
      </c>
      <c r="G6231">
        <v>37.016666999999998</v>
      </c>
      <c r="H6231">
        <v>122.4</v>
      </c>
      <c r="I6231" t="s">
        <v>545</v>
      </c>
      <c r="J6231" s="2" t="s">
        <v>7</v>
      </c>
      <c r="K6231" t="s">
        <v>143</v>
      </c>
      <c r="L6231" t="s">
        <v>143</v>
      </c>
      <c r="M6231" t="s">
        <v>638</v>
      </c>
      <c r="N6231" t="s">
        <v>85</v>
      </c>
      <c r="O6231" t="s">
        <v>694</v>
      </c>
      <c r="P6231" t="s">
        <v>685</v>
      </c>
      <c r="Q6231">
        <v>60</v>
      </c>
      <c r="R6231" s="2" t="s">
        <v>214</v>
      </c>
      <c r="S6231" t="s">
        <v>7</v>
      </c>
      <c r="T6231">
        <v>3</v>
      </c>
      <c r="U6231">
        <v>8.1</v>
      </c>
      <c r="V6231">
        <v>400</v>
      </c>
      <c r="W6231" t="s">
        <v>28</v>
      </c>
      <c r="X6231">
        <v>0.61333333333333329</v>
      </c>
      <c r="Y6231">
        <v>0.24501700621249412</v>
      </c>
    </row>
    <row r="6232" spans="1:25" x14ac:dyDescent="0.2">
      <c r="A6232" t="s">
        <v>678</v>
      </c>
      <c r="B6232">
        <v>2020</v>
      </c>
      <c r="C6232" t="s">
        <v>826</v>
      </c>
      <c r="D6232" t="s">
        <v>824</v>
      </c>
      <c r="E6232" t="s">
        <v>114</v>
      </c>
      <c r="F6232" t="s">
        <v>679</v>
      </c>
      <c r="G6232">
        <v>37.016666999999998</v>
      </c>
      <c r="H6232">
        <v>122.4</v>
      </c>
      <c r="I6232" t="s">
        <v>545</v>
      </c>
      <c r="J6232" s="2" t="s">
        <v>5</v>
      </c>
      <c r="K6232" t="s">
        <v>143</v>
      </c>
      <c r="L6232" t="s">
        <v>143</v>
      </c>
      <c r="M6232" t="s">
        <v>638</v>
      </c>
      <c r="N6232" t="s">
        <v>85</v>
      </c>
      <c r="O6232" t="s">
        <v>694</v>
      </c>
      <c r="P6232" t="s">
        <v>685</v>
      </c>
      <c r="Q6232">
        <v>60</v>
      </c>
      <c r="R6232" s="2" t="s">
        <v>214</v>
      </c>
      <c r="S6232" t="s">
        <v>9</v>
      </c>
      <c r="T6232">
        <v>3</v>
      </c>
      <c r="U6232">
        <v>7.8</v>
      </c>
      <c r="V6232">
        <v>1000</v>
      </c>
      <c r="W6232" t="s">
        <v>28</v>
      </c>
      <c r="X6232">
        <v>1.9766666666666666</v>
      </c>
      <c r="Y6232">
        <v>0.15011106998930263</v>
      </c>
    </row>
    <row r="6233" spans="1:25" x14ac:dyDescent="0.2">
      <c r="A6233" t="s">
        <v>678</v>
      </c>
      <c r="B6233">
        <v>2020</v>
      </c>
      <c r="C6233" t="s">
        <v>826</v>
      </c>
      <c r="D6233" t="s">
        <v>824</v>
      </c>
      <c r="E6233" t="s">
        <v>114</v>
      </c>
      <c r="F6233" t="s">
        <v>679</v>
      </c>
      <c r="G6233">
        <v>37.016666999999998</v>
      </c>
      <c r="H6233">
        <v>122.4</v>
      </c>
      <c r="I6233" t="s">
        <v>545</v>
      </c>
      <c r="J6233" s="2" t="s">
        <v>7</v>
      </c>
      <c r="K6233" t="s">
        <v>143</v>
      </c>
      <c r="L6233" t="s">
        <v>143</v>
      </c>
      <c r="M6233" t="s">
        <v>638</v>
      </c>
      <c r="N6233" t="s">
        <v>85</v>
      </c>
      <c r="O6233" t="s">
        <v>694</v>
      </c>
      <c r="P6233" t="s">
        <v>685</v>
      </c>
      <c r="Q6233">
        <v>90</v>
      </c>
      <c r="R6233" s="2" t="s">
        <v>213</v>
      </c>
      <c r="S6233" t="s">
        <v>7</v>
      </c>
      <c r="T6233">
        <v>10</v>
      </c>
      <c r="U6233">
        <v>8.1</v>
      </c>
      <c r="V6233">
        <v>400</v>
      </c>
      <c r="W6233" t="s">
        <v>28</v>
      </c>
      <c r="X6233">
        <v>1.1812499999999999</v>
      </c>
      <c r="Y6233">
        <v>0.42303115386795948</v>
      </c>
    </row>
    <row r="6234" spans="1:25" x14ac:dyDescent="0.2">
      <c r="A6234" t="s">
        <v>678</v>
      </c>
      <c r="B6234">
        <v>2020</v>
      </c>
      <c r="C6234" t="s">
        <v>826</v>
      </c>
      <c r="D6234" t="s">
        <v>824</v>
      </c>
      <c r="E6234" t="s">
        <v>114</v>
      </c>
      <c r="F6234" t="s">
        <v>679</v>
      </c>
      <c r="G6234">
        <v>37.016666999999998</v>
      </c>
      <c r="H6234">
        <v>122.4</v>
      </c>
      <c r="I6234" t="s">
        <v>545</v>
      </c>
      <c r="J6234" s="2" t="s">
        <v>5</v>
      </c>
      <c r="K6234" t="s">
        <v>143</v>
      </c>
      <c r="L6234" t="s">
        <v>143</v>
      </c>
      <c r="M6234" t="s">
        <v>638</v>
      </c>
      <c r="N6234" t="s">
        <v>85</v>
      </c>
      <c r="O6234" t="s">
        <v>694</v>
      </c>
      <c r="P6234" t="s">
        <v>685</v>
      </c>
      <c r="Q6234">
        <v>90</v>
      </c>
      <c r="R6234" s="2" t="s">
        <v>213</v>
      </c>
      <c r="S6234" t="s">
        <v>9</v>
      </c>
      <c r="T6234">
        <v>10</v>
      </c>
      <c r="U6234">
        <v>7.8</v>
      </c>
      <c r="V6234">
        <v>1000</v>
      </c>
      <c r="W6234" t="s">
        <v>28</v>
      </c>
      <c r="X6234">
        <v>0.84375</v>
      </c>
      <c r="Y6234">
        <v>0.35468043967170559</v>
      </c>
    </row>
    <row r="6235" spans="1:25" x14ac:dyDescent="0.2">
      <c r="A6235" t="s">
        <v>678</v>
      </c>
      <c r="B6235">
        <v>2020</v>
      </c>
      <c r="C6235" t="s">
        <v>826</v>
      </c>
      <c r="D6235" t="s">
        <v>824</v>
      </c>
      <c r="E6235" t="s">
        <v>114</v>
      </c>
      <c r="F6235" t="s">
        <v>679</v>
      </c>
      <c r="G6235">
        <v>37.016666999999998</v>
      </c>
      <c r="H6235">
        <v>122.4</v>
      </c>
      <c r="I6235" t="s">
        <v>545</v>
      </c>
      <c r="J6235" s="2" t="s">
        <v>7</v>
      </c>
      <c r="K6235" t="s">
        <v>143</v>
      </c>
      <c r="L6235" t="s">
        <v>143</v>
      </c>
      <c r="M6235" t="s">
        <v>638</v>
      </c>
      <c r="N6235" t="s">
        <v>85</v>
      </c>
      <c r="O6235" t="s">
        <v>695</v>
      </c>
      <c r="P6235" t="s">
        <v>685</v>
      </c>
      <c r="Q6235">
        <v>60</v>
      </c>
      <c r="R6235" s="2" t="s">
        <v>214</v>
      </c>
      <c r="S6235" t="s">
        <v>7</v>
      </c>
      <c r="T6235">
        <v>3</v>
      </c>
      <c r="U6235">
        <v>8.1</v>
      </c>
      <c r="V6235">
        <v>400</v>
      </c>
      <c r="W6235" t="s">
        <v>28</v>
      </c>
      <c r="X6235">
        <v>2.4933333333333332</v>
      </c>
      <c r="Y6235">
        <v>0.78053400523829453</v>
      </c>
    </row>
    <row r="6236" spans="1:25" x14ac:dyDescent="0.2">
      <c r="A6236" t="s">
        <v>678</v>
      </c>
      <c r="B6236">
        <v>2020</v>
      </c>
      <c r="C6236" t="s">
        <v>826</v>
      </c>
      <c r="D6236" t="s">
        <v>824</v>
      </c>
      <c r="E6236" t="s">
        <v>114</v>
      </c>
      <c r="F6236" t="s">
        <v>679</v>
      </c>
      <c r="G6236">
        <v>37.016666999999998</v>
      </c>
      <c r="H6236">
        <v>122.4</v>
      </c>
      <c r="I6236" t="s">
        <v>545</v>
      </c>
      <c r="J6236" s="2" t="s">
        <v>5</v>
      </c>
      <c r="K6236" t="s">
        <v>143</v>
      </c>
      <c r="L6236" t="s">
        <v>143</v>
      </c>
      <c r="M6236" t="s">
        <v>638</v>
      </c>
      <c r="N6236" t="s">
        <v>85</v>
      </c>
      <c r="O6236" t="s">
        <v>695</v>
      </c>
      <c r="P6236" t="s">
        <v>685</v>
      </c>
      <c r="Q6236">
        <v>60</v>
      </c>
      <c r="R6236" s="2" t="s">
        <v>214</v>
      </c>
      <c r="S6236" t="s">
        <v>9</v>
      </c>
      <c r="T6236">
        <v>3</v>
      </c>
      <c r="U6236">
        <v>7.8</v>
      </c>
      <c r="V6236">
        <v>1000</v>
      </c>
      <c r="W6236" t="s">
        <v>28</v>
      </c>
      <c r="X6236">
        <v>5.97</v>
      </c>
      <c r="Y6236">
        <v>0.32078029864690888</v>
      </c>
    </row>
    <row r="6237" spans="1:25" x14ac:dyDescent="0.2">
      <c r="A6237" t="s">
        <v>678</v>
      </c>
      <c r="B6237">
        <v>2020</v>
      </c>
      <c r="C6237" t="s">
        <v>826</v>
      </c>
      <c r="D6237" t="s">
        <v>824</v>
      </c>
      <c r="E6237" t="s">
        <v>114</v>
      </c>
      <c r="F6237" t="s">
        <v>679</v>
      </c>
      <c r="G6237">
        <v>37.016666999999998</v>
      </c>
      <c r="H6237">
        <v>122.4</v>
      </c>
      <c r="I6237" t="s">
        <v>545</v>
      </c>
      <c r="J6237" s="2" t="s">
        <v>7</v>
      </c>
      <c r="K6237" t="s">
        <v>143</v>
      </c>
      <c r="L6237" t="s">
        <v>143</v>
      </c>
      <c r="M6237" t="s">
        <v>638</v>
      </c>
      <c r="N6237" t="s">
        <v>85</v>
      </c>
      <c r="O6237" t="s">
        <v>695</v>
      </c>
      <c r="P6237" t="s">
        <v>685</v>
      </c>
      <c r="Q6237">
        <v>90</v>
      </c>
      <c r="R6237" s="2" t="s">
        <v>213</v>
      </c>
      <c r="S6237" t="s">
        <v>7</v>
      </c>
      <c r="T6237">
        <v>10</v>
      </c>
      <c r="U6237">
        <v>8.1</v>
      </c>
      <c r="V6237">
        <v>400</v>
      </c>
      <c r="W6237" t="s">
        <v>28</v>
      </c>
      <c r="X6237">
        <v>2.9762500000000003</v>
      </c>
      <c r="Y6237">
        <v>1.1243275768209182</v>
      </c>
    </row>
    <row r="6238" spans="1:25" x14ac:dyDescent="0.2">
      <c r="A6238" t="s">
        <v>678</v>
      </c>
      <c r="B6238">
        <v>2020</v>
      </c>
      <c r="C6238" t="s">
        <v>826</v>
      </c>
      <c r="D6238" t="s">
        <v>824</v>
      </c>
      <c r="E6238" t="s">
        <v>114</v>
      </c>
      <c r="F6238" t="s">
        <v>679</v>
      </c>
      <c r="G6238">
        <v>37.016666999999998</v>
      </c>
      <c r="H6238">
        <v>122.4</v>
      </c>
      <c r="I6238" t="s">
        <v>545</v>
      </c>
      <c r="J6238" s="2" t="s">
        <v>5</v>
      </c>
      <c r="K6238" t="s">
        <v>143</v>
      </c>
      <c r="L6238" t="s">
        <v>143</v>
      </c>
      <c r="M6238" t="s">
        <v>638</v>
      </c>
      <c r="N6238" t="s">
        <v>85</v>
      </c>
      <c r="O6238" t="s">
        <v>695</v>
      </c>
      <c r="P6238" t="s">
        <v>685</v>
      </c>
      <c r="Q6238">
        <v>90</v>
      </c>
      <c r="R6238" s="2" t="s">
        <v>213</v>
      </c>
      <c r="S6238" t="s">
        <v>9</v>
      </c>
      <c r="T6238">
        <v>10</v>
      </c>
      <c r="U6238">
        <v>7.8</v>
      </c>
      <c r="V6238">
        <v>1000</v>
      </c>
      <c r="W6238" t="s">
        <v>28</v>
      </c>
      <c r="X6238">
        <v>3.15625</v>
      </c>
      <c r="Y6238">
        <v>0.68581416683280316</v>
      </c>
    </row>
    <row r="6239" spans="1:25" x14ac:dyDescent="0.2">
      <c r="A6239" t="s">
        <v>678</v>
      </c>
      <c r="B6239">
        <v>2020</v>
      </c>
      <c r="C6239" t="s">
        <v>826</v>
      </c>
      <c r="D6239" t="s">
        <v>824</v>
      </c>
      <c r="E6239" t="s">
        <v>114</v>
      </c>
      <c r="F6239" t="s">
        <v>679</v>
      </c>
      <c r="G6239">
        <v>37.016666999999998</v>
      </c>
      <c r="H6239">
        <v>122.4</v>
      </c>
      <c r="I6239" t="s">
        <v>545</v>
      </c>
      <c r="J6239" s="2" t="s">
        <v>7</v>
      </c>
      <c r="K6239" t="s">
        <v>143</v>
      </c>
      <c r="L6239" t="s">
        <v>143</v>
      </c>
      <c r="M6239" t="s">
        <v>638</v>
      </c>
      <c r="N6239" t="s">
        <v>85</v>
      </c>
      <c r="O6239" t="s">
        <v>696</v>
      </c>
      <c r="P6239" t="s">
        <v>685</v>
      </c>
      <c r="Q6239">
        <v>60</v>
      </c>
      <c r="R6239" s="2" t="s">
        <v>214</v>
      </c>
      <c r="S6239" t="s">
        <v>7</v>
      </c>
      <c r="T6239">
        <v>3</v>
      </c>
      <c r="U6239">
        <v>8.1</v>
      </c>
      <c r="V6239">
        <v>400</v>
      </c>
      <c r="W6239" t="s">
        <v>28</v>
      </c>
      <c r="X6239">
        <v>2.023333333333333</v>
      </c>
      <c r="Y6239">
        <v>0.44736264186153663</v>
      </c>
    </row>
    <row r="6240" spans="1:25" x14ac:dyDescent="0.2">
      <c r="A6240" t="s">
        <v>678</v>
      </c>
      <c r="B6240">
        <v>2020</v>
      </c>
      <c r="C6240" t="s">
        <v>826</v>
      </c>
      <c r="D6240" t="s">
        <v>824</v>
      </c>
      <c r="E6240" t="s">
        <v>114</v>
      </c>
      <c r="F6240" t="s">
        <v>679</v>
      </c>
      <c r="G6240">
        <v>37.016666999999998</v>
      </c>
      <c r="H6240">
        <v>122.4</v>
      </c>
      <c r="I6240" t="s">
        <v>545</v>
      </c>
      <c r="J6240" s="2" t="s">
        <v>5</v>
      </c>
      <c r="K6240" t="s">
        <v>143</v>
      </c>
      <c r="L6240" t="s">
        <v>143</v>
      </c>
      <c r="M6240" t="s">
        <v>638</v>
      </c>
      <c r="N6240" t="s">
        <v>85</v>
      </c>
      <c r="O6240" t="s">
        <v>696</v>
      </c>
      <c r="P6240" t="s">
        <v>685</v>
      </c>
      <c r="Q6240">
        <v>60</v>
      </c>
      <c r="R6240" s="2" t="s">
        <v>214</v>
      </c>
      <c r="S6240" t="s">
        <v>9</v>
      </c>
      <c r="T6240">
        <v>3</v>
      </c>
      <c r="U6240">
        <v>7.8</v>
      </c>
      <c r="V6240">
        <v>1000</v>
      </c>
      <c r="W6240" t="s">
        <v>28</v>
      </c>
      <c r="X6240">
        <v>4.37</v>
      </c>
      <c r="Y6240">
        <v>0.15132745950421553</v>
      </c>
    </row>
    <row r="6241" spans="1:25" x14ac:dyDescent="0.2">
      <c r="A6241" t="s">
        <v>678</v>
      </c>
      <c r="B6241">
        <v>2020</v>
      </c>
      <c r="C6241" t="s">
        <v>826</v>
      </c>
      <c r="D6241" t="s">
        <v>824</v>
      </c>
      <c r="E6241" t="s">
        <v>114</v>
      </c>
      <c r="F6241" t="s">
        <v>679</v>
      </c>
      <c r="G6241">
        <v>37.016666999999998</v>
      </c>
      <c r="H6241">
        <v>122.4</v>
      </c>
      <c r="I6241" t="s">
        <v>545</v>
      </c>
      <c r="J6241" s="2" t="s">
        <v>7</v>
      </c>
      <c r="K6241" t="s">
        <v>143</v>
      </c>
      <c r="L6241" t="s">
        <v>143</v>
      </c>
      <c r="M6241" t="s">
        <v>638</v>
      </c>
      <c r="N6241" t="s">
        <v>85</v>
      </c>
      <c r="O6241" t="s">
        <v>696</v>
      </c>
      <c r="P6241" t="s">
        <v>685</v>
      </c>
      <c r="Q6241">
        <v>90</v>
      </c>
      <c r="R6241" s="2" t="s">
        <v>213</v>
      </c>
      <c r="S6241" t="s">
        <v>7</v>
      </c>
      <c r="T6241">
        <v>10</v>
      </c>
      <c r="U6241">
        <v>8.1</v>
      </c>
      <c r="V6241">
        <v>400</v>
      </c>
      <c r="W6241" t="s">
        <v>28</v>
      </c>
      <c r="X6241">
        <v>3.44</v>
      </c>
      <c r="Y6241">
        <v>1.0576523868590149</v>
      </c>
    </row>
    <row r="6242" spans="1:25" x14ac:dyDescent="0.2">
      <c r="A6242" t="s">
        <v>678</v>
      </c>
      <c r="B6242">
        <v>2020</v>
      </c>
      <c r="C6242" t="s">
        <v>826</v>
      </c>
      <c r="D6242" t="s">
        <v>824</v>
      </c>
      <c r="E6242" t="s">
        <v>114</v>
      </c>
      <c r="F6242" t="s">
        <v>679</v>
      </c>
      <c r="G6242">
        <v>37.016666999999998</v>
      </c>
      <c r="H6242">
        <v>122.4</v>
      </c>
      <c r="I6242" t="s">
        <v>545</v>
      </c>
      <c r="J6242" s="2" t="s">
        <v>5</v>
      </c>
      <c r="K6242" t="s">
        <v>143</v>
      </c>
      <c r="L6242" t="s">
        <v>143</v>
      </c>
      <c r="M6242" t="s">
        <v>638</v>
      </c>
      <c r="N6242" t="s">
        <v>85</v>
      </c>
      <c r="O6242" t="s">
        <v>696</v>
      </c>
      <c r="P6242" t="s">
        <v>685</v>
      </c>
      <c r="Q6242">
        <v>90</v>
      </c>
      <c r="R6242" s="2" t="s">
        <v>213</v>
      </c>
      <c r="S6242" t="s">
        <v>9</v>
      </c>
      <c r="T6242">
        <v>10</v>
      </c>
      <c r="U6242">
        <v>7.8</v>
      </c>
      <c r="V6242">
        <v>1000</v>
      </c>
      <c r="W6242" t="s">
        <v>28</v>
      </c>
      <c r="X6242">
        <v>3.2025000000000001</v>
      </c>
      <c r="Y6242">
        <v>1.1217174332246058</v>
      </c>
    </row>
    <row r="6243" spans="1:25" x14ac:dyDescent="0.2">
      <c r="A6243" t="s">
        <v>678</v>
      </c>
      <c r="B6243">
        <v>2020</v>
      </c>
      <c r="C6243" t="s">
        <v>826</v>
      </c>
      <c r="D6243" t="s">
        <v>824</v>
      </c>
      <c r="E6243" t="s">
        <v>114</v>
      </c>
      <c r="F6243" t="s">
        <v>679</v>
      </c>
      <c r="G6243">
        <v>37.016666999999998</v>
      </c>
      <c r="H6243">
        <v>122.4</v>
      </c>
      <c r="I6243" t="s">
        <v>545</v>
      </c>
      <c r="J6243" s="2" t="s">
        <v>7</v>
      </c>
      <c r="K6243" t="s">
        <v>143</v>
      </c>
      <c r="L6243" t="s">
        <v>143</v>
      </c>
      <c r="M6243" t="s">
        <v>638</v>
      </c>
      <c r="N6243" t="s">
        <v>85</v>
      </c>
      <c r="O6243" t="s">
        <v>697</v>
      </c>
      <c r="P6243" t="s">
        <v>685</v>
      </c>
      <c r="Q6243">
        <v>60</v>
      </c>
      <c r="R6243" s="2" t="s">
        <v>214</v>
      </c>
      <c r="S6243" t="s">
        <v>7</v>
      </c>
      <c r="T6243">
        <v>3</v>
      </c>
      <c r="U6243">
        <v>8.1</v>
      </c>
      <c r="V6243">
        <v>400</v>
      </c>
      <c r="W6243" t="s">
        <v>28</v>
      </c>
      <c r="X6243">
        <v>0.78333333333333321</v>
      </c>
      <c r="Y6243">
        <v>0.16441816606851439</v>
      </c>
    </row>
    <row r="6244" spans="1:25" x14ac:dyDescent="0.2">
      <c r="A6244" t="s">
        <v>678</v>
      </c>
      <c r="B6244">
        <v>2020</v>
      </c>
      <c r="C6244" t="s">
        <v>826</v>
      </c>
      <c r="D6244" t="s">
        <v>824</v>
      </c>
      <c r="E6244" t="s">
        <v>114</v>
      </c>
      <c r="F6244" t="s">
        <v>679</v>
      </c>
      <c r="G6244">
        <v>37.016666999999998</v>
      </c>
      <c r="H6244">
        <v>122.4</v>
      </c>
      <c r="I6244" t="s">
        <v>545</v>
      </c>
      <c r="J6244" s="2" t="s">
        <v>5</v>
      </c>
      <c r="K6244" t="s">
        <v>143</v>
      </c>
      <c r="L6244" t="s">
        <v>143</v>
      </c>
      <c r="M6244" t="s">
        <v>638</v>
      </c>
      <c r="N6244" t="s">
        <v>85</v>
      </c>
      <c r="O6244" t="s">
        <v>697</v>
      </c>
      <c r="P6244" t="s">
        <v>685</v>
      </c>
      <c r="Q6244">
        <v>60</v>
      </c>
      <c r="R6244" s="2" t="s">
        <v>214</v>
      </c>
      <c r="S6244" t="s">
        <v>9</v>
      </c>
      <c r="T6244">
        <v>3</v>
      </c>
      <c r="U6244">
        <v>7.8</v>
      </c>
      <c r="V6244">
        <v>1000</v>
      </c>
      <c r="W6244" t="s">
        <v>28</v>
      </c>
      <c r="X6244">
        <v>1.843333333333333</v>
      </c>
      <c r="Y6244">
        <v>0.13428824718989124</v>
      </c>
    </row>
    <row r="6245" spans="1:25" x14ac:dyDescent="0.2">
      <c r="A6245" t="s">
        <v>678</v>
      </c>
      <c r="B6245">
        <v>2020</v>
      </c>
      <c r="C6245" t="s">
        <v>826</v>
      </c>
      <c r="D6245" t="s">
        <v>824</v>
      </c>
      <c r="E6245" t="s">
        <v>114</v>
      </c>
      <c r="F6245" t="s">
        <v>679</v>
      </c>
      <c r="G6245">
        <v>37.016666999999998</v>
      </c>
      <c r="H6245">
        <v>122.4</v>
      </c>
      <c r="I6245" t="s">
        <v>545</v>
      </c>
      <c r="J6245" s="2" t="s">
        <v>7</v>
      </c>
      <c r="K6245" t="s">
        <v>143</v>
      </c>
      <c r="L6245" t="s">
        <v>143</v>
      </c>
      <c r="M6245" t="s">
        <v>638</v>
      </c>
      <c r="N6245" t="s">
        <v>85</v>
      </c>
      <c r="O6245" t="s">
        <v>697</v>
      </c>
      <c r="P6245" t="s">
        <v>685</v>
      </c>
      <c r="Q6245">
        <v>90</v>
      </c>
      <c r="R6245" s="2" t="s">
        <v>213</v>
      </c>
      <c r="S6245" t="s">
        <v>7</v>
      </c>
      <c r="T6245">
        <v>10</v>
      </c>
      <c r="U6245">
        <v>8.1</v>
      </c>
      <c r="V6245">
        <v>400</v>
      </c>
      <c r="W6245" t="s">
        <v>28</v>
      </c>
      <c r="X6245">
        <v>1.14375</v>
      </c>
      <c r="Y6245">
        <v>0.35274181168991786</v>
      </c>
    </row>
    <row r="6246" spans="1:25" x14ac:dyDescent="0.2">
      <c r="A6246" t="s">
        <v>678</v>
      </c>
      <c r="B6246">
        <v>2020</v>
      </c>
      <c r="C6246" t="s">
        <v>826</v>
      </c>
      <c r="D6246" t="s">
        <v>824</v>
      </c>
      <c r="E6246" t="s">
        <v>114</v>
      </c>
      <c r="F6246" t="s">
        <v>679</v>
      </c>
      <c r="G6246">
        <v>37.016666999999998</v>
      </c>
      <c r="H6246">
        <v>122.4</v>
      </c>
      <c r="I6246" t="s">
        <v>545</v>
      </c>
      <c r="J6246" s="2" t="s">
        <v>5</v>
      </c>
      <c r="K6246" t="s">
        <v>143</v>
      </c>
      <c r="L6246" t="s">
        <v>143</v>
      </c>
      <c r="M6246" t="s">
        <v>638</v>
      </c>
      <c r="N6246" t="s">
        <v>85</v>
      </c>
      <c r="O6246" t="s">
        <v>697</v>
      </c>
      <c r="P6246" t="s">
        <v>685</v>
      </c>
      <c r="Q6246">
        <v>90</v>
      </c>
      <c r="R6246" s="2" t="s">
        <v>213</v>
      </c>
      <c r="S6246" t="s">
        <v>9</v>
      </c>
      <c r="T6246">
        <v>10</v>
      </c>
      <c r="U6246">
        <v>7.8</v>
      </c>
      <c r="V6246">
        <v>1000</v>
      </c>
      <c r="W6246" t="s">
        <v>28</v>
      </c>
      <c r="X6246">
        <v>0.88</v>
      </c>
      <c r="Y6246">
        <v>0.32504944678793568</v>
      </c>
    </row>
    <row r="6247" spans="1:25" x14ac:dyDescent="0.2">
      <c r="A6247" t="s">
        <v>678</v>
      </c>
      <c r="B6247">
        <v>2020</v>
      </c>
      <c r="C6247" t="s">
        <v>826</v>
      </c>
      <c r="D6247" t="s">
        <v>824</v>
      </c>
      <c r="E6247" t="s">
        <v>114</v>
      </c>
      <c r="F6247" t="s">
        <v>679</v>
      </c>
      <c r="G6247">
        <v>37.016666999999998</v>
      </c>
      <c r="H6247">
        <v>122.4</v>
      </c>
      <c r="I6247" t="s">
        <v>545</v>
      </c>
      <c r="J6247" s="2" t="s">
        <v>7</v>
      </c>
      <c r="K6247" t="s">
        <v>143</v>
      </c>
      <c r="L6247" t="s">
        <v>143</v>
      </c>
      <c r="M6247" t="s">
        <v>638</v>
      </c>
      <c r="N6247" t="s">
        <v>85</v>
      </c>
      <c r="O6247" t="s">
        <v>698</v>
      </c>
      <c r="P6247" t="s">
        <v>685</v>
      </c>
      <c r="Q6247">
        <v>60</v>
      </c>
      <c r="R6247" s="2" t="s">
        <v>214</v>
      </c>
      <c r="S6247" t="s">
        <v>7</v>
      </c>
      <c r="T6247">
        <v>3</v>
      </c>
      <c r="U6247">
        <v>8.1</v>
      </c>
      <c r="V6247">
        <v>400</v>
      </c>
      <c r="W6247" t="s">
        <v>28</v>
      </c>
      <c r="X6247">
        <v>1.6333333333333331</v>
      </c>
      <c r="Y6247">
        <v>0.25813433195399205</v>
      </c>
    </row>
    <row r="6248" spans="1:25" x14ac:dyDescent="0.2">
      <c r="A6248" t="s">
        <v>678</v>
      </c>
      <c r="B6248">
        <v>2020</v>
      </c>
      <c r="C6248" t="s">
        <v>826</v>
      </c>
      <c r="D6248" t="s">
        <v>824</v>
      </c>
      <c r="E6248" t="s">
        <v>114</v>
      </c>
      <c r="F6248" t="s">
        <v>679</v>
      </c>
      <c r="G6248">
        <v>37.016666999999998</v>
      </c>
      <c r="H6248">
        <v>122.4</v>
      </c>
      <c r="I6248" t="s">
        <v>545</v>
      </c>
      <c r="J6248" s="2" t="s">
        <v>5</v>
      </c>
      <c r="K6248" t="s">
        <v>143</v>
      </c>
      <c r="L6248" t="s">
        <v>143</v>
      </c>
      <c r="M6248" t="s">
        <v>638</v>
      </c>
      <c r="N6248" t="s">
        <v>85</v>
      </c>
      <c r="O6248" t="s">
        <v>698</v>
      </c>
      <c r="P6248" t="s">
        <v>685</v>
      </c>
      <c r="Q6248">
        <v>60</v>
      </c>
      <c r="R6248" s="2" t="s">
        <v>214</v>
      </c>
      <c r="S6248" t="s">
        <v>9</v>
      </c>
      <c r="T6248">
        <v>3</v>
      </c>
      <c r="U6248">
        <v>7.8</v>
      </c>
      <c r="V6248">
        <v>1000</v>
      </c>
      <c r="W6248" t="s">
        <v>28</v>
      </c>
      <c r="X6248">
        <v>3.4733333333333332</v>
      </c>
      <c r="Y6248">
        <v>0.17953644012660303</v>
      </c>
    </row>
    <row r="6249" spans="1:25" x14ac:dyDescent="0.2">
      <c r="A6249" t="s">
        <v>678</v>
      </c>
      <c r="B6249">
        <v>2020</v>
      </c>
      <c r="C6249" t="s">
        <v>826</v>
      </c>
      <c r="D6249" t="s">
        <v>824</v>
      </c>
      <c r="E6249" t="s">
        <v>114</v>
      </c>
      <c r="F6249" t="s">
        <v>679</v>
      </c>
      <c r="G6249">
        <v>37.016666999999998</v>
      </c>
      <c r="H6249">
        <v>122.4</v>
      </c>
      <c r="I6249" t="s">
        <v>545</v>
      </c>
      <c r="J6249" s="2" t="s">
        <v>7</v>
      </c>
      <c r="K6249" t="s">
        <v>143</v>
      </c>
      <c r="L6249" t="s">
        <v>143</v>
      </c>
      <c r="M6249" t="s">
        <v>638</v>
      </c>
      <c r="N6249" t="s">
        <v>85</v>
      </c>
      <c r="O6249" t="s">
        <v>698</v>
      </c>
      <c r="P6249" t="s">
        <v>685</v>
      </c>
      <c r="Q6249">
        <v>90</v>
      </c>
      <c r="R6249" s="2" t="s">
        <v>213</v>
      </c>
      <c r="S6249" t="s">
        <v>7</v>
      </c>
      <c r="T6249">
        <v>10</v>
      </c>
      <c r="U6249">
        <v>8.1</v>
      </c>
      <c r="V6249">
        <v>400</v>
      </c>
      <c r="W6249" t="s">
        <v>28</v>
      </c>
      <c r="X6249">
        <v>2.1687500000000002</v>
      </c>
      <c r="Y6249">
        <v>0.6008193809885195</v>
      </c>
    </row>
    <row r="6250" spans="1:25" x14ac:dyDescent="0.2">
      <c r="A6250" t="s">
        <v>678</v>
      </c>
      <c r="B6250">
        <v>2020</v>
      </c>
      <c r="C6250" t="s">
        <v>826</v>
      </c>
      <c r="D6250" t="s">
        <v>824</v>
      </c>
      <c r="E6250" t="s">
        <v>114</v>
      </c>
      <c r="F6250" t="s">
        <v>679</v>
      </c>
      <c r="G6250">
        <v>37.016666999999998</v>
      </c>
      <c r="H6250">
        <v>122.4</v>
      </c>
      <c r="I6250" t="s">
        <v>545</v>
      </c>
      <c r="J6250" s="2" t="s">
        <v>5</v>
      </c>
      <c r="K6250" t="s">
        <v>143</v>
      </c>
      <c r="L6250" t="s">
        <v>143</v>
      </c>
      <c r="M6250" t="s">
        <v>638</v>
      </c>
      <c r="N6250" t="s">
        <v>85</v>
      </c>
      <c r="O6250" t="s">
        <v>698</v>
      </c>
      <c r="P6250" t="s">
        <v>685</v>
      </c>
      <c r="Q6250">
        <v>90</v>
      </c>
      <c r="R6250" s="2" t="s">
        <v>213</v>
      </c>
      <c r="S6250" t="s">
        <v>9</v>
      </c>
      <c r="T6250">
        <v>10</v>
      </c>
      <c r="U6250">
        <v>7.8</v>
      </c>
      <c r="V6250">
        <v>1000</v>
      </c>
      <c r="W6250" t="s">
        <v>28</v>
      </c>
      <c r="X6250">
        <v>2.0962499999999999</v>
      </c>
      <c r="Y6250">
        <v>0.47629335198263972</v>
      </c>
    </row>
    <row r="6251" spans="1:25" x14ac:dyDescent="0.2">
      <c r="A6251" t="s">
        <v>678</v>
      </c>
      <c r="B6251">
        <v>2020</v>
      </c>
      <c r="C6251" t="s">
        <v>826</v>
      </c>
      <c r="D6251" t="s">
        <v>824</v>
      </c>
      <c r="E6251" t="s">
        <v>114</v>
      </c>
      <c r="F6251" t="s">
        <v>679</v>
      </c>
      <c r="G6251">
        <v>37.016666999999998</v>
      </c>
      <c r="H6251">
        <v>122.4</v>
      </c>
      <c r="I6251" t="s">
        <v>545</v>
      </c>
      <c r="J6251" s="2" t="s">
        <v>7</v>
      </c>
      <c r="K6251" t="s">
        <v>143</v>
      </c>
      <c r="L6251" t="s">
        <v>143</v>
      </c>
      <c r="M6251" t="s">
        <v>638</v>
      </c>
      <c r="N6251" t="s">
        <v>85</v>
      </c>
      <c r="O6251" t="s">
        <v>699</v>
      </c>
      <c r="P6251" t="s">
        <v>685</v>
      </c>
      <c r="Q6251">
        <v>60</v>
      </c>
      <c r="R6251" s="2" t="s">
        <v>214</v>
      </c>
      <c r="S6251" t="s">
        <v>7</v>
      </c>
      <c r="T6251">
        <v>3</v>
      </c>
      <c r="U6251">
        <v>8.1</v>
      </c>
      <c r="V6251">
        <v>400</v>
      </c>
      <c r="W6251" t="s">
        <v>28</v>
      </c>
      <c r="X6251">
        <v>2.8066666666666666</v>
      </c>
      <c r="Y6251">
        <v>0.59685285735542382</v>
      </c>
    </row>
    <row r="6252" spans="1:25" x14ac:dyDescent="0.2">
      <c r="A6252" t="s">
        <v>678</v>
      </c>
      <c r="B6252">
        <v>2020</v>
      </c>
      <c r="C6252" t="s">
        <v>826</v>
      </c>
      <c r="D6252" t="s">
        <v>824</v>
      </c>
      <c r="E6252" t="s">
        <v>114</v>
      </c>
      <c r="F6252" t="s">
        <v>679</v>
      </c>
      <c r="G6252">
        <v>37.016666999999998</v>
      </c>
      <c r="H6252">
        <v>122.4</v>
      </c>
      <c r="I6252" t="s">
        <v>545</v>
      </c>
      <c r="J6252" s="2" t="s">
        <v>5</v>
      </c>
      <c r="K6252" t="s">
        <v>143</v>
      </c>
      <c r="L6252" t="s">
        <v>143</v>
      </c>
      <c r="M6252" t="s">
        <v>638</v>
      </c>
      <c r="N6252" t="s">
        <v>85</v>
      </c>
      <c r="O6252" t="s">
        <v>699</v>
      </c>
      <c r="P6252" t="s">
        <v>685</v>
      </c>
      <c r="Q6252">
        <v>60</v>
      </c>
      <c r="R6252" s="2" t="s">
        <v>214</v>
      </c>
      <c r="S6252" t="s">
        <v>9</v>
      </c>
      <c r="T6252">
        <v>3</v>
      </c>
      <c r="U6252">
        <v>7.8</v>
      </c>
      <c r="V6252">
        <v>1000</v>
      </c>
      <c r="W6252" t="s">
        <v>28</v>
      </c>
      <c r="X6252">
        <v>6.4600000000000009</v>
      </c>
      <c r="Y6252">
        <v>0.15716233645501712</v>
      </c>
    </row>
    <row r="6253" spans="1:25" x14ac:dyDescent="0.2">
      <c r="A6253" t="s">
        <v>678</v>
      </c>
      <c r="B6253">
        <v>2020</v>
      </c>
      <c r="C6253" t="s">
        <v>826</v>
      </c>
      <c r="D6253" t="s">
        <v>824</v>
      </c>
      <c r="E6253" t="s">
        <v>114</v>
      </c>
      <c r="F6253" t="s">
        <v>679</v>
      </c>
      <c r="G6253">
        <v>37.016666999999998</v>
      </c>
      <c r="H6253">
        <v>122.4</v>
      </c>
      <c r="I6253" t="s">
        <v>545</v>
      </c>
      <c r="J6253" s="2" t="s">
        <v>7</v>
      </c>
      <c r="K6253" t="s">
        <v>143</v>
      </c>
      <c r="L6253" t="s">
        <v>143</v>
      </c>
      <c r="M6253" t="s">
        <v>638</v>
      </c>
      <c r="N6253" t="s">
        <v>85</v>
      </c>
      <c r="O6253" t="s">
        <v>699</v>
      </c>
      <c r="P6253" t="s">
        <v>685</v>
      </c>
      <c r="Q6253">
        <v>90</v>
      </c>
      <c r="R6253" s="2" t="s">
        <v>213</v>
      </c>
      <c r="S6253" t="s">
        <v>7</v>
      </c>
      <c r="T6253">
        <v>10</v>
      </c>
      <c r="U6253">
        <v>8.1</v>
      </c>
      <c r="V6253">
        <v>400</v>
      </c>
      <c r="W6253" t="s">
        <v>28</v>
      </c>
      <c r="X6253">
        <v>4.3900000000000006</v>
      </c>
      <c r="Y6253">
        <v>1.1873018631694758</v>
      </c>
    </row>
    <row r="6254" spans="1:25" x14ac:dyDescent="0.2">
      <c r="A6254" t="s">
        <v>678</v>
      </c>
      <c r="B6254">
        <v>2020</v>
      </c>
      <c r="C6254" t="s">
        <v>826</v>
      </c>
      <c r="D6254" t="s">
        <v>824</v>
      </c>
      <c r="E6254" t="s">
        <v>114</v>
      </c>
      <c r="F6254" t="s">
        <v>679</v>
      </c>
      <c r="G6254">
        <v>37.016666999999998</v>
      </c>
      <c r="H6254">
        <v>122.4</v>
      </c>
      <c r="I6254" t="s">
        <v>545</v>
      </c>
      <c r="J6254" s="2" t="s">
        <v>5</v>
      </c>
      <c r="K6254" t="s">
        <v>143</v>
      </c>
      <c r="L6254" t="s">
        <v>143</v>
      </c>
      <c r="M6254" t="s">
        <v>638</v>
      </c>
      <c r="N6254" t="s">
        <v>85</v>
      </c>
      <c r="O6254" t="s">
        <v>699</v>
      </c>
      <c r="P6254" t="s">
        <v>685</v>
      </c>
      <c r="Q6254">
        <v>90</v>
      </c>
      <c r="R6254" s="2" t="s">
        <v>213</v>
      </c>
      <c r="S6254" t="s">
        <v>9</v>
      </c>
      <c r="T6254">
        <v>10</v>
      </c>
      <c r="U6254">
        <v>7.8</v>
      </c>
      <c r="V6254">
        <v>1000</v>
      </c>
      <c r="W6254" t="s">
        <v>28</v>
      </c>
      <c r="X6254">
        <v>4.5475000000000003</v>
      </c>
      <c r="Y6254">
        <v>1.5018631286315187</v>
      </c>
    </row>
    <row r="6255" spans="1:25" x14ac:dyDescent="0.2">
      <c r="A6255" t="s">
        <v>678</v>
      </c>
      <c r="B6255">
        <v>2020</v>
      </c>
      <c r="C6255" t="s">
        <v>826</v>
      </c>
      <c r="D6255" t="s">
        <v>824</v>
      </c>
      <c r="E6255" t="s">
        <v>114</v>
      </c>
      <c r="F6255" t="s">
        <v>679</v>
      </c>
      <c r="G6255">
        <v>37.016666999999998</v>
      </c>
      <c r="H6255">
        <v>122.4</v>
      </c>
      <c r="I6255" t="s">
        <v>545</v>
      </c>
      <c r="J6255" s="2" t="s">
        <v>7</v>
      </c>
      <c r="K6255" t="s">
        <v>143</v>
      </c>
      <c r="L6255" t="s">
        <v>143</v>
      </c>
      <c r="M6255" t="s">
        <v>638</v>
      </c>
      <c r="N6255" t="s">
        <v>85</v>
      </c>
      <c r="O6255" t="s">
        <v>700</v>
      </c>
      <c r="P6255" t="s">
        <v>685</v>
      </c>
      <c r="Q6255">
        <v>60</v>
      </c>
      <c r="R6255" s="2" t="s">
        <v>214</v>
      </c>
      <c r="S6255" t="s">
        <v>7</v>
      </c>
      <c r="T6255">
        <v>3</v>
      </c>
      <c r="U6255">
        <v>8.1</v>
      </c>
      <c r="V6255">
        <v>400</v>
      </c>
      <c r="W6255" t="s">
        <v>28</v>
      </c>
      <c r="X6255">
        <v>1.7633333333333334</v>
      </c>
      <c r="Y6255">
        <v>0.22368132093076831</v>
      </c>
    </row>
    <row r="6256" spans="1:25" x14ac:dyDescent="0.2">
      <c r="A6256" t="s">
        <v>678</v>
      </c>
      <c r="B6256">
        <v>2020</v>
      </c>
      <c r="C6256" t="s">
        <v>826</v>
      </c>
      <c r="D6256" t="s">
        <v>824</v>
      </c>
      <c r="E6256" t="s">
        <v>114</v>
      </c>
      <c r="F6256" t="s">
        <v>679</v>
      </c>
      <c r="G6256">
        <v>37.016666999999998</v>
      </c>
      <c r="H6256">
        <v>122.4</v>
      </c>
      <c r="I6256" t="s">
        <v>545</v>
      </c>
      <c r="J6256" s="2" t="s">
        <v>5</v>
      </c>
      <c r="K6256" t="s">
        <v>143</v>
      </c>
      <c r="L6256" t="s">
        <v>143</v>
      </c>
      <c r="M6256" t="s">
        <v>638</v>
      </c>
      <c r="N6256" t="s">
        <v>85</v>
      </c>
      <c r="O6256" t="s">
        <v>700</v>
      </c>
      <c r="P6256" t="s">
        <v>685</v>
      </c>
      <c r="Q6256">
        <v>60</v>
      </c>
      <c r="R6256" s="2" t="s">
        <v>214</v>
      </c>
      <c r="S6256" t="s">
        <v>9</v>
      </c>
      <c r="T6256">
        <v>3</v>
      </c>
      <c r="U6256">
        <v>7.8</v>
      </c>
      <c r="V6256">
        <v>1000</v>
      </c>
      <c r="W6256" t="s">
        <v>28</v>
      </c>
      <c r="X6256">
        <v>4.08</v>
      </c>
      <c r="Y6256">
        <v>6.0827625302982434E-2</v>
      </c>
    </row>
    <row r="6257" spans="1:25" x14ac:dyDescent="0.2">
      <c r="A6257" t="s">
        <v>678</v>
      </c>
      <c r="B6257">
        <v>2020</v>
      </c>
      <c r="C6257" t="s">
        <v>826</v>
      </c>
      <c r="D6257" t="s">
        <v>824</v>
      </c>
      <c r="E6257" t="s">
        <v>114</v>
      </c>
      <c r="F6257" t="s">
        <v>679</v>
      </c>
      <c r="G6257">
        <v>37.016666999999998</v>
      </c>
      <c r="H6257">
        <v>122.4</v>
      </c>
      <c r="I6257" t="s">
        <v>545</v>
      </c>
      <c r="J6257" s="2" t="s">
        <v>7</v>
      </c>
      <c r="K6257" t="s">
        <v>143</v>
      </c>
      <c r="L6257" t="s">
        <v>143</v>
      </c>
      <c r="M6257" t="s">
        <v>638</v>
      </c>
      <c r="N6257" t="s">
        <v>85</v>
      </c>
      <c r="O6257" t="s">
        <v>700</v>
      </c>
      <c r="P6257" t="s">
        <v>685</v>
      </c>
      <c r="Q6257">
        <v>90</v>
      </c>
      <c r="R6257" s="2" t="s">
        <v>213</v>
      </c>
      <c r="S6257" t="s">
        <v>7</v>
      </c>
      <c r="T6257">
        <v>10</v>
      </c>
      <c r="U6257">
        <v>8.1</v>
      </c>
      <c r="V6257">
        <v>400</v>
      </c>
      <c r="W6257" t="s">
        <v>28</v>
      </c>
      <c r="X6257">
        <v>2.6037500000000002</v>
      </c>
      <c r="Y6257">
        <v>0.75202464815228653</v>
      </c>
    </row>
    <row r="6258" spans="1:25" x14ac:dyDescent="0.2">
      <c r="A6258" t="s">
        <v>678</v>
      </c>
      <c r="B6258">
        <v>2020</v>
      </c>
      <c r="C6258" t="s">
        <v>826</v>
      </c>
      <c r="D6258" t="s">
        <v>824</v>
      </c>
      <c r="E6258" t="s">
        <v>114</v>
      </c>
      <c r="F6258" t="s">
        <v>679</v>
      </c>
      <c r="G6258">
        <v>37.016666999999998</v>
      </c>
      <c r="H6258">
        <v>122.4</v>
      </c>
      <c r="I6258" t="s">
        <v>545</v>
      </c>
      <c r="J6258" s="2" t="s">
        <v>5</v>
      </c>
      <c r="K6258" t="s">
        <v>143</v>
      </c>
      <c r="L6258" t="s">
        <v>143</v>
      </c>
      <c r="M6258" t="s">
        <v>638</v>
      </c>
      <c r="N6258" t="s">
        <v>85</v>
      </c>
      <c r="O6258" t="s">
        <v>700</v>
      </c>
      <c r="P6258" t="s">
        <v>685</v>
      </c>
      <c r="Q6258">
        <v>90</v>
      </c>
      <c r="R6258" s="2" t="s">
        <v>213</v>
      </c>
      <c r="S6258" t="s">
        <v>9</v>
      </c>
      <c r="T6258">
        <v>10</v>
      </c>
      <c r="U6258">
        <v>7.8</v>
      </c>
      <c r="V6258">
        <v>1000</v>
      </c>
      <c r="W6258" t="s">
        <v>28</v>
      </c>
      <c r="X6258">
        <v>2.605</v>
      </c>
      <c r="Y6258">
        <v>0.73139787882031548</v>
      </c>
    </row>
    <row r="6259" spans="1:25" x14ac:dyDescent="0.2">
      <c r="A6259" t="s">
        <v>678</v>
      </c>
      <c r="B6259">
        <v>2020</v>
      </c>
      <c r="C6259" t="s">
        <v>826</v>
      </c>
      <c r="D6259" t="s">
        <v>824</v>
      </c>
      <c r="E6259" t="s">
        <v>114</v>
      </c>
      <c r="F6259" t="s">
        <v>679</v>
      </c>
      <c r="G6259">
        <v>37.016666999999998</v>
      </c>
      <c r="H6259">
        <v>122.4</v>
      </c>
      <c r="I6259" t="s">
        <v>545</v>
      </c>
      <c r="J6259" s="2" t="s">
        <v>7</v>
      </c>
      <c r="K6259" t="s">
        <v>143</v>
      </c>
      <c r="L6259" t="s">
        <v>143</v>
      </c>
      <c r="M6259" t="s">
        <v>638</v>
      </c>
      <c r="N6259" t="s">
        <v>85</v>
      </c>
      <c r="O6259" t="s">
        <v>701</v>
      </c>
      <c r="P6259" t="s">
        <v>685</v>
      </c>
      <c r="Q6259">
        <v>60</v>
      </c>
      <c r="R6259" s="2" t="s">
        <v>214</v>
      </c>
      <c r="S6259" t="s">
        <v>7</v>
      </c>
      <c r="T6259">
        <v>3</v>
      </c>
      <c r="U6259">
        <v>8.1</v>
      </c>
      <c r="V6259">
        <v>400</v>
      </c>
      <c r="W6259" t="s">
        <v>28</v>
      </c>
      <c r="X6259">
        <v>1.8566666666666667</v>
      </c>
      <c r="Y6259">
        <v>0.342977161533145</v>
      </c>
    </row>
    <row r="6260" spans="1:25" x14ac:dyDescent="0.2">
      <c r="A6260" t="s">
        <v>678</v>
      </c>
      <c r="B6260">
        <v>2020</v>
      </c>
      <c r="C6260" t="s">
        <v>826</v>
      </c>
      <c r="D6260" t="s">
        <v>824</v>
      </c>
      <c r="E6260" t="s">
        <v>114</v>
      </c>
      <c r="F6260" t="s">
        <v>679</v>
      </c>
      <c r="G6260">
        <v>37.016666999999998</v>
      </c>
      <c r="H6260">
        <v>122.4</v>
      </c>
      <c r="I6260" t="s">
        <v>545</v>
      </c>
      <c r="J6260" s="2" t="s">
        <v>5</v>
      </c>
      <c r="K6260" t="s">
        <v>143</v>
      </c>
      <c r="L6260" t="s">
        <v>143</v>
      </c>
      <c r="M6260" t="s">
        <v>638</v>
      </c>
      <c r="N6260" t="s">
        <v>85</v>
      </c>
      <c r="O6260" t="s">
        <v>701</v>
      </c>
      <c r="P6260" t="s">
        <v>685</v>
      </c>
      <c r="Q6260">
        <v>60</v>
      </c>
      <c r="R6260" s="2" t="s">
        <v>214</v>
      </c>
      <c r="S6260" t="s">
        <v>9</v>
      </c>
      <c r="T6260">
        <v>3</v>
      </c>
      <c r="U6260">
        <v>7.8</v>
      </c>
      <c r="V6260">
        <v>1000</v>
      </c>
      <c r="W6260" t="s">
        <v>28</v>
      </c>
      <c r="X6260">
        <v>4</v>
      </c>
      <c r="Y6260">
        <v>7.0000000000000062E-2</v>
      </c>
    </row>
    <row r="6261" spans="1:25" x14ac:dyDescent="0.2">
      <c r="A6261" t="s">
        <v>678</v>
      </c>
      <c r="B6261">
        <v>2020</v>
      </c>
      <c r="C6261" t="s">
        <v>826</v>
      </c>
      <c r="D6261" t="s">
        <v>824</v>
      </c>
      <c r="E6261" t="s">
        <v>114</v>
      </c>
      <c r="F6261" t="s">
        <v>679</v>
      </c>
      <c r="G6261">
        <v>37.016666999999998</v>
      </c>
      <c r="H6261">
        <v>122.4</v>
      </c>
      <c r="I6261" t="s">
        <v>545</v>
      </c>
      <c r="J6261" s="2" t="s">
        <v>7</v>
      </c>
      <c r="K6261" t="s">
        <v>143</v>
      </c>
      <c r="L6261" t="s">
        <v>143</v>
      </c>
      <c r="M6261" t="s">
        <v>638</v>
      </c>
      <c r="N6261" t="s">
        <v>85</v>
      </c>
      <c r="O6261" t="s">
        <v>701</v>
      </c>
      <c r="P6261" t="s">
        <v>685</v>
      </c>
      <c r="Q6261">
        <v>90</v>
      </c>
      <c r="R6261" s="2" t="s">
        <v>213</v>
      </c>
      <c r="S6261" t="s">
        <v>7</v>
      </c>
      <c r="T6261">
        <v>10</v>
      </c>
      <c r="U6261">
        <v>8.1</v>
      </c>
      <c r="V6261">
        <v>400</v>
      </c>
      <c r="W6261" t="s">
        <v>28</v>
      </c>
      <c r="X6261">
        <v>2.5099999999999998</v>
      </c>
      <c r="Y6261">
        <v>0.6806089710168195</v>
      </c>
    </row>
    <row r="6262" spans="1:25" x14ac:dyDescent="0.2">
      <c r="A6262" t="s">
        <v>678</v>
      </c>
      <c r="B6262">
        <v>2020</v>
      </c>
      <c r="C6262" t="s">
        <v>826</v>
      </c>
      <c r="D6262" t="s">
        <v>824</v>
      </c>
      <c r="E6262" t="s">
        <v>114</v>
      </c>
      <c r="F6262" t="s">
        <v>679</v>
      </c>
      <c r="G6262">
        <v>37.016666999999998</v>
      </c>
      <c r="H6262">
        <v>122.4</v>
      </c>
      <c r="I6262" t="s">
        <v>545</v>
      </c>
      <c r="J6262" s="2" t="s">
        <v>5</v>
      </c>
      <c r="K6262" t="s">
        <v>143</v>
      </c>
      <c r="L6262" t="s">
        <v>143</v>
      </c>
      <c r="M6262" t="s">
        <v>638</v>
      </c>
      <c r="N6262" t="s">
        <v>85</v>
      </c>
      <c r="O6262" t="s">
        <v>701</v>
      </c>
      <c r="P6262" t="s">
        <v>685</v>
      </c>
      <c r="Q6262">
        <v>90</v>
      </c>
      <c r="R6262" s="2" t="s">
        <v>213</v>
      </c>
      <c r="S6262" t="s">
        <v>9</v>
      </c>
      <c r="T6262">
        <v>10</v>
      </c>
      <c r="U6262">
        <v>7.8</v>
      </c>
      <c r="V6262">
        <v>1000</v>
      </c>
      <c r="W6262" t="s">
        <v>28</v>
      </c>
      <c r="X6262">
        <v>2.82375</v>
      </c>
      <c r="Y6262">
        <v>1.0468174557745415</v>
      </c>
    </row>
    <row r="6263" spans="1:25" x14ac:dyDescent="0.2">
      <c r="A6263" t="s">
        <v>678</v>
      </c>
      <c r="B6263">
        <v>2020</v>
      </c>
      <c r="C6263" t="s">
        <v>826</v>
      </c>
      <c r="D6263" t="s">
        <v>824</v>
      </c>
      <c r="E6263" t="s">
        <v>114</v>
      </c>
      <c r="F6263" t="s">
        <v>679</v>
      </c>
      <c r="G6263">
        <v>37.016666999999998</v>
      </c>
      <c r="H6263">
        <v>122.4</v>
      </c>
      <c r="I6263" t="s">
        <v>545</v>
      </c>
      <c r="J6263" s="2" t="s">
        <v>7</v>
      </c>
      <c r="K6263" t="s">
        <v>143</v>
      </c>
      <c r="L6263" t="s">
        <v>143</v>
      </c>
      <c r="M6263" t="s">
        <v>638</v>
      </c>
      <c r="N6263" t="s">
        <v>85</v>
      </c>
      <c r="O6263" t="s">
        <v>704</v>
      </c>
      <c r="P6263" t="s">
        <v>685</v>
      </c>
      <c r="Q6263">
        <v>60</v>
      </c>
      <c r="R6263" s="2" t="s">
        <v>214</v>
      </c>
      <c r="S6263" t="s">
        <v>7</v>
      </c>
      <c r="T6263">
        <v>3</v>
      </c>
      <c r="U6263">
        <v>8.1</v>
      </c>
      <c r="V6263">
        <v>400</v>
      </c>
      <c r="W6263" t="s">
        <v>28</v>
      </c>
      <c r="X6263">
        <v>937.96333333333325</v>
      </c>
      <c r="Y6263">
        <v>107.43214432065164</v>
      </c>
    </row>
    <row r="6264" spans="1:25" x14ac:dyDescent="0.2">
      <c r="A6264" t="s">
        <v>678</v>
      </c>
      <c r="B6264">
        <v>2020</v>
      </c>
      <c r="C6264" t="s">
        <v>826</v>
      </c>
      <c r="D6264" t="s">
        <v>824</v>
      </c>
      <c r="E6264" t="s">
        <v>114</v>
      </c>
      <c r="F6264" t="s">
        <v>679</v>
      </c>
      <c r="G6264">
        <v>37.016666999999998</v>
      </c>
      <c r="H6264">
        <v>122.4</v>
      </c>
      <c r="I6264" t="s">
        <v>545</v>
      </c>
      <c r="J6264" s="2" t="s">
        <v>5</v>
      </c>
      <c r="K6264" t="s">
        <v>143</v>
      </c>
      <c r="L6264" t="s">
        <v>143</v>
      </c>
      <c r="M6264" t="s">
        <v>638</v>
      </c>
      <c r="N6264" t="s">
        <v>85</v>
      </c>
      <c r="O6264" t="s">
        <v>704</v>
      </c>
      <c r="P6264" t="s">
        <v>685</v>
      </c>
      <c r="Q6264">
        <v>60</v>
      </c>
      <c r="R6264" s="2" t="s">
        <v>214</v>
      </c>
      <c r="S6264" t="s">
        <v>9</v>
      </c>
      <c r="T6264">
        <v>3</v>
      </c>
      <c r="U6264">
        <v>7.8</v>
      </c>
      <c r="V6264">
        <v>1000</v>
      </c>
      <c r="W6264" t="s">
        <v>28</v>
      </c>
      <c r="X6264">
        <v>1334.8566666666666</v>
      </c>
      <c r="Y6264">
        <v>80.442579106672866</v>
      </c>
    </row>
    <row r="6265" spans="1:25" x14ac:dyDescent="0.2">
      <c r="A6265" t="s">
        <v>678</v>
      </c>
      <c r="B6265">
        <v>2020</v>
      </c>
      <c r="C6265" t="s">
        <v>826</v>
      </c>
      <c r="D6265" t="s">
        <v>824</v>
      </c>
      <c r="E6265" t="s">
        <v>114</v>
      </c>
      <c r="F6265" t="s">
        <v>679</v>
      </c>
      <c r="G6265">
        <v>37.016666999999998</v>
      </c>
      <c r="H6265">
        <v>122.4</v>
      </c>
      <c r="I6265" t="s">
        <v>545</v>
      </c>
      <c r="J6265" s="2" t="s">
        <v>7</v>
      </c>
      <c r="K6265" t="s">
        <v>143</v>
      </c>
      <c r="L6265" t="s">
        <v>143</v>
      </c>
      <c r="M6265" t="s">
        <v>638</v>
      </c>
      <c r="N6265" t="s">
        <v>85</v>
      </c>
      <c r="O6265" t="s">
        <v>704</v>
      </c>
      <c r="P6265" t="s">
        <v>685</v>
      </c>
      <c r="Q6265">
        <v>90</v>
      </c>
      <c r="R6265" s="2" t="s">
        <v>213</v>
      </c>
      <c r="S6265" t="s">
        <v>7</v>
      </c>
      <c r="T6265">
        <v>10</v>
      </c>
      <c r="U6265">
        <v>8.1</v>
      </c>
      <c r="V6265">
        <v>400</v>
      </c>
      <c r="W6265" t="s">
        <v>28</v>
      </c>
      <c r="X6265">
        <v>814.72599999999989</v>
      </c>
      <c r="Y6265">
        <v>125.87017987681674</v>
      </c>
    </row>
    <row r="6266" spans="1:25" x14ac:dyDescent="0.2">
      <c r="A6266" t="s">
        <v>678</v>
      </c>
      <c r="B6266">
        <v>2020</v>
      </c>
      <c r="C6266" t="s">
        <v>826</v>
      </c>
      <c r="D6266" t="s">
        <v>824</v>
      </c>
      <c r="E6266" t="s">
        <v>114</v>
      </c>
      <c r="F6266" t="s">
        <v>679</v>
      </c>
      <c r="G6266">
        <v>37.016666999999998</v>
      </c>
      <c r="H6266">
        <v>122.4</v>
      </c>
      <c r="I6266" t="s">
        <v>545</v>
      </c>
      <c r="J6266" s="2" t="s">
        <v>5</v>
      </c>
      <c r="K6266" t="s">
        <v>143</v>
      </c>
      <c r="L6266" t="s">
        <v>143</v>
      </c>
      <c r="M6266" t="s">
        <v>638</v>
      </c>
      <c r="N6266" t="s">
        <v>85</v>
      </c>
      <c r="O6266" t="s">
        <v>704</v>
      </c>
      <c r="P6266" t="s">
        <v>685</v>
      </c>
      <c r="Q6266">
        <v>90</v>
      </c>
      <c r="R6266" s="2" t="s">
        <v>213</v>
      </c>
      <c r="S6266" t="s">
        <v>9</v>
      </c>
      <c r="T6266">
        <v>10</v>
      </c>
      <c r="U6266">
        <v>7.8</v>
      </c>
      <c r="V6266">
        <v>1000</v>
      </c>
      <c r="W6266" t="s">
        <v>28</v>
      </c>
      <c r="X6266">
        <v>956.82399999999996</v>
      </c>
      <c r="Y6266">
        <v>153.40554735732346</v>
      </c>
    </row>
    <row r="6267" spans="1:25" x14ac:dyDescent="0.2">
      <c r="A6267" t="s">
        <v>678</v>
      </c>
      <c r="B6267">
        <v>2020</v>
      </c>
      <c r="C6267" t="s">
        <v>826</v>
      </c>
      <c r="D6267" t="s">
        <v>824</v>
      </c>
      <c r="E6267" t="s">
        <v>114</v>
      </c>
      <c r="F6267" t="s">
        <v>679</v>
      </c>
      <c r="G6267">
        <v>37.016666999999998</v>
      </c>
      <c r="H6267">
        <v>122.4</v>
      </c>
      <c r="I6267" t="s">
        <v>545</v>
      </c>
      <c r="J6267" s="2" t="s">
        <v>7</v>
      </c>
      <c r="K6267" t="s">
        <v>143</v>
      </c>
      <c r="L6267" t="s">
        <v>143</v>
      </c>
      <c r="M6267" t="s">
        <v>638</v>
      </c>
      <c r="N6267" t="s">
        <v>85</v>
      </c>
      <c r="O6267" t="s">
        <v>705</v>
      </c>
      <c r="P6267" t="s">
        <v>685</v>
      </c>
      <c r="Q6267">
        <v>60</v>
      </c>
      <c r="R6267" s="2" t="s">
        <v>214</v>
      </c>
      <c r="S6267" t="s">
        <v>7</v>
      </c>
      <c r="T6267">
        <v>3</v>
      </c>
      <c r="U6267">
        <v>8.1</v>
      </c>
      <c r="V6267">
        <v>400</v>
      </c>
      <c r="W6267" t="s">
        <v>28</v>
      </c>
      <c r="X6267">
        <v>67.410000000000011</v>
      </c>
      <c r="Y6267">
        <v>17.982327435568479</v>
      </c>
    </row>
    <row r="6268" spans="1:25" x14ac:dyDescent="0.2">
      <c r="A6268" t="s">
        <v>678</v>
      </c>
      <c r="B6268">
        <v>2020</v>
      </c>
      <c r="C6268" t="s">
        <v>826</v>
      </c>
      <c r="D6268" t="s">
        <v>824</v>
      </c>
      <c r="E6268" t="s">
        <v>114</v>
      </c>
      <c r="F6268" t="s">
        <v>679</v>
      </c>
      <c r="G6268">
        <v>37.016666999999998</v>
      </c>
      <c r="H6268">
        <v>122.4</v>
      </c>
      <c r="I6268" t="s">
        <v>545</v>
      </c>
      <c r="J6268" s="2" t="s">
        <v>5</v>
      </c>
      <c r="K6268" t="s">
        <v>143</v>
      </c>
      <c r="L6268" t="s">
        <v>143</v>
      </c>
      <c r="M6268" t="s">
        <v>638</v>
      </c>
      <c r="N6268" t="s">
        <v>85</v>
      </c>
      <c r="O6268" t="s">
        <v>705</v>
      </c>
      <c r="P6268" t="s">
        <v>685</v>
      </c>
      <c r="Q6268">
        <v>60</v>
      </c>
      <c r="R6268" s="2" t="s">
        <v>214</v>
      </c>
      <c r="S6268" t="s">
        <v>9</v>
      </c>
      <c r="T6268">
        <v>3</v>
      </c>
      <c r="U6268">
        <v>7.8</v>
      </c>
      <c r="V6268">
        <v>1000</v>
      </c>
      <c r="W6268" t="s">
        <v>28</v>
      </c>
      <c r="X6268">
        <v>163.20333333333335</v>
      </c>
      <c r="Y6268">
        <v>13.817092072260836</v>
      </c>
    </row>
    <row r="6269" spans="1:25" x14ac:dyDescent="0.2">
      <c r="A6269" t="s">
        <v>678</v>
      </c>
      <c r="B6269">
        <v>2020</v>
      </c>
      <c r="C6269" t="s">
        <v>826</v>
      </c>
      <c r="D6269" t="s">
        <v>824</v>
      </c>
      <c r="E6269" t="s">
        <v>114</v>
      </c>
      <c r="F6269" t="s">
        <v>679</v>
      </c>
      <c r="G6269">
        <v>37.016666999999998</v>
      </c>
      <c r="H6269">
        <v>122.4</v>
      </c>
      <c r="I6269" t="s">
        <v>545</v>
      </c>
      <c r="J6269" s="2" t="s">
        <v>7</v>
      </c>
      <c r="K6269" t="s">
        <v>143</v>
      </c>
      <c r="L6269" t="s">
        <v>143</v>
      </c>
      <c r="M6269" t="s">
        <v>638</v>
      </c>
      <c r="N6269" t="s">
        <v>85</v>
      </c>
      <c r="O6269" t="s">
        <v>705</v>
      </c>
      <c r="P6269" t="s">
        <v>685</v>
      </c>
      <c r="Q6269">
        <v>90</v>
      </c>
      <c r="R6269" s="2" t="s">
        <v>213</v>
      </c>
      <c r="S6269" t="s">
        <v>7</v>
      </c>
      <c r="T6269">
        <v>10</v>
      </c>
      <c r="U6269">
        <v>8.1</v>
      </c>
      <c r="V6269">
        <v>400</v>
      </c>
      <c r="W6269" t="s">
        <v>28</v>
      </c>
      <c r="X6269">
        <v>187.48200000000003</v>
      </c>
      <c r="Y6269">
        <v>127.52550183307557</v>
      </c>
    </row>
    <row r="6270" spans="1:25" x14ac:dyDescent="0.2">
      <c r="A6270" t="s">
        <v>678</v>
      </c>
      <c r="B6270">
        <v>2020</v>
      </c>
      <c r="C6270" t="s">
        <v>826</v>
      </c>
      <c r="D6270" t="s">
        <v>824</v>
      </c>
      <c r="E6270" t="s">
        <v>114</v>
      </c>
      <c r="F6270" t="s">
        <v>679</v>
      </c>
      <c r="G6270">
        <v>37.016666999999998</v>
      </c>
      <c r="H6270">
        <v>122.4</v>
      </c>
      <c r="I6270" t="s">
        <v>545</v>
      </c>
      <c r="J6270" s="2" t="s">
        <v>5</v>
      </c>
      <c r="K6270" t="s">
        <v>143</v>
      </c>
      <c r="L6270" t="s">
        <v>143</v>
      </c>
      <c r="M6270" t="s">
        <v>638</v>
      </c>
      <c r="N6270" t="s">
        <v>85</v>
      </c>
      <c r="O6270" t="s">
        <v>705</v>
      </c>
      <c r="P6270" t="s">
        <v>685</v>
      </c>
      <c r="Q6270">
        <v>90</v>
      </c>
      <c r="R6270" s="2" t="s">
        <v>213</v>
      </c>
      <c r="S6270" t="s">
        <v>9</v>
      </c>
      <c r="T6270">
        <v>10</v>
      </c>
      <c r="U6270">
        <v>7.8</v>
      </c>
      <c r="V6270">
        <v>1000</v>
      </c>
      <c r="W6270" t="s">
        <v>28</v>
      </c>
      <c r="X6270">
        <v>171.02500000000003</v>
      </c>
      <c r="Y6270">
        <v>82.560488431210189</v>
      </c>
    </row>
    <row r="6271" spans="1:25" x14ac:dyDescent="0.2">
      <c r="A6271" t="s">
        <v>678</v>
      </c>
      <c r="B6271">
        <v>2020</v>
      </c>
      <c r="C6271" t="s">
        <v>826</v>
      </c>
      <c r="D6271" t="s">
        <v>824</v>
      </c>
      <c r="E6271" t="s">
        <v>114</v>
      </c>
      <c r="F6271" t="s">
        <v>679</v>
      </c>
      <c r="G6271">
        <v>37.016666999999998</v>
      </c>
      <c r="H6271">
        <v>122.4</v>
      </c>
      <c r="I6271" t="s">
        <v>545</v>
      </c>
      <c r="J6271" s="2" t="s">
        <v>7</v>
      </c>
      <c r="K6271" t="s">
        <v>143</v>
      </c>
      <c r="L6271" t="s">
        <v>143</v>
      </c>
      <c r="M6271" t="s">
        <v>638</v>
      </c>
      <c r="N6271" t="s">
        <v>85</v>
      </c>
      <c r="O6271" t="s">
        <v>706</v>
      </c>
      <c r="P6271" t="s">
        <v>685</v>
      </c>
      <c r="Q6271">
        <v>60</v>
      </c>
      <c r="R6271" s="2" t="s">
        <v>214</v>
      </c>
      <c r="S6271" t="s">
        <v>7</v>
      </c>
      <c r="T6271">
        <v>3</v>
      </c>
      <c r="U6271">
        <v>8.1</v>
      </c>
      <c r="V6271">
        <v>400</v>
      </c>
      <c r="W6271" t="s">
        <v>28</v>
      </c>
      <c r="X6271">
        <v>1156.1033333333335</v>
      </c>
      <c r="Y6271">
        <v>211.17153438220086</v>
      </c>
    </row>
    <row r="6272" spans="1:25" x14ac:dyDescent="0.2">
      <c r="A6272" t="s">
        <v>678</v>
      </c>
      <c r="B6272">
        <v>2020</v>
      </c>
      <c r="C6272" t="s">
        <v>826</v>
      </c>
      <c r="D6272" t="s">
        <v>824</v>
      </c>
      <c r="E6272" t="s">
        <v>114</v>
      </c>
      <c r="F6272" t="s">
        <v>679</v>
      </c>
      <c r="G6272">
        <v>37.016666999999998</v>
      </c>
      <c r="H6272">
        <v>122.4</v>
      </c>
      <c r="I6272" t="s">
        <v>545</v>
      </c>
      <c r="J6272" s="2" t="s">
        <v>5</v>
      </c>
      <c r="K6272" t="s">
        <v>143</v>
      </c>
      <c r="L6272" t="s">
        <v>143</v>
      </c>
      <c r="M6272" t="s">
        <v>638</v>
      </c>
      <c r="N6272" t="s">
        <v>85</v>
      </c>
      <c r="O6272" t="s">
        <v>706</v>
      </c>
      <c r="P6272" t="s">
        <v>685</v>
      </c>
      <c r="Q6272">
        <v>60</v>
      </c>
      <c r="R6272" s="2" t="s">
        <v>214</v>
      </c>
      <c r="S6272" t="s">
        <v>9</v>
      </c>
      <c r="T6272">
        <v>3</v>
      </c>
      <c r="U6272">
        <v>7.8</v>
      </c>
      <c r="V6272">
        <v>1000</v>
      </c>
      <c r="W6272" t="s">
        <v>28</v>
      </c>
      <c r="X6272">
        <v>1691.9066666666668</v>
      </c>
      <c r="Y6272">
        <v>165.98393245532336</v>
      </c>
    </row>
    <row r="6273" spans="1:25" x14ac:dyDescent="0.2">
      <c r="A6273" t="s">
        <v>678</v>
      </c>
      <c r="B6273">
        <v>2020</v>
      </c>
      <c r="C6273" t="s">
        <v>826</v>
      </c>
      <c r="D6273" t="s">
        <v>824</v>
      </c>
      <c r="E6273" t="s">
        <v>114</v>
      </c>
      <c r="F6273" t="s">
        <v>679</v>
      </c>
      <c r="G6273">
        <v>37.016666999999998</v>
      </c>
      <c r="H6273">
        <v>122.4</v>
      </c>
      <c r="I6273" t="s">
        <v>545</v>
      </c>
      <c r="J6273" s="2" t="s">
        <v>7</v>
      </c>
      <c r="K6273" t="s">
        <v>143</v>
      </c>
      <c r="L6273" t="s">
        <v>143</v>
      </c>
      <c r="M6273" t="s">
        <v>638</v>
      </c>
      <c r="N6273" t="s">
        <v>85</v>
      </c>
      <c r="O6273" t="s">
        <v>706</v>
      </c>
      <c r="P6273" t="s">
        <v>685</v>
      </c>
      <c r="Q6273">
        <v>90</v>
      </c>
      <c r="R6273" s="2" t="s">
        <v>213</v>
      </c>
      <c r="S6273" t="s">
        <v>7</v>
      </c>
      <c r="T6273">
        <v>10</v>
      </c>
      <c r="U6273">
        <v>8.1</v>
      </c>
      <c r="V6273">
        <v>400</v>
      </c>
      <c r="W6273" t="s">
        <v>28</v>
      </c>
      <c r="X6273">
        <v>1430.1959999999997</v>
      </c>
      <c r="Y6273">
        <v>267.66009735400695</v>
      </c>
    </row>
    <row r="6274" spans="1:25" x14ac:dyDescent="0.2">
      <c r="A6274" t="s">
        <v>678</v>
      </c>
      <c r="B6274">
        <v>2020</v>
      </c>
      <c r="C6274" t="s">
        <v>826</v>
      </c>
      <c r="D6274" t="s">
        <v>824</v>
      </c>
      <c r="E6274" t="s">
        <v>114</v>
      </c>
      <c r="F6274" t="s">
        <v>679</v>
      </c>
      <c r="G6274">
        <v>37.016666999999998</v>
      </c>
      <c r="H6274">
        <v>122.4</v>
      </c>
      <c r="I6274" t="s">
        <v>545</v>
      </c>
      <c r="J6274" s="2" t="s">
        <v>5</v>
      </c>
      <c r="K6274" t="s">
        <v>143</v>
      </c>
      <c r="L6274" t="s">
        <v>143</v>
      </c>
      <c r="M6274" t="s">
        <v>638</v>
      </c>
      <c r="N6274" t="s">
        <v>85</v>
      </c>
      <c r="O6274" t="s">
        <v>706</v>
      </c>
      <c r="P6274" t="s">
        <v>685</v>
      </c>
      <c r="Q6274">
        <v>90</v>
      </c>
      <c r="R6274" s="2" t="s">
        <v>213</v>
      </c>
      <c r="S6274" t="s">
        <v>9</v>
      </c>
      <c r="T6274">
        <v>10</v>
      </c>
      <c r="U6274">
        <v>7.8</v>
      </c>
      <c r="V6274">
        <v>1000</v>
      </c>
      <c r="W6274" t="s">
        <v>28</v>
      </c>
      <c r="X6274">
        <v>1289.7159999999999</v>
      </c>
      <c r="Y6274">
        <v>176.3366132146146</v>
      </c>
    </row>
    <row r="6275" spans="1:25" x14ac:dyDescent="0.2">
      <c r="A6275" t="s">
        <v>678</v>
      </c>
      <c r="B6275">
        <v>2020</v>
      </c>
      <c r="C6275" t="s">
        <v>826</v>
      </c>
      <c r="D6275" t="s">
        <v>824</v>
      </c>
      <c r="E6275" t="s">
        <v>114</v>
      </c>
      <c r="F6275" t="s">
        <v>679</v>
      </c>
      <c r="G6275">
        <v>37.016666999999998</v>
      </c>
      <c r="H6275">
        <v>122.4</v>
      </c>
      <c r="I6275" t="s">
        <v>545</v>
      </c>
      <c r="J6275" s="2" t="s">
        <v>7</v>
      </c>
      <c r="K6275" t="s">
        <v>143</v>
      </c>
      <c r="L6275" t="s">
        <v>143</v>
      </c>
      <c r="M6275" t="s">
        <v>638</v>
      </c>
      <c r="N6275" t="s">
        <v>85</v>
      </c>
      <c r="O6275" t="s">
        <v>703</v>
      </c>
      <c r="P6275" t="s">
        <v>685</v>
      </c>
      <c r="Q6275">
        <v>60</v>
      </c>
      <c r="R6275" s="2" t="s">
        <v>214</v>
      </c>
      <c r="S6275" t="s">
        <v>7</v>
      </c>
      <c r="T6275">
        <v>3</v>
      </c>
      <c r="U6275">
        <v>8.1</v>
      </c>
      <c r="V6275">
        <v>400</v>
      </c>
      <c r="W6275" t="s">
        <v>28</v>
      </c>
      <c r="X6275">
        <v>383.66</v>
      </c>
      <c r="Y6275">
        <v>80.714237281907117</v>
      </c>
    </row>
    <row r="6276" spans="1:25" x14ac:dyDescent="0.2">
      <c r="A6276" t="s">
        <v>678</v>
      </c>
      <c r="B6276">
        <v>2020</v>
      </c>
      <c r="C6276" t="s">
        <v>826</v>
      </c>
      <c r="D6276" t="s">
        <v>824</v>
      </c>
      <c r="E6276" t="s">
        <v>114</v>
      </c>
      <c r="F6276" t="s">
        <v>679</v>
      </c>
      <c r="G6276">
        <v>37.016666999999998</v>
      </c>
      <c r="H6276">
        <v>122.4</v>
      </c>
      <c r="I6276" t="s">
        <v>545</v>
      </c>
      <c r="J6276" s="2" t="s">
        <v>5</v>
      </c>
      <c r="K6276" t="s">
        <v>143</v>
      </c>
      <c r="L6276" t="s">
        <v>143</v>
      </c>
      <c r="M6276" t="s">
        <v>638</v>
      </c>
      <c r="N6276" t="s">
        <v>85</v>
      </c>
      <c r="O6276" t="s">
        <v>703</v>
      </c>
      <c r="P6276" t="s">
        <v>685</v>
      </c>
      <c r="Q6276">
        <v>60</v>
      </c>
      <c r="R6276" s="2" t="s">
        <v>214</v>
      </c>
      <c r="S6276" t="s">
        <v>9</v>
      </c>
      <c r="T6276">
        <v>3</v>
      </c>
      <c r="U6276">
        <v>7.8</v>
      </c>
      <c r="V6276">
        <v>1000</v>
      </c>
      <c r="W6276" t="s">
        <v>28</v>
      </c>
      <c r="X6276">
        <v>489.48</v>
      </c>
      <c r="Y6276">
        <v>41.024563373666766</v>
      </c>
    </row>
    <row r="6277" spans="1:25" x14ac:dyDescent="0.2">
      <c r="A6277" t="s">
        <v>678</v>
      </c>
      <c r="B6277">
        <v>2020</v>
      </c>
      <c r="C6277" t="s">
        <v>826</v>
      </c>
      <c r="D6277" t="s">
        <v>824</v>
      </c>
      <c r="E6277" t="s">
        <v>114</v>
      </c>
      <c r="F6277" t="s">
        <v>679</v>
      </c>
      <c r="G6277">
        <v>37.016666999999998</v>
      </c>
      <c r="H6277">
        <v>122.4</v>
      </c>
      <c r="I6277" t="s">
        <v>545</v>
      </c>
      <c r="J6277" s="2" t="s">
        <v>7</v>
      </c>
      <c r="K6277" t="s">
        <v>143</v>
      </c>
      <c r="L6277" t="s">
        <v>143</v>
      </c>
      <c r="M6277" t="s">
        <v>638</v>
      </c>
      <c r="N6277" t="s">
        <v>85</v>
      </c>
      <c r="O6277" t="s">
        <v>703</v>
      </c>
      <c r="P6277" t="s">
        <v>685</v>
      </c>
      <c r="Q6277">
        <v>90</v>
      </c>
      <c r="R6277" s="2" t="s">
        <v>213</v>
      </c>
      <c r="S6277" t="s">
        <v>7</v>
      </c>
      <c r="T6277">
        <v>10</v>
      </c>
      <c r="U6277">
        <v>8.1</v>
      </c>
      <c r="V6277">
        <v>400</v>
      </c>
      <c r="W6277" t="s">
        <v>28</v>
      </c>
      <c r="X6277">
        <v>325.01400000000001</v>
      </c>
      <c r="Y6277">
        <v>64.732592889689229</v>
      </c>
    </row>
    <row r="6278" spans="1:25" x14ac:dyDescent="0.2">
      <c r="A6278" t="s">
        <v>678</v>
      </c>
      <c r="B6278">
        <v>2020</v>
      </c>
      <c r="C6278" t="s">
        <v>826</v>
      </c>
      <c r="D6278" t="s">
        <v>824</v>
      </c>
      <c r="E6278" t="s">
        <v>114</v>
      </c>
      <c r="F6278" t="s">
        <v>679</v>
      </c>
      <c r="G6278">
        <v>37.016666999999998</v>
      </c>
      <c r="H6278">
        <v>122.4</v>
      </c>
      <c r="I6278" t="s">
        <v>545</v>
      </c>
      <c r="J6278" s="2" t="s">
        <v>5</v>
      </c>
      <c r="K6278" t="s">
        <v>143</v>
      </c>
      <c r="L6278" t="s">
        <v>143</v>
      </c>
      <c r="M6278" t="s">
        <v>638</v>
      </c>
      <c r="N6278" t="s">
        <v>85</v>
      </c>
      <c r="O6278" t="s">
        <v>703</v>
      </c>
      <c r="P6278" t="s">
        <v>685</v>
      </c>
      <c r="Q6278">
        <v>90</v>
      </c>
      <c r="R6278" s="2" t="s">
        <v>213</v>
      </c>
      <c r="S6278" t="s">
        <v>9</v>
      </c>
      <c r="T6278">
        <v>10</v>
      </c>
      <c r="U6278">
        <v>7.8</v>
      </c>
      <c r="V6278">
        <v>1000</v>
      </c>
      <c r="W6278" t="s">
        <v>28</v>
      </c>
      <c r="X6278">
        <v>349.50700000000001</v>
      </c>
      <c r="Y6278">
        <v>88.843180448598517</v>
      </c>
    </row>
    <row r="6279" spans="1:25" x14ac:dyDescent="0.2">
      <c r="A6279" t="s">
        <v>678</v>
      </c>
      <c r="B6279">
        <v>2020</v>
      </c>
      <c r="C6279" t="s">
        <v>826</v>
      </c>
      <c r="D6279" t="s">
        <v>824</v>
      </c>
      <c r="E6279" t="s">
        <v>114</v>
      </c>
      <c r="F6279" t="s">
        <v>679</v>
      </c>
      <c r="G6279">
        <v>37.016666999999998</v>
      </c>
      <c r="H6279">
        <v>122.4</v>
      </c>
      <c r="I6279" t="s">
        <v>545</v>
      </c>
      <c r="J6279" s="2" t="s">
        <v>7</v>
      </c>
      <c r="K6279" t="s">
        <v>143</v>
      </c>
      <c r="L6279" t="s">
        <v>143</v>
      </c>
      <c r="M6279" t="s">
        <v>638</v>
      </c>
      <c r="N6279" t="s">
        <v>85</v>
      </c>
      <c r="O6279" t="s">
        <v>702</v>
      </c>
      <c r="P6279" t="s">
        <v>685</v>
      </c>
      <c r="Q6279">
        <v>60</v>
      </c>
      <c r="R6279" s="2" t="s">
        <v>214</v>
      </c>
      <c r="S6279" t="s">
        <v>7</v>
      </c>
      <c r="T6279">
        <v>3</v>
      </c>
      <c r="U6279">
        <v>8.1</v>
      </c>
      <c r="V6279">
        <v>400</v>
      </c>
      <c r="W6279" t="s">
        <v>28</v>
      </c>
      <c r="X6279">
        <v>33.019999999999996</v>
      </c>
      <c r="Y6279">
        <v>4.465545879285111</v>
      </c>
    </row>
    <row r="6280" spans="1:25" x14ac:dyDescent="0.2">
      <c r="A6280" t="s">
        <v>678</v>
      </c>
      <c r="B6280">
        <v>2020</v>
      </c>
      <c r="C6280" t="s">
        <v>826</v>
      </c>
      <c r="D6280" t="s">
        <v>824</v>
      </c>
      <c r="E6280" t="s">
        <v>114</v>
      </c>
      <c r="F6280" t="s">
        <v>679</v>
      </c>
      <c r="G6280">
        <v>37.016666999999998</v>
      </c>
      <c r="H6280">
        <v>122.4</v>
      </c>
      <c r="I6280" t="s">
        <v>545</v>
      </c>
      <c r="J6280" s="2" t="s">
        <v>5</v>
      </c>
      <c r="K6280" t="s">
        <v>143</v>
      </c>
      <c r="L6280" t="s">
        <v>143</v>
      </c>
      <c r="M6280" t="s">
        <v>638</v>
      </c>
      <c r="N6280" t="s">
        <v>85</v>
      </c>
      <c r="O6280" t="s">
        <v>702</v>
      </c>
      <c r="P6280" t="s">
        <v>685</v>
      </c>
      <c r="Q6280">
        <v>60</v>
      </c>
      <c r="R6280" s="2" t="s">
        <v>214</v>
      </c>
      <c r="S6280" t="s">
        <v>9</v>
      </c>
      <c r="T6280">
        <v>3</v>
      </c>
      <c r="U6280">
        <v>7.8</v>
      </c>
      <c r="V6280">
        <v>1000</v>
      </c>
      <c r="W6280" t="s">
        <v>28</v>
      </c>
      <c r="X6280">
        <v>52.836666666666666</v>
      </c>
      <c r="Y6280">
        <v>8.0641201214598954</v>
      </c>
    </row>
    <row r="6281" spans="1:25" x14ac:dyDescent="0.2">
      <c r="A6281" t="s">
        <v>678</v>
      </c>
      <c r="B6281">
        <v>2020</v>
      </c>
      <c r="C6281" t="s">
        <v>826</v>
      </c>
      <c r="D6281" t="s">
        <v>824</v>
      </c>
      <c r="E6281" t="s">
        <v>114</v>
      </c>
      <c r="F6281" t="s">
        <v>679</v>
      </c>
      <c r="G6281">
        <v>37.016666999999998</v>
      </c>
      <c r="H6281">
        <v>122.4</v>
      </c>
      <c r="I6281" t="s">
        <v>545</v>
      </c>
      <c r="J6281" s="2" t="s">
        <v>7</v>
      </c>
      <c r="K6281" t="s">
        <v>143</v>
      </c>
      <c r="L6281" t="s">
        <v>143</v>
      </c>
      <c r="M6281" t="s">
        <v>638</v>
      </c>
      <c r="N6281" t="s">
        <v>85</v>
      </c>
      <c r="O6281" t="s">
        <v>702</v>
      </c>
      <c r="P6281" t="s">
        <v>685</v>
      </c>
      <c r="Q6281">
        <v>90</v>
      </c>
      <c r="R6281" s="2" t="s">
        <v>213</v>
      </c>
      <c r="S6281" t="s">
        <v>7</v>
      </c>
      <c r="T6281">
        <v>10</v>
      </c>
      <c r="U6281">
        <v>8.1</v>
      </c>
      <c r="V6281">
        <v>400</v>
      </c>
      <c r="W6281" t="s">
        <v>28</v>
      </c>
      <c r="X6281">
        <v>39.518000000000001</v>
      </c>
      <c r="Y6281">
        <v>7.783998972250699</v>
      </c>
    </row>
    <row r="6282" spans="1:25" x14ac:dyDescent="0.2">
      <c r="A6282" t="s">
        <v>678</v>
      </c>
      <c r="B6282">
        <v>2020</v>
      </c>
      <c r="C6282" t="s">
        <v>826</v>
      </c>
      <c r="D6282" t="s">
        <v>824</v>
      </c>
      <c r="E6282" t="s">
        <v>114</v>
      </c>
      <c r="F6282" t="s">
        <v>679</v>
      </c>
      <c r="G6282">
        <v>37.016666999999998</v>
      </c>
      <c r="H6282">
        <v>122.4</v>
      </c>
      <c r="I6282" t="s">
        <v>545</v>
      </c>
      <c r="J6282" s="2" t="s">
        <v>5</v>
      </c>
      <c r="K6282" t="s">
        <v>143</v>
      </c>
      <c r="L6282" t="s">
        <v>143</v>
      </c>
      <c r="M6282" t="s">
        <v>638</v>
      </c>
      <c r="N6282" t="s">
        <v>85</v>
      </c>
      <c r="O6282" t="s">
        <v>702</v>
      </c>
      <c r="P6282" t="s">
        <v>685</v>
      </c>
      <c r="Q6282">
        <v>90</v>
      </c>
      <c r="R6282" s="2" t="s">
        <v>213</v>
      </c>
      <c r="S6282" t="s">
        <v>9</v>
      </c>
      <c r="T6282">
        <v>10</v>
      </c>
      <c r="U6282">
        <v>7.8</v>
      </c>
      <c r="V6282">
        <v>1000</v>
      </c>
      <c r="W6282" t="s">
        <v>28</v>
      </c>
      <c r="X6282">
        <v>43.221000000000011</v>
      </c>
      <c r="Y6282">
        <v>10.917848231222059</v>
      </c>
    </row>
    <row r="6283" spans="1:25" x14ac:dyDescent="0.2">
      <c r="A6283" t="s">
        <v>678</v>
      </c>
      <c r="B6283">
        <v>2020</v>
      </c>
      <c r="C6283" t="s">
        <v>826</v>
      </c>
      <c r="D6283" t="s">
        <v>824</v>
      </c>
      <c r="E6283" t="s">
        <v>114</v>
      </c>
      <c r="F6283" t="s">
        <v>679</v>
      </c>
      <c r="G6283">
        <v>37.016666999999998</v>
      </c>
      <c r="H6283">
        <v>122.4</v>
      </c>
      <c r="I6283" t="s">
        <v>545</v>
      </c>
      <c r="J6283" s="2" t="s">
        <v>7</v>
      </c>
      <c r="K6283" t="s">
        <v>143</v>
      </c>
      <c r="L6283" t="s">
        <v>143</v>
      </c>
      <c r="M6283" t="s">
        <v>638</v>
      </c>
      <c r="N6283" t="s">
        <v>85</v>
      </c>
      <c r="O6283" t="s">
        <v>707</v>
      </c>
      <c r="P6283" t="s">
        <v>685</v>
      </c>
      <c r="Q6283">
        <v>60</v>
      </c>
      <c r="R6283" s="2" t="s">
        <v>214</v>
      </c>
      <c r="S6283" t="s">
        <v>7</v>
      </c>
      <c r="T6283">
        <v>3</v>
      </c>
      <c r="U6283">
        <v>8.1</v>
      </c>
      <c r="V6283">
        <v>400</v>
      </c>
      <c r="W6283" t="s">
        <v>28</v>
      </c>
      <c r="X6283">
        <v>1837.14</v>
      </c>
      <c r="Y6283">
        <v>312.15163831061335</v>
      </c>
    </row>
    <row r="6284" spans="1:25" x14ac:dyDescent="0.2">
      <c r="A6284" t="s">
        <v>678</v>
      </c>
      <c r="B6284">
        <v>2020</v>
      </c>
      <c r="C6284" t="s">
        <v>826</v>
      </c>
      <c r="D6284" t="s">
        <v>824</v>
      </c>
      <c r="E6284" t="s">
        <v>114</v>
      </c>
      <c r="F6284" t="s">
        <v>679</v>
      </c>
      <c r="G6284">
        <v>37.016666999999998</v>
      </c>
      <c r="H6284">
        <v>122.4</v>
      </c>
      <c r="I6284" t="s">
        <v>545</v>
      </c>
      <c r="J6284" s="2" t="s">
        <v>5</v>
      </c>
      <c r="K6284" t="s">
        <v>143</v>
      </c>
      <c r="L6284" t="s">
        <v>143</v>
      </c>
      <c r="M6284" t="s">
        <v>638</v>
      </c>
      <c r="N6284" t="s">
        <v>85</v>
      </c>
      <c r="O6284" t="s">
        <v>707</v>
      </c>
      <c r="P6284" t="s">
        <v>685</v>
      </c>
      <c r="Q6284">
        <v>60</v>
      </c>
      <c r="R6284" s="2" t="s">
        <v>214</v>
      </c>
      <c r="S6284" t="s">
        <v>9</v>
      </c>
      <c r="T6284">
        <v>3</v>
      </c>
      <c r="U6284">
        <v>7.8</v>
      </c>
      <c r="V6284">
        <v>1000</v>
      </c>
      <c r="W6284" t="s">
        <v>28</v>
      </c>
      <c r="X6284">
        <v>2701.5766666666668</v>
      </c>
      <c r="Y6284">
        <v>170.72841249579204</v>
      </c>
    </row>
    <row r="6285" spans="1:25" x14ac:dyDescent="0.2">
      <c r="A6285" t="s">
        <v>678</v>
      </c>
      <c r="B6285">
        <v>2020</v>
      </c>
      <c r="C6285" t="s">
        <v>826</v>
      </c>
      <c r="D6285" t="s">
        <v>824</v>
      </c>
      <c r="E6285" t="s">
        <v>114</v>
      </c>
      <c r="F6285" t="s">
        <v>679</v>
      </c>
      <c r="G6285">
        <v>37.016666999999998</v>
      </c>
      <c r="H6285">
        <v>122.4</v>
      </c>
      <c r="I6285" t="s">
        <v>545</v>
      </c>
      <c r="J6285" s="2" t="s">
        <v>7</v>
      </c>
      <c r="K6285" t="s">
        <v>143</v>
      </c>
      <c r="L6285" t="s">
        <v>143</v>
      </c>
      <c r="M6285" t="s">
        <v>638</v>
      </c>
      <c r="N6285" t="s">
        <v>85</v>
      </c>
      <c r="O6285" t="s">
        <v>707</v>
      </c>
      <c r="P6285" t="s">
        <v>685</v>
      </c>
      <c r="Q6285">
        <v>90</v>
      </c>
      <c r="R6285" s="2" t="s">
        <v>213</v>
      </c>
      <c r="S6285" t="s">
        <v>7</v>
      </c>
      <c r="T6285">
        <v>10</v>
      </c>
      <c r="U6285">
        <v>8.1</v>
      </c>
      <c r="V6285">
        <v>400</v>
      </c>
      <c r="W6285" t="s">
        <v>28</v>
      </c>
      <c r="X6285">
        <v>2124.962</v>
      </c>
      <c r="Y6285">
        <v>288.0428609618919</v>
      </c>
    </row>
    <row r="6286" spans="1:25" x14ac:dyDescent="0.2">
      <c r="A6286" t="s">
        <v>678</v>
      </c>
      <c r="B6286">
        <v>2020</v>
      </c>
      <c r="C6286" t="s">
        <v>826</v>
      </c>
      <c r="D6286" t="s">
        <v>824</v>
      </c>
      <c r="E6286" t="s">
        <v>114</v>
      </c>
      <c r="F6286" t="s">
        <v>679</v>
      </c>
      <c r="G6286">
        <v>37.016666999999998</v>
      </c>
      <c r="H6286">
        <v>122.4</v>
      </c>
      <c r="I6286" t="s">
        <v>545</v>
      </c>
      <c r="J6286" s="2" t="s">
        <v>5</v>
      </c>
      <c r="K6286" t="s">
        <v>143</v>
      </c>
      <c r="L6286" t="s">
        <v>143</v>
      </c>
      <c r="M6286" t="s">
        <v>638</v>
      </c>
      <c r="N6286" t="s">
        <v>85</v>
      </c>
      <c r="O6286" t="s">
        <v>707</v>
      </c>
      <c r="P6286" t="s">
        <v>685</v>
      </c>
      <c r="Q6286">
        <v>90</v>
      </c>
      <c r="R6286" s="2" t="s">
        <v>213</v>
      </c>
      <c r="S6286" t="s">
        <v>9</v>
      </c>
      <c r="T6286">
        <v>10</v>
      </c>
      <c r="U6286">
        <v>7.8</v>
      </c>
      <c r="V6286">
        <v>1000</v>
      </c>
      <c r="W6286" t="s">
        <v>28</v>
      </c>
      <c r="X6286">
        <v>2365.172</v>
      </c>
      <c r="Y6286">
        <v>317.85445351257169</v>
      </c>
    </row>
    <row r="6287" spans="1:25" x14ac:dyDescent="0.2">
      <c r="A6287" t="s">
        <v>678</v>
      </c>
      <c r="B6287">
        <v>2020</v>
      </c>
      <c r="C6287" t="s">
        <v>826</v>
      </c>
      <c r="D6287" t="s">
        <v>824</v>
      </c>
      <c r="E6287" t="s">
        <v>114</v>
      </c>
      <c r="F6287" t="s">
        <v>679</v>
      </c>
      <c r="G6287">
        <v>37.016666999999998</v>
      </c>
      <c r="H6287">
        <v>122.4</v>
      </c>
      <c r="I6287" t="s">
        <v>545</v>
      </c>
      <c r="J6287" s="2" t="s">
        <v>7</v>
      </c>
      <c r="K6287" t="s">
        <v>143</v>
      </c>
      <c r="L6287" t="s">
        <v>143</v>
      </c>
      <c r="M6287" t="s">
        <v>638</v>
      </c>
      <c r="N6287" t="s">
        <v>85</v>
      </c>
      <c r="O6287" t="s">
        <v>708</v>
      </c>
      <c r="P6287" t="s">
        <v>67</v>
      </c>
      <c r="Q6287">
        <v>90</v>
      </c>
      <c r="R6287" s="2" t="s">
        <v>213</v>
      </c>
      <c r="S6287" t="s">
        <v>7</v>
      </c>
      <c r="T6287">
        <v>10</v>
      </c>
      <c r="U6287">
        <v>8.1</v>
      </c>
      <c r="V6287">
        <v>400</v>
      </c>
      <c r="W6287" t="s">
        <v>28</v>
      </c>
      <c r="X6287">
        <v>73.223182054761082</v>
      </c>
      <c r="Y6287">
        <v>5.7306566445195681</v>
      </c>
    </row>
    <row r="6288" spans="1:25" x14ac:dyDescent="0.2">
      <c r="A6288" t="s">
        <v>678</v>
      </c>
      <c r="B6288">
        <v>2020</v>
      </c>
      <c r="C6288" t="s">
        <v>826</v>
      </c>
      <c r="D6288" t="s">
        <v>824</v>
      </c>
      <c r="E6288" t="s">
        <v>114</v>
      </c>
      <c r="F6288" t="s">
        <v>679</v>
      </c>
      <c r="G6288">
        <v>37.016666999999998</v>
      </c>
      <c r="H6288">
        <v>122.4</v>
      </c>
      <c r="I6288" t="s">
        <v>545</v>
      </c>
      <c r="J6288" s="2" t="s">
        <v>5</v>
      </c>
      <c r="K6288" t="s">
        <v>143</v>
      </c>
      <c r="L6288" t="s">
        <v>143</v>
      </c>
      <c r="M6288" t="s">
        <v>638</v>
      </c>
      <c r="N6288" t="s">
        <v>85</v>
      </c>
      <c r="O6288" t="s">
        <v>708</v>
      </c>
      <c r="P6288" t="s">
        <v>67</v>
      </c>
      <c r="Q6288">
        <v>90</v>
      </c>
      <c r="R6288" s="2" t="s">
        <v>213</v>
      </c>
      <c r="S6288" t="s">
        <v>9</v>
      </c>
      <c r="T6288">
        <v>10</v>
      </c>
      <c r="U6288">
        <v>7.8</v>
      </c>
      <c r="V6288">
        <v>1000</v>
      </c>
      <c r="W6288" t="s">
        <v>28</v>
      </c>
      <c r="X6288">
        <v>89.733404541570707</v>
      </c>
      <c r="Y6288">
        <v>6.0115786012402141</v>
      </c>
    </row>
    <row r="6289" spans="1:25" x14ac:dyDescent="0.2">
      <c r="A6289" t="s">
        <v>678</v>
      </c>
      <c r="B6289">
        <v>2020</v>
      </c>
      <c r="C6289" t="s">
        <v>826</v>
      </c>
      <c r="D6289" t="s">
        <v>824</v>
      </c>
      <c r="E6289" t="s">
        <v>114</v>
      </c>
      <c r="F6289" t="s">
        <v>679</v>
      </c>
      <c r="G6289">
        <v>37.016666999999998</v>
      </c>
      <c r="H6289">
        <v>122.4</v>
      </c>
      <c r="I6289" t="s">
        <v>545</v>
      </c>
      <c r="J6289" s="2" t="s">
        <v>7</v>
      </c>
      <c r="K6289" t="s">
        <v>143</v>
      </c>
      <c r="L6289" t="s">
        <v>143</v>
      </c>
      <c r="M6289" t="s">
        <v>638</v>
      </c>
      <c r="N6289" t="s">
        <v>85</v>
      </c>
      <c r="O6289" t="s">
        <v>709</v>
      </c>
      <c r="P6289" t="s">
        <v>67</v>
      </c>
      <c r="Q6289">
        <v>90</v>
      </c>
      <c r="R6289" s="2" t="s">
        <v>213</v>
      </c>
      <c r="S6289" t="s">
        <v>7</v>
      </c>
      <c r="T6289">
        <v>10</v>
      </c>
      <c r="U6289">
        <v>8.1</v>
      </c>
      <c r="V6289">
        <v>400</v>
      </c>
      <c r="W6289" t="s">
        <v>28</v>
      </c>
      <c r="X6289">
        <v>4.7503269245084692</v>
      </c>
      <c r="Y6289">
        <v>0.33800603408285868</v>
      </c>
    </row>
    <row r="6290" spans="1:25" x14ac:dyDescent="0.2">
      <c r="A6290" t="s">
        <v>678</v>
      </c>
      <c r="B6290">
        <v>2020</v>
      </c>
      <c r="C6290" t="s">
        <v>826</v>
      </c>
      <c r="D6290" t="s">
        <v>824</v>
      </c>
      <c r="E6290" t="s">
        <v>114</v>
      </c>
      <c r="F6290" t="s">
        <v>679</v>
      </c>
      <c r="G6290">
        <v>37.016666999999998</v>
      </c>
      <c r="H6290">
        <v>122.4</v>
      </c>
      <c r="I6290" t="s">
        <v>545</v>
      </c>
      <c r="J6290" s="2" t="s">
        <v>5</v>
      </c>
      <c r="K6290" t="s">
        <v>143</v>
      </c>
      <c r="L6290" t="s">
        <v>143</v>
      </c>
      <c r="M6290" t="s">
        <v>638</v>
      </c>
      <c r="N6290" t="s">
        <v>85</v>
      </c>
      <c r="O6290" t="s">
        <v>709</v>
      </c>
      <c r="P6290" t="s">
        <v>67</v>
      </c>
      <c r="Q6290">
        <v>90</v>
      </c>
      <c r="R6290" s="2" t="s">
        <v>213</v>
      </c>
      <c r="S6290" t="s">
        <v>9</v>
      </c>
      <c r="T6290">
        <v>10</v>
      </c>
      <c r="U6290">
        <v>7.8</v>
      </c>
      <c r="V6290">
        <v>1000</v>
      </c>
      <c r="W6290" t="s">
        <v>28</v>
      </c>
      <c r="X6290">
        <v>7.2679670238832603</v>
      </c>
      <c r="Y6290">
        <v>0.19605338994141347</v>
      </c>
    </row>
    <row r="6291" spans="1:25" x14ac:dyDescent="0.2">
      <c r="A6291" t="s">
        <v>678</v>
      </c>
      <c r="B6291">
        <v>2020</v>
      </c>
      <c r="C6291" t="s">
        <v>826</v>
      </c>
      <c r="D6291" t="s">
        <v>824</v>
      </c>
      <c r="E6291" t="s">
        <v>114</v>
      </c>
      <c r="F6291" t="s">
        <v>679</v>
      </c>
      <c r="G6291">
        <v>37.016666999999998</v>
      </c>
      <c r="H6291">
        <v>122.4</v>
      </c>
      <c r="I6291" t="s">
        <v>545</v>
      </c>
      <c r="J6291" s="2" t="s">
        <v>7</v>
      </c>
      <c r="K6291" t="s">
        <v>143</v>
      </c>
      <c r="L6291" t="s">
        <v>143</v>
      </c>
      <c r="M6291" t="s">
        <v>638</v>
      </c>
      <c r="N6291" t="s">
        <v>85</v>
      </c>
      <c r="O6291" t="s">
        <v>710</v>
      </c>
      <c r="P6291" t="s">
        <v>67</v>
      </c>
      <c r="Q6291">
        <v>90</v>
      </c>
      <c r="R6291" s="2" t="s">
        <v>213</v>
      </c>
      <c r="S6291" t="s">
        <v>7</v>
      </c>
      <c r="T6291">
        <v>10</v>
      </c>
      <c r="U6291">
        <v>8.1</v>
      </c>
      <c r="V6291">
        <v>400</v>
      </c>
      <c r="W6291" t="s">
        <v>28</v>
      </c>
      <c r="X6291">
        <v>28.281383134123736</v>
      </c>
      <c r="Y6291">
        <v>0.88165177602818978</v>
      </c>
    </row>
    <row r="6292" spans="1:25" x14ac:dyDescent="0.2">
      <c r="A6292" t="s">
        <v>678</v>
      </c>
      <c r="B6292">
        <v>2020</v>
      </c>
      <c r="C6292" t="s">
        <v>826</v>
      </c>
      <c r="D6292" t="s">
        <v>824</v>
      </c>
      <c r="E6292" t="s">
        <v>114</v>
      </c>
      <c r="F6292" t="s">
        <v>679</v>
      </c>
      <c r="G6292">
        <v>37.016666999999998</v>
      </c>
      <c r="H6292">
        <v>122.4</v>
      </c>
      <c r="I6292" t="s">
        <v>545</v>
      </c>
      <c r="J6292" s="2" t="s">
        <v>5</v>
      </c>
      <c r="K6292" t="s">
        <v>143</v>
      </c>
      <c r="L6292" t="s">
        <v>143</v>
      </c>
      <c r="M6292" t="s">
        <v>638</v>
      </c>
      <c r="N6292" t="s">
        <v>85</v>
      </c>
      <c r="O6292" t="s">
        <v>710</v>
      </c>
      <c r="P6292" t="s">
        <v>67</v>
      </c>
      <c r="Q6292">
        <v>90</v>
      </c>
      <c r="R6292" s="2" t="s">
        <v>213</v>
      </c>
      <c r="S6292" t="s">
        <v>9</v>
      </c>
      <c r="T6292">
        <v>10</v>
      </c>
      <c r="U6292">
        <v>7.8</v>
      </c>
      <c r="V6292">
        <v>1000</v>
      </c>
      <c r="W6292" t="s">
        <v>28</v>
      </c>
      <c r="X6292">
        <v>29.46293610931788</v>
      </c>
      <c r="Y6292">
        <v>0.9217024403022227</v>
      </c>
    </row>
    <row r="6293" spans="1:25" x14ac:dyDescent="0.2">
      <c r="A6293" t="s">
        <v>678</v>
      </c>
      <c r="B6293">
        <v>2020</v>
      </c>
      <c r="C6293" t="s">
        <v>826</v>
      </c>
      <c r="D6293" t="s">
        <v>824</v>
      </c>
      <c r="E6293" t="s">
        <v>114</v>
      </c>
      <c r="F6293" t="s">
        <v>679</v>
      </c>
      <c r="G6293">
        <v>37.016666999999998</v>
      </c>
      <c r="H6293">
        <v>122.4</v>
      </c>
      <c r="I6293" t="s">
        <v>545</v>
      </c>
      <c r="J6293" s="2" t="s">
        <v>7</v>
      </c>
      <c r="K6293" t="s">
        <v>143</v>
      </c>
      <c r="L6293" t="s">
        <v>143</v>
      </c>
      <c r="M6293" t="s">
        <v>638</v>
      </c>
      <c r="N6293" t="s">
        <v>85</v>
      </c>
      <c r="O6293" t="s">
        <v>711</v>
      </c>
      <c r="P6293" t="s">
        <v>67</v>
      </c>
      <c r="Q6293">
        <v>90</v>
      </c>
      <c r="R6293" s="2" t="s">
        <v>213</v>
      </c>
      <c r="S6293" t="s">
        <v>7</v>
      </c>
      <c r="T6293">
        <v>10</v>
      </c>
      <c r="U6293">
        <v>8.1</v>
      </c>
      <c r="V6293">
        <v>400</v>
      </c>
      <c r="W6293" t="s">
        <v>28</v>
      </c>
      <c r="X6293">
        <v>136.74642424043412</v>
      </c>
      <c r="Y6293">
        <v>3.797637249575835</v>
      </c>
    </row>
    <row r="6294" spans="1:25" x14ac:dyDescent="0.2">
      <c r="A6294" t="s">
        <v>678</v>
      </c>
      <c r="B6294">
        <v>2020</v>
      </c>
      <c r="C6294" t="s">
        <v>826</v>
      </c>
      <c r="D6294" t="s">
        <v>824</v>
      </c>
      <c r="E6294" t="s">
        <v>114</v>
      </c>
      <c r="F6294" t="s">
        <v>679</v>
      </c>
      <c r="G6294">
        <v>37.016666999999998</v>
      </c>
      <c r="H6294">
        <v>122.4</v>
      </c>
      <c r="I6294" t="s">
        <v>545</v>
      </c>
      <c r="J6294" s="2" t="s">
        <v>5</v>
      </c>
      <c r="K6294" t="s">
        <v>143</v>
      </c>
      <c r="L6294" t="s">
        <v>143</v>
      </c>
      <c r="M6294" t="s">
        <v>638</v>
      </c>
      <c r="N6294" t="s">
        <v>85</v>
      </c>
      <c r="O6294" t="s">
        <v>711</v>
      </c>
      <c r="P6294" t="s">
        <v>67</v>
      </c>
      <c r="Q6294">
        <v>90</v>
      </c>
      <c r="R6294" s="2" t="s">
        <v>213</v>
      </c>
      <c r="S6294" t="s">
        <v>9</v>
      </c>
      <c r="T6294">
        <v>10</v>
      </c>
      <c r="U6294">
        <v>7.8</v>
      </c>
      <c r="V6294">
        <v>1000</v>
      </c>
      <c r="W6294" t="s">
        <v>28</v>
      </c>
      <c r="X6294">
        <v>172.65998770810515</v>
      </c>
      <c r="Y6294">
        <v>3.6305034352060934</v>
      </c>
    </row>
    <row r="6295" spans="1:25" x14ac:dyDescent="0.2">
      <c r="A6295" t="s">
        <v>678</v>
      </c>
      <c r="B6295">
        <v>2020</v>
      </c>
      <c r="C6295" t="s">
        <v>826</v>
      </c>
      <c r="D6295" t="s">
        <v>824</v>
      </c>
      <c r="E6295" t="s">
        <v>114</v>
      </c>
      <c r="F6295" t="s">
        <v>679</v>
      </c>
      <c r="G6295">
        <v>37.016666999999998</v>
      </c>
      <c r="H6295">
        <v>122.4</v>
      </c>
      <c r="I6295" t="s">
        <v>545</v>
      </c>
      <c r="J6295" s="2" t="s">
        <v>7</v>
      </c>
      <c r="K6295" t="s">
        <v>143</v>
      </c>
      <c r="L6295" t="s">
        <v>143</v>
      </c>
      <c r="M6295" t="s">
        <v>638</v>
      </c>
      <c r="N6295" t="s">
        <v>85</v>
      </c>
      <c r="O6295" t="s">
        <v>712</v>
      </c>
      <c r="P6295" t="s">
        <v>67</v>
      </c>
      <c r="Q6295">
        <v>90</v>
      </c>
      <c r="R6295" s="2" t="s">
        <v>213</v>
      </c>
      <c r="S6295" t="s">
        <v>7</v>
      </c>
      <c r="T6295">
        <v>10</v>
      </c>
      <c r="U6295">
        <v>8.1</v>
      </c>
      <c r="V6295">
        <v>400</v>
      </c>
      <c r="W6295" t="s">
        <v>28</v>
      </c>
      <c r="X6295">
        <v>25.240200533097358</v>
      </c>
      <c r="Y6295">
        <v>1.2387753800537114</v>
      </c>
    </row>
    <row r="6296" spans="1:25" x14ac:dyDescent="0.2">
      <c r="A6296" t="s">
        <v>678</v>
      </c>
      <c r="B6296">
        <v>2020</v>
      </c>
      <c r="C6296" t="s">
        <v>826</v>
      </c>
      <c r="D6296" t="s">
        <v>824</v>
      </c>
      <c r="E6296" t="s">
        <v>114</v>
      </c>
      <c r="F6296" t="s">
        <v>679</v>
      </c>
      <c r="G6296">
        <v>37.016666999999998</v>
      </c>
      <c r="H6296">
        <v>122.4</v>
      </c>
      <c r="I6296" t="s">
        <v>545</v>
      </c>
      <c r="J6296" s="2" t="s">
        <v>5</v>
      </c>
      <c r="K6296" t="s">
        <v>143</v>
      </c>
      <c r="L6296" t="s">
        <v>143</v>
      </c>
      <c r="M6296" t="s">
        <v>638</v>
      </c>
      <c r="N6296" t="s">
        <v>85</v>
      </c>
      <c r="O6296" t="s">
        <v>712</v>
      </c>
      <c r="P6296" t="s">
        <v>67</v>
      </c>
      <c r="Q6296">
        <v>90</v>
      </c>
      <c r="R6296" s="2" t="s">
        <v>213</v>
      </c>
      <c r="S6296" t="s">
        <v>9</v>
      </c>
      <c r="T6296">
        <v>10</v>
      </c>
      <c r="U6296">
        <v>7.8</v>
      </c>
      <c r="V6296">
        <v>1000</v>
      </c>
      <c r="W6296" t="s">
        <v>28</v>
      </c>
      <c r="X6296">
        <v>31.963455240849953</v>
      </c>
      <c r="Y6296">
        <v>1.6486108145874838</v>
      </c>
    </row>
    <row r="6297" spans="1:25" x14ac:dyDescent="0.2">
      <c r="A6297" t="s">
        <v>678</v>
      </c>
      <c r="B6297">
        <v>2020</v>
      </c>
      <c r="C6297" t="s">
        <v>826</v>
      </c>
      <c r="D6297" t="s">
        <v>824</v>
      </c>
      <c r="E6297" t="s">
        <v>114</v>
      </c>
      <c r="F6297" t="s">
        <v>679</v>
      </c>
      <c r="G6297">
        <v>37.016666999999998</v>
      </c>
      <c r="H6297">
        <v>122.4</v>
      </c>
      <c r="I6297" t="s">
        <v>545</v>
      </c>
      <c r="J6297" s="2" t="s">
        <v>7</v>
      </c>
      <c r="K6297" t="s">
        <v>143</v>
      </c>
      <c r="L6297" t="s">
        <v>143</v>
      </c>
      <c r="M6297" t="s">
        <v>638</v>
      </c>
      <c r="N6297" t="s">
        <v>85</v>
      </c>
      <c r="O6297" t="s">
        <v>713</v>
      </c>
      <c r="P6297" t="s">
        <v>67</v>
      </c>
      <c r="Q6297">
        <v>90</v>
      </c>
      <c r="R6297" s="2" t="s">
        <v>213</v>
      </c>
      <c r="S6297" t="s">
        <v>7</v>
      </c>
      <c r="T6297">
        <v>10</v>
      </c>
      <c r="U6297">
        <v>8.1</v>
      </c>
      <c r="V6297">
        <v>400</v>
      </c>
      <c r="W6297" t="s">
        <v>28</v>
      </c>
      <c r="X6297">
        <v>84.84</v>
      </c>
      <c r="Y6297">
        <v>20.38796903151972</v>
      </c>
    </row>
    <row r="6298" spans="1:25" x14ac:dyDescent="0.2">
      <c r="A6298" t="s">
        <v>678</v>
      </c>
      <c r="B6298">
        <v>2020</v>
      </c>
      <c r="C6298" t="s">
        <v>826</v>
      </c>
      <c r="D6298" t="s">
        <v>824</v>
      </c>
      <c r="E6298" t="s">
        <v>114</v>
      </c>
      <c r="F6298" t="s">
        <v>679</v>
      </c>
      <c r="G6298">
        <v>37.016666999999998</v>
      </c>
      <c r="H6298">
        <v>122.4</v>
      </c>
      <c r="I6298" t="s">
        <v>545</v>
      </c>
      <c r="J6298" s="2" t="s">
        <v>5</v>
      </c>
      <c r="K6298" t="s">
        <v>143</v>
      </c>
      <c r="L6298" t="s">
        <v>143</v>
      </c>
      <c r="M6298" t="s">
        <v>638</v>
      </c>
      <c r="N6298" t="s">
        <v>85</v>
      </c>
      <c r="O6298" t="s">
        <v>713</v>
      </c>
      <c r="P6298" t="s">
        <v>67</v>
      </c>
      <c r="Q6298">
        <v>90</v>
      </c>
      <c r="R6298" s="2" t="s">
        <v>213</v>
      </c>
      <c r="S6298" t="s">
        <v>9</v>
      </c>
      <c r="T6298">
        <v>10</v>
      </c>
      <c r="U6298">
        <v>7.8</v>
      </c>
      <c r="V6298">
        <v>1000</v>
      </c>
      <c r="W6298" t="s">
        <v>28</v>
      </c>
      <c r="X6298">
        <v>231.74</v>
      </c>
      <c r="Y6298">
        <v>86.148633038657678</v>
      </c>
    </row>
    <row r="6299" spans="1:25" x14ac:dyDescent="0.2">
      <c r="A6299" t="s">
        <v>678</v>
      </c>
      <c r="B6299">
        <v>2020</v>
      </c>
      <c r="C6299" t="s">
        <v>826</v>
      </c>
      <c r="D6299" t="s">
        <v>824</v>
      </c>
      <c r="E6299" t="s">
        <v>114</v>
      </c>
      <c r="F6299" t="s">
        <v>679</v>
      </c>
      <c r="G6299">
        <v>37.016666999999998</v>
      </c>
      <c r="H6299">
        <v>122.4</v>
      </c>
      <c r="I6299" t="s">
        <v>545</v>
      </c>
      <c r="J6299" s="2" t="s">
        <v>7</v>
      </c>
      <c r="K6299" t="s">
        <v>143</v>
      </c>
      <c r="L6299" t="s">
        <v>143</v>
      </c>
      <c r="M6299" t="s">
        <v>638</v>
      </c>
      <c r="N6299" t="s">
        <v>85</v>
      </c>
      <c r="O6299" t="s">
        <v>714</v>
      </c>
      <c r="P6299" t="s">
        <v>67</v>
      </c>
      <c r="Q6299">
        <v>90</v>
      </c>
      <c r="R6299" s="2" t="s">
        <v>213</v>
      </c>
      <c r="S6299" t="s">
        <v>7</v>
      </c>
      <c r="T6299">
        <v>10</v>
      </c>
      <c r="U6299">
        <v>8.1</v>
      </c>
      <c r="V6299">
        <v>400</v>
      </c>
      <c r="W6299" t="s">
        <v>28</v>
      </c>
      <c r="X6299">
        <v>335.92</v>
      </c>
      <c r="Y6299">
        <v>86.865981617622111</v>
      </c>
    </row>
    <row r="6300" spans="1:25" x14ac:dyDescent="0.2">
      <c r="A6300" t="s">
        <v>678</v>
      </c>
      <c r="B6300">
        <v>2020</v>
      </c>
      <c r="C6300" t="s">
        <v>826</v>
      </c>
      <c r="D6300" t="s">
        <v>824</v>
      </c>
      <c r="E6300" t="s">
        <v>114</v>
      </c>
      <c r="F6300" t="s">
        <v>679</v>
      </c>
      <c r="G6300">
        <v>37.016666999999998</v>
      </c>
      <c r="H6300">
        <v>122.4</v>
      </c>
      <c r="I6300" t="s">
        <v>545</v>
      </c>
      <c r="J6300" s="2" t="s">
        <v>5</v>
      </c>
      <c r="K6300" t="s">
        <v>143</v>
      </c>
      <c r="L6300" t="s">
        <v>143</v>
      </c>
      <c r="M6300" t="s">
        <v>638</v>
      </c>
      <c r="N6300" t="s">
        <v>85</v>
      </c>
      <c r="O6300" t="s">
        <v>714</v>
      </c>
      <c r="P6300" t="s">
        <v>67</v>
      </c>
      <c r="Q6300">
        <v>90</v>
      </c>
      <c r="R6300" s="2" t="s">
        <v>213</v>
      </c>
      <c r="S6300" t="s">
        <v>9</v>
      </c>
      <c r="T6300">
        <v>10</v>
      </c>
      <c r="U6300">
        <v>7.8</v>
      </c>
      <c r="V6300">
        <v>1000</v>
      </c>
      <c r="W6300" t="s">
        <v>28</v>
      </c>
      <c r="X6300">
        <v>401.1</v>
      </c>
      <c r="Y6300">
        <v>95.007224686431073</v>
      </c>
    </row>
    <row r="6301" spans="1:25" x14ac:dyDescent="0.2">
      <c r="A6301" t="s">
        <v>678</v>
      </c>
      <c r="B6301">
        <v>2020</v>
      </c>
      <c r="C6301" t="s">
        <v>826</v>
      </c>
      <c r="D6301" t="s">
        <v>824</v>
      </c>
      <c r="E6301" t="s">
        <v>114</v>
      </c>
      <c r="F6301" t="s">
        <v>679</v>
      </c>
      <c r="G6301">
        <v>37.016666999999998</v>
      </c>
      <c r="H6301">
        <v>122.4</v>
      </c>
      <c r="I6301" t="s">
        <v>545</v>
      </c>
      <c r="J6301" s="2" t="s">
        <v>7</v>
      </c>
      <c r="K6301" t="s">
        <v>143</v>
      </c>
      <c r="L6301" t="s">
        <v>143</v>
      </c>
      <c r="M6301" t="s">
        <v>638</v>
      </c>
      <c r="N6301" t="s">
        <v>85</v>
      </c>
      <c r="O6301" t="s">
        <v>715</v>
      </c>
      <c r="P6301" t="s">
        <v>67</v>
      </c>
      <c r="Q6301">
        <v>90</v>
      </c>
      <c r="R6301" s="2" t="s">
        <v>213</v>
      </c>
      <c r="S6301" t="s">
        <v>7</v>
      </c>
      <c r="T6301">
        <v>10</v>
      </c>
      <c r="U6301">
        <v>8.1</v>
      </c>
      <c r="V6301">
        <v>400</v>
      </c>
      <c r="W6301" t="s">
        <v>28</v>
      </c>
      <c r="X6301">
        <v>190.8</v>
      </c>
      <c r="Y6301">
        <v>31.377523858766281</v>
      </c>
    </row>
    <row r="6302" spans="1:25" x14ac:dyDescent="0.2">
      <c r="A6302" t="s">
        <v>678</v>
      </c>
      <c r="B6302">
        <v>2020</v>
      </c>
      <c r="C6302" t="s">
        <v>826</v>
      </c>
      <c r="D6302" t="s">
        <v>824</v>
      </c>
      <c r="E6302" t="s">
        <v>114</v>
      </c>
      <c r="F6302" t="s">
        <v>679</v>
      </c>
      <c r="G6302">
        <v>37.016666999999998</v>
      </c>
      <c r="H6302">
        <v>122.4</v>
      </c>
      <c r="I6302" t="s">
        <v>545</v>
      </c>
      <c r="J6302" s="2" t="s">
        <v>5</v>
      </c>
      <c r="K6302" t="s">
        <v>143</v>
      </c>
      <c r="L6302" t="s">
        <v>143</v>
      </c>
      <c r="M6302" t="s">
        <v>638</v>
      </c>
      <c r="N6302" t="s">
        <v>85</v>
      </c>
      <c r="O6302" t="s">
        <v>715</v>
      </c>
      <c r="P6302" t="s">
        <v>67</v>
      </c>
      <c r="Q6302">
        <v>90</v>
      </c>
      <c r="R6302" s="2" t="s">
        <v>213</v>
      </c>
      <c r="S6302" t="s">
        <v>9</v>
      </c>
      <c r="T6302">
        <v>10</v>
      </c>
      <c r="U6302">
        <v>7.8</v>
      </c>
      <c r="V6302">
        <v>1000</v>
      </c>
      <c r="W6302" t="s">
        <v>28</v>
      </c>
      <c r="X6302">
        <v>257.35000000000002</v>
      </c>
      <c r="Y6302">
        <v>38.440852638151661</v>
      </c>
    </row>
    <row r="6303" spans="1:25" x14ac:dyDescent="0.2">
      <c r="A6303" t="s">
        <v>678</v>
      </c>
      <c r="B6303">
        <v>2020</v>
      </c>
      <c r="C6303" t="s">
        <v>826</v>
      </c>
      <c r="D6303" t="s">
        <v>824</v>
      </c>
      <c r="E6303" t="s">
        <v>114</v>
      </c>
      <c r="F6303" t="s">
        <v>679</v>
      </c>
      <c r="G6303">
        <v>37.016666999999998</v>
      </c>
      <c r="H6303">
        <v>122.4</v>
      </c>
      <c r="I6303" t="s">
        <v>545</v>
      </c>
      <c r="J6303" s="2" t="s">
        <v>7</v>
      </c>
      <c r="K6303" t="s">
        <v>143</v>
      </c>
      <c r="L6303" t="s">
        <v>143</v>
      </c>
      <c r="M6303" t="s">
        <v>638</v>
      </c>
      <c r="N6303" t="s">
        <v>85</v>
      </c>
      <c r="O6303" t="s">
        <v>716</v>
      </c>
      <c r="P6303" t="s">
        <v>67</v>
      </c>
      <c r="Q6303">
        <v>90</v>
      </c>
      <c r="R6303" s="2" t="s">
        <v>213</v>
      </c>
      <c r="S6303" t="s">
        <v>7</v>
      </c>
      <c r="T6303">
        <v>10</v>
      </c>
      <c r="U6303">
        <v>8.1</v>
      </c>
      <c r="V6303">
        <v>400</v>
      </c>
      <c r="W6303" t="s">
        <v>28</v>
      </c>
      <c r="X6303">
        <v>162.77000000000001</v>
      </c>
      <c r="Y6303">
        <v>47.734790280507809</v>
      </c>
    </row>
    <row r="6304" spans="1:25" x14ac:dyDescent="0.2">
      <c r="A6304" t="s">
        <v>678</v>
      </c>
      <c r="B6304">
        <v>2020</v>
      </c>
      <c r="C6304" t="s">
        <v>826</v>
      </c>
      <c r="D6304" t="s">
        <v>824</v>
      </c>
      <c r="E6304" t="s">
        <v>114</v>
      </c>
      <c r="F6304" t="s">
        <v>679</v>
      </c>
      <c r="G6304">
        <v>37.016666999999998</v>
      </c>
      <c r="H6304">
        <v>122.4</v>
      </c>
      <c r="I6304" t="s">
        <v>545</v>
      </c>
      <c r="J6304" s="2" t="s">
        <v>5</v>
      </c>
      <c r="K6304" t="s">
        <v>143</v>
      </c>
      <c r="L6304" t="s">
        <v>143</v>
      </c>
      <c r="M6304" t="s">
        <v>638</v>
      </c>
      <c r="N6304" t="s">
        <v>85</v>
      </c>
      <c r="O6304" t="s">
        <v>716</v>
      </c>
      <c r="P6304" t="s">
        <v>67</v>
      </c>
      <c r="Q6304">
        <v>90</v>
      </c>
      <c r="R6304" s="2" t="s">
        <v>213</v>
      </c>
      <c r="S6304" t="s">
        <v>9</v>
      </c>
      <c r="T6304">
        <v>10</v>
      </c>
      <c r="U6304">
        <v>7.8</v>
      </c>
      <c r="V6304">
        <v>1000</v>
      </c>
      <c r="W6304" t="s">
        <v>28</v>
      </c>
      <c r="X6304">
        <v>222.1</v>
      </c>
      <c r="Y6304">
        <v>105.44037666591679</v>
      </c>
    </row>
    <row r="6305" spans="1:25" x14ac:dyDescent="0.2">
      <c r="A6305" t="s">
        <v>678</v>
      </c>
      <c r="B6305">
        <v>2020</v>
      </c>
      <c r="C6305" t="s">
        <v>826</v>
      </c>
      <c r="D6305" t="s">
        <v>824</v>
      </c>
      <c r="E6305" t="s">
        <v>114</v>
      </c>
      <c r="F6305" t="s">
        <v>679</v>
      </c>
      <c r="G6305">
        <v>37.016666999999998</v>
      </c>
      <c r="H6305">
        <v>122.4</v>
      </c>
      <c r="I6305" t="s">
        <v>545</v>
      </c>
      <c r="J6305" s="2" t="s">
        <v>7</v>
      </c>
      <c r="K6305" t="s">
        <v>143</v>
      </c>
      <c r="L6305" t="s">
        <v>143</v>
      </c>
      <c r="M6305" t="s">
        <v>638</v>
      </c>
      <c r="N6305" t="s">
        <v>85</v>
      </c>
      <c r="O6305" t="s">
        <v>717</v>
      </c>
      <c r="P6305" t="s">
        <v>67</v>
      </c>
      <c r="Q6305">
        <v>90</v>
      </c>
      <c r="R6305" s="2" t="s">
        <v>213</v>
      </c>
      <c r="S6305" t="s">
        <v>7</v>
      </c>
      <c r="T6305">
        <v>10</v>
      </c>
      <c r="U6305">
        <v>8.1</v>
      </c>
      <c r="V6305">
        <v>400</v>
      </c>
      <c r="W6305" t="s">
        <v>28</v>
      </c>
      <c r="X6305">
        <v>79.5</v>
      </c>
      <c r="Y6305">
        <v>27.427154137995313</v>
      </c>
    </row>
    <row r="6306" spans="1:25" x14ac:dyDescent="0.2">
      <c r="A6306" t="s">
        <v>678</v>
      </c>
      <c r="B6306">
        <v>2020</v>
      </c>
      <c r="C6306" t="s">
        <v>826</v>
      </c>
      <c r="D6306" t="s">
        <v>824</v>
      </c>
      <c r="E6306" t="s">
        <v>114</v>
      </c>
      <c r="F6306" t="s">
        <v>679</v>
      </c>
      <c r="G6306">
        <v>37.016666999999998</v>
      </c>
      <c r="H6306">
        <v>122.4</v>
      </c>
      <c r="I6306" t="s">
        <v>545</v>
      </c>
      <c r="J6306" s="2" t="s">
        <v>5</v>
      </c>
      <c r="K6306" t="s">
        <v>143</v>
      </c>
      <c r="L6306" t="s">
        <v>143</v>
      </c>
      <c r="M6306" t="s">
        <v>638</v>
      </c>
      <c r="N6306" t="s">
        <v>85</v>
      </c>
      <c r="O6306" t="s">
        <v>717</v>
      </c>
      <c r="P6306" t="s">
        <v>67</v>
      </c>
      <c r="Q6306">
        <v>90</v>
      </c>
      <c r="R6306" s="2" t="s">
        <v>213</v>
      </c>
      <c r="S6306" t="s">
        <v>9</v>
      </c>
      <c r="T6306">
        <v>10</v>
      </c>
      <c r="U6306">
        <v>7.8</v>
      </c>
      <c r="V6306">
        <v>1000</v>
      </c>
      <c r="W6306" t="s">
        <v>28</v>
      </c>
      <c r="X6306">
        <v>108.83</v>
      </c>
      <c r="Y6306">
        <v>23.524654989873753</v>
      </c>
    </row>
    <row r="6307" spans="1:25" x14ac:dyDescent="0.2">
      <c r="A6307" t="s">
        <v>678</v>
      </c>
      <c r="B6307">
        <v>2020</v>
      </c>
      <c r="C6307" t="s">
        <v>826</v>
      </c>
      <c r="D6307" t="s">
        <v>824</v>
      </c>
      <c r="E6307" t="s">
        <v>114</v>
      </c>
      <c r="F6307" t="s">
        <v>679</v>
      </c>
      <c r="G6307">
        <v>37.016666999999998</v>
      </c>
      <c r="H6307">
        <v>122.4</v>
      </c>
      <c r="I6307" t="s">
        <v>545</v>
      </c>
      <c r="J6307" s="2" t="s">
        <v>7</v>
      </c>
      <c r="K6307" t="s">
        <v>143</v>
      </c>
      <c r="L6307" t="s">
        <v>143</v>
      </c>
      <c r="M6307" t="s">
        <v>664</v>
      </c>
      <c r="N6307" t="s">
        <v>85</v>
      </c>
      <c r="O6307" t="s">
        <v>255</v>
      </c>
      <c r="P6307" t="s">
        <v>721</v>
      </c>
      <c r="Q6307">
        <v>90</v>
      </c>
      <c r="R6307" s="2" t="s">
        <v>213</v>
      </c>
      <c r="S6307" t="s">
        <v>7</v>
      </c>
      <c r="T6307">
        <v>9</v>
      </c>
      <c r="U6307">
        <v>8.1</v>
      </c>
      <c r="V6307">
        <v>400</v>
      </c>
      <c r="W6307" t="s">
        <v>28</v>
      </c>
      <c r="X6307">
        <v>2.5802349152222224</v>
      </c>
      <c r="Y6307">
        <v>0.12308438785360536</v>
      </c>
    </row>
    <row r="6308" spans="1:25" x14ac:dyDescent="0.2">
      <c r="A6308" t="s">
        <v>678</v>
      </c>
      <c r="B6308">
        <v>2020</v>
      </c>
      <c r="C6308" t="s">
        <v>826</v>
      </c>
      <c r="D6308" t="s">
        <v>824</v>
      </c>
      <c r="E6308" t="s">
        <v>114</v>
      </c>
      <c r="F6308" t="s">
        <v>679</v>
      </c>
      <c r="G6308">
        <v>37.016666999999998</v>
      </c>
      <c r="H6308">
        <v>122.4</v>
      </c>
      <c r="I6308" t="s">
        <v>545</v>
      </c>
      <c r="J6308" s="2" t="s">
        <v>5</v>
      </c>
      <c r="K6308" t="s">
        <v>143</v>
      </c>
      <c r="L6308" t="s">
        <v>143</v>
      </c>
      <c r="M6308" t="s">
        <v>664</v>
      </c>
      <c r="N6308" t="s">
        <v>85</v>
      </c>
      <c r="O6308" t="s">
        <v>255</v>
      </c>
      <c r="P6308" t="s">
        <v>721</v>
      </c>
      <c r="Q6308">
        <v>90</v>
      </c>
      <c r="R6308" s="2" t="s">
        <v>213</v>
      </c>
      <c r="S6308" t="s">
        <v>9</v>
      </c>
      <c r="T6308">
        <v>9</v>
      </c>
      <c r="U6308">
        <v>7.8</v>
      </c>
      <c r="V6308">
        <v>1000</v>
      </c>
      <c r="W6308" t="s">
        <v>28</v>
      </c>
      <c r="X6308">
        <v>2.6489039093333333</v>
      </c>
      <c r="Y6308">
        <v>0.16751131868815811</v>
      </c>
    </row>
    <row r="6309" spans="1:25" x14ac:dyDescent="0.2">
      <c r="A6309" t="s">
        <v>678</v>
      </c>
      <c r="B6309">
        <v>2020</v>
      </c>
      <c r="C6309" t="s">
        <v>826</v>
      </c>
      <c r="D6309" t="s">
        <v>824</v>
      </c>
      <c r="E6309" t="s">
        <v>114</v>
      </c>
      <c r="F6309" t="s">
        <v>679</v>
      </c>
      <c r="G6309">
        <v>37.016666999999998</v>
      </c>
      <c r="H6309">
        <v>122.4</v>
      </c>
      <c r="I6309" t="s">
        <v>545</v>
      </c>
      <c r="J6309" s="2" t="s">
        <v>7</v>
      </c>
      <c r="K6309" t="s">
        <v>143</v>
      </c>
      <c r="L6309" t="s">
        <v>143</v>
      </c>
      <c r="M6309" t="s">
        <v>664</v>
      </c>
      <c r="N6309" t="s">
        <v>85</v>
      </c>
      <c r="O6309" t="s">
        <v>718</v>
      </c>
      <c r="P6309" t="s">
        <v>722</v>
      </c>
      <c r="Q6309">
        <v>90</v>
      </c>
      <c r="R6309" s="2" t="s">
        <v>213</v>
      </c>
      <c r="S6309" t="s">
        <v>7</v>
      </c>
      <c r="T6309">
        <v>9</v>
      </c>
      <c r="U6309">
        <v>8.1</v>
      </c>
      <c r="V6309">
        <v>400</v>
      </c>
      <c r="W6309" t="s">
        <v>28</v>
      </c>
      <c r="X6309">
        <v>38.423094184444452</v>
      </c>
      <c r="Y6309">
        <v>2.0030451118848087</v>
      </c>
    </row>
    <row r="6310" spans="1:25" x14ac:dyDescent="0.2">
      <c r="A6310" t="s">
        <v>678</v>
      </c>
      <c r="B6310">
        <v>2020</v>
      </c>
      <c r="C6310" t="s">
        <v>826</v>
      </c>
      <c r="D6310" t="s">
        <v>824</v>
      </c>
      <c r="E6310" t="s">
        <v>114</v>
      </c>
      <c r="F6310" t="s">
        <v>679</v>
      </c>
      <c r="G6310">
        <v>37.016666999999998</v>
      </c>
      <c r="H6310">
        <v>122.4</v>
      </c>
      <c r="I6310" t="s">
        <v>545</v>
      </c>
      <c r="J6310" s="2" t="s">
        <v>5</v>
      </c>
      <c r="K6310" t="s">
        <v>143</v>
      </c>
      <c r="L6310" t="s">
        <v>143</v>
      </c>
      <c r="M6310" t="s">
        <v>664</v>
      </c>
      <c r="N6310" t="s">
        <v>85</v>
      </c>
      <c r="O6310" t="s">
        <v>718</v>
      </c>
      <c r="P6310" t="s">
        <v>722</v>
      </c>
      <c r="Q6310">
        <v>90</v>
      </c>
      <c r="R6310" s="2" t="s">
        <v>213</v>
      </c>
      <c r="S6310" t="s">
        <v>9</v>
      </c>
      <c r="T6310">
        <v>9</v>
      </c>
      <c r="U6310">
        <v>7.8</v>
      </c>
      <c r="V6310">
        <v>1000</v>
      </c>
      <c r="W6310" t="s">
        <v>28</v>
      </c>
      <c r="X6310">
        <v>69.283079138888894</v>
      </c>
      <c r="Y6310">
        <v>4.2325348954317672</v>
      </c>
    </row>
    <row r="6311" spans="1:25" x14ac:dyDescent="0.2">
      <c r="A6311" t="s">
        <v>678</v>
      </c>
      <c r="B6311">
        <v>2020</v>
      </c>
      <c r="C6311" t="s">
        <v>826</v>
      </c>
      <c r="D6311" t="s">
        <v>824</v>
      </c>
      <c r="E6311" t="s">
        <v>114</v>
      </c>
      <c r="F6311" t="s">
        <v>679</v>
      </c>
      <c r="G6311">
        <v>37.016666999999998</v>
      </c>
      <c r="H6311">
        <v>122.4</v>
      </c>
      <c r="I6311" t="s">
        <v>545</v>
      </c>
      <c r="J6311" s="2" t="s">
        <v>7</v>
      </c>
      <c r="K6311" t="s">
        <v>143</v>
      </c>
      <c r="L6311" t="s">
        <v>143</v>
      </c>
      <c r="M6311" t="s">
        <v>664</v>
      </c>
      <c r="N6311" t="s">
        <v>85</v>
      </c>
      <c r="O6311" t="s">
        <v>720</v>
      </c>
      <c r="P6311" t="s">
        <v>722</v>
      </c>
      <c r="Q6311">
        <v>90</v>
      </c>
      <c r="R6311" s="2" t="s">
        <v>213</v>
      </c>
      <c r="S6311" t="s">
        <v>7</v>
      </c>
      <c r="T6311">
        <v>9</v>
      </c>
      <c r="U6311">
        <v>8.1</v>
      </c>
      <c r="V6311">
        <v>400</v>
      </c>
      <c r="W6311" t="s">
        <v>28</v>
      </c>
      <c r="X6311">
        <v>258.32523952222226</v>
      </c>
      <c r="Y6311">
        <v>10.620574303993834</v>
      </c>
    </row>
    <row r="6312" spans="1:25" x14ac:dyDescent="0.2">
      <c r="A6312" t="s">
        <v>678</v>
      </c>
      <c r="B6312">
        <v>2020</v>
      </c>
      <c r="C6312" t="s">
        <v>826</v>
      </c>
      <c r="D6312" t="s">
        <v>824</v>
      </c>
      <c r="E6312" t="s">
        <v>114</v>
      </c>
      <c r="F6312" t="s">
        <v>679</v>
      </c>
      <c r="G6312">
        <v>37.016666999999998</v>
      </c>
      <c r="H6312">
        <v>122.4</v>
      </c>
      <c r="I6312" t="s">
        <v>545</v>
      </c>
      <c r="J6312" s="2" t="s">
        <v>5</v>
      </c>
      <c r="K6312" t="s">
        <v>143</v>
      </c>
      <c r="L6312" t="s">
        <v>143</v>
      </c>
      <c r="M6312" t="s">
        <v>664</v>
      </c>
      <c r="N6312" t="s">
        <v>85</v>
      </c>
      <c r="O6312" t="s">
        <v>720</v>
      </c>
      <c r="P6312" t="s">
        <v>722</v>
      </c>
      <c r="Q6312">
        <v>90</v>
      </c>
      <c r="R6312" s="2" t="s">
        <v>213</v>
      </c>
      <c r="S6312" t="s">
        <v>9</v>
      </c>
      <c r="T6312">
        <v>9</v>
      </c>
      <c r="U6312">
        <v>7.8</v>
      </c>
      <c r="V6312">
        <v>1000</v>
      </c>
      <c r="W6312" t="s">
        <v>28</v>
      </c>
      <c r="X6312">
        <v>320.33756019999998</v>
      </c>
      <c r="Y6312">
        <v>14.246607661317828</v>
      </c>
    </row>
    <row r="6313" spans="1:25" x14ac:dyDescent="0.2">
      <c r="A6313" t="s">
        <v>678</v>
      </c>
      <c r="B6313">
        <v>2020</v>
      </c>
      <c r="C6313" t="s">
        <v>826</v>
      </c>
      <c r="D6313" t="s">
        <v>824</v>
      </c>
      <c r="E6313" t="s">
        <v>114</v>
      </c>
      <c r="F6313" t="s">
        <v>679</v>
      </c>
      <c r="G6313">
        <v>37.016666999999998</v>
      </c>
      <c r="H6313">
        <v>122.4</v>
      </c>
      <c r="I6313" t="s">
        <v>545</v>
      </c>
      <c r="J6313" s="2" t="s">
        <v>7</v>
      </c>
      <c r="K6313" t="s">
        <v>143</v>
      </c>
      <c r="L6313" t="s">
        <v>143</v>
      </c>
      <c r="M6313" t="s">
        <v>664</v>
      </c>
      <c r="N6313" t="s">
        <v>85</v>
      </c>
      <c r="O6313" t="s">
        <v>719</v>
      </c>
      <c r="P6313" t="s">
        <v>722</v>
      </c>
      <c r="Q6313">
        <v>90</v>
      </c>
      <c r="R6313" s="2" t="s">
        <v>213</v>
      </c>
      <c r="S6313" t="s">
        <v>7</v>
      </c>
      <c r="T6313">
        <v>9</v>
      </c>
      <c r="U6313">
        <v>8.1</v>
      </c>
      <c r="V6313">
        <v>400</v>
      </c>
      <c r="W6313" t="s">
        <v>28</v>
      </c>
      <c r="X6313">
        <v>35.934311636666671</v>
      </c>
      <c r="Y6313">
        <v>2.0847667697604977</v>
      </c>
    </row>
    <row r="6314" spans="1:25" x14ac:dyDescent="0.2">
      <c r="A6314" t="s">
        <v>678</v>
      </c>
      <c r="B6314">
        <v>2020</v>
      </c>
      <c r="C6314" t="s">
        <v>826</v>
      </c>
      <c r="D6314" t="s">
        <v>824</v>
      </c>
      <c r="E6314" t="s">
        <v>114</v>
      </c>
      <c r="F6314" t="s">
        <v>679</v>
      </c>
      <c r="G6314">
        <v>37.016666999999998</v>
      </c>
      <c r="H6314">
        <v>122.4</v>
      </c>
      <c r="I6314" t="s">
        <v>545</v>
      </c>
      <c r="J6314" s="2" t="s">
        <v>5</v>
      </c>
      <c r="K6314" t="s">
        <v>143</v>
      </c>
      <c r="L6314" t="s">
        <v>143</v>
      </c>
      <c r="M6314" t="s">
        <v>664</v>
      </c>
      <c r="N6314" t="s">
        <v>85</v>
      </c>
      <c r="O6314" t="s">
        <v>719</v>
      </c>
      <c r="P6314" t="s">
        <v>722</v>
      </c>
      <c r="Q6314">
        <v>90</v>
      </c>
      <c r="R6314" s="2" t="s">
        <v>213</v>
      </c>
      <c r="S6314" t="s">
        <v>9</v>
      </c>
      <c r="T6314">
        <v>9</v>
      </c>
      <c r="U6314">
        <v>7.8</v>
      </c>
      <c r="V6314">
        <v>1000</v>
      </c>
      <c r="W6314" t="s">
        <v>28</v>
      </c>
      <c r="X6314">
        <v>46.697775441111112</v>
      </c>
      <c r="Y6314">
        <v>2.114085240941002</v>
      </c>
    </row>
    <row r="6315" spans="1:25" x14ac:dyDescent="0.2">
      <c r="A6315" t="s">
        <v>723</v>
      </c>
      <c r="B6315">
        <v>2021</v>
      </c>
      <c r="C6315" t="s">
        <v>826</v>
      </c>
      <c r="D6315" t="s">
        <v>824</v>
      </c>
      <c r="E6315" t="s">
        <v>114</v>
      </c>
      <c r="F6315" t="s">
        <v>724</v>
      </c>
      <c r="G6315">
        <v>36.116667</v>
      </c>
      <c r="H6315">
        <v>120.316667</v>
      </c>
      <c r="I6315" t="s">
        <v>768</v>
      </c>
      <c r="J6315" s="2" t="s">
        <v>7</v>
      </c>
      <c r="K6315" t="s">
        <v>725</v>
      </c>
      <c r="L6315" t="s">
        <v>144</v>
      </c>
      <c r="M6315" t="s">
        <v>26</v>
      </c>
      <c r="N6315" t="s">
        <v>85</v>
      </c>
      <c r="O6315" t="s">
        <v>839</v>
      </c>
      <c r="P6315" t="s">
        <v>72</v>
      </c>
      <c r="Q6315">
        <v>6</v>
      </c>
      <c r="R6315" s="2" t="s">
        <v>213</v>
      </c>
      <c r="S6315" t="s">
        <v>7</v>
      </c>
      <c r="T6315">
        <v>3</v>
      </c>
      <c r="U6315">
        <v>8.25</v>
      </c>
      <c r="V6315">
        <v>400</v>
      </c>
      <c r="W6315" t="s">
        <v>28</v>
      </c>
      <c r="X6315">
        <v>13.11</v>
      </c>
      <c r="Y6315">
        <f>13.65-X6315</f>
        <v>0.54000000000000092</v>
      </c>
    </row>
    <row r="6316" spans="1:25" x14ac:dyDescent="0.2">
      <c r="A6316" t="s">
        <v>723</v>
      </c>
      <c r="B6316">
        <v>2021</v>
      </c>
      <c r="C6316" t="s">
        <v>826</v>
      </c>
      <c r="D6316" t="s">
        <v>824</v>
      </c>
      <c r="E6316" t="s">
        <v>114</v>
      </c>
      <c r="F6316" t="s">
        <v>724</v>
      </c>
      <c r="G6316">
        <v>36.116667</v>
      </c>
      <c r="H6316">
        <v>120.316667</v>
      </c>
      <c r="I6316" t="s">
        <v>768</v>
      </c>
      <c r="J6316" s="2" t="s">
        <v>5</v>
      </c>
      <c r="K6316" t="s">
        <v>725</v>
      </c>
      <c r="L6316" t="s">
        <v>144</v>
      </c>
      <c r="M6316" t="s">
        <v>26</v>
      </c>
      <c r="N6316" t="s">
        <v>85</v>
      </c>
      <c r="O6316" t="s">
        <v>839</v>
      </c>
      <c r="P6316" t="s">
        <v>72</v>
      </c>
      <c r="Q6316">
        <v>6</v>
      </c>
      <c r="R6316" s="2" t="s">
        <v>213</v>
      </c>
      <c r="S6316" t="s">
        <v>9</v>
      </c>
      <c r="T6316">
        <v>3</v>
      </c>
      <c r="U6316">
        <v>7.95</v>
      </c>
      <c r="V6316">
        <v>800</v>
      </c>
      <c r="W6316" t="s">
        <v>28</v>
      </c>
      <c r="X6316">
        <v>12.52</v>
      </c>
      <c r="Y6316">
        <f>13.11-X6316</f>
        <v>0.58999999999999986</v>
      </c>
    </row>
    <row r="6317" spans="1:25" x14ac:dyDescent="0.2">
      <c r="A6317" t="s">
        <v>723</v>
      </c>
      <c r="B6317">
        <v>2021</v>
      </c>
      <c r="C6317" t="s">
        <v>826</v>
      </c>
      <c r="D6317" t="s">
        <v>824</v>
      </c>
      <c r="E6317" t="s">
        <v>114</v>
      </c>
      <c r="F6317" t="s">
        <v>724</v>
      </c>
      <c r="G6317">
        <v>36.116667</v>
      </c>
      <c r="H6317">
        <v>120.316667</v>
      </c>
      <c r="I6317" t="s">
        <v>768</v>
      </c>
      <c r="J6317" s="2" t="s">
        <v>7</v>
      </c>
      <c r="K6317" t="s">
        <v>725</v>
      </c>
      <c r="L6317" t="s">
        <v>144</v>
      </c>
      <c r="M6317" t="s">
        <v>73</v>
      </c>
      <c r="N6317" t="s">
        <v>85</v>
      </c>
      <c r="O6317" t="s">
        <v>146</v>
      </c>
      <c r="P6317" t="s">
        <v>72</v>
      </c>
      <c r="Q6317">
        <v>6</v>
      </c>
      <c r="R6317" s="2" t="s">
        <v>213</v>
      </c>
      <c r="S6317" t="s">
        <v>7</v>
      </c>
      <c r="T6317">
        <v>3</v>
      </c>
      <c r="U6317">
        <v>8.25</v>
      </c>
      <c r="V6317">
        <v>400</v>
      </c>
      <c r="W6317" t="s">
        <v>28</v>
      </c>
      <c r="X6317">
        <v>0.70669999999999999</v>
      </c>
      <c r="Y6317">
        <f>0.818-X6317</f>
        <v>0.11129999999999995</v>
      </c>
    </row>
    <row r="6318" spans="1:25" x14ac:dyDescent="0.2">
      <c r="A6318" t="s">
        <v>723</v>
      </c>
      <c r="B6318">
        <v>2021</v>
      </c>
      <c r="C6318" t="s">
        <v>826</v>
      </c>
      <c r="D6318" t="s">
        <v>824</v>
      </c>
      <c r="E6318" t="s">
        <v>114</v>
      </c>
      <c r="F6318" t="s">
        <v>724</v>
      </c>
      <c r="G6318">
        <v>36.116667</v>
      </c>
      <c r="H6318">
        <v>120.316667</v>
      </c>
      <c r="I6318" t="s">
        <v>768</v>
      </c>
      <c r="J6318" s="2" t="s">
        <v>5</v>
      </c>
      <c r="K6318" t="s">
        <v>725</v>
      </c>
      <c r="L6318" t="s">
        <v>144</v>
      </c>
      <c r="M6318" t="s">
        <v>73</v>
      </c>
      <c r="N6318" t="s">
        <v>85</v>
      </c>
      <c r="O6318" t="s">
        <v>146</v>
      </c>
      <c r="P6318" t="s">
        <v>72</v>
      </c>
      <c r="Q6318">
        <v>6</v>
      </c>
      <c r="R6318" s="2" t="s">
        <v>213</v>
      </c>
      <c r="S6318" t="s">
        <v>9</v>
      </c>
      <c r="T6318">
        <v>3</v>
      </c>
      <c r="U6318">
        <v>7.95</v>
      </c>
      <c r="V6318">
        <v>800</v>
      </c>
      <c r="W6318" t="s">
        <v>28</v>
      </c>
      <c r="X6318">
        <v>0.88019999999999998</v>
      </c>
      <c r="Y6318">
        <f>0.9227-X6318</f>
        <v>4.2499999999999982E-2</v>
      </c>
    </row>
    <row r="6319" spans="1:25" x14ac:dyDescent="0.2">
      <c r="A6319" t="s">
        <v>723</v>
      </c>
      <c r="B6319">
        <v>2021</v>
      </c>
      <c r="C6319" t="s">
        <v>826</v>
      </c>
      <c r="D6319" t="s">
        <v>824</v>
      </c>
      <c r="E6319" t="s">
        <v>114</v>
      </c>
      <c r="F6319" t="s">
        <v>724</v>
      </c>
      <c r="G6319">
        <v>36.116667</v>
      </c>
      <c r="H6319">
        <v>120.316667</v>
      </c>
      <c r="I6319" t="s">
        <v>768</v>
      </c>
      <c r="J6319" s="2" t="s">
        <v>7</v>
      </c>
      <c r="K6319" t="s">
        <v>725</v>
      </c>
      <c r="L6319" t="s">
        <v>144</v>
      </c>
      <c r="M6319" t="s">
        <v>172</v>
      </c>
      <c r="N6319" t="s">
        <v>86</v>
      </c>
      <c r="O6319" t="s">
        <v>62</v>
      </c>
      <c r="P6319" t="s">
        <v>72</v>
      </c>
      <c r="Q6319">
        <v>6</v>
      </c>
      <c r="R6319" s="2" t="s">
        <v>213</v>
      </c>
      <c r="S6319" t="s">
        <v>7</v>
      </c>
      <c r="T6319">
        <v>3</v>
      </c>
      <c r="U6319">
        <v>8.25</v>
      </c>
      <c r="V6319">
        <v>400</v>
      </c>
      <c r="W6319" t="s">
        <v>28</v>
      </c>
      <c r="X6319">
        <v>0.1474</v>
      </c>
      <c r="Y6319">
        <f>0.2-X6319</f>
        <v>5.2600000000000008E-2</v>
      </c>
    </row>
    <row r="6320" spans="1:25" x14ac:dyDescent="0.2">
      <c r="A6320" t="s">
        <v>723</v>
      </c>
      <c r="B6320">
        <v>2021</v>
      </c>
      <c r="C6320" t="s">
        <v>826</v>
      </c>
      <c r="D6320" t="s">
        <v>824</v>
      </c>
      <c r="E6320" t="s">
        <v>114</v>
      </c>
      <c r="F6320" t="s">
        <v>724</v>
      </c>
      <c r="G6320">
        <v>36.116667</v>
      </c>
      <c r="H6320">
        <v>120.316667</v>
      </c>
      <c r="I6320" t="s">
        <v>768</v>
      </c>
      <c r="J6320" s="2" t="s">
        <v>5</v>
      </c>
      <c r="K6320" t="s">
        <v>725</v>
      </c>
      <c r="L6320" t="s">
        <v>144</v>
      </c>
      <c r="M6320" t="s">
        <v>172</v>
      </c>
      <c r="N6320" t="s">
        <v>86</v>
      </c>
      <c r="O6320" t="s">
        <v>62</v>
      </c>
      <c r="P6320" t="s">
        <v>72</v>
      </c>
      <c r="Q6320">
        <v>6</v>
      </c>
      <c r="R6320" s="2" t="s">
        <v>213</v>
      </c>
      <c r="S6320" t="s">
        <v>9</v>
      </c>
      <c r="T6320">
        <v>3</v>
      </c>
      <c r="U6320">
        <v>7.95</v>
      </c>
      <c r="V6320">
        <v>800</v>
      </c>
      <c r="W6320" t="s">
        <v>28</v>
      </c>
      <c r="X6320">
        <v>0.2462</v>
      </c>
      <c r="Y6320">
        <f>0.2591-X6320</f>
        <v>1.2899999999999995E-2</v>
      </c>
    </row>
    <row r="6321" spans="1:25" x14ac:dyDescent="0.2">
      <c r="A6321" t="s">
        <v>723</v>
      </c>
      <c r="B6321">
        <v>2021</v>
      </c>
      <c r="C6321" t="s">
        <v>826</v>
      </c>
      <c r="D6321" t="s">
        <v>824</v>
      </c>
      <c r="E6321" t="s">
        <v>114</v>
      </c>
      <c r="F6321" t="s">
        <v>724</v>
      </c>
      <c r="G6321">
        <v>36.116667</v>
      </c>
      <c r="H6321">
        <v>120.316667</v>
      </c>
      <c r="I6321" t="s">
        <v>768</v>
      </c>
      <c r="J6321" s="2" t="s">
        <v>7</v>
      </c>
      <c r="K6321" t="s">
        <v>725</v>
      </c>
      <c r="L6321" t="s">
        <v>144</v>
      </c>
      <c r="M6321" t="s">
        <v>638</v>
      </c>
      <c r="N6321" t="s">
        <v>85</v>
      </c>
      <c r="O6321" t="s">
        <v>221</v>
      </c>
      <c r="P6321" t="s">
        <v>126</v>
      </c>
      <c r="Q6321">
        <v>6</v>
      </c>
      <c r="R6321" s="2" t="s">
        <v>213</v>
      </c>
      <c r="S6321" t="s">
        <v>7</v>
      </c>
      <c r="T6321">
        <v>3</v>
      </c>
      <c r="U6321">
        <v>8.25</v>
      </c>
      <c r="V6321">
        <v>400</v>
      </c>
      <c r="W6321" t="s">
        <v>28</v>
      </c>
      <c r="X6321">
        <v>29.93</v>
      </c>
      <c r="Y6321">
        <f>30.72-X6321</f>
        <v>0.78999999999999915</v>
      </c>
    </row>
    <row r="6322" spans="1:25" x14ac:dyDescent="0.2">
      <c r="A6322" t="s">
        <v>723</v>
      </c>
      <c r="B6322">
        <v>2021</v>
      </c>
      <c r="C6322" t="s">
        <v>826</v>
      </c>
      <c r="D6322" t="s">
        <v>824</v>
      </c>
      <c r="E6322" t="s">
        <v>114</v>
      </c>
      <c r="F6322" t="s">
        <v>724</v>
      </c>
      <c r="G6322">
        <v>36.116667</v>
      </c>
      <c r="H6322">
        <v>120.316667</v>
      </c>
      <c r="I6322" t="s">
        <v>768</v>
      </c>
      <c r="J6322" s="2" t="s">
        <v>5</v>
      </c>
      <c r="K6322" t="s">
        <v>725</v>
      </c>
      <c r="L6322" t="s">
        <v>144</v>
      </c>
      <c r="M6322" t="s">
        <v>638</v>
      </c>
      <c r="N6322" t="s">
        <v>85</v>
      </c>
      <c r="O6322" t="s">
        <v>221</v>
      </c>
      <c r="P6322" t="s">
        <v>126</v>
      </c>
      <c r="Q6322">
        <v>6</v>
      </c>
      <c r="R6322" s="2" t="s">
        <v>213</v>
      </c>
      <c r="S6322" t="s">
        <v>9</v>
      </c>
      <c r="T6322">
        <v>3</v>
      </c>
      <c r="U6322">
        <v>7.95</v>
      </c>
      <c r="V6322">
        <v>800</v>
      </c>
      <c r="W6322" t="s">
        <v>28</v>
      </c>
      <c r="X6322">
        <v>30.72</v>
      </c>
      <c r="Y6322">
        <f>30.92-X6322</f>
        <v>0.20000000000000284</v>
      </c>
    </row>
    <row r="6323" spans="1:25" x14ac:dyDescent="0.2">
      <c r="A6323" t="s">
        <v>723</v>
      </c>
      <c r="B6323">
        <v>2021</v>
      </c>
      <c r="C6323" t="s">
        <v>826</v>
      </c>
      <c r="D6323" t="s">
        <v>824</v>
      </c>
      <c r="E6323" t="s">
        <v>114</v>
      </c>
      <c r="F6323" t="s">
        <v>724</v>
      </c>
      <c r="G6323">
        <v>36.116667</v>
      </c>
      <c r="H6323">
        <v>120.316667</v>
      </c>
      <c r="I6323" t="s">
        <v>768</v>
      </c>
      <c r="J6323" s="2" t="s">
        <v>7</v>
      </c>
      <c r="K6323" t="s">
        <v>725</v>
      </c>
      <c r="L6323" t="s">
        <v>144</v>
      </c>
      <c r="M6323" t="s">
        <v>638</v>
      </c>
      <c r="N6323" t="s">
        <v>85</v>
      </c>
      <c r="O6323" t="s">
        <v>107</v>
      </c>
      <c r="P6323" t="s">
        <v>126</v>
      </c>
      <c r="Q6323">
        <v>6</v>
      </c>
      <c r="R6323" s="2" t="s">
        <v>213</v>
      </c>
      <c r="S6323" t="s">
        <v>7</v>
      </c>
      <c r="T6323">
        <v>3</v>
      </c>
      <c r="U6323">
        <v>8.25</v>
      </c>
      <c r="V6323">
        <v>400</v>
      </c>
      <c r="W6323" t="s">
        <v>28</v>
      </c>
      <c r="X6323">
        <v>3.92</v>
      </c>
      <c r="Y6323">
        <f>3.95-X6323</f>
        <v>3.0000000000000249E-2</v>
      </c>
    </row>
    <row r="6324" spans="1:25" x14ac:dyDescent="0.2">
      <c r="A6324" t="s">
        <v>723</v>
      </c>
      <c r="B6324">
        <v>2021</v>
      </c>
      <c r="C6324" t="s">
        <v>826</v>
      </c>
      <c r="D6324" t="s">
        <v>824</v>
      </c>
      <c r="E6324" t="s">
        <v>114</v>
      </c>
      <c r="F6324" t="s">
        <v>724</v>
      </c>
      <c r="G6324">
        <v>36.116667</v>
      </c>
      <c r="H6324">
        <v>120.316667</v>
      </c>
      <c r="I6324" t="s">
        <v>768</v>
      </c>
      <c r="J6324" s="2" t="s">
        <v>5</v>
      </c>
      <c r="K6324" t="s">
        <v>725</v>
      </c>
      <c r="L6324" t="s">
        <v>144</v>
      </c>
      <c r="M6324" t="s">
        <v>638</v>
      </c>
      <c r="N6324" t="s">
        <v>85</v>
      </c>
      <c r="O6324" t="s">
        <v>107</v>
      </c>
      <c r="P6324" t="s">
        <v>126</v>
      </c>
      <c r="Q6324">
        <v>6</v>
      </c>
      <c r="R6324" s="2" t="s">
        <v>213</v>
      </c>
      <c r="S6324" t="s">
        <v>9</v>
      </c>
      <c r="T6324">
        <v>3</v>
      </c>
      <c r="U6324">
        <v>7.95</v>
      </c>
      <c r="V6324">
        <v>800</v>
      </c>
      <c r="W6324" t="s">
        <v>28</v>
      </c>
      <c r="X6324">
        <v>4.1310000000000002</v>
      </c>
      <c r="Y6324">
        <f>4.296-X6324</f>
        <v>0.16500000000000004</v>
      </c>
    </row>
    <row r="6325" spans="1:25" x14ac:dyDescent="0.2">
      <c r="A6325" t="s">
        <v>723</v>
      </c>
      <c r="B6325">
        <v>2021</v>
      </c>
      <c r="C6325" t="s">
        <v>826</v>
      </c>
      <c r="D6325" t="s">
        <v>824</v>
      </c>
      <c r="E6325" t="s">
        <v>114</v>
      </c>
      <c r="F6325" t="s">
        <v>724</v>
      </c>
      <c r="G6325">
        <v>36.116667</v>
      </c>
      <c r="H6325">
        <v>120.316667</v>
      </c>
      <c r="I6325" t="s">
        <v>768</v>
      </c>
      <c r="J6325" s="2" t="s">
        <v>7</v>
      </c>
      <c r="K6325" t="s">
        <v>725</v>
      </c>
      <c r="L6325" t="s">
        <v>144</v>
      </c>
      <c r="M6325" t="s">
        <v>638</v>
      </c>
      <c r="N6325" t="s">
        <v>86</v>
      </c>
      <c r="O6325" t="s">
        <v>272</v>
      </c>
      <c r="P6325" t="s">
        <v>604</v>
      </c>
      <c r="Q6325">
        <v>6</v>
      </c>
      <c r="R6325" s="2" t="s">
        <v>213</v>
      </c>
      <c r="S6325" t="s">
        <v>7</v>
      </c>
      <c r="T6325">
        <v>3</v>
      </c>
      <c r="U6325">
        <v>8.25</v>
      </c>
      <c r="V6325">
        <v>400</v>
      </c>
      <c r="W6325" t="s">
        <v>28</v>
      </c>
      <c r="X6325">
        <v>7.649</v>
      </c>
      <c r="Y6325">
        <f>7.91-X6325</f>
        <v>0.26100000000000012</v>
      </c>
    </row>
    <row r="6326" spans="1:25" x14ac:dyDescent="0.2">
      <c r="A6326" t="s">
        <v>723</v>
      </c>
      <c r="B6326">
        <v>2021</v>
      </c>
      <c r="C6326" t="s">
        <v>826</v>
      </c>
      <c r="D6326" t="s">
        <v>824</v>
      </c>
      <c r="E6326" t="s">
        <v>114</v>
      </c>
      <c r="F6326" t="s">
        <v>724</v>
      </c>
      <c r="G6326">
        <v>36.116667</v>
      </c>
      <c r="H6326">
        <v>120.316667</v>
      </c>
      <c r="I6326" t="s">
        <v>768</v>
      </c>
      <c r="J6326" s="2" t="s">
        <v>5</v>
      </c>
      <c r="K6326" t="s">
        <v>725</v>
      </c>
      <c r="L6326" t="s">
        <v>144</v>
      </c>
      <c r="M6326" t="s">
        <v>638</v>
      </c>
      <c r="N6326" t="s">
        <v>86</v>
      </c>
      <c r="O6326" t="s">
        <v>272</v>
      </c>
      <c r="P6326" t="s">
        <v>604</v>
      </c>
      <c r="Q6326">
        <v>6</v>
      </c>
      <c r="R6326" s="2" t="s">
        <v>213</v>
      </c>
      <c r="S6326" t="s">
        <v>9</v>
      </c>
      <c r="T6326">
        <v>3</v>
      </c>
      <c r="U6326">
        <v>7.95</v>
      </c>
      <c r="V6326">
        <v>800</v>
      </c>
      <c r="W6326" t="s">
        <v>28</v>
      </c>
      <c r="X6326">
        <v>7.4249999999999998</v>
      </c>
      <c r="Y6326">
        <f>7.687-X6326</f>
        <v>0.26200000000000045</v>
      </c>
    </row>
    <row r="6327" spans="1:25" x14ac:dyDescent="0.2">
      <c r="A6327" t="s">
        <v>728</v>
      </c>
      <c r="B6327">
        <v>2018</v>
      </c>
      <c r="C6327" t="s">
        <v>826</v>
      </c>
      <c r="D6327" t="s">
        <v>824</v>
      </c>
      <c r="E6327" t="s">
        <v>114</v>
      </c>
      <c r="F6327" t="s">
        <v>729</v>
      </c>
      <c r="G6327">
        <v>34.634999999999998</v>
      </c>
      <c r="H6327">
        <v>126.265833</v>
      </c>
      <c r="I6327" t="s">
        <v>730</v>
      </c>
      <c r="J6327" s="2" t="s">
        <v>7</v>
      </c>
      <c r="K6327" t="s">
        <v>731</v>
      </c>
      <c r="L6327" t="s">
        <v>143</v>
      </c>
      <c r="M6327" t="s">
        <v>26</v>
      </c>
      <c r="N6327" t="s">
        <v>85</v>
      </c>
      <c r="O6327" t="s">
        <v>462</v>
      </c>
      <c r="P6327" t="s">
        <v>491</v>
      </c>
      <c r="Q6327">
        <v>7</v>
      </c>
      <c r="R6327" s="2" t="s">
        <v>214</v>
      </c>
      <c r="S6327" t="s">
        <v>7</v>
      </c>
      <c r="T6327">
        <v>12</v>
      </c>
      <c r="U6327" t="s">
        <v>28</v>
      </c>
      <c r="V6327" t="s">
        <v>28</v>
      </c>
      <c r="W6327">
        <v>20</v>
      </c>
      <c r="X6327" s="2">
        <v>1.3517322759999999</v>
      </c>
      <c r="Y6327">
        <v>3.0000000000000001E-3</v>
      </c>
    </row>
    <row r="6328" spans="1:25" x14ac:dyDescent="0.2">
      <c r="A6328" t="s">
        <v>728</v>
      </c>
      <c r="B6328">
        <v>2018</v>
      </c>
      <c r="C6328" t="s">
        <v>826</v>
      </c>
      <c r="D6328" t="s">
        <v>824</v>
      </c>
      <c r="E6328" t="s">
        <v>114</v>
      </c>
      <c r="F6328" t="s">
        <v>729</v>
      </c>
      <c r="G6328">
        <v>34.634999999999998</v>
      </c>
      <c r="H6328">
        <v>126.265833</v>
      </c>
      <c r="I6328" t="s">
        <v>730</v>
      </c>
      <c r="J6328" s="2" t="s">
        <v>14</v>
      </c>
      <c r="K6328" t="s">
        <v>731</v>
      </c>
      <c r="L6328" t="s">
        <v>143</v>
      </c>
      <c r="M6328" t="s">
        <v>26</v>
      </c>
      <c r="N6328" t="s">
        <v>85</v>
      </c>
      <c r="O6328" t="s">
        <v>462</v>
      </c>
      <c r="P6328" t="s">
        <v>491</v>
      </c>
      <c r="Q6328">
        <v>7</v>
      </c>
      <c r="R6328" s="2" t="s">
        <v>214</v>
      </c>
      <c r="S6328" t="s">
        <v>9</v>
      </c>
      <c r="T6328">
        <v>12</v>
      </c>
      <c r="U6328" t="s">
        <v>28</v>
      </c>
      <c r="V6328" t="s">
        <v>28</v>
      </c>
      <c r="W6328">
        <v>22</v>
      </c>
      <c r="X6328" s="2">
        <v>0.58911426</v>
      </c>
      <c r="Y6328">
        <v>3.0000000000000001E-3</v>
      </c>
    </row>
    <row r="6329" spans="1:25" x14ac:dyDescent="0.2">
      <c r="A6329" t="s">
        <v>728</v>
      </c>
      <c r="B6329">
        <v>2018</v>
      </c>
      <c r="C6329" t="s">
        <v>826</v>
      </c>
      <c r="D6329" t="s">
        <v>824</v>
      </c>
      <c r="E6329" t="s">
        <v>114</v>
      </c>
      <c r="F6329" t="s">
        <v>729</v>
      </c>
      <c r="G6329">
        <v>34.634999999999998</v>
      </c>
      <c r="H6329">
        <v>126.265833</v>
      </c>
      <c r="I6329" t="s">
        <v>730</v>
      </c>
      <c r="J6329" s="2" t="s">
        <v>14</v>
      </c>
      <c r="K6329" t="s">
        <v>731</v>
      </c>
      <c r="L6329" t="s">
        <v>143</v>
      </c>
      <c r="M6329" t="s">
        <v>26</v>
      </c>
      <c r="N6329" t="s">
        <v>85</v>
      </c>
      <c r="O6329" t="s">
        <v>462</v>
      </c>
      <c r="P6329" t="s">
        <v>491</v>
      </c>
      <c r="Q6329">
        <v>7</v>
      </c>
      <c r="R6329" s="2" t="s">
        <v>214</v>
      </c>
      <c r="S6329" t="s">
        <v>27</v>
      </c>
      <c r="T6329">
        <v>12</v>
      </c>
      <c r="U6329" t="s">
        <v>28</v>
      </c>
      <c r="V6329" t="s">
        <v>28</v>
      </c>
      <c r="W6329">
        <v>24</v>
      </c>
      <c r="X6329" s="2">
        <v>0.108712932</v>
      </c>
      <c r="Y6329">
        <v>3.0000000000000001E-3</v>
      </c>
    </row>
    <row r="6330" spans="1:25" x14ac:dyDescent="0.2">
      <c r="A6330" t="s">
        <v>728</v>
      </c>
      <c r="B6330">
        <v>2018</v>
      </c>
      <c r="C6330" t="s">
        <v>826</v>
      </c>
      <c r="D6330" t="s">
        <v>824</v>
      </c>
      <c r="E6330" t="s">
        <v>114</v>
      </c>
      <c r="F6330" t="s">
        <v>729</v>
      </c>
      <c r="G6330">
        <v>34.634999999999998</v>
      </c>
      <c r="H6330">
        <v>126.265833</v>
      </c>
      <c r="I6330" t="s">
        <v>730</v>
      </c>
      <c r="J6330" s="2" t="s">
        <v>14</v>
      </c>
      <c r="K6330" t="s">
        <v>731</v>
      </c>
      <c r="L6330" t="s">
        <v>143</v>
      </c>
      <c r="M6330" t="s">
        <v>26</v>
      </c>
      <c r="N6330" t="s">
        <v>85</v>
      </c>
      <c r="O6330" t="s">
        <v>462</v>
      </c>
      <c r="P6330" t="s">
        <v>491</v>
      </c>
      <c r="Q6330">
        <v>7</v>
      </c>
      <c r="R6330" s="2" t="s">
        <v>214</v>
      </c>
      <c r="S6330" t="s">
        <v>13</v>
      </c>
      <c r="T6330">
        <v>12</v>
      </c>
      <c r="U6330" t="s">
        <v>28</v>
      </c>
      <c r="V6330" t="s">
        <v>28</v>
      </c>
      <c r="W6330">
        <v>26</v>
      </c>
      <c r="X6330" s="2">
        <v>-2.3642006200000001</v>
      </c>
      <c r="Y6330">
        <v>3.0000000000000001E-3</v>
      </c>
    </row>
    <row r="6331" spans="1:25" x14ac:dyDescent="0.2">
      <c r="A6331" t="s">
        <v>728</v>
      </c>
      <c r="B6331">
        <v>2018</v>
      </c>
      <c r="C6331" t="s">
        <v>826</v>
      </c>
      <c r="D6331" t="s">
        <v>824</v>
      </c>
      <c r="E6331" t="s">
        <v>114</v>
      </c>
      <c r="F6331" t="s">
        <v>729</v>
      </c>
      <c r="G6331">
        <v>34.634999999999998</v>
      </c>
      <c r="H6331">
        <v>126.265833</v>
      </c>
      <c r="I6331" t="s">
        <v>730</v>
      </c>
      <c r="J6331" s="2" t="s">
        <v>7</v>
      </c>
      <c r="K6331" t="s">
        <v>731</v>
      </c>
      <c r="L6331" t="s">
        <v>143</v>
      </c>
      <c r="M6331" t="s">
        <v>26</v>
      </c>
      <c r="N6331" t="s">
        <v>85</v>
      </c>
      <c r="O6331" t="s">
        <v>462</v>
      </c>
      <c r="P6331" t="s">
        <v>491</v>
      </c>
      <c r="Q6331">
        <v>15</v>
      </c>
      <c r="R6331" s="2" t="s">
        <v>214</v>
      </c>
      <c r="S6331" t="s">
        <v>7</v>
      </c>
      <c r="T6331">
        <v>12</v>
      </c>
      <c r="U6331" t="s">
        <v>28</v>
      </c>
      <c r="V6331" t="s">
        <v>28</v>
      </c>
      <c r="W6331">
        <v>20</v>
      </c>
      <c r="X6331">
        <v>1.8550606153088331</v>
      </c>
      <c r="Y6331">
        <v>3.0000000000000001E-3</v>
      </c>
    </row>
    <row r="6332" spans="1:25" x14ac:dyDescent="0.2">
      <c r="A6332" t="s">
        <v>728</v>
      </c>
      <c r="B6332">
        <v>2018</v>
      </c>
      <c r="C6332" t="s">
        <v>826</v>
      </c>
      <c r="D6332" t="s">
        <v>824</v>
      </c>
      <c r="E6332" t="s">
        <v>114</v>
      </c>
      <c r="F6332" t="s">
        <v>729</v>
      </c>
      <c r="G6332">
        <v>34.634999999999998</v>
      </c>
      <c r="H6332">
        <v>126.265833</v>
      </c>
      <c r="I6332" t="s">
        <v>730</v>
      </c>
      <c r="J6332" s="2" t="s">
        <v>14</v>
      </c>
      <c r="K6332" t="s">
        <v>731</v>
      </c>
      <c r="L6332" t="s">
        <v>143</v>
      </c>
      <c r="M6332" t="s">
        <v>26</v>
      </c>
      <c r="N6332" t="s">
        <v>85</v>
      </c>
      <c r="O6332" t="s">
        <v>462</v>
      </c>
      <c r="P6332" t="s">
        <v>491</v>
      </c>
      <c r="Q6332">
        <v>15</v>
      </c>
      <c r="R6332" s="2" t="s">
        <v>214</v>
      </c>
      <c r="S6332" t="s">
        <v>9</v>
      </c>
      <c r="T6332">
        <v>12</v>
      </c>
      <c r="U6332" t="s">
        <v>28</v>
      </c>
      <c r="V6332" t="s">
        <v>28</v>
      </c>
      <c r="W6332">
        <v>22</v>
      </c>
      <c r="X6332">
        <v>0.95178885231499399</v>
      </c>
      <c r="Y6332">
        <v>3.0000000000000001E-3</v>
      </c>
    </row>
    <row r="6333" spans="1:25" x14ac:dyDescent="0.2">
      <c r="A6333" t="s">
        <v>728</v>
      </c>
      <c r="B6333">
        <v>2018</v>
      </c>
      <c r="C6333" t="s">
        <v>826</v>
      </c>
      <c r="D6333" t="s">
        <v>824</v>
      </c>
      <c r="E6333" t="s">
        <v>114</v>
      </c>
      <c r="F6333" t="s">
        <v>729</v>
      </c>
      <c r="G6333">
        <v>34.634999999999998</v>
      </c>
      <c r="H6333">
        <v>126.265833</v>
      </c>
      <c r="I6333" t="s">
        <v>730</v>
      </c>
      <c r="J6333" s="2" t="s">
        <v>14</v>
      </c>
      <c r="K6333" t="s">
        <v>731</v>
      </c>
      <c r="L6333" t="s">
        <v>143</v>
      </c>
      <c r="M6333" t="s">
        <v>26</v>
      </c>
      <c r="N6333" t="s">
        <v>85</v>
      </c>
      <c r="O6333" t="s">
        <v>462</v>
      </c>
      <c r="P6333" t="s">
        <v>491</v>
      </c>
      <c r="Q6333">
        <v>15</v>
      </c>
      <c r="R6333" s="2" t="s">
        <v>214</v>
      </c>
      <c r="S6333" t="s">
        <v>27</v>
      </c>
      <c r="T6333">
        <v>12</v>
      </c>
      <c r="U6333" t="s">
        <v>28</v>
      </c>
      <c r="V6333" t="s">
        <v>28</v>
      </c>
      <c r="W6333">
        <v>24</v>
      </c>
      <c r="X6333">
        <v>-0.76167023925748389</v>
      </c>
      <c r="Y6333">
        <v>3.0000000000000001E-3</v>
      </c>
    </row>
    <row r="6334" spans="1:25" x14ac:dyDescent="0.2">
      <c r="A6334" t="s">
        <v>728</v>
      </c>
      <c r="B6334">
        <v>2018</v>
      </c>
      <c r="C6334" t="s">
        <v>826</v>
      </c>
      <c r="D6334" t="s">
        <v>824</v>
      </c>
      <c r="E6334" t="s">
        <v>114</v>
      </c>
      <c r="F6334" t="s">
        <v>729</v>
      </c>
      <c r="G6334">
        <v>34.634999999999998</v>
      </c>
      <c r="H6334">
        <v>126.265833</v>
      </c>
      <c r="I6334" t="s">
        <v>730</v>
      </c>
      <c r="J6334" s="2" t="s">
        <v>14</v>
      </c>
      <c r="K6334" t="s">
        <v>731</v>
      </c>
      <c r="L6334" t="s">
        <v>143</v>
      </c>
      <c r="M6334" t="s">
        <v>26</v>
      </c>
      <c r="N6334" t="s">
        <v>85</v>
      </c>
      <c r="O6334" t="s">
        <v>462</v>
      </c>
      <c r="P6334" t="s">
        <v>491</v>
      </c>
      <c r="Q6334">
        <v>15</v>
      </c>
      <c r="R6334" s="2" t="s">
        <v>214</v>
      </c>
      <c r="S6334" t="s">
        <v>13</v>
      </c>
      <c r="T6334">
        <v>12</v>
      </c>
      <c r="U6334" t="s">
        <v>28</v>
      </c>
      <c r="V6334" t="s">
        <v>28</v>
      </c>
      <c r="W6334">
        <v>26</v>
      </c>
      <c r="X6334">
        <v>-39.340461950949681</v>
      </c>
      <c r="Y6334">
        <v>3.0000000000000001E-3</v>
      </c>
    </row>
    <row r="6335" spans="1:25" x14ac:dyDescent="0.2">
      <c r="A6335" t="s">
        <v>728</v>
      </c>
      <c r="B6335">
        <v>2018</v>
      </c>
      <c r="C6335" t="s">
        <v>826</v>
      </c>
      <c r="D6335" t="s">
        <v>824</v>
      </c>
      <c r="E6335" t="s">
        <v>114</v>
      </c>
      <c r="F6335" t="s">
        <v>729</v>
      </c>
      <c r="G6335">
        <v>34.634999999999998</v>
      </c>
      <c r="H6335">
        <v>126.265833</v>
      </c>
      <c r="I6335" t="s">
        <v>730</v>
      </c>
      <c r="J6335" s="2" t="s">
        <v>7</v>
      </c>
      <c r="K6335" t="s">
        <v>731</v>
      </c>
      <c r="L6335" t="s">
        <v>143</v>
      </c>
      <c r="M6335" t="s">
        <v>26</v>
      </c>
      <c r="N6335" t="s">
        <v>85</v>
      </c>
      <c r="O6335" t="s">
        <v>462</v>
      </c>
      <c r="P6335" t="s">
        <v>491</v>
      </c>
      <c r="Q6335">
        <v>22</v>
      </c>
      <c r="R6335" s="2" t="s">
        <v>214</v>
      </c>
      <c r="S6335" t="s">
        <v>7</v>
      </c>
      <c r="T6335">
        <v>12</v>
      </c>
      <c r="U6335" t="s">
        <v>28</v>
      </c>
      <c r="V6335" t="s">
        <v>28</v>
      </c>
      <c r="W6335">
        <v>20</v>
      </c>
      <c r="X6335">
        <v>1.7965199105963632</v>
      </c>
      <c r="Y6335">
        <v>3.0000000000000001E-3</v>
      </c>
    </row>
    <row r="6336" spans="1:25" x14ac:dyDescent="0.2">
      <c r="A6336" t="s">
        <v>728</v>
      </c>
      <c r="B6336">
        <v>2018</v>
      </c>
      <c r="C6336" t="s">
        <v>826</v>
      </c>
      <c r="D6336" t="s">
        <v>824</v>
      </c>
      <c r="E6336" t="s">
        <v>114</v>
      </c>
      <c r="F6336" t="s">
        <v>729</v>
      </c>
      <c r="G6336">
        <v>34.634999999999998</v>
      </c>
      <c r="H6336">
        <v>126.265833</v>
      </c>
      <c r="I6336" t="s">
        <v>730</v>
      </c>
      <c r="J6336" s="2" t="s">
        <v>14</v>
      </c>
      <c r="K6336" t="s">
        <v>731</v>
      </c>
      <c r="L6336" t="s">
        <v>143</v>
      </c>
      <c r="M6336" t="s">
        <v>26</v>
      </c>
      <c r="N6336" t="s">
        <v>85</v>
      </c>
      <c r="O6336" t="s">
        <v>462</v>
      </c>
      <c r="P6336" t="s">
        <v>491</v>
      </c>
      <c r="Q6336">
        <v>22</v>
      </c>
      <c r="R6336" s="2" t="s">
        <v>214</v>
      </c>
      <c r="S6336" t="s">
        <v>9</v>
      </c>
      <c r="T6336">
        <v>12</v>
      </c>
      <c r="U6336" t="s">
        <v>28</v>
      </c>
      <c r="V6336" t="s">
        <v>28</v>
      </c>
      <c r="W6336">
        <v>22</v>
      </c>
      <c r="X6336">
        <v>0.74825710458334727</v>
      </c>
      <c r="Y6336">
        <v>3.0000000000000001E-3</v>
      </c>
    </row>
    <row r="6337" spans="1:25" x14ac:dyDescent="0.2">
      <c r="A6337" t="s">
        <v>728</v>
      </c>
      <c r="B6337">
        <v>2018</v>
      </c>
      <c r="C6337" t="s">
        <v>826</v>
      </c>
      <c r="D6337" t="s">
        <v>824</v>
      </c>
      <c r="E6337" t="s">
        <v>114</v>
      </c>
      <c r="F6337" t="s">
        <v>729</v>
      </c>
      <c r="G6337">
        <v>34.634999999999998</v>
      </c>
      <c r="H6337">
        <v>126.265833</v>
      </c>
      <c r="I6337" t="s">
        <v>730</v>
      </c>
      <c r="J6337" s="2" t="s">
        <v>14</v>
      </c>
      <c r="K6337" t="s">
        <v>731</v>
      </c>
      <c r="L6337" t="s">
        <v>143</v>
      </c>
      <c r="M6337" t="s">
        <v>26</v>
      </c>
      <c r="N6337" t="s">
        <v>85</v>
      </c>
      <c r="O6337" t="s">
        <v>462</v>
      </c>
      <c r="P6337" t="s">
        <v>491</v>
      </c>
      <c r="Q6337">
        <v>22</v>
      </c>
      <c r="R6337" s="2" t="s">
        <v>214</v>
      </c>
      <c r="S6337" t="s">
        <v>27</v>
      </c>
      <c r="T6337">
        <v>12</v>
      </c>
      <c r="U6337" t="s">
        <v>28</v>
      </c>
      <c r="V6337" t="s">
        <v>28</v>
      </c>
      <c r="W6337">
        <v>24</v>
      </c>
      <c r="X6337">
        <v>-2.5787552838482828</v>
      </c>
      <c r="Y6337">
        <v>3.0000000000000001E-3</v>
      </c>
    </row>
    <row r="6338" spans="1:25" x14ac:dyDescent="0.2">
      <c r="A6338" t="s">
        <v>728</v>
      </c>
      <c r="B6338">
        <v>2018</v>
      </c>
      <c r="C6338" t="s">
        <v>826</v>
      </c>
      <c r="D6338" t="s">
        <v>824</v>
      </c>
      <c r="E6338" t="s">
        <v>114</v>
      </c>
      <c r="F6338" t="s">
        <v>729</v>
      </c>
      <c r="G6338">
        <v>34.634999999999998</v>
      </c>
      <c r="H6338">
        <v>126.265833</v>
      </c>
      <c r="I6338" t="s">
        <v>730</v>
      </c>
      <c r="J6338" s="2" t="s">
        <v>14</v>
      </c>
      <c r="K6338" t="s">
        <v>731</v>
      </c>
      <c r="L6338" t="s">
        <v>143</v>
      </c>
      <c r="M6338" t="s">
        <v>26</v>
      </c>
      <c r="N6338" t="s">
        <v>85</v>
      </c>
      <c r="O6338" t="s">
        <v>462</v>
      </c>
      <c r="P6338" t="s">
        <v>491</v>
      </c>
      <c r="Q6338">
        <v>22</v>
      </c>
      <c r="R6338" s="2" t="s">
        <v>214</v>
      </c>
      <c r="S6338" t="s">
        <v>13</v>
      </c>
      <c r="T6338">
        <v>12</v>
      </c>
      <c r="U6338" t="s">
        <v>28</v>
      </c>
      <c r="V6338" t="s">
        <v>28</v>
      </c>
      <c r="W6338">
        <v>26</v>
      </c>
      <c r="X6338">
        <v>-52.046308419253222</v>
      </c>
      <c r="Y6338">
        <v>3.0000000000000001E-3</v>
      </c>
    </row>
    <row r="6339" spans="1:25" x14ac:dyDescent="0.2">
      <c r="A6339" t="s">
        <v>728</v>
      </c>
      <c r="B6339">
        <v>2018</v>
      </c>
      <c r="C6339" t="s">
        <v>826</v>
      </c>
      <c r="D6339" t="s">
        <v>824</v>
      </c>
      <c r="E6339" t="s">
        <v>114</v>
      </c>
      <c r="F6339" t="s">
        <v>729</v>
      </c>
      <c r="G6339">
        <v>34.634999999999998</v>
      </c>
      <c r="H6339">
        <v>126.265833</v>
      </c>
      <c r="I6339" t="s">
        <v>730</v>
      </c>
      <c r="J6339" s="2" t="s">
        <v>7</v>
      </c>
      <c r="K6339" t="s">
        <v>731</v>
      </c>
      <c r="L6339" t="s">
        <v>143</v>
      </c>
      <c r="M6339" t="s">
        <v>26</v>
      </c>
      <c r="N6339" t="s">
        <v>85</v>
      </c>
      <c r="O6339" t="s">
        <v>462</v>
      </c>
      <c r="P6339" t="s">
        <v>491</v>
      </c>
      <c r="Q6339">
        <v>29</v>
      </c>
      <c r="R6339" s="2" t="s">
        <v>213</v>
      </c>
      <c r="S6339" t="s">
        <v>7</v>
      </c>
      <c r="T6339">
        <v>12</v>
      </c>
      <c r="U6339" t="s">
        <v>28</v>
      </c>
      <c r="V6339" t="s">
        <v>28</v>
      </c>
      <c r="W6339">
        <v>20</v>
      </c>
      <c r="X6339">
        <v>1.7186458741994513</v>
      </c>
      <c r="Y6339">
        <v>3.0000000000000001E-3</v>
      </c>
    </row>
    <row r="6340" spans="1:25" x14ac:dyDescent="0.2">
      <c r="A6340" t="s">
        <v>728</v>
      </c>
      <c r="B6340">
        <v>2018</v>
      </c>
      <c r="C6340" t="s">
        <v>826</v>
      </c>
      <c r="D6340" t="s">
        <v>824</v>
      </c>
      <c r="E6340" t="s">
        <v>114</v>
      </c>
      <c r="F6340" t="s">
        <v>729</v>
      </c>
      <c r="G6340">
        <v>34.634999999999998</v>
      </c>
      <c r="H6340">
        <v>126.265833</v>
      </c>
      <c r="I6340" t="s">
        <v>730</v>
      </c>
      <c r="J6340" s="2" t="s">
        <v>14</v>
      </c>
      <c r="K6340" t="s">
        <v>731</v>
      </c>
      <c r="L6340" t="s">
        <v>143</v>
      </c>
      <c r="M6340" t="s">
        <v>26</v>
      </c>
      <c r="N6340" t="s">
        <v>85</v>
      </c>
      <c r="O6340" t="s">
        <v>462</v>
      </c>
      <c r="P6340" t="s">
        <v>491</v>
      </c>
      <c r="Q6340">
        <v>29</v>
      </c>
      <c r="R6340" s="2" t="s">
        <v>213</v>
      </c>
      <c r="S6340" t="s">
        <v>9</v>
      </c>
      <c r="T6340">
        <v>12</v>
      </c>
      <c r="U6340" t="s">
        <v>28</v>
      </c>
      <c r="V6340" t="s">
        <v>28</v>
      </c>
      <c r="W6340">
        <v>22</v>
      </c>
      <c r="X6340">
        <v>-8.8007734554647832E-2</v>
      </c>
      <c r="Y6340">
        <v>3.0000000000000001E-3</v>
      </c>
    </row>
    <row r="6341" spans="1:25" x14ac:dyDescent="0.2">
      <c r="A6341" t="s">
        <v>728</v>
      </c>
      <c r="B6341">
        <v>2018</v>
      </c>
      <c r="C6341" t="s">
        <v>826</v>
      </c>
      <c r="D6341" t="s">
        <v>824</v>
      </c>
      <c r="E6341" t="s">
        <v>114</v>
      </c>
      <c r="F6341" t="s">
        <v>729</v>
      </c>
      <c r="G6341">
        <v>34.634999999999998</v>
      </c>
      <c r="H6341">
        <v>126.265833</v>
      </c>
      <c r="I6341" t="s">
        <v>730</v>
      </c>
      <c r="J6341" s="2" t="s">
        <v>14</v>
      </c>
      <c r="K6341" t="s">
        <v>731</v>
      </c>
      <c r="L6341" t="s">
        <v>143</v>
      </c>
      <c r="M6341" t="s">
        <v>26</v>
      </c>
      <c r="N6341" t="s">
        <v>85</v>
      </c>
      <c r="O6341" t="s">
        <v>462</v>
      </c>
      <c r="P6341" t="s">
        <v>491</v>
      </c>
      <c r="Q6341">
        <v>29</v>
      </c>
      <c r="R6341" s="2" t="s">
        <v>213</v>
      </c>
      <c r="S6341" t="s">
        <v>27</v>
      </c>
      <c r="T6341">
        <v>12</v>
      </c>
      <c r="U6341" t="s">
        <v>28</v>
      </c>
      <c r="V6341" t="s">
        <v>28</v>
      </c>
      <c r="W6341">
        <v>24</v>
      </c>
      <c r="X6341">
        <v>-39.185691323985054</v>
      </c>
      <c r="Y6341">
        <v>3.0000000000000001E-3</v>
      </c>
    </row>
    <row r="6342" spans="1:25" x14ac:dyDescent="0.2">
      <c r="A6342" t="s">
        <v>728</v>
      </c>
      <c r="B6342">
        <v>2018</v>
      </c>
      <c r="C6342" t="s">
        <v>826</v>
      </c>
      <c r="D6342" t="s">
        <v>824</v>
      </c>
      <c r="E6342" t="s">
        <v>114</v>
      </c>
      <c r="F6342" t="s">
        <v>729</v>
      </c>
      <c r="G6342">
        <v>34.634999999999998</v>
      </c>
      <c r="H6342">
        <v>126.265833</v>
      </c>
      <c r="I6342" t="s">
        <v>730</v>
      </c>
      <c r="J6342" s="2" t="s">
        <v>14</v>
      </c>
      <c r="K6342" t="s">
        <v>731</v>
      </c>
      <c r="L6342" t="s">
        <v>143</v>
      </c>
      <c r="M6342" t="s">
        <v>26</v>
      </c>
      <c r="N6342" t="s">
        <v>85</v>
      </c>
      <c r="O6342" t="s">
        <v>462</v>
      </c>
      <c r="P6342" t="s">
        <v>491</v>
      </c>
      <c r="Q6342">
        <v>29</v>
      </c>
      <c r="R6342" s="2" t="s">
        <v>213</v>
      </c>
      <c r="S6342" t="s">
        <v>13</v>
      </c>
      <c r="T6342">
        <v>12</v>
      </c>
      <c r="U6342" t="s">
        <v>28</v>
      </c>
      <c r="V6342" t="s">
        <v>28</v>
      </c>
      <c r="W6342">
        <v>26</v>
      </c>
      <c r="X6342">
        <v>-39.875476649994113</v>
      </c>
      <c r="Y6342">
        <v>3.0000000000000001E-3</v>
      </c>
    </row>
    <row r="6343" spans="1:25" x14ac:dyDescent="0.2">
      <c r="A6343" t="s">
        <v>728</v>
      </c>
      <c r="B6343">
        <v>2018</v>
      </c>
      <c r="C6343" t="s">
        <v>826</v>
      </c>
      <c r="D6343" t="s">
        <v>824</v>
      </c>
      <c r="E6343" t="s">
        <v>114</v>
      </c>
      <c r="F6343" t="s">
        <v>729</v>
      </c>
      <c r="G6343">
        <v>34.634999999999998</v>
      </c>
      <c r="H6343">
        <v>126.265833</v>
      </c>
      <c r="I6343" t="s">
        <v>730</v>
      </c>
      <c r="J6343" s="2" t="s">
        <v>7</v>
      </c>
      <c r="K6343" t="s">
        <v>731</v>
      </c>
      <c r="L6343" t="s">
        <v>143</v>
      </c>
      <c r="M6343" t="s">
        <v>726</v>
      </c>
      <c r="N6343" t="s">
        <v>85</v>
      </c>
      <c r="O6343" t="s">
        <v>84</v>
      </c>
      <c r="Q6343">
        <v>2</v>
      </c>
      <c r="R6343" s="2" t="s">
        <v>214</v>
      </c>
      <c r="S6343" t="s">
        <v>7</v>
      </c>
      <c r="T6343">
        <v>12</v>
      </c>
      <c r="U6343" t="s">
        <v>28</v>
      </c>
      <c r="V6343" t="s">
        <v>28</v>
      </c>
      <c r="W6343">
        <v>20</v>
      </c>
      <c r="X6343">
        <v>0.62162499999999998</v>
      </c>
      <c r="Y6343">
        <v>4.8866666666666718E-2</v>
      </c>
    </row>
    <row r="6344" spans="1:25" x14ac:dyDescent="0.2">
      <c r="A6344" t="s">
        <v>728</v>
      </c>
      <c r="B6344">
        <v>2018</v>
      </c>
      <c r="C6344" t="s">
        <v>826</v>
      </c>
      <c r="D6344" t="s">
        <v>824</v>
      </c>
      <c r="E6344" t="s">
        <v>114</v>
      </c>
      <c r="F6344" t="s">
        <v>729</v>
      </c>
      <c r="G6344">
        <v>34.634999999999998</v>
      </c>
      <c r="H6344">
        <v>126.265833</v>
      </c>
      <c r="I6344" t="s">
        <v>730</v>
      </c>
      <c r="J6344" s="2" t="s">
        <v>14</v>
      </c>
      <c r="K6344" t="s">
        <v>731</v>
      </c>
      <c r="L6344" t="s">
        <v>143</v>
      </c>
      <c r="M6344" t="s">
        <v>726</v>
      </c>
      <c r="N6344" t="s">
        <v>85</v>
      </c>
      <c r="O6344" t="s">
        <v>84</v>
      </c>
      <c r="Q6344">
        <v>2</v>
      </c>
      <c r="R6344" s="2" t="s">
        <v>214</v>
      </c>
      <c r="S6344" t="s">
        <v>9</v>
      </c>
      <c r="T6344">
        <v>12</v>
      </c>
      <c r="U6344" t="s">
        <v>28</v>
      </c>
      <c r="V6344" t="s">
        <v>28</v>
      </c>
      <c r="W6344">
        <v>22</v>
      </c>
      <c r="X6344">
        <v>0.59967499999999996</v>
      </c>
      <c r="Y6344">
        <v>4.9549999999999983E-2</v>
      </c>
    </row>
    <row r="6345" spans="1:25" x14ac:dyDescent="0.2">
      <c r="A6345" t="s">
        <v>728</v>
      </c>
      <c r="B6345">
        <v>2018</v>
      </c>
      <c r="C6345" t="s">
        <v>826</v>
      </c>
      <c r="D6345" t="s">
        <v>824</v>
      </c>
      <c r="E6345" t="s">
        <v>114</v>
      </c>
      <c r="F6345" t="s">
        <v>729</v>
      </c>
      <c r="G6345">
        <v>34.634999999999998</v>
      </c>
      <c r="H6345">
        <v>126.265833</v>
      </c>
      <c r="I6345" t="s">
        <v>730</v>
      </c>
      <c r="J6345" s="2" t="s">
        <v>14</v>
      </c>
      <c r="K6345" t="s">
        <v>731</v>
      </c>
      <c r="L6345" t="s">
        <v>143</v>
      </c>
      <c r="M6345" t="s">
        <v>726</v>
      </c>
      <c r="N6345" t="s">
        <v>85</v>
      </c>
      <c r="O6345" t="s">
        <v>84</v>
      </c>
      <c r="Q6345">
        <v>2</v>
      </c>
      <c r="R6345" s="2" t="s">
        <v>214</v>
      </c>
      <c r="S6345" t="s">
        <v>27</v>
      </c>
      <c r="T6345">
        <v>12</v>
      </c>
      <c r="U6345" t="s">
        <v>28</v>
      </c>
      <c r="V6345" t="s">
        <v>28</v>
      </c>
      <c r="W6345">
        <v>24</v>
      </c>
      <c r="X6345">
        <v>0.44622500000000004</v>
      </c>
      <c r="Y6345">
        <v>0.10326666666666666</v>
      </c>
    </row>
    <row r="6346" spans="1:25" x14ac:dyDescent="0.2">
      <c r="A6346" t="s">
        <v>728</v>
      </c>
      <c r="B6346">
        <v>2018</v>
      </c>
      <c r="C6346" t="s">
        <v>826</v>
      </c>
      <c r="D6346" t="s">
        <v>824</v>
      </c>
      <c r="E6346" t="s">
        <v>114</v>
      </c>
      <c r="F6346" t="s">
        <v>729</v>
      </c>
      <c r="G6346">
        <v>34.634999999999998</v>
      </c>
      <c r="H6346">
        <v>126.265833</v>
      </c>
      <c r="I6346" t="s">
        <v>730</v>
      </c>
      <c r="J6346" s="2" t="s">
        <v>14</v>
      </c>
      <c r="K6346" t="s">
        <v>731</v>
      </c>
      <c r="L6346" t="s">
        <v>143</v>
      </c>
      <c r="M6346" t="s">
        <v>726</v>
      </c>
      <c r="N6346" t="s">
        <v>85</v>
      </c>
      <c r="O6346" t="s">
        <v>84</v>
      </c>
      <c r="Q6346">
        <v>2</v>
      </c>
      <c r="R6346" s="2" t="s">
        <v>214</v>
      </c>
      <c r="S6346" t="s">
        <v>13</v>
      </c>
      <c r="T6346">
        <v>12</v>
      </c>
      <c r="U6346" t="s">
        <v>28</v>
      </c>
      <c r="V6346" t="s">
        <v>28</v>
      </c>
      <c r="W6346">
        <v>26</v>
      </c>
      <c r="X6346">
        <v>0.31792500000000001</v>
      </c>
      <c r="Y6346">
        <v>7.0633333333333312E-2</v>
      </c>
    </row>
    <row r="6347" spans="1:25" x14ac:dyDescent="0.2">
      <c r="A6347" t="s">
        <v>728</v>
      </c>
      <c r="B6347">
        <v>2018</v>
      </c>
      <c r="C6347" t="s">
        <v>826</v>
      </c>
      <c r="D6347" t="s">
        <v>824</v>
      </c>
      <c r="E6347" t="s">
        <v>114</v>
      </c>
      <c r="F6347" t="s">
        <v>729</v>
      </c>
      <c r="G6347">
        <v>34.634999999999998</v>
      </c>
      <c r="H6347">
        <v>126.265833</v>
      </c>
      <c r="I6347" t="s">
        <v>730</v>
      </c>
      <c r="J6347" s="2" t="s">
        <v>7</v>
      </c>
      <c r="K6347" t="s">
        <v>731</v>
      </c>
      <c r="L6347" t="s">
        <v>143</v>
      </c>
      <c r="M6347" t="s">
        <v>726</v>
      </c>
      <c r="N6347" t="s">
        <v>85</v>
      </c>
      <c r="O6347" t="s">
        <v>84</v>
      </c>
      <c r="Q6347">
        <v>7</v>
      </c>
      <c r="R6347" s="2" t="s">
        <v>214</v>
      </c>
      <c r="S6347" t="s">
        <v>7</v>
      </c>
      <c r="T6347">
        <v>12</v>
      </c>
      <c r="U6347" t="s">
        <v>28</v>
      </c>
      <c r="V6347" t="s">
        <v>28</v>
      </c>
      <c r="W6347">
        <v>20</v>
      </c>
      <c r="X6347">
        <v>0.61860000000000004</v>
      </c>
      <c r="Y6347">
        <v>5.846666666666666E-2</v>
      </c>
    </row>
    <row r="6348" spans="1:25" x14ac:dyDescent="0.2">
      <c r="A6348" t="s">
        <v>728</v>
      </c>
      <c r="B6348">
        <v>2018</v>
      </c>
      <c r="C6348" t="s">
        <v>826</v>
      </c>
      <c r="D6348" t="s">
        <v>824</v>
      </c>
      <c r="E6348" t="s">
        <v>114</v>
      </c>
      <c r="F6348" t="s">
        <v>729</v>
      </c>
      <c r="G6348">
        <v>34.634999999999998</v>
      </c>
      <c r="H6348">
        <v>126.265833</v>
      </c>
      <c r="I6348" t="s">
        <v>730</v>
      </c>
      <c r="J6348" s="2" t="s">
        <v>14</v>
      </c>
      <c r="K6348" t="s">
        <v>731</v>
      </c>
      <c r="L6348" t="s">
        <v>143</v>
      </c>
      <c r="M6348" t="s">
        <v>726</v>
      </c>
      <c r="N6348" t="s">
        <v>85</v>
      </c>
      <c r="O6348" t="s">
        <v>84</v>
      </c>
      <c r="Q6348">
        <v>7</v>
      </c>
      <c r="R6348" s="2" t="s">
        <v>214</v>
      </c>
      <c r="S6348" t="s">
        <v>9</v>
      </c>
      <c r="T6348">
        <v>12</v>
      </c>
      <c r="U6348" t="s">
        <v>28</v>
      </c>
      <c r="V6348" t="s">
        <v>28</v>
      </c>
      <c r="W6348">
        <v>22</v>
      </c>
      <c r="X6348">
        <v>0.55622499999999997</v>
      </c>
      <c r="Y6348">
        <v>5.8349999999999957E-2</v>
      </c>
    </row>
    <row r="6349" spans="1:25" x14ac:dyDescent="0.2">
      <c r="A6349" t="s">
        <v>728</v>
      </c>
      <c r="B6349">
        <v>2018</v>
      </c>
      <c r="C6349" t="s">
        <v>826</v>
      </c>
      <c r="D6349" t="s">
        <v>824</v>
      </c>
      <c r="E6349" t="s">
        <v>114</v>
      </c>
      <c r="F6349" t="s">
        <v>729</v>
      </c>
      <c r="G6349">
        <v>34.634999999999998</v>
      </c>
      <c r="H6349">
        <v>126.265833</v>
      </c>
      <c r="I6349" t="s">
        <v>730</v>
      </c>
      <c r="J6349" s="2" t="s">
        <v>14</v>
      </c>
      <c r="K6349" t="s">
        <v>731</v>
      </c>
      <c r="L6349" t="s">
        <v>143</v>
      </c>
      <c r="M6349" t="s">
        <v>726</v>
      </c>
      <c r="N6349" t="s">
        <v>85</v>
      </c>
      <c r="O6349" t="s">
        <v>84</v>
      </c>
      <c r="Q6349">
        <v>7</v>
      </c>
      <c r="R6349" s="2" t="s">
        <v>214</v>
      </c>
      <c r="S6349" t="s">
        <v>27</v>
      </c>
      <c r="T6349">
        <v>12</v>
      </c>
      <c r="U6349" t="s">
        <v>28</v>
      </c>
      <c r="V6349" t="s">
        <v>28</v>
      </c>
      <c r="W6349">
        <v>24</v>
      </c>
      <c r="X6349">
        <v>0.37202499999999999</v>
      </c>
      <c r="Y6349">
        <v>0.11416666666666668</v>
      </c>
    </row>
    <row r="6350" spans="1:25" x14ac:dyDescent="0.2">
      <c r="A6350" t="s">
        <v>728</v>
      </c>
      <c r="B6350">
        <v>2018</v>
      </c>
      <c r="C6350" t="s">
        <v>826</v>
      </c>
      <c r="D6350" t="s">
        <v>824</v>
      </c>
      <c r="E6350" t="s">
        <v>114</v>
      </c>
      <c r="F6350" t="s">
        <v>729</v>
      </c>
      <c r="G6350">
        <v>34.634999999999998</v>
      </c>
      <c r="H6350">
        <v>126.265833</v>
      </c>
      <c r="I6350" t="s">
        <v>730</v>
      </c>
      <c r="J6350" s="2" t="s">
        <v>14</v>
      </c>
      <c r="K6350" t="s">
        <v>731</v>
      </c>
      <c r="L6350" t="s">
        <v>143</v>
      </c>
      <c r="M6350" t="s">
        <v>726</v>
      </c>
      <c r="N6350" t="s">
        <v>85</v>
      </c>
      <c r="O6350" t="s">
        <v>84</v>
      </c>
      <c r="Q6350">
        <v>7</v>
      </c>
      <c r="R6350" s="2" t="s">
        <v>214</v>
      </c>
      <c r="S6350" t="s">
        <v>13</v>
      </c>
      <c r="T6350">
        <v>12</v>
      </c>
      <c r="U6350" t="s">
        <v>28</v>
      </c>
      <c r="V6350" t="s">
        <v>28</v>
      </c>
      <c r="W6350">
        <v>26</v>
      </c>
      <c r="X6350">
        <v>0.28420000000000001</v>
      </c>
      <c r="Y6350">
        <v>6.3966666666666672E-2</v>
      </c>
    </row>
    <row r="6351" spans="1:25" x14ac:dyDescent="0.2">
      <c r="A6351" t="s">
        <v>728</v>
      </c>
      <c r="B6351">
        <v>2018</v>
      </c>
      <c r="C6351" t="s">
        <v>826</v>
      </c>
      <c r="D6351" t="s">
        <v>824</v>
      </c>
      <c r="E6351" t="s">
        <v>114</v>
      </c>
      <c r="F6351" t="s">
        <v>729</v>
      </c>
      <c r="G6351">
        <v>34.634999999999998</v>
      </c>
      <c r="H6351">
        <v>126.265833</v>
      </c>
      <c r="I6351" t="s">
        <v>730</v>
      </c>
      <c r="J6351" s="2" t="s">
        <v>7</v>
      </c>
      <c r="K6351" t="s">
        <v>731</v>
      </c>
      <c r="L6351" t="s">
        <v>143</v>
      </c>
      <c r="M6351" t="s">
        <v>726</v>
      </c>
      <c r="N6351" t="s">
        <v>85</v>
      </c>
      <c r="O6351" t="s">
        <v>84</v>
      </c>
      <c r="Q6351">
        <v>15</v>
      </c>
      <c r="R6351" s="2" t="s">
        <v>214</v>
      </c>
      <c r="S6351" t="s">
        <v>7</v>
      </c>
      <c r="T6351">
        <v>12</v>
      </c>
      <c r="U6351" t="s">
        <v>28</v>
      </c>
      <c r="V6351" t="s">
        <v>28</v>
      </c>
      <c r="W6351">
        <v>20</v>
      </c>
      <c r="X6351">
        <v>0.61695</v>
      </c>
      <c r="Y6351">
        <v>6.0566666666666658E-2</v>
      </c>
    </row>
    <row r="6352" spans="1:25" x14ac:dyDescent="0.2">
      <c r="A6352" t="s">
        <v>728</v>
      </c>
      <c r="B6352">
        <v>2018</v>
      </c>
      <c r="C6352" t="s">
        <v>826</v>
      </c>
      <c r="D6352" t="s">
        <v>824</v>
      </c>
      <c r="E6352" t="s">
        <v>114</v>
      </c>
      <c r="F6352" t="s">
        <v>729</v>
      </c>
      <c r="G6352">
        <v>34.634999999999998</v>
      </c>
      <c r="H6352">
        <v>126.265833</v>
      </c>
      <c r="I6352" t="s">
        <v>730</v>
      </c>
      <c r="J6352" s="2" t="s">
        <v>14</v>
      </c>
      <c r="K6352" t="s">
        <v>731</v>
      </c>
      <c r="L6352" t="s">
        <v>143</v>
      </c>
      <c r="M6352" t="s">
        <v>726</v>
      </c>
      <c r="N6352" t="s">
        <v>85</v>
      </c>
      <c r="O6352" t="s">
        <v>84</v>
      </c>
      <c r="Q6352">
        <v>15</v>
      </c>
      <c r="R6352" s="2" t="s">
        <v>214</v>
      </c>
      <c r="S6352" t="s">
        <v>9</v>
      </c>
      <c r="T6352">
        <v>12</v>
      </c>
      <c r="U6352" t="s">
        <v>28</v>
      </c>
      <c r="V6352" t="s">
        <v>28</v>
      </c>
      <c r="W6352">
        <v>22</v>
      </c>
      <c r="X6352">
        <v>0.51754999999999995</v>
      </c>
      <c r="Y6352">
        <v>9.7249999999999948E-2</v>
      </c>
    </row>
    <row r="6353" spans="1:25" x14ac:dyDescent="0.2">
      <c r="A6353" t="s">
        <v>728</v>
      </c>
      <c r="B6353">
        <v>2018</v>
      </c>
      <c r="C6353" t="s">
        <v>826</v>
      </c>
      <c r="D6353" t="s">
        <v>824</v>
      </c>
      <c r="E6353" t="s">
        <v>114</v>
      </c>
      <c r="F6353" t="s">
        <v>729</v>
      </c>
      <c r="G6353">
        <v>34.634999999999998</v>
      </c>
      <c r="H6353">
        <v>126.265833</v>
      </c>
      <c r="I6353" t="s">
        <v>730</v>
      </c>
      <c r="J6353" s="2" t="s">
        <v>14</v>
      </c>
      <c r="K6353" t="s">
        <v>731</v>
      </c>
      <c r="L6353" t="s">
        <v>143</v>
      </c>
      <c r="M6353" t="s">
        <v>726</v>
      </c>
      <c r="N6353" t="s">
        <v>85</v>
      </c>
      <c r="O6353" t="s">
        <v>84</v>
      </c>
      <c r="Q6353">
        <v>15</v>
      </c>
      <c r="R6353" s="2" t="s">
        <v>214</v>
      </c>
      <c r="S6353" t="s">
        <v>27</v>
      </c>
      <c r="T6353">
        <v>12</v>
      </c>
      <c r="U6353" t="s">
        <v>28</v>
      </c>
      <c r="V6353" t="s">
        <v>28</v>
      </c>
      <c r="W6353">
        <v>24</v>
      </c>
      <c r="X6353">
        <v>0.31675000000000003</v>
      </c>
      <c r="Y6353">
        <v>0.12419999999999998</v>
      </c>
    </row>
    <row r="6354" spans="1:25" x14ac:dyDescent="0.2">
      <c r="A6354" t="s">
        <v>728</v>
      </c>
      <c r="B6354">
        <v>2018</v>
      </c>
      <c r="C6354" t="s">
        <v>826</v>
      </c>
      <c r="D6354" t="s">
        <v>824</v>
      </c>
      <c r="E6354" t="s">
        <v>114</v>
      </c>
      <c r="F6354" t="s">
        <v>729</v>
      </c>
      <c r="G6354">
        <v>34.634999999999998</v>
      </c>
      <c r="H6354">
        <v>126.265833</v>
      </c>
      <c r="I6354" t="s">
        <v>730</v>
      </c>
      <c r="J6354" s="2" t="s">
        <v>14</v>
      </c>
      <c r="K6354" t="s">
        <v>731</v>
      </c>
      <c r="L6354" t="s">
        <v>143</v>
      </c>
      <c r="M6354" t="s">
        <v>726</v>
      </c>
      <c r="N6354" t="s">
        <v>85</v>
      </c>
      <c r="O6354" t="s">
        <v>84</v>
      </c>
      <c r="Q6354">
        <v>15</v>
      </c>
      <c r="R6354" s="2" t="s">
        <v>214</v>
      </c>
      <c r="S6354" t="s">
        <v>13</v>
      </c>
      <c r="T6354">
        <v>12</v>
      </c>
      <c r="U6354" t="s">
        <v>28</v>
      </c>
      <c r="V6354" t="s">
        <v>28</v>
      </c>
      <c r="W6354">
        <v>26</v>
      </c>
      <c r="X6354">
        <v>0.22442499999999999</v>
      </c>
      <c r="Y6354">
        <v>2.8499999999999998E-2</v>
      </c>
    </row>
    <row r="6355" spans="1:25" x14ac:dyDescent="0.2">
      <c r="A6355" t="s">
        <v>728</v>
      </c>
      <c r="B6355">
        <v>2018</v>
      </c>
      <c r="C6355" t="s">
        <v>826</v>
      </c>
      <c r="D6355" t="s">
        <v>824</v>
      </c>
      <c r="E6355" t="s">
        <v>114</v>
      </c>
      <c r="F6355" t="s">
        <v>729</v>
      </c>
      <c r="G6355">
        <v>34.634999999999998</v>
      </c>
      <c r="H6355">
        <v>126.265833</v>
      </c>
      <c r="I6355" t="s">
        <v>730</v>
      </c>
      <c r="J6355" s="2" t="s">
        <v>7</v>
      </c>
      <c r="K6355" t="s">
        <v>731</v>
      </c>
      <c r="L6355" t="s">
        <v>143</v>
      </c>
      <c r="M6355" t="s">
        <v>726</v>
      </c>
      <c r="N6355" t="s">
        <v>85</v>
      </c>
      <c r="O6355" t="s">
        <v>84</v>
      </c>
      <c r="Q6355">
        <v>22</v>
      </c>
      <c r="R6355" s="2" t="s">
        <v>214</v>
      </c>
      <c r="S6355" t="s">
        <v>7</v>
      </c>
      <c r="T6355">
        <v>12</v>
      </c>
      <c r="U6355" t="s">
        <v>28</v>
      </c>
      <c r="V6355" t="s">
        <v>28</v>
      </c>
      <c r="W6355">
        <v>20</v>
      </c>
      <c r="X6355">
        <v>0.58705000000000007</v>
      </c>
      <c r="Y6355">
        <v>5.7233333333333351E-2</v>
      </c>
    </row>
    <row r="6356" spans="1:25" x14ac:dyDescent="0.2">
      <c r="A6356" t="s">
        <v>728</v>
      </c>
      <c r="B6356">
        <v>2018</v>
      </c>
      <c r="C6356" t="s">
        <v>826</v>
      </c>
      <c r="D6356" t="s">
        <v>824</v>
      </c>
      <c r="E6356" t="s">
        <v>114</v>
      </c>
      <c r="F6356" t="s">
        <v>729</v>
      </c>
      <c r="G6356">
        <v>34.634999999999998</v>
      </c>
      <c r="H6356">
        <v>126.265833</v>
      </c>
      <c r="I6356" t="s">
        <v>730</v>
      </c>
      <c r="J6356" s="2" t="s">
        <v>14</v>
      </c>
      <c r="K6356" t="s">
        <v>731</v>
      </c>
      <c r="L6356" t="s">
        <v>143</v>
      </c>
      <c r="M6356" t="s">
        <v>726</v>
      </c>
      <c r="N6356" t="s">
        <v>85</v>
      </c>
      <c r="O6356" t="s">
        <v>84</v>
      </c>
      <c r="Q6356">
        <v>22</v>
      </c>
      <c r="R6356" s="2" t="s">
        <v>214</v>
      </c>
      <c r="S6356" t="s">
        <v>9</v>
      </c>
      <c r="T6356">
        <v>12</v>
      </c>
      <c r="U6356" t="s">
        <v>28</v>
      </c>
      <c r="V6356" t="s">
        <v>28</v>
      </c>
      <c r="W6356">
        <v>22</v>
      </c>
      <c r="X6356">
        <v>0.47789999999999999</v>
      </c>
      <c r="Y6356">
        <v>0.10980000000000001</v>
      </c>
    </row>
    <row r="6357" spans="1:25" x14ac:dyDescent="0.2">
      <c r="A6357" t="s">
        <v>728</v>
      </c>
      <c r="B6357">
        <v>2018</v>
      </c>
      <c r="C6357" t="s">
        <v>826</v>
      </c>
      <c r="D6357" t="s">
        <v>824</v>
      </c>
      <c r="E6357" t="s">
        <v>114</v>
      </c>
      <c r="F6357" t="s">
        <v>729</v>
      </c>
      <c r="G6357">
        <v>34.634999999999998</v>
      </c>
      <c r="H6357">
        <v>126.265833</v>
      </c>
      <c r="I6357" t="s">
        <v>730</v>
      </c>
      <c r="J6357" s="2" t="s">
        <v>14</v>
      </c>
      <c r="K6357" t="s">
        <v>731</v>
      </c>
      <c r="L6357" t="s">
        <v>143</v>
      </c>
      <c r="M6357" t="s">
        <v>726</v>
      </c>
      <c r="N6357" t="s">
        <v>85</v>
      </c>
      <c r="O6357" t="s">
        <v>84</v>
      </c>
      <c r="Q6357">
        <v>22</v>
      </c>
      <c r="R6357" s="2" t="s">
        <v>214</v>
      </c>
      <c r="S6357" t="s">
        <v>27</v>
      </c>
      <c r="T6357">
        <v>12</v>
      </c>
      <c r="U6357" t="s">
        <v>28</v>
      </c>
      <c r="V6357" t="s">
        <v>28</v>
      </c>
      <c r="W6357">
        <v>24</v>
      </c>
      <c r="X6357">
        <v>0.26175000000000004</v>
      </c>
      <c r="Y6357">
        <v>0.13673333333333335</v>
      </c>
    </row>
    <row r="6358" spans="1:25" x14ac:dyDescent="0.2">
      <c r="A6358" t="s">
        <v>728</v>
      </c>
      <c r="B6358">
        <v>2018</v>
      </c>
      <c r="C6358" t="s">
        <v>826</v>
      </c>
      <c r="D6358" t="s">
        <v>824</v>
      </c>
      <c r="E6358" t="s">
        <v>114</v>
      </c>
      <c r="F6358" t="s">
        <v>729</v>
      </c>
      <c r="G6358">
        <v>34.634999999999998</v>
      </c>
      <c r="H6358">
        <v>126.265833</v>
      </c>
      <c r="I6358" t="s">
        <v>730</v>
      </c>
      <c r="J6358" s="2" t="s">
        <v>14</v>
      </c>
      <c r="K6358" t="s">
        <v>731</v>
      </c>
      <c r="L6358" t="s">
        <v>143</v>
      </c>
      <c r="M6358" t="s">
        <v>726</v>
      </c>
      <c r="N6358" t="s">
        <v>85</v>
      </c>
      <c r="O6358" t="s">
        <v>84</v>
      </c>
      <c r="Q6358">
        <v>22</v>
      </c>
      <c r="R6358" s="2" t="s">
        <v>214</v>
      </c>
      <c r="S6358" t="s">
        <v>13</v>
      </c>
      <c r="T6358">
        <v>12</v>
      </c>
      <c r="U6358" t="s">
        <v>28</v>
      </c>
      <c r="V6358" t="s">
        <v>28</v>
      </c>
      <c r="W6358">
        <v>26</v>
      </c>
      <c r="X6358">
        <v>0.198125</v>
      </c>
      <c r="Y6358">
        <v>5.074999999999999E-2</v>
      </c>
    </row>
    <row r="6359" spans="1:25" x14ac:dyDescent="0.2">
      <c r="A6359" t="s">
        <v>728</v>
      </c>
      <c r="B6359">
        <v>2018</v>
      </c>
      <c r="C6359" t="s">
        <v>826</v>
      </c>
      <c r="D6359" t="s">
        <v>824</v>
      </c>
      <c r="E6359" t="s">
        <v>114</v>
      </c>
      <c r="F6359" t="s">
        <v>729</v>
      </c>
      <c r="G6359">
        <v>34.634999999999998</v>
      </c>
      <c r="H6359">
        <v>126.265833</v>
      </c>
      <c r="I6359" t="s">
        <v>730</v>
      </c>
      <c r="J6359" s="2" t="s">
        <v>7</v>
      </c>
      <c r="K6359" t="s">
        <v>731</v>
      </c>
      <c r="L6359" t="s">
        <v>143</v>
      </c>
      <c r="M6359" t="s">
        <v>726</v>
      </c>
      <c r="N6359" t="s">
        <v>85</v>
      </c>
      <c r="O6359" t="s">
        <v>84</v>
      </c>
      <c r="Q6359">
        <v>29</v>
      </c>
      <c r="R6359" s="2" t="s">
        <v>213</v>
      </c>
      <c r="S6359" t="s">
        <v>7</v>
      </c>
      <c r="T6359">
        <v>12</v>
      </c>
      <c r="U6359" t="s">
        <v>28</v>
      </c>
      <c r="V6359" t="s">
        <v>28</v>
      </c>
      <c r="W6359">
        <v>20</v>
      </c>
      <c r="X6359">
        <v>0.57094999999999996</v>
      </c>
      <c r="Y6359">
        <v>7.3675000000000018E-2</v>
      </c>
    </row>
    <row r="6360" spans="1:25" x14ac:dyDescent="0.2">
      <c r="A6360" t="s">
        <v>728</v>
      </c>
      <c r="B6360">
        <v>2018</v>
      </c>
      <c r="C6360" t="s">
        <v>826</v>
      </c>
      <c r="D6360" t="s">
        <v>824</v>
      </c>
      <c r="E6360" t="s">
        <v>114</v>
      </c>
      <c r="F6360" t="s">
        <v>729</v>
      </c>
      <c r="G6360">
        <v>34.634999999999998</v>
      </c>
      <c r="H6360">
        <v>126.265833</v>
      </c>
      <c r="I6360" t="s">
        <v>730</v>
      </c>
      <c r="J6360" s="2" t="s">
        <v>14</v>
      </c>
      <c r="K6360" t="s">
        <v>731</v>
      </c>
      <c r="L6360" t="s">
        <v>143</v>
      </c>
      <c r="M6360" t="s">
        <v>726</v>
      </c>
      <c r="N6360" t="s">
        <v>85</v>
      </c>
      <c r="O6360" t="s">
        <v>84</v>
      </c>
      <c r="Q6360">
        <v>29</v>
      </c>
      <c r="R6360" s="2" t="s">
        <v>213</v>
      </c>
      <c r="S6360" t="s">
        <v>9</v>
      </c>
      <c r="T6360">
        <v>12</v>
      </c>
      <c r="U6360" t="s">
        <v>28</v>
      </c>
      <c r="V6360" t="s">
        <v>28</v>
      </c>
      <c r="W6360">
        <v>22</v>
      </c>
      <c r="X6360">
        <v>0.41662500000000002</v>
      </c>
      <c r="Y6360">
        <v>0.11860000000000001</v>
      </c>
    </row>
    <row r="6361" spans="1:25" x14ac:dyDescent="0.2">
      <c r="A6361" t="s">
        <v>728</v>
      </c>
      <c r="B6361">
        <v>2018</v>
      </c>
      <c r="C6361" t="s">
        <v>826</v>
      </c>
      <c r="D6361" t="s">
        <v>824</v>
      </c>
      <c r="E6361" t="s">
        <v>114</v>
      </c>
      <c r="F6361" t="s">
        <v>729</v>
      </c>
      <c r="G6361">
        <v>34.634999999999998</v>
      </c>
      <c r="H6361">
        <v>126.265833</v>
      </c>
      <c r="I6361" t="s">
        <v>730</v>
      </c>
      <c r="J6361" s="2" t="s">
        <v>14</v>
      </c>
      <c r="K6361" t="s">
        <v>731</v>
      </c>
      <c r="L6361" t="s">
        <v>143</v>
      </c>
      <c r="M6361" t="s">
        <v>726</v>
      </c>
      <c r="N6361" t="s">
        <v>85</v>
      </c>
      <c r="O6361" t="s">
        <v>84</v>
      </c>
      <c r="Q6361">
        <v>29</v>
      </c>
      <c r="R6361" s="2" t="s">
        <v>213</v>
      </c>
      <c r="S6361" t="s">
        <v>27</v>
      </c>
      <c r="T6361">
        <v>12</v>
      </c>
      <c r="U6361" t="s">
        <v>28</v>
      </c>
      <c r="V6361" t="s">
        <v>28</v>
      </c>
      <c r="W6361">
        <v>24</v>
      </c>
      <c r="X6361">
        <v>0.23787499999999998</v>
      </c>
      <c r="Y6361">
        <v>4.5133333333333324E-2</v>
      </c>
    </row>
    <row r="6362" spans="1:25" x14ac:dyDescent="0.2">
      <c r="A6362" t="s">
        <v>728</v>
      </c>
      <c r="B6362">
        <v>2018</v>
      </c>
      <c r="C6362" t="s">
        <v>826</v>
      </c>
      <c r="D6362" t="s">
        <v>824</v>
      </c>
      <c r="E6362" t="s">
        <v>114</v>
      </c>
      <c r="F6362" t="s">
        <v>729</v>
      </c>
      <c r="G6362">
        <v>34.634999999999998</v>
      </c>
      <c r="H6362">
        <v>126.265833</v>
      </c>
      <c r="I6362" t="s">
        <v>730</v>
      </c>
      <c r="J6362" s="2" t="s">
        <v>14</v>
      </c>
      <c r="K6362" t="s">
        <v>731</v>
      </c>
      <c r="L6362" t="s">
        <v>143</v>
      </c>
      <c r="M6362" t="s">
        <v>726</v>
      </c>
      <c r="N6362" t="s">
        <v>85</v>
      </c>
      <c r="O6362" t="s">
        <v>84</v>
      </c>
      <c r="Q6362">
        <v>29</v>
      </c>
      <c r="R6362" s="2" t="s">
        <v>213</v>
      </c>
      <c r="S6362" t="s">
        <v>13</v>
      </c>
      <c r="T6362">
        <v>12</v>
      </c>
      <c r="U6362" t="s">
        <v>28</v>
      </c>
      <c r="V6362" t="s">
        <v>28</v>
      </c>
      <c r="W6362">
        <v>26</v>
      </c>
      <c r="X6362">
        <v>0.12485</v>
      </c>
      <c r="Y6362">
        <v>7.5149999999999995E-2</v>
      </c>
    </row>
    <row r="6363" spans="1:25" x14ac:dyDescent="0.2">
      <c r="A6363" t="s">
        <v>732</v>
      </c>
      <c r="B6363">
        <v>2012</v>
      </c>
      <c r="C6363" t="s">
        <v>826</v>
      </c>
      <c r="D6363" t="s">
        <v>824</v>
      </c>
      <c r="E6363" t="s">
        <v>48</v>
      </c>
      <c r="F6363" t="s">
        <v>424</v>
      </c>
      <c r="G6363">
        <v>78.966667000000001</v>
      </c>
      <c r="H6363">
        <v>11.5</v>
      </c>
      <c r="J6363" s="2" t="s">
        <v>7</v>
      </c>
      <c r="K6363" t="s">
        <v>143</v>
      </c>
      <c r="L6363" t="s">
        <v>143</v>
      </c>
      <c r="M6363" t="s">
        <v>726</v>
      </c>
      <c r="N6363" t="s">
        <v>85</v>
      </c>
      <c r="O6363" t="s">
        <v>84</v>
      </c>
      <c r="Q6363">
        <v>1</v>
      </c>
      <c r="R6363" s="2" t="s">
        <v>213</v>
      </c>
      <c r="S6363" t="s">
        <v>7</v>
      </c>
      <c r="T6363">
        <v>5</v>
      </c>
      <c r="U6363" t="s">
        <v>28</v>
      </c>
      <c r="V6363" t="s">
        <v>28</v>
      </c>
      <c r="W6363">
        <v>12</v>
      </c>
      <c r="X6363">
        <v>0.64790000000000003</v>
      </c>
      <c r="Y6363" s="3"/>
    </row>
    <row r="6364" spans="1:25" x14ac:dyDescent="0.2">
      <c r="A6364" t="s">
        <v>732</v>
      </c>
      <c r="B6364">
        <v>2012</v>
      </c>
      <c r="C6364" t="s">
        <v>826</v>
      </c>
      <c r="D6364" t="s">
        <v>824</v>
      </c>
      <c r="E6364" t="s">
        <v>48</v>
      </c>
      <c r="F6364" t="s">
        <v>424</v>
      </c>
      <c r="G6364">
        <v>78.966667000000001</v>
      </c>
      <c r="H6364">
        <v>11.5</v>
      </c>
      <c r="J6364" s="2" t="s">
        <v>14</v>
      </c>
      <c r="K6364" t="s">
        <v>143</v>
      </c>
      <c r="L6364" t="s">
        <v>143</v>
      </c>
      <c r="M6364" t="s">
        <v>726</v>
      </c>
      <c r="N6364" t="s">
        <v>85</v>
      </c>
      <c r="O6364" t="s">
        <v>84</v>
      </c>
      <c r="Q6364">
        <v>1</v>
      </c>
      <c r="R6364" s="2" t="s">
        <v>213</v>
      </c>
      <c r="S6364" t="s">
        <v>9</v>
      </c>
      <c r="T6364">
        <v>5</v>
      </c>
      <c r="U6364" t="s">
        <v>28</v>
      </c>
      <c r="V6364" t="s">
        <v>28</v>
      </c>
      <c r="W6364">
        <v>17</v>
      </c>
      <c r="X6364">
        <v>0.61870000000000003</v>
      </c>
      <c r="Y6364" s="3"/>
    </row>
    <row r="6365" spans="1:25" x14ac:dyDescent="0.2">
      <c r="A6365" t="s">
        <v>733</v>
      </c>
      <c r="B6365">
        <v>2015</v>
      </c>
      <c r="C6365" t="s">
        <v>826</v>
      </c>
      <c r="D6365" t="s">
        <v>824</v>
      </c>
      <c r="E6365" t="s">
        <v>48</v>
      </c>
      <c r="F6365" t="s">
        <v>424</v>
      </c>
      <c r="G6365">
        <v>78.966667000000001</v>
      </c>
      <c r="H6365">
        <v>11.5</v>
      </c>
      <c r="J6365" s="2" t="s">
        <v>7</v>
      </c>
      <c r="K6365" t="s">
        <v>734</v>
      </c>
      <c r="L6365" t="s">
        <v>143</v>
      </c>
      <c r="M6365" t="s">
        <v>726</v>
      </c>
      <c r="N6365" t="s">
        <v>85</v>
      </c>
      <c r="O6365" t="s">
        <v>84</v>
      </c>
      <c r="Q6365">
        <v>3</v>
      </c>
      <c r="R6365" s="2" t="s">
        <v>214</v>
      </c>
      <c r="S6365" t="s">
        <v>7</v>
      </c>
      <c r="T6365">
        <v>5</v>
      </c>
      <c r="U6365" t="s">
        <v>28</v>
      </c>
      <c r="V6365" t="s">
        <v>28</v>
      </c>
      <c r="W6365">
        <v>7</v>
      </c>
      <c r="X6365">
        <v>0.6381</v>
      </c>
      <c r="Y6365" s="3"/>
    </row>
    <row r="6366" spans="1:25" x14ac:dyDescent="0.2">
      <c r="A6366" t="s">
        <v>733</v>
      </c>
      <c r="B6366">
        <v>2015</v>
      </c>
      <c r="C6366" t="s">
        <v>826</v>
      </c>
      <c r="D6366" t="s">
        <v>824</v>
      </c>
      <c r="E6366" t="s">
        <v>48</v>
      </c>
      <c r="F6366" t="s">
        <v>424</v>
      </c>
      <c r="G6366">
        <v>78.966667000000001</v>
      </c>
      <c r="H6366">
        <v>11.5</v>
      </c>
      <c r="J6366" s="2" t="s">
        <v>7</v>
      </c>
      <c r="K6366" t="s">
        <v>734</v>
      </c>
      <c r="L6366" t="s">
        <v>143</v>
      </c>
      <c r="M6366" t="s">
        <v>726</v>
      </c>
      <c r="N6366" t="s">
        <v>85</v>
      </c>
      <c r="O6366" t="s">
        <v>84</v>
      </c>
      <c r="Q6366">
        <v>7</v>
      </c>
      <c r="R6366" s="2" t="s">
        <v>214</v>
      </c>
      <c r="S6366" t="s">
        <v>7</v>
      </c>
      <c r="T6366">
        <v>5</v>
      </c>
      <c r="U6366" t="s">
        <v>28</v>
      </c>
      <c r="V6366" t="s">
        <v>28</v>
      </c>
      <c r="W6366">
        <v>7</v>
      </c>
      <c r="X6366">
        <v>0.65080000000000005</v>
      </c>
      <c r="Y6366" s="3"/>
    </row>
    <row r="6367" spans="1:25" x14ac:dyDescent="0.2">
      <c r="A6367" t="s">
        <v>733</v>
      </c>
      <c r="B6367">
        <v>2015</v>
      </c>
      <c r="C6367" t="s">
        <v>826</v>
      </c>
      <c r="D6367" t="s">
        <v>824</v>
      </c>
      <c r="E6367" t="s">
        <v>48</v>
      </c>
      <c r="F6367" t="s">
        <v>424</v>
      </c>
      <c r="G6367">
        <v>78.966667000000001</v>
      </c>
      <c r="H6367">
        <v>11.5</v>
      </c>
      <c r="J6367" s="2" t="s">
        <v>7</v>
      </c>
      <c r="K6367" t="s">
        <v>143</v>
      </c>
      <c r="L6367" t="s">
        <v>143</v>
      </c>
      <c r="M6367" t="s">
        <v>726</v>
      </c>
      <c r="N6367" t="s">
        <v>85</v>
      </c>
      <c r="O6367" t="s">
        <v>84</v>
      </c>
      <c r="Q6367">
        <v>10</v>
      </c>
      <c r="R6367" s="2" t="s">
        <v>214</v>
      </c>
      <c r="S6367" t="s">
        <v>7</v>
      </c>
      <c r="T6367">
        <v>5</v>
      </c>
      <c r="U6367" t="s">
        <v>28</v>
      </c>
      <c r="V6367" t="s">
        <v>28</v>
      </c>
      <c r="W6367">
        <v>7</v>
      </c>
      <c r="X6367">
        <v>0.63180000000000003</v>
      </c>
      <c r="Y6367" s="3"/>
    </row>
    <row r="6368" spans="1:25" x14ac:dyDescent="0.2">
      <c r="A6368" t="s">
        <v>733</v>
      </c>
      <c r="B6368">
        <v>2015</v>
      </c>
      <c r="C6368" t="s">
        <v>826</v>
      </c>
      <c r="D6368" t="s">
        <v>824</v>
      </c>
      <c r="E6368" t="s">
        <v>48</v>
      </c>
      <c r="F6368" t="s">
        <v>424</v>
      </c>
      <c r="G6368">
        <v>78.966667000000001</v>
      </c>
      <c r="H6368">
        <v>11.5</v>
      </c>
      <c r="J6368" s="2" t="s">
        <v>7</v>
      </c>
      <c r="K6368" t="s">
        <v>143</v>
      </c>
      <c r="L6368" t="s">
        <v>143</v>
      </c>
      <c r="M6368" t="s">
        <v>726</v>
      </c>
      <c r="N6368" t="s">
        <v>85</v>
      </c>
      <c r="O6368" t="s">
        <v>84</v>
      </c>
      <c r="Q6368">
        <v>14</v>
      </c>
      <c r="R6368" s="2" t="s">
        <v>213</v>
      </c>
      <c r="S6368" t="s">
        <v>7</v>
      </c>
      <c r="T6368">
        <v>5</v>
      </c>
      <c r="U6368" t="s">
        <v>28</v>
      </c>
      <c r="V6368" t="s">
        <v>28</v>
      </c>
      <c r="W6368">
        <v>7</v>
      </c>
      <c r="X6368">
        <v>0.65080000000000005</v>
      </c>
      <c r="Y6368" s="3"/>
    </row>
    <row r="6369" spans="1:25" x14ac:dyDescent="0.2">
      <c r="A6369" t="s">
        <v>733</v>
      </c>
      <c r="B6369">
        <v>2015</v>
      </c>
      <c r="C6369" t="s">
        <v>826</v>
      </c>
      <c r="D6369" t="s">
        <v>824</v>
      </c>
      <c r="E6369" t="s">
        <v>48</v>
      </c>
      <c r="F6369" t="s">
        <v>424</v>
      </c>
      <c r="G6369">
        <v>78.966667000000001</v>
      </c>
      <c r="H6369">
        <v>11.5</v>
      </c>
      <c r="J6369" s="2" t="s">
        <v>14</v>
      </c>
      <c r="K6369" t="s">
        <v>143</v>
      </c>
      <c r="L6369" t="s">
        <v>143</v>
      </c>
      <c r="M6369" t="s">
        <v>726</v>
      </c>
      <c r="N6369" t="s">
        <v>85</v>
      </c>
      <c r="O6369" t="s">
        <v>84</v>
      </c>
      <c r="Q6369">
        <v>3</v>
      </c>
      <c r="R6369" s="2" t="s">
        <v>214</v>
      </c>
      <c r="S6369" t="s">
        <v>9</v>
      </c>
      <c r="T6369">
        <v>5</v>
      </c>
      <c r="U6369" t="s">
        <v>28</v>
      </c>
      <c r="V6369" t="s">
        <v>28</v>
      </c>
      <c r="W6369">
        <v>12</v>
      </c>
      <c r="X6369">
        <v>0.65249999999999997</v>
      </c>
      <c r="Y6369" s="3"/>
    </row>
    <row r="6370" spans="1:25" x14ac:dyDescent="0.2">
      <c r="A6370" t="s">
        <v>733</v>
      </c>
      <c r="B6370">
        <v>2015</v>
      </c>
      <c r="C6370" t="s">
        <v>826</v>
      </c>
      <c r="D6370" t="s">
        <v>824</v>
      </c>
      <c r="E6370" t="s">
        <v>48</v>
      </c>
      <c r="F6370" t="s">
        <v>424</v>
      </c>
      <c r="G6370">
        <v>78.966667000000001</v>
      </c>
      <c r="H6370">
        <v>11.5</v>
      </c>
      <c r="J6370" s="2" t="s">
        <v>14</v>
      </c>
      <c r="K6370" t="s">
        <v>143</v>
      </c>
      <c r="L6370" t="s">
        <v>143</v>
      </c>
      <c r="M6370" t="s">
        <v>726</v>
      </c>
      <c r="N6370" t="s">
        <v>85</v>
      </c>
      <c r="O6370" t="s">
        <v>84</v>
      </c>
      <c r="Q6370">
        <v>7</v>
      </c>
      <c r="R6370" s="2" t="s">
        <v>214</v>
      </c>
      <c r="S6370" t="s">
        <v>9</v>
      </c>
      <c r="T6370">
        <v>5</v>
      </c>
      <c r="U6370" t="s">
        <v>28</v>
      </c>
      <c r="V6370" t="s">
        <v>28</v>
      </c>
      <c r="W6370">
        <v>12</v>
      </c>
      <c r="X6370">
        <v>0.65249999999999997</v>
      </c>
      <c r="Y6370" s="3"/>
    </row>
    <row r="6371" spans="1:25" x14ac:dyDescent="0.2">
      <c r="A6371" t="s">
        <v>733</v>
      </c>
      <c r="B6371">
        <v>2015</v>
      </c>
      <c r="C6371" t="s">
        <v>826</v>
      </c>
      <c r="D6371" t="s">
        <v>824</v>
      </c>
      <c r="E6371" t="s">
        <v>48</v>
      </c>
      <c r="F6371" t="s">
        <v>424</v>
      </c>
      <c r="G6371">
        <v>78.966667000000001</v>
      </c>
      <c r="H6371">
        <v>11.5</v>
      </c>
      <c r="J6371" s="2" t="s">
        <v>14</v>
      </c>
      <c r="K6371" t="s">
        <v>143</v>
      </c>
      <c r="L6371" t="s">
        <v>143</v>
      </c>
      <c r="M6371" t="s">
        <v>726</v>
      </c>
      <c r="N6371" t="s">
        <v>85</v>
      </c>
      <c r="O6371" t="s">
        <v>84</v>
      </c>
      <c r="Q6371">
        <v>10</v>
      </c>
      <c r="R6371" s="2" t="s">
        <v>214</v>
      </c>
      <c r="S6371" t="s">
        <v>9</v>
      </c>
      <c r="T6371">
        <v>5</v>
      </c>
      <c r="U6371" t="s">
        <v>28</v>
      </c>
      <c r="V6371" t="s">
        <v>28</v>
      </c>
      <c r="W6371">
        <v>12</v>
      </c>
      <c r="X6371">
        <v>0.64419999999999999</v>
      </c>
      <c r="Y6371" s="3"/>
    </row>
    <row r="6372" spans="1:25" x14ac:dyDescent="0.2">
      <c r="A6372" t="s">
        <v>733</v>
      </c>
      <c r="B6372">
        <v>2015</v>
      </c>
      <c r="C6372" t="s">
        <v>826</v>
      </c>
      <c r="D6372" t="s">
        <v>824</v>
      </c>
      <c r="E6372" t="s">
        <v>48</v>
      </c>
      <c r="F6372" t="s">
        <v>424</v>
      </c>
      <c r="G6372">
        <v>78.966667000000001</v>
      </c>
      <c r="H6372">
        <v>11.5</v>
      </c>
      <c r="J6372" s="2" t="s">
        <v>14</v>
      </c>
      <c r="K6372" t="s">
        <v>143</v>
      </c>
      <c r="L6372" t="s">
        <v>143</v>
      </c>
      <c r="M6372" t="s">
        <v>726</v>
      </c>
      <c r="N6372" t="s">
        <v>85</v>
      </c>
      <c r="O6372" t="s">
        <v>84</v>
      </c>
      <c r="Q6372">
        <v>14</v>
      </c>
      <c r="R6372" s="2" t="s">
        <v>213</v>
      </c>
      <c r="S6372" t="s">
        <v>9</v>
      </c>
      <c r="T6372">
        <v>5</v>
      </c>
      <c r="U6372" t="s">
        <v>28</v>
      </c>
      <c r="V6372" t="s">
        <v>28</v>
      </c>
      <c r="W6372">
        <v>12</v>
      </c>
      <c r="X6372">
        <v>0.6401</v>
      </c>
      <c r="Y6372" s="3"/>
    </row>
    <row r="6373" spans="1:25" x14ac:dyDescent="0.2">
      <c r="A6373" t="s">
        <v>735</v>
      </c>
      <c r="B6373">
        <v>2020</v>
      </c>
      <c r="C6373" t="s">
        <v>816</v>
      </c>
      <c r="D6373" t="s">
        <v>817</v>
      </c>
      <c r="E6373" t="s">
        <v>31</v>
      </c>
      <c r="F6373" t="s">
        <v>307</v>
      </c>
      <c r="G6373">
        <v>54.177500000000002</v>
      </c>
      <c r="H6373">
        <v>7.8933330000000002</v>
      </c>
      <c r="J6373" s="2" t="s">
        <v>7</v>
      </c>
      <c r="K6373" t="s">
        <v>3</v>
      </c>
      <c r="L6373" t="s">
        <v>3</v>
      </c>
      <c r="M6373" t="s">
        <v>12</v>
      </c>
      <c r="N6373" t="s">
        <v>85</v>
      </c>
      <c r="O6373" t="s">
        <v>141</v>
      </c>
      <c r="P6373" t="s">
        <v>381</v>
      </c>
      <c r="Q6373">
        <v>8</v>
      </c>
      <c r="R6373" s="2" t="s">
        <v>213</v>
      </c>
      <c r="S6373" t="s">
        <v>7</v>
      </c>
      <c r="T6373">
        <v>4</v>
      </c>
      <c r="U6373" t="s">
        <v>28</v>
      </c>
      <c r="V6373" t="s">
        <v>28</v>
      </c>
      <c r="W6373">
        <v>15</v>
      </c>
      <c r="X6373" s="3"/>
      <c r="Y6373" s="3"/>
    </row>
    <row r="6374" spans="1:25" x14ac:dyDescent="0.2">
      <c r="A6374" t="s">
        <v>735</v>
      </c>
      <c r="B6374">
        <v>2020</v>
      </c>
      <c r="C6374" t="s">
        <v>816</v>
      </c>
      <c r="D6374" t="s">
        <v>817</v>
      </c>
      <c r="E6374" t="s">
        <v>31</v>
      </c>
      <c r="F6374" t="s">
        <v>424</v>
      </c>
      <c r="G6374">
        <v>78.985028</v>
      </c>
      <c r="H6374">
        <v>11.963222</v>
      </c>
      <c r="J6374" s="2" t="s">
        <v>7</v>
      </c>
      <c r="K6374" t="s">
        <v>3</v>
      </c>
      <c r="L6374" t="s">
        <v>3</v>
      </c>
      <c r="M6374" t="s">
        <v>12</v>
      </c>
      <c r="N6374" t="s">
        <v>85</v>
      </c>
      <c r="O6374" t="s">
        <v>141</v>
      </c>
      <c r="P6374" t="s">
        <v>381</v>
      </c>
      <c r="Q6374">
        <v>8</v>
      </c>
      <c r="R6374" s="2" t="s">
        <v>213</v>
      </c>
      <c r="S6374" t="s">
        <v>7</v>
      </c>
      <c r="T6374">
        <v>4</v>
      </c>
      <c r="U6374" t="s">
        <v>28</v>
      </c>
      <c r="V6374" t="s">
        <v>28</v>
      </c>
      <c r="W6374">
        <v>15</v>
      </c>
      <c r="X6374" s="3"/>
      <c r="Y6374" s="3"/>
    </row>
    <row r="6375" spans="1:25" x14ac:dyDescent="0.2">
      <c r="A6375" t="s">
        <v>735</v>
      </c>
      <c r="B6375">
        <v>2020</v>
      </c>
      <c r="C6375" t="s">
        <v>816</v>
      </c>
      <c r="D6375" t="s">
        <v>817</v>
      </c>
      <c r="E6375" t="s">
        <v>31</v>
      </c>
      <c r="F6375" t="s">
        <v>307</v>
      </c>
      <c r="G6375">
        <v>54.177500000000002</v>
      </c>
      <c r="H6375">
        <v>7.8933330000000002</v>
      </c>
      <c r="J6375" s="2" t="s">
        <v>14</v>
      </c>
      <c r="K6375" t="s">
        <v>3</v>
      </c>
      <c r="L6375" t="s">
        <v>3</v>
      </c>
      <c r="M6375" t="s">
        <v>12</v>
      </c>
      <c r="N6375" t="s">
        <v>85</v>
      </c>
      <c r="O6375" t="s">
        <v>141</v>
      </c>
      <c r="P6375" t="s">
        <v>381</v>
      </c>
      <c r="Q6375">
        <v>8</v>
      </c>
      <c r="R6375" s="2" t="s">
        <v>213</v>
      </c>
      <c r="S6375" t="s">
        <v>9</v>
      </c>
      <c r="T6375">
        <v>4</v>
      </c>
      <c r="U6375" t="s">
        <v>28</v>
      </c>
      <c r="V6375" t="s">
        <v>28</v>
      </c>
      <c r="W6375">
        <v>20</v>
      </c>
      <c r="X6375" s="3"/>
      <c r="Y6375" s="3"/>
    </row>
    <row r="6376" spans="1:25" x14ac:dyDescent="0.2">
      <c r="A6376" t="s">
        <v>735</v>
      </c>
      <c r="B6376">
        <v>2020</v>
      </c>
      <c r="C6376" t="s">
        <v>816</v>
      </c>
      <c r="D6376" t="s">
        <v>817</v>
      </c>
      <c r="E6376" t="s">
        <v>31</v>
      </c>
      <c r="F6376" t="s">
        <v>424</v>
      </c>
      <c r="G6376">
        <v>78.985028</v>
      </c>
      <c r="H6376">
        <v>11.963222</v>
      </c>
      <c r="J6376" s="2" t="s">
        <v>14</v>
      </c>
      <c r="K6376" t="s">
        <v>3</v>
      </c>
      <c r="L6376" t="s">
        <v>3</v>
      </c>
      <c r="M6376" t="s">
        <v>12</v>
      </c>
      <c r="N6376" t="s">
        <v>85</v>
      </c>
      <c r="O6376" t="s">
        <v>141</v>
      </c>
      <c r="P6376" t="s">
        <v>381</v>
      </c>
      <c r="Q6376">
        <v>8</v>
      </c>
      <c r="R6376" s="2" t="s">
        <v>213</v>
      </c>
      <c r="S6376" t="s">
        <v>9</v>
      </c>
      <c r="T6376">
        <v>4</v>
      </c>
      <c r="U6376" t="s">
        <v>28</v>
      </c>
      <c r="V6376" t="s">
        <v>28</v>
      </c>
      <c r="W6376">
        <v>20</v>
      </c>
      <c r="X6376" s="3"/>
      <c r="Y6376" s="3"/>
    </row>
    <row r="6377" spans="1:25" x14ac:dyDescent="0.2">
      <c r="A6377" t="s">
        <v>735</v>
      </c>
      <c r="B6377">
        <v>2020</v>
      </c>
      <c r="C6377" t="s">
        <v>816</v>
      </c>
      <c r="D6377" t="s">
        <v>817</v>
      </c>
      <c r="E6377" t="s">
        <v>31</v>
      </c>
      <c r="F6377" t="s">
        <v>307</v>
      </c>
      <c r="G6377">
        <v>54.177500000000002</v>
      </c>
      <c r="H6377">
        <v>7.8933330000000002</v>
      </c>
      <c r="J6377" s="2" t="s">
        <v>14</v>
      </c>
      <c r="K6377" t="s">
        <v>3</v>
      </c>
      <c r="L6377" t="s">
        <v>3</v>
      </c>
      <c r="M6377" t="s">
        <v>12</v>
      </c>
      <c r="N6377" t="s">
        <v>85</v>
      </c>
      <c r="O6377" t="s">
        <v>141</v>
      </c>
      <c r="P6377" t="s">
        <v>381</v>
      </c>
      <c r="Q6377">
        <v>8</v>
      </c>
      <c r="R6377" s="2" t="s">
        <v>213</v>
      </c>
      <c r="S6377" t="s">
        <v>27</v>
      </c>
      <c r="T6377">
        <v>4</v>
      </c>
      <c r="U6377" t="s">
        <v>28</v>
      </c>
      <c r="V6377" t="s">
        <v>28</v>
      </c>
      <c r="W6377">
        <v>22.5</v>
      </c>
      <c r="X6377" s="3"/>
      <c r="Y6377" s="3"/>
    </row>
    <row r="6378" spans="1:25" x14ac:dyDescent="0.2">
      <c r="A6378" t="s">
        <v>735</v>
      </c>
      <c r="B6378">
        <v>2020</v>
      </c>
      <c r="C6378" t="s">
        <v>816</v>
      </c>
      <c r="D6378" t="s">
        <v>817</v>
      </c>
      <c r="E6378" t="s">
        <v>31</v>
      </c>
      <c r="F6378" t="s">
        <v>424</v>
      </c>
      <c r="G6378">
        <v>78.985028</v>
      </c>
      <c r="H6378">
        <v>11.963222</v>
      </c>
      <c r="J6378" s="2" t="s">
        <v>14</v>
      </c>
      <c r="K6378" t="s">
        <v>3</v>
      </c>
      <c r="L6378" t="s">
        <v>3</v>
      </c>
      <c r="M6378" t="s">
        <v>12</v>
      </c>
      <c r="N6378" t="s">
        <v>85</v>
      </c>
      <c r="O6378" t="s">
        <v>141</v>
      </c>
      <c r="P6378" t="s">
        <v>381</v>
      </c>
      <c r="Q6378">
        <v>8</v>
      </c>
      <c r="R6378" s="2" t="s">
        <v>213</v>
      </c>
      <c r="S6378" t="s">
        <v>27</v>
      </c>
      <c r="T6378">
        <v>4</v>
      </c>
      <c r="U6378" t="s">
        <v>28</v>
      </c>
      <c r="V6378" t="s">
        <v>28</v>
      </c>
      <c r="W6378">
        <v>22.5</v>
      </c>
      <c r="X6378" s="3"/>
      <c r="Y6378" s="3"/>
    </row>
    <row r="6379" spans="1:25" x14ac:dyDescent="0.2">
      <c r="A6379" t="s">
        <v>735</v>
      </c>
      <c r="B6379">
        <v>2020</v>
      </c>
      <c r="C6379" t="s">
        <v>816</v>
      </c>
      <c r="D6379" t="s">
        <v>817</v>
      </c>
      <c r="E6379" t="s">
        <v>31</v>
      </c>
      <c r="F6379" t="s">
        <v>307</v>
      </c>
      <c r="G6379">
        <v>54.177500000000002</v>
      </c>
      <c r="H6379">
        <v>7.8933330000000002</v>
      </c>
      <c r="J6379" s="2" t="s">
        <v>14</v>
      </c>
      <c r="K6379" t="s">
        <v>3</v>
      </c>
      <c r="L6379" t="s">
        <v>3</v>
      </c>
      <c r="M6379" t="s">
        <v>12</v>
      </c>
      <c r="N6379" t="s">
        <v>85</v>
      </c>
      <c r="O6379" t="s">
        <v>141</v>
      </c>
      <c r="P6379" t="s">
        <v>381</v>
      </c>
      <c r="Q6379">
        <v>8</v>
      </c>
      <c r="R6379" s="2" t="s">
        <v>213</v>
      </c>
      <c r="S6379" t="s">
        <v>13</v>
      </c>
      <c r="T6379">
        <v>4</v>
      </c>
      <c r="U6379" t="s">
        <v>28</v>
      </c>
      <c r="V6379" t="s">
        <v>28</v>
      </c>
      <c r="W6379">
        <v>25</v>
      </c>
      <c r="X6379" s="3"/>
      <c r="Y6379" s="3"/>
    </row>
    <row r="6380" spans="1:25" x14ac:dyDescent="0.2">
      <c r="A6380" t="s">
        <v>735</v>
      </c>
      <c r="B6380">
        <v>2020</v>
      </c>
      <c r="C6380" t="s">
        <v>816</v>
      </c>
      <c r="D6380" t="s">
        <v>817</v>
      </c>
      <c r="E6380" t="s">
        <v>31</v>
      </c>
      <c r="F6380" t="s">
        <v>424</v>
      </c>
      <c r="G6380">
        <v>78.985028</v>
      </c>
      <c r="H6380">
        <v>11.963222</v>
      </c>
      <c r="J6380" s="2" t="s">
        <v>14</v>
      </c>
      <c r="K6380" t="s">
        <v>3</v>
      </c>
      <c r="L6380" t="s">
        <v>3</v>
      </c>
      <c r="M6380" t="s">
        <v>12</v>
      </c>
      <c r="N6380" t="s">
        <v>85</v>
      </c>
      <c r="O6380" t="s">
        <v>141</v>
      </c>
      <c r="P6380" t="s">
        <v>381</v>
      </c>
      <c r="Q6380">
        <v>8</v>
      </c>
      <c r="R6380" s="2" t="s">
        <v>213</v>
      </c>
      <c r="S6380" t="s">
        <v>13</v>
      </c>
      <c r="T6380">
        <v>4</v>
      </c>
      <c r="U6380" t="s">
        <v>28</v>
      </c>
      <c r="V6380" t="s">
        <v>28</v>
      </c>
      <c r="W6380">
        <v>25</v>
      </c>
      <c r="X6380" s="3"/>
      <c r="Y6380" s="3"/>
    </row>
    <row r="6381" spans="1:25" x14ac:dyDescent="0.2">
      <c r="A6381" t="s">
        <v>735</v>
      </c>
      <c r="B6381">
        <v>2020</v>
      </c>
      <c r="C6381" t="s">
        <v>816</v>
      </c>
      <c r="D6381" t="s">
        <v>817</v>
      </c>
      <c r="E6381" t="s">
        <v>31</v>
      </c>
      <c r="F6381" t="s">
        <v>307</v>
      </c>
      <c r="G6381">
        <v>54.177500000000002</v>
      </c>
      <c r="H6381">
        <v>7.8933330000000002</v>
      </c>
      <c r="J6381" s="2" t="s">
        <v>7</v>
      </c>
      <c r="K6381" t="s">
        <v>3</v>
      </c>
      <c r="L6381" t="s">
        <v>3</v>
      </c>
      <c r="M6381" t="s">
        <v>26</v>
      </c>
      <c r="N6381" t="s">
        <v>85</v>
      </c>
      <c r="O6381" s="6" t="s">
        <v>840</v>
      </c>
      <c r="P6381" t="s">
        <v>72</v>
      </c>
      <c r="Q6381">
        <v>8</v>
      </c>
      <c r="R6381" s="2" t="s">
        <v>213</v>
      </c>
      <c r="S6381" t="s">
        <v>7</v>
      </c>
      <c r="T6381">
        <v>4</v>
      </c>
      <c r="U6381" t="s">
        <v>28</v>
      </c>
      <c r="V6381" t="s">
        <v>28</v>
      </c>
      <c r="W6381">
        <v>15</v>
      </c>
      <c r="X6381" s="3"/>
      <c r="Y6381" s="3"/>
    </row>
    <row r="6382" spans="1:25" x14ac:dyDescent="0.2">
      <c r="A6382" t="s">
        <v>735</v>
      </c>
      <c r="B6382">
        <v>2020</v>
      </c>
      <c r="C6382" t="s">
        <v>816</v>
      </c>
      <c r="D6382" t="s">
        <v>817</v>
      </c>
      <c r="E6382" t="s">
        <v>31</v>
      </c>
      <c r="F6382" t="s">
        <v>424</v>
      </c>
      <c r="G6382">
        <v>78.985028</v>
      </c>
      <c r="H6382">
        <v>11.963222</v>
      </c>
      <c r="J6382" s="2" t="s">
        <v>7</v>
      </c>
      <c r="K6382" t="s">
        <v>3</v>
      </c>
      <c r="L6382" t="s">
        <v>3</v>
      </c>
      <c r="M6382" t="s">
        <v>26</v>
      </c>
      <c r="N6382" t="s">
        <v>85</v>
      </c>
      <c r="O6382" s="6" t="s">
        <v>840</v>
      </c>
      <c r="P6382" t="s">
        <v>72</v>
      </c>
      <c r="Q6382">
        <v>8</v>
      </c>
      <c r="R6382" s="2" t="s">
        <v>213</v>
      </c>
      <c r="S6382" t="s">
        <v>7</v>
      </c>
      <c r="T6382">
        <v>4</v>
      </c>
      <c r="U6382" t="s">
        <v>28</v>
      </c>
      <c r="V6382" t="s">
        <v>28</v>
      </c>
      <c r="W6382">
        <v>15</v>
      </c>
      <c r="X6382" s="3"/>
      <c r="Y6382" s="3"/>
    </row>
    <row r="6383" spans="1:25" x14ac:dyDescent="0.2">
      <c r="A6383" t="s">
        <v>735</v>
      </c>
      <c r="B6383">
        <v>2020</v>
      </c>
      <c r="C6383" t="s">
        <v>816</v>
      </c>
      <c r="D6383" t="s">
        <v>817</v>
      </c>
      <c r="E6383" t="s">
        <v>31</v>
      </c>
      <c r="F6383" t="s">
        <v>307</v>
      </c>
      <c r="G6383">
        <v>54.177500000000002</v>
      </c>
      <c r="H6383">
        <v>7.8933330000000002</v>
      </c>
      <c r="J6383" s="2" t="s">
        <v>14</v>
      </c>
      <c r="K6383" t="s">
        <v>3</v>
      </c>
      <c r="L6383" t="s">
        <v>3</v>
      </c>
      <c r="M6383" t="s">
        <v>26</v>
      </c>
      <c r="N6383" t="s">
        <v>85</v>
      </c>
      <c r="O6383" s="6" t="s">
        <v>840</v>
      </c>
      <c r="P6383" t="s">
        <v>72</v>
      </c>
      <c r="Q6383">
        <v>8</v>
      </c>
      <c r="R6383" s="2" t="s">
        <v>213</v>
      </c>
      <c r="S6383" t="s">
        <v>9</v>
      </c>
      <c r="T6383">
        <v>4</v>
      </c>
      <c r="U6383" t="s">
        <v>28</v>
      </c>
      <c r="V6383" t="s">
        <v>28</v>
      </c>
      <c r="W6383">
        <v>20</v>
      </c>
      <c r="X6383" s="3"/>
      <c r="Y6383" s="3"/>
    </row>
    <row r="6384" spans="1:25" x14ac:dyDescent="0.2">
      <c r="A6384" t="s">
        <v>735</v>
      </c>
      <c r="B6384">
        <v>2020</v>
      </c>
      <c r="C6384" t="s">
        <v>816</v>
      </c>
      <c r="D6384" t="s">
        <v>817</v>
      </c>
      <c r="E6384" t="s">
        <v>31</v>
      </c>
      <c r="F6384" t="s">
        <v>424</v>
      </c>
      <c r="G6384">
        <v>78.985028</v>
      </c>
      <c r="H6384">
        <v>11.963222</v>
      </c>
      <c r="J6384" s="2" t="s">
        <v>14</v>
      </c>
      <c r="K6384" t="s">
        <v>3</v>
      </c>
      <c r="L6384" t="s">
        <v>3</v>
      </c>
      <c r="M6384" t="s">
        <v>26</v>
      </c>
      <c r="N6384" t="s">
        <v>85</v>
      </c>
      <c r="O6384" s="6" t="s">
        <v>840</v>
      </c>
      <c r="P6384" t="s">
        <v>72</v>
      </c>
      <c r="Q6384">
        <v>8</v>
      </c>
      <c r="R6384" s="2" t="s">
        <v>213</v>
      </c>
      <c r="S6384" t="s">
        <v>9</v>
      </c>
      <c r="T6384">
        <v>4</v>
      </c>
      <c r="U6384" t="s">
        <v>28</v>
      </c>
      <c r="V6384" t="s">
        <v>28</v>
      </c>
      <c r="W6384">
        <v>20</v>
      </c>
      <c r="X6384" s="3"/>
      <c r="Y6384" s="3"/>
    </row>
    <row r="6385" spans="1:25" x14ac:dyDescent="0.2">
      <c r="A6385" t="s">
        <v>735</v>
      </c>
      <c r="B6385">
        <v>2020</v>
      </c>
      <c r="C6385" t="s">
        <v>816</v>
      </c>
      <c r="D6385" t="s">
        <v>817</v>
      </c>
      <c r="E6385" t="s">
        <v>31</v>
      </c>
      <c r="F6385" t="s">
        <v>307</v>
      </c>
      <c r="G6385">
        <v>54.177500000000002</v>
      </c>
      <c r="H6385">
        <v>7.8933330000000002</v>
      </c>
      <c r="J6385" s="2" t="s">
        <v>14</v>
      </c>
      <c r="K6385" t="s">
        <v>3</v>
      </c>
      <c r="L6385" t="s">
        <v>3</v>
      </c>
      <c r="M6385" t="s">
        <v>26</v>
      </c>
      <c r="N6385" t="s">
        <v>85</v>
      </c>
      <c r="O6385" s="6" t="s">
        <v>840</v>
      </c>
      <c r="P6385" t="s">
        <v>72</v>
      </c>
      <c r="Q6385">
        <v>8</v>
      </c>
      <c r="R6385" s="2" t="s">
        <v>213</v>
      </c>
      <c r="S6385" t="s">
        <v>27</v>
      </c>
      <c r="T6385">
        <v>4</v>
      </c>
      <c r="U6385" t="s">
        <v>28</v>
      </c>
      <c r="V6385" t="s">
        <v>28</v>
      </c>
      <c r="W6385">
        <v>22.5</v>
      </c>
      <c r="X6385" s="3"/>
      <c r="Y6385" s="3"/>
    </row>
    <row r="6386" spans="1:25" x14ac:dyDescent="0.2">
      <c r="A6386" t="s">
        <v>735</v>
      </c>
      <c r="B6386">
        <v>2020</v>
      </c>
      <c r="C6386" t="s">
        <v>816</v>
      </c>
      <c r="D6386" t="s">
        <v>817</v>
      </c>
      <c r="E6386" t="s">
        <v>31</v>
      </c>
      <c r="F6386" t="s">
        <v>424</v>
      </c>
      <c r="G6386">
        <v>78.985028</v>
      </c>
      <c r="H6386">
        <v>11.963222</v>
      </c>
      <c r="J6386" s="2" t="s">
        <v>14</v>
      </c>
      <c r="K6386" t="s">
        <v>3</v>
      </c>
      <c r="L6386" t="s">
        <v>3</v>
      </c>
      <c r="M6386" t="s">
        <v>26</v>
      </c>
      <c r="N6386" t="s">
        <v>85</v>
      </c>
      <c r="O6386" s="6" t="s">
        <v>840</v>
      </c>
      <c r="P6386" t="s">
        <v>72</v>
      </c>
      <c r="Q6386">
        <v>8</v>
      </c>
      <c r="R6386" s="2" t="s">
        <v>213</v>
      </c>
      <c r="S6386" t="s">
        <v>27</v>
      </c>
      <c r="T6386">
        <v>4</v>
      </c>
      <c r="U6386" t="s">
        <v>28</v>
      </c>
      <c r="V6386" t="s">
        <v>28</v>
      </c>
      <c r="W6386">
        <v>22.5</v>
      </c>
      <c r="X6386" s="3"/>
      <c r="Y6386" s="3"/>
    </row>
    <row r="6387" spans="1:25" x14ac:dyDescent="0.2">
      <c r="A6387" t="s">
        <v>735</v>
      </c>
      <c r="B6387">
        <v>2020</v>
      </c>
      <c r="C6387" t="s">
        <v>816</v>
      </c>
      <c r="D6387" t="s">
        <v>817</v>
      </c>
      <c r="E6387" t="s">
        <v>31</v>
      </c>
      <c r="F6387" t="s">
        <v>307</v>
      </c>
      <c r="G6387">
        <v>54.177500000000002</v>
      </c>
      <c r="H6387">
        <v>7.8933330000000002</v>
      </c>
      <c r="J6387" s="2" t="s">
        <v>14</v>
      </c>
      <c r="K6387" t="s">
        <v>3</v>
      </c>
      <c r="L6387" t="s">
        <v>3</v>
      </c>
      <c r="M6387" t="s">
        <v>26</v>
      </c>
      <c r="N6387" t="s">
        <v>85</v>
      </c>
      <c r="O6387" s="6" t="s">
        <v>840</v>
      </c>
      <c r="P6387" t="s">
        <v>72</v>
      </c>
      <c r="Q6387">
        <v>8</v>
      </c>
      <c r="R6387" s="2" t="s">
        <v>213</v>
      </c>
      <c r="S6387" t="s">
        <v>13</v>
      </c>
      <c r="T6387">
        <v>4</v>
      </c>
      <c r="U6387" t="s">
        <v>28</v>
      </c>
      <c r="V6387" t="s">
        <v>28</v>
      </c>
      <c r="W6387">
        <v>25</v>
      </c>
      <c r="X6387" s="3"/>
      <c r="Y6387" s="3"/>
    </row>
    <row r="6388" spans="1:25" x14ac:dyDescent="0.2">
      <c r="A6388" t="s">
        <v>735</v>
      </c>
      <c r="B6388">
        <v>2020</v>
      </c>
      <c r="C6388" t="s">
        <v>816</v>
      </c>
      <c r="D6388" t="s">
        <v>817</v>
      </c>
      <c r="E6388" t="s">
        <v>31</v>
      </c>
      <c r="F6388" t="s">
        <v>424</v>
      </c>
      <c r="G6388">
        <v>78.985028</v>
      </c>
      <c r="H6388">
        <v>11.963222</v>
      </c>
      <c r="J6388" s="2" t="s">
        <v>14</v>
      </c>
      <c r="K6388" t="s">
        <v>3</v>
      </c>
      <c r="L6388" t="s">
        <v>3</v>
      </c>
      <c r="M6388" t="s">
        <v>26</v>
      </c>
      <c r="N6388" t="s">
        <v>85</v>
      </c>
      <c r="O6388" s="6" t="s">
        <v>840</v>
      </c>
      <c r="P6388" t="s">
        <v>72</v>
      </c>
      <c r="Q6388">
        <v>8</v>
      </c>
      <c r="R6388" s="2" t="s">
        <v>213</v>
      </c>
      <c r="S6388" t="s">
        <v>13</v>
      </c>
      <c r="T6388">
        <v>4</v>
      </c>
      <c r="U6388" t="s">
        <v>28</v>
      </c>
      <c r="V6388" t="s">
        <v>28</v>
      </c>
      <c r="W6388">
        <v>25</v>
      </c>
      <c r="X6388" s="3"/>
      <c r="Y6388" s="3"/>
    </row>
    <row r="6389" spans="1:25" x14ac:dyDescent="0.2">
      <c r="A6389" t="s">
        <v>736</v>
      </c>
      <c r="B6389">
        <v>2007</v>
      </c>
      <c r="C6389" t="s">
        <v>826</v>
      </c>
      <c r="D6389" t="s">
        <v>824</v>
      </c>
      <c r="E6389" t="s">
        <v>114</v>
      </c>
      <c r="F6389" t="s">
        <v>737</v>
      </c>
      <c r="G6389">
        <v>26.919101999999999</v>
      </c>
      <c r="H6389">
        <v>120.225735</v>
      </c>
      <c r="I6389" t="s">
        <v>764</v>
      </c>
      <c r="J6389" s="2" t="s">
        <v>7</v>
      </c>
      <c r="K6389" t="s">
        <v>739</v>
      </c>
      <c r="L6389" t="s">
        <v>143</v>
      </c>
      <c r="M6389" t="s">
        <v>26</v>
      </c>
      <c r="N6389" t="s">
        <v>85</v>
      </c>
      <c r="O6389" t="s">
        <v>462</v>
      </c>
      <c r="P6389" t="s">
        <v>72</v>
      </c>
      <c r="Q6389">
        <v>2</v>
      </c>
      <c r="R6389" s="2" t="s">
        <v>213</v>
      </c>
      <c r="S6389" t="s">
        <v>7</v>
      </c>
      <c r="T6389">
        <v>10</v>
      </c>
      <c r="U6389" t="s">
        <v>28</v>
      </c>
      <c r="V6389" t="s">
        <v>28</v>
      </c>
      <c r="W6389">
        <v>11.5</v>
      </c>
      <c r="X6389">
        <v>7.7</v>
      </c>
      <c r="Y6389">
        <v>1.4</v>
      </c>
    </row>
    <row r="6390" spans="1:25" x14ac:dyDescent="0.2">
      <c r="A6390" t="s">
        <v>736</v>
      </c>
      <c r="B6390">
        <v>2007</v>
      </c>
      <c r="C6390" t="s">
        <v>826</v>
      </c>
      <c r="D6390" t="s">
        <v>824</v>
      </c>
      <c r="E6390" t="s">
        <v>114</v>
      </c>
      <c r="F6390" t="s">
        <v>738</v>
      </c>
      <c r="G6390">
        <v>36.576466000000003</v>
      </c>
      <c r="H6390">
        <v>120.95234499999999</v>
      </c>
      <c r="I6390" t="s">
        <v>763</v>
      </c>
      <c r="J6390" s="2" t="s">
        <v>7</v>
      </c>
      <c r="K6390" t="s">
        <v>739</v>
      </c>
      <c r="L6390" t="s">
        <v>143</v>
      </c>
      <c r="M6390" t="s">
        <v>26</v>
      </c>
      <c r="N6390" t="s">
        <v>85</v>
      </c>
      <c r="O6390" t="s">
        <v>462</v>
      </c>
      <c r="P6390" t="s">
        <v>72</v>
      </c>
      <c r="Q6390">
        <v>2</v>
      </c>
      <c r="R6390" s="2" t="s">
        <v>213</v>
      </c>
      <c r="S6390" t="s">
        <v>7</v>
      </c>
      <c r="T6390">
        <v>10</v>
      </c>
      <c r="U6390" t="s">
        <v>28</v>
      </c>
      <c r="V6390" t="s">
        <v>28</v>
      </c>
      <c r="W6390">
        <v>11.5</v>
      </c>
      <c r="X6390">
        <v>7.8</v>
      </c>
      <c r="Y6390">
        <v>0.9</v>
      </c>
    </row>
    <row r="6391" spans="1:25" x14ac:dyDescent="0.2">
      <c r="A6391" t="s">
        <v>736</v>
      </c>
      <c r="B6391">
        <v>2007</v>
      </c>
      <c r="C6391" t="s">
        <v>826</v>
      </c>
      <c r="D6391" t="s">
        <v>824</v>
      </c>
      <c r="E6391" t="s">
        <v>114</v>
      </c>
      <c r="F6391" t="s">
        <v>737</v>
      </c>
      <c r="G6391">
        <v>26.919101999999999</v>
      </c>
      <c r="H6391">
        <v>120.225735</v>
      </c>
      <c r="I6391" t="s">
        <v>764</v>
      </c>
      <c r="J6391" s="2" t="s">
        <v>14</v>
      </c>
      <c r="K6391" t="s">
        <v>739</v>
      </c>
      <c r="L6391" t="s">
        <v>143</v>
      </c>
      <c r="M6391" t="s">
        <v>26</v>
      </c>
      <c r="N6391" t="s">
        <v>85</v>
      </c>
      <c r="O6391" t="s">
        <v>462</v>
      </c>
      <c r="P6391" t="s">
        <v>72</v>
      </c>
      <c r="Q6391">
        <v>2</v>
      </c>
      <c r="R6391" s="2" t="s">
        <v>213</v>
      </c>
      <c r="S6391" t="s">
        <v>9</v>
      </c>
      <c r="T6391">
        <v>10</v>
      </c>
      <c r="U6391" t="s">
        <v>28</v>
      </c>
      <c r="V6391" t="s">
        <v>28</v>
      </c>
      <c r="W6391">
        <v>15</v>
      </c>
      <c r="X6391">
        <v>8</v>
      </c>
      <c r="Y6391">
        <v>0.6</v>
      </c>
    </row>
    <row r="6392" spans="1:25" x14ac:dyDescent="0.2">
      <c r="A6392" t="s">
        <v>736</v>
      </c>
      <c r="B6392">
        <v>2007</v>
      </c>
      <c r="C6392" t="s">
        <v>826</v>
      </c>
      <c r="D6392" t="s">
        <v>824</v>
      </c>
      <c r="E6392" t="s">
        <v>114</v>
      </c>
      <c r="F6392" t="s">
        <v>738</v>
      </c>
      <c r="G6392">
        <v>36.576466000000003</v>
      </c>
      <c r="H6392">
        <v>120.95234499999999</v>
      </c>
      <c r="I6392" t="s">
        <v>763</v>
      </c>
      <c r="J6392" s="2" t="s">
        <v>14</v>
      </c>
      <c r="K6392" t="s">
        <v>739</v>
      </c>
      <c r="L6392" t="s">
        <v>143</v>
      </c>
      <c r="M6392" t="s">
        <v>26</v>
      </c>
      <c r="N6392" t="s">
        <v>85</v>
      </c>
      <c r="O6392" t="s">
        <v>462</v>
      </c>
      <c r="P6392" t="s">
        <v>72</v>
      </c>
      <c r="Q6392">
        <v>2</v>
      </c>
      <c r="R6392" s="2" t="s">
        <v>213</v>
      </c>
      <c r="S6392" t="s">
        <v>9</v>
      </c>
      <c r="T6392">
        <v>10</v>
      </c>
      <c r="U6392" t="s">
        <v>28</v>
      </c>
      <c r="V6392" t="s">
        <v>28</v>
      </c>
      <c r="W6392">
        <v>15</v>
      </c>
      <c r="X6392">
        <v>5.2</v>
      </c>
      <c r="Y6392">
        <v>0.8</v>
      </c>
    </row>
    <row r="6393" spans="1:25" x14ac:dyDescent="0.2">
      <c r="A6393" t="s">
        <v>736</v>
      </c>
      <c r="B6393">
        <v>2007</v>
      </c>
      <c r="C6393" t="s">
        <v>826</v>
      </c>
      <c r="D6393" t="s">
        <v>824</v>
      </c>
      <c r="E6393" t="s">
        <v>114</v>
      </c>
      <c r="F6393" t="s">
        <v>737</v>
      </c>
      <c r="G6393">
        <v>26.919101999999999</v>
      </c>
      <c r="H6393">
        <v>120.225735</v>
      </c>
      <c r="I6393" t="s">
        <v>764</v>
      </c>
      <c r="J6393" s="2" t="s">
        <v>14</v>
      </c>
      <c r="K6393" t="s">
        <v>739</v>
      </c>
      <c r="L6393" t="s">
        <v>143</v>
      </c>
      <c r="M6393" t="s">
        <v>26</v>
      </c>
      <c r="N6393" t="s">
        <v>85</v>
      </c>
      <c r="O6393" t="s">
        <v>462</v>
      </c>
      <c r="P6393" t="s">
        <v>72</v>
      </c>
      <c r="Q6393">
        <v>2</v>
      </c>
      <c r="R6393" s="2" t="s">
        <v>213</v>
      </c>
      <c r="S6393" t="s">
        <v>27</v>
      </c>
      <c r="T6393">
        <v>10</v>
      </c>
      <c r="U6393" t="s">
        <v>28</v>
      </c>
      <c r="V6393" t="s">
        <v>28</v>
      </c>
      <c r="W6393">
        <v>20</v>
      </c>
      <c r="X6393">
        <v>6.5</v>
      </c>
      <c r="Y6393">
        <v>0.7</v>
      </c>
    </row>
    <row r="6394" spans="1:25" x14ac:dyDescent="0.2">
      <c r="A6394" t="s">
        <v>736</v>
      </c>
      <c r="B6394">
        <v>2007</v>
      </c>
      <c r="C6394" t="s">
        <v>826</v>
      </c>
      <c r="D6394" t="s">
        <v>824</v>
      </c>
      <c r="E6394" t="s">
        <v>114</v>
      </c>
      <c r="F6394" t="s">
        <v>738</v>
      </c>
      <c r="G6394">
        <v>36.576466000000003</v>
      </c>
      <c r="H6394">
        <v>120.95234499999999</v>
      </c>
      <c r="I6394" t="s">
        <v>763</v>
      </c>
      <c r="J6394" s="2" t="s">
        <v>14</v>
      </c>
      <c r="K6394" t="s">
        <v>739</v>
      </c>
      <c r="L6394" t="s">
        <v>143</v>
      </c>
      <c r="M6394" t="s">
        <v>26</v>
      </c>
      <c r="N6394" t="s">
        <v>85</v>
      </c>
      <c r="O6394" t="s">
        <v>462</v>
      </c>
      <c r="P6394" t="s">
        <v>72</v>
      </c>
      <c r="Q6394">
        <v>2</v>
      </c>
      <c r="R6394" s="2" t="s">
        <v>213</v>
      </c>
      <c r="S6394" t="s">
        <v>27</v>
      </c>
      <c r="T6394">
        <v>10</v>
      </c>
      <c r="U6394" t="s">
        <v>28</v>
      </c>
      <c r="V6394" t="s">
        <v>28</v>
      </c>
      <c r="W6394">
        <v>20</v>
      </c>
      <c r="X6394">
        <v>4.2</v>
      </c>
      <c r="Y6394">
        <v>0.8</v>
      </c>
    </row>
    <row r="6395" spans="1:25" x14ac:dyDescent="0.2">
      <c r="A6395" t="s">
        <v>736</v>
      </c>
      <c r="B6395">
        <v>2007</v>
      </c>
      <c r="C6395" t="s">
        <v>826</v>
      </c>
      <c r="D6395" t="s">
        <v>824</v>
      </c>
      <c r="E6395" t="s">
        <v>114</v>
      </c>
      <c r="F6395" t="s">
        <v>738</v>
      </c>
      <c r="G6395">
        <v>36.576466000000003</v>
      </c>
      <c r="H6395">
        <v>120.95234499999999</v>
      </c>
      <c r="I6395" t="s">
        <v>763</v>
      </c>
      <c r="J6395" s="2" t="s">
        <v>14</v>
      </c>
      <c r="K6395" t="s">
        <v>739</v>
      </c>
      <c r="L6395" t="s">
        <v>143</v>
      </c>
      <c r="M6395" t="s">
        <v>26</v>
      </c>
      <c r="N6395" t="s">
        <v>85</v>
      </c>
      <c r="O6395" t="s">
        <v>462</v>
      </c>
      <c r="P6395" t="s">
        <v>72</v>
      </c>
      <c r="Q6395">
        <v>2</v>
      </c>
      <c r="R6395" s="2" t="s">
        <v>213</v>
      </c>
      <c r="S6395" t="s">
        <v>13</v>
      </c>
      <c r="T6395">
        <v>10</v>
      </c>
      <c r="U6395" t="s">
        <v>28</v>
      </c>
      <c r="V6395" t="s">
        <v>28</v>
      </c>
      <c r="W6395">
        <v>25</v>
      </c>
      <c r="X6395">
        <v>3.2</v>
      </c>
      <c r="Y6395">
        <v>1.1000000000000001</v>
      </c>
    </row>
    <row r="6396" spans="1:25" x14ac:dyDescent="0.2">
      <c r="A6396" t="s">
        <v>736</v>
      </c>
      <c r="B6396">
        <v>2007</v>
      </c>
      <c r="C6396" t="s">
        <v>826</v>
      </c>
      <c r="D6396" t="s">
        <v>824</v>
      </c>
      <c r="E6396" t="s">
        <v>114</v>
      </c>
      <c r="F6396" t="s">
        <v>737</v>
      </c>
      <c r="G6396">
        <v>26.919101999999999</v>
      </c>
      <c r="H6396">
        <v>120.225735</v>
      </c>
      <c r="I6396" t="s">
        <v>764</v>
      </c>
      <c r="J6396" s="2" t="s">
        <v>7</v>
      </c>
      <c r="K6396" t="s">
        <v>739</v>
      </c>
      <c r="L6396" t="s">
        <v>143</v>
      </c>
      <c r="M6396" t="s">
        <v>26</v>
      </c>
      <c r="N6396" t="s">
        <v>85</v>
      </c>
      <c r="O6396" t="s">
        <v>462</v>
      </c>
      <c r="P6396" t="s">
        <v>72</v>
      </c>
      <c r="Q6396">
        <v>7</v>
      </c>
      <c r="R6396" s="2" t="s">
        <v>213</v>
      </c>
      <c r="S6396" t="s">
        <v>7</v>
      </c>
      <c r="T6396">
        <v>10</v>
      </c>
      <c r="U6396" t="s">
        <v>28</v>
      </c>
      <c r="V6396" t="s">
        <v>28</v>
      </c>
      <c r="W6396">
        <v>11.5</v>
      </c>
      <c r="X6396">
        <v>5.9</v>
      </c>
      <c r="Y6396">
        <v>0.7</v>
      </c>
    </row>
    <row r="6397" spans="1:25" x14ac:dyDescent="0.2">
      <c r="A6397" t="s">
        <v>736</v>
      </c>
      <c r="B6397">
        <v>2007</v>
      </c>
      <c r="C6397" t="s">
        <v>826</v>
      </c>
      <c r="D6397" t="s">
        <v>824</v>
      </c>
      <c r="E6397" t="s">
        <v>114</v>
      </c>
      <c r="F6397" t="s">
        <v>738</v>
      </c>
      <c r="G6397">
        <v>36.576466000000003</v>
      </c>
      <c r="H6397">
        <v>120.95234499999999</v>
      </c>
      <c r="I6397" t="s">
        <v>763</v>
      </c>
      <c r="J6397" s="2" t="s">
        <v>7</v>
      </c>
      <c r="K6397" t="s">
        <v>739</v>
      </c>
      <c r="L6397" t="s">
        <v>143</v>
      </c>
      <c r="M6397" t="s">
        <v>26</v>
      </c>
      <c r="N6397" t="s">
        <v>85</v>
      </c>
      <c r="O6397" t="s">
        <v>462</v>
      </c>
      <c r="P6397" t="s">
        <v>72</v>
      </c>
      <c r="Q6397">
        <v>7</v>
      </c>
      <c r="R6397" s="2" t="s">
        <v>213</v>
      </c>
      <c r="S6397" t="s">
        <v>7</v>
      </c>
      <c r="T6397">
        <v>10</v>
      </c>
      <c r="U6397" t="s">
        <v>28</v>
      </c>
      <c r="V6397" t="s">
        <v>28</v>
      </c>
      <c r="W6397">
        <v>11.5</v>
      </c>
      <c r="X6397">
        <v>6.9</v>
      </c>
      <c r="Y6397">
        <v>0.9</v>
      </c>
    </row>
    <row r="6398" spans="1:25" x14ac:dyDescent="0.2">
      <c r="A6398" t="s">
        <v>736</v>
      </c>
      <c r="B6398">
        <v>2007</v>
      </c>
      <c r="C6398" t="s">
        <v>826</v>
      </c>
      <c r="D6398" t="s">
        <v>824</v>
      </c>
      <c r="E6398" t="s">
        <v>114</v>
      </c>
      <c r="F6398" t="s">
        <v>737</v>
      </c>
      <c r="G6398">
        <v>26.919101999999999</v>
      </c>
      <c r="H6398">
        <v>120.225735</v>
      </c>
      <c r="I6398" t="s">
        <v>764</v>
      </c>
      <c r="J6398" s="2" t="s">
        <v>14</v>
      </c>
      <c r="K6398" t="s">
        <v>739</v>
      </c>
      <c r="L6398" t="s">
        <v>143</v>
      </c>
      <c r="M6398" t="s">
        <v>26</v>
      </c>
      <c r="N6398" t="s">
        <v>85</v>
      </c>
      <c r="O6398" t="s">
        <v>462</v>
      </c>
      <c r="P6398" t="s">
        <v>72</v>
      </c>
      <c r="Q6398">
        <v>7</v>
      </c>
      <c r="R6398" s="2" t="s">
        <v>213</v>
      </c>
      <c r="S6398" t="s">
        <v>9</v>
      </c>
      <c r="T6398">
        <v>10</v>
      </c>
      <c r="U6398" t="s">
        <v>28</v>
      </c>
      <c r="V6398" t="s">
        <v>28</v>
      </c>
      <c r="W6398">
        <v>20</v>
      </c>
      <c r="X6398">
        <v>2.8</v>
      </c>
      <c r="Y6398">
        <v>0.5</v>
      </c>
    </row>
    <row r="6399" spans="1:25" x14ac:dyDescent="0.2">
      <c r="A6399" t="s">
        <v>736</v>
      </c>
      <c r="B6399">
        <v>2007</v>
      </c>
      <c r="C6399" t="s">
        <v>826</v>
      </c>
      <c r="D6399" t="s">
        <v>824</v>
      </c>
      <c r="E6399" t="s">
        <v>114</v>
      </c>
      <c r="F6399" t="s">
        <v>738</v>
      </c>
      <c r="G6399">
        <v>36.576466000000003</v>
      </c>
      <c r="H6399">
        <v>120.95234499999999</v>
      </c>
      <c r="I6399" t="s">
        <v>763</v>
      </c>
      <c r="J6399" s="2" t="s">
        <v>14</v>
      </c>
      <c r="K6399" t="s">
        <v>739</v>
      </c>
      <c r="L6399" t="s">
        <v>143</v>
      </c>
      <c r="M6399" t="s">
        <v>26</v>
      </c>
      <c r="N6399" t="s">
        <v>85</v>
      </c>
      <c r="O6399" t="s">
        <v>462</v>
      </c>
      <c r="P6399" t="s">
        <v>72</v>
      </c>
      <c r="Q6399">
        <v>7</v>
      </c>
      <c r="R6399" s="2" t="s">
        <v>213</v>
      </c>
      <c r="S6399" t="s">
        <v>9</v>
      </c>
      <c r="T6399">
        <v>10</v>
      </c>
      <c r="U6399" t="s">
        <v>28</v>
      </c>
      <c r="V6399" t="s">
        <v>28</v>
      </c>
      <c r="W6399">
        <v>20</v>
      </c>
      <c r="X6399">
        <v>3.6</v>
      </c>
      <c r="Y6399">
        <v>0.4</v>
      </c>
    </row>
    <row r="6400" spans="1:25" x14ac:dyDescent="0.2">
      <c r="A6400" t="s">
        <v>736</v>
      </c>
      <c r="B6400">
        <v>2007</v>
      </c>
      <c r="C6400" t="s">
        <v>826</v>
      </c>
      <c r="D6400" t="s">
        <v>824</v>
      </c>
      <c r="E6400" t="s">
        <v>114</v>
      </c>
      <c r="F6400" t="s">
        <v>737</v>
      </c>
      <c r="G6400">
        <v>26.919101999999999</v>
      </c>
      <c r="H6400">
        <v>120.225735</v>
      </c>
      <c r="I6400" t="s">
        <v>764</v>
      </c>
      <c r="J6400" s="2" t="s">
        <v>14</v>
      </c>
      <c r="K6400" t="s">
        <v>739</v>
      </c>
      <c r="L6400" t="s">
        <v>143</v>
      </c>
      <c r="M6400" t="s">
        <v>26</v>
      </c>
      <c r="N6400" t="s">
        <v>85</v>
      </c>
      <c r="O6400" t="s">
        <v>462</v>
      </c>
      <c r="P6400" t="s">
        <v>72</v>
      </c>
      <c r="Q6400">
        <v>7</v>
      </c>
      <c r="R6400" s="2" t="s">
        <v>213</v>
      </c>
      <c r="S6400" t="s">
        <v>27</v>
      </c>
      <c r="T6400">
        <v>10</v>
      </c>
      <c r="U6400" t="s">
        <v>28</v>
      </c>
      <c r="V6400" t="s">
        <v>28</v>
      </c>
      <c r="W6400">
        <v>22</v>
      </c>
      <c r="X6400">
        <v>2.5</v>
      </c>
      <c r="Y6400">
        <v>0.6</v>
      </c>
    </row>
    <row r="6401" spans="1:25" x14ac:dyDescent="0.2">
      <c r="A6401" t="s">
        <v>736</v>
      </c>
      <c r="B6401">
        <v>2007</v>
      </c>
      <c r="C6401" t="s">
        <v>826</v>
      </c>
      <c r="D6401" t="s">
        <v>824</v>
      </c>
      <c r="E6401" t="s">
        <v>114</v>
      </c>
      <c r="F6401" t="s">
        <v>738</v>
      </c>
      <c r="G6401">
        <v>36.576466000000003</v>
      </c>
      <c r="H6401">
        <v>120.95234499999999</v>
      </c>
      <c r="I6401" t="s">
        <v>763</v>
      </c>
      <c r="J6401" s="2" t="s">
        <v>14</v>
      </c>
      <c r="K6401" t="s">
        <v>739</v>
      </c>
      <c r="L6401" t="s">
        <v>143</v>
      </c>
      <c r="M6401" t="s">
        <v>26</v>
      </c>
      <c r="N6401" t="s">
        <v>85</v>
      </c>
      <c r="O6401" t="s">
        <v>462</v>
      </c>
      <c r="P6401" t="s">
        <v>72</v>
      </c>
      <c r="Q6401">
        <v>7</v>
      </c>
      <c r="R6401" s="2" t="s">
        <v>213</v>
      </c>
      <c r="S6401" t="s">
        <v>27</v>
      </c>
      <c r="T6401">
        <v>10</v>
      </c>
      <c r="U6401" t="s">
        <v>28</v>
      </c>
      <c r="V6401" t="s">
        <v>28</v>
      </c>
      <c r="W6401">
        <v>22</v>
      </c>
      <c r="X6401">
        <v>3</v>
      </c>
      <c r="Y6401">
        <v>0.3</v>
      </c>
    </row>
    <row r="6402" spans="1:25" x14ac:dyDescent="0.2">
      <c r="A6402" t="s">
        <v>736</v>
      </c>
      <c r="B6402">
        <v>2007</v>
      </c>
      <c r="C6402" t="s">
        <v>826</v>
      </c>
      <c r="D6402" t="s">
        <v>824</v>
      </c>
      <c r="E6402" t="s">
        <v>114</v>
      </c>
      <c r="F6402" t="s">
        <v>737</v>
      </c>
      <c r="G6402">
        <v>26.919101999999999</v>
      </c>
      <c r="H6402">
        <v>120.225735</v>
      </c>
      <c r="I6402" t="s">
        <v>764</v>
      </c>
      <c r="J6402" s="2" t="s">
        <v>14</v>
      </c>
      <c r="K6402" t="s">
        <v>739</v>
      </c>
      <c r="L6402" t="s">
        <v>143</v>
      </c>
      <c r="M6402" t="s">
        <v>26</v>
      </c>
      <c r="N6402" t="s">
        <v>85</v>
      </c>
      <c r="O6402" t="s">
        <v>462</v>
      </c>
      <c r="P6402" t="s">
        <v>72</v>
      </c>
      <c r="Q6402">
        <v>7</v>
      </c>
      <c r="R6402" s="2" t="s">
        <v>213</v>
      </c>
      <c r="S6402" t="s">
        <v>13</v>
      </c>
      <c r="T6402">
        <v>10</v>
      </c>
      <c r="U6402" t="s">
        <v>28</v>
      </c>
      <c r="V6402" t="s">
        <v>28</v>
      </c>
      <c r="W6402">
        <v>24</v>
      </c>
      <c r="X6402">
        <v>1.5</v>
      </c>
      <c r="Y6402">
        <v>0.4</v>
      </c>
    </row>
    <row r="6403" spans="1:25" x14ac:dyDescent="0.2">
      <c r="A6403" t="s">
        <v>736</v>
      </c>
      <c r="B6403">
        <v>2007</v>
      </c>
      <c r="C6403" t="s">
        <v>826</v>
      </c>
      <c r="D6403" t="s">
        <v>824</v>
      </c>
      <c r="E6403" t="s">
        <v>114</v>
      </c>
      <c r="F6403" t="s">
        <v>738</v>
      </c>
      <c r="G6403">
        <v>36.576466000000003</v>
      </c>
      <c r="H6403">
        <v>120.95234499999999</v>
      </c>
      <c r="I6403" t="s">
        <v>763</v>
      </c>
      <c r="J6403" s="2" t="s">
        <v>14</v>
      </c>
      <c r="K6403" t="s">
        <v>739</v>
      </c>
      <c r="L6403" t="s">
        <v>143</v>
      </c>
      <c r="M6403" t="s">
        <v>26</v>
      </c>
      <c r="N6403" t="s">
        <v>85</v>
      </c>
      <c r="O6403" t="s">
        <v>462</v>
      </c>
      <c r="P6403" t="s">
        <v>72</v>
      </c>
      <c r="Q6403">
        <v>7</v>
      </c>
      <c r="R6403" s="2" t="s">
        <v>213</v>
      </c>
      <c r="S6403" t="s">
        <v>13</v>
      </c>
      <c r="T6403">
        <v>10</v>
      </c>
      <c r="U6403" t="s">
        <v>28</v>
      </c>
      <c r="V6403" t="s">
        <v>28</v>
      </c>
      <c r="W6403">
        <v>24</v>
      </c>
      <c r="X6403">
        <v>1.7</v>
      </c>
      <c r="Y6403">
        <v>0.3</v>
      </c>
    </row>
    <row r="6404" spans="1:25" x14ac:dyDescent="0.2">
      <c r="A6404" t="s">
        <v>736</v>
      </c>
      <c r="B6404">
        <v>2007</v>
      </c>
      <c r="C6404" t="s">
        <v>826</v>
      </c>
      <c r="D6404" t="s">
        <v>824</v>
      </c>
      <c r="E6404" t="s">
        <v>114</v>
      </c>
      <c r="F6404" t="s">
        <v>737</v>
      </c>
      <c r="G6404">
        <v>26.919101999999999</v>
      </c>
      <c r="H6404">
        <v>120.225735</v>
      </c>
      <c r="I6404" t="s">
        <v>764</v>
      </c>
      <c r="J6404" s="2" t="s">
        <v>7</v>
      </c>
      <c r="K6404" t="s">
        <v>739</v>
      </c>
      <c r="L6404" t="s">
        <v>143</v>
      </c>
      <c r="M6404" t="s">
        <v>726</v>
      </c>
      <c r="N6404" t="s">
        <v>85</v>
      </c>
      <c r="O6404" t="s">
        <v>84</v>
      </c>
      <c r="Q6404">
        <v>2.24E-2</v>
      </c>
      <c r="R6404" s="2" t="s">
        <v>214</v>
      </c>
      <c r="S6404" t="s">
        <v>7</v>
      </c>
      <c r="T6404">
        <v>3</v>
      </c>
      <c r="U6404" t="s">
        <v>28</v>
      </c>
      <c r="V6404" t="s">
        <v>28</v>
      </c>
      <c r="W6404">
        <v>11.5</v>
      </c>
      <c r="X6404">
        <v>0.66569999999999996</v>
      </c>
      <c r="Y6404">
        <f>0.6775-X6404</f>
        <v>1.1800000000000033E-2</v>
      </c>
    </row>
    <row r="6405" spans="1:25" x14ac:dyDescent="0.2">
      <c r="A6405" t="s">
        <v>736</v>
      </c>
      <c r="B6405">
        <v>2007</v>
      </c>
      <c r="C6405" t="s">
        <v>826</v>
      </c>
      <c r="D6405" t="s">
        <v>824</v>
      </c>
      <c r="E6405" t="s">
        <v>114</v>
      </c>
      <c r="F6405" t="s">
        <v>737</v>
      </c>
      <c r="G6405">
        <v>26.919101999999999</v>
      </c>
      <c r="H6405">
        <v>120.225735</v>
      </c>
      <c r="I6405" t="s">
        <v>764</v>
      </c>
      <c r="J6405" s="2" t="s">
        <v>7</v>
      </c>
      <c r="K6405" t="s">
        <v>739</v>
      </c>
      <c r="L6405" t="s">
        <v>143</v>
      </c>
      <c r="M6405" t="s">
        <v>726</v>
      </c>
      <c r="N6405" t="s">
        <v>85</v>
      </c>
      <c r="O6405" t="s">
        <v>84</v>
      </c>
      <c r="Q6405">
        <v>0.18559999999999999</v>
      </c>
      <c r="R6405" s="2" t="s">
        <v>214</v>
      </c>
      <c r="S6405" t="s">
        <v>7</v>
      </c>
      <c r="T6405">
        <v>3</v>
      </c>
      <c r="U6405" t="s">
        <v>28</v>
      </c>
      <c r="V6405" t="s">
        <v>28</v>
      </c>
      <c r="W6405">
        <v>11.5</v>
      </c>
      <c r="X6405">
        <v>0.66379999999999995</v>
      </c>
      <c r="Y6405">
        <f>0.6802-X6405</f>
        <v>1.6400000000000081E-2</v>
      </c>
    </row>
    <row r="6406" spans="1:25" x14ac:dyDescent="0.2">
      <c r="A6406" t="s">
        <v>736</v>
      </c>
      <c r="B6406">
        <v>2007</v>
      </c>
      <c r="C6406" t="s">
        <v>826</v>
      </c>
      <c r="D6406" t="s">
        <v>824</v>
      </c>
      <c r="E6406" t="s">
        <v>114</v>
      </c>
      <c r="F6406" t="s">
        <v>737</v>
      </c>
      <c r="G6406">
        <v>26.919101999999999</v>
      </c>
      <c r="H6406">
        <v>120.225735</v>
      </c>
      <c r="I6406" t="s">
        <v>764</v>
      </c>
      <c r="J6406" s="2" t="s">
        <v>7</v>
      </c>
      <c r="K6406" t="s">
        <v>739</v>
      </c>
      <c r="L6406" t="s">
        <v>143</v>
      </c>
      <c r="M6406" t="s">
        <v>726</v>
      </c>
      <c r="N6406" t="s">
        <v>85</v>
      </c>
      <c r="O6406" t="s">
        <v>84</v>
      </c>
      <c r="Q6406">
        <v>0.97560000000000002</v>
      </c>
      <c r="R6406" s="2" t="s">
        <v>214</v>
      </c>
      <c r="S6406" t="s">
        <v>7</v>
      </c>
      <c r="T6406">
        <v>3</v>
      </c>
      <c r="U6406" t="s">
        <v>28</v>
      </c>
      <c r="V6406" t="s">
        <v>28</v>
      </c>
      <c r="W6406">
        <v>11.5</v>
      </c>
      <c r="X6406">
        <v>0.64480000000000004</v>
      </c>
      <c r="Y6406">
        <f>0.6602-X6406</f>
        <v>1.5399999999999969E-2</v>
      </c>
    </row>
    <row r="6407" spans="1:25" x14ac:dyDescent="0.2">
      <c r="A6407" t="s">
        <v>736</v>
      </c>
      <c r="B6407">
        <v>2007</v>
      </c>
      <c r="C6407" t="s">
        <v>826</v>
      </c>
      <c r="D6407" t="s">
        <v>824</v>
      </c>
      <c r="E6407" t="s">
        <v>114</v>
      </c>
      <c r="F6407" t="s">
        <v>737</v>
      </c>
      <c r="G6407">
        <v>26.919101999999999</v>
      </c>
      <c r="H6407">
        <v>120.225735</v>
      </c>
      <c r="I6407" t="s">
        <v>764</v>
      </c>
      <c r="J6407" s="2" t="s">
        <v>7</v>
      </c>
      <c r="K6407" t="s">
        <v>739</v>
      </c>
      <c r="L6407" t="s">
        <v>143</v>
      </c>
      <c r="M6407" t="s">
        <v>726</v>
      </c>
      <c r="N6407" t="s">
        <v>85</v>
      </c>
      <c r="O6407" t="s">
        <v>84</v>
      </c>
      <c r="Q6407">
        <v>1.3519000000000001</v>
      </c>
      <c r="R6407" s="2" t="s">
        <v>214</v>
      </c>
      <c r="S6407" t="s">
        <v>7</v>
      </c>
      <c r="T6407">
        <v>3</v>
      </c>
      <c r="U6407" t="s">
        <v>28</v>
      </c>
      <c r="V6407" t="s">
        <v>28</v>
      </c>
      <c r="W6407">
        <v>11.5</v>
      </c>
      <c r="X6407">
        <v>0.71099999999999997</v>
      </c>
      <c r="Y6407">
        <f>0.7292-X6407</f>
        <v>1.8199999999999994E-2</v>
      </c>
    </row>
    <row r="6408" spans="1:25" x14ac:dyDescent="0.2">
      <c r="A6408" t="s">
        <v>736</v>
      </c>
      <c r="B6408">
        <v>2007</v>
      </c>
      <c r="C6408" t="s">
        <v>826</v>
      </c>
      <c r="D6408" t="s">
        <v>824</v>
      </c>
      <c r="E6408" t="s">
        <v>114</v>
      </c>
      <c r="F6408" t="s">
        <v>737</v>
      </c>
      <c r="G6408">
        <v>26.919101999999999</v>
      </c>
      <c r="H6408">
        <v>120.225735</v>
      </c>
      <c r="I6408" t="s">
        <v>764</v>
      </c>
      <c r="J6408" s="2" t="s">
        <v>7</v>
      </c>
      <c r="K6408" t="s">
        <v>739</v>
      </c>
      <c r="L6408" t="s">
        <v>143</v>
      </c>
      <c r="M6408" t="s">
        <v>726</v>
      </c>
      <c r="N6408" t="s">
        <v>85</v>
      </c>
      <c r="O6408" t="s">
        <v>84</v>
      </c>
      <c r="Q6408">
        <v>1.9756</v>
      </c>
      <c r="R6408" s="2" t="s">
        <v>213</v>
      </c>
      <c r="S6408" t="s">
        <v>7</v>
      </c>
      <c r="T6408">
        <v>3</v>
      </c>
      <c r="U6408" t="s">
        <v>28</v>
      </c>
      <c r="V6408" t="s">
        <v>28</v>
      </c>
      <c r="W6408">
        <v>11.5</v>
      </c>
      <c r="X6408">
        <v>0.65300000000000002</v>
      </c>
      <c r="Y6408">
        <f>0.6893-X6408</f>
        <v>3.6299999999999999E-2</v>
      </c>
    </row>
    <row r="6409" spans="1:25" x14ac:dyDescent="0.2">
      <c r="A6409" t="s">
        <v>736</v>
      </c>
      <c r="B6409">
        <v>2007</v>
      </c>
      <c r="C6409" t="s">
        <v>826</v>
      </c>
      <c r="D6409" t="s">
        <v>824</v>
      </c>
      <c r="E6409" t="s">
        <v>114</v>
      </c>
      <c r="F6409" t="s">
        <v>737</v>
      </c>
      <c r="G6409">
        <v>26.919101999999999</v>
      </c>
      <c r="H6409">
        <v>120.225735</v>
      </c>
      <c r="I6409" t="s">
        <v>764</v>
      </c>
      <c r="J6409" s="2" t="s">
        <v>14</v>
      </c>
      <c r="K6409" t="s">
        <v>739</v>
      </c>
      <c r="L6409" t="s">
        <v>143</v>
      </c>
      <c r="M6409" t="s">
        <v>726</v>
      </c>
      <c r="N6409" t="s">
        <v>85</v>
      </c>
      <c r="O6409" t="s">
        <v>84</v>
      </c>
      <c r="Q6409">
        <v>1.9199999999999998E-2</v>
      </c>
      <c r="R6409" s="2" t="s">
        <v>214</v>
      </c>
      <c r="S6409" t="s">
        <v>9</v>
      </c>
      <c r="T6409">
        <v>3</v>
      </c>
      <c r="U6409" t="s">
        <v>28</v>
      </c>
      <c r="V6409" t="s">
        <v>28</v>
      </c>
      <c r="W6409">
        <v>15</v>
      </c>
      <c r="X6409">
        <v>0.67659999999999998</v>
      </c>
      <c r="Y6409">
        <f>0.6911-X6409</f>
        <v>1.4500000000000068E-2</v>
      </c>
    </row>
    <row r="6410" spans="1:25" x14ac:dyDescent="0.2">
      <c r="A6410" t="s">
        <v>736</v>
      </c>
      <c r="B6410">
        <v>2007</v>
      </c>
      <c r="C6410" t="s">
        <v>826</v>
      </c>
      <c r="D6410" t="s">
        <v>824</v>
      </c>
      <c r="E6410" t="s">
        <v>114</v>
      </c>
      <c r="F6410" t="s">
        <v>737</v>
      </c>
      <c r="G6410">
        <v>26.919101999999999</v>
      </c>
      <c r="H6410">
        <v>120.225735</v>
      </c>
      <c r="I6410" t="s">
        <v>764</v>
      </c>
      <c r="J6410" s="2" t="s">
        <v>14</v>
      </c>
      <c r="K6410" t="s">
        <v>739</v>
      </c>
      <c r="L6410" t="s">
        <v>143</v>
      </c>
      <c r="M6410" t="s">
        <v>726</v>
      </c>
      <c r="N6410" t="s">
        <v>85</v>
      </c>
      <c r="O6410" t="s">
        <v>84</v>
      </c>
      <c r="Q6410">
        <v>0.1855</v>
      </c>
      <c r="R6410" s="2" t="s">
        <v>214</v>
      </c>
      <c r="S6410" t="s">
        <v>9</v>
      </c>
      <c r="T6410">
        <v>3</v>
      </c>
      <c r="U6410" t="s">
        <v>28</v>
      </c>
      <c r="V6410" t="s">
        <v>28</v>
      </c>
      <c r="W6410">
        <v>15</v>
      </c>
      <c r="X6410">
        <v>0.69650000000000001</v>
      </c>
      <c r="Y6410">
        <f>0.7147-X6410</f>
        <v>1.8199999999999994E-2</v>
      </c>
    </row>
    <row r="6411" spans="1:25" x14ac:dyDescent="0.2">
      <c r="A6411" t="s">
        <v>736</v>
      </c>
      <c r="B6411">
        <v>2007</v>
      </c>
      <c r="C6411" t="s">
        <v>826</v>
      </c>
      <c r="D6411" t="s">
        <v>824</v>
      </c>
      <c r="E6411" t="s">
        <v>114</v>
      </c>
      <c r="F6411" t="s">
        <v>737</v>
      </c>
      <c r="G6411">
        <v>26.919101999999999</v>
      </c>
      <c r="H6411">
        <v>120.225735</v>
      </c>
      <c r="I6411" t="s">
        <v>764</v>
      </c>
      <c r="J6411" s="2" t="s">
        <v>14</v>
      </c>
      <c r="K6411" t="s">
        <v>739</v>
      </c>
      <c r="L6411" t="s">
        <v>143</v>
      </c>
      <c r="M6411" t="s">
        <v>726</v>
      </c>
      <c r="N6411" t="s">
        <v>85</v>
      </c>
      <c r="O6411" t="s">
        <v>84</v>
      </c>
      <c r="Q6411">
        <v>0.97729999999999995</v>
      </c>
      <c r="R6411" s="2" t="s">
        <v>214</v>
      </c>
      <c r="S6411" t="s">
        <v>9</v>
      </c>
      <c r="T6411">
        <v>3</v>
      </c>
      <c r="U6411" t="s">
        <v>28</v>
      </c>
      <c r="V6411" t="s">
        <v>28</v>
      </c>
      <c r="W6411">
        <v>15</v>
      </c>
      <c r="X6411">
        <v>0.63119999999999998</v>
      </c>
      <c r="Y6411">
        <f>X6411-0.5876</f>
        <v>4.3599999999999972E-2</v>
      </c>
    </row>
    <row r="6412" spans="1:25" x14ac:dyDescent="0.2">
      <c r="A6412" t="s">
        <v>736</v>
      </c>
      <c r="B6412">
        <v>2007</v>
      </c>
      <c r="C6412" t="s">
        <v>826</v>
      </c>
      <c r="D6412" t="s">
        <v>824</v>
      </c>
      <c r="E6412" t="s">
        <v>114</v>
      </c>
      <c r="F6412" t="s">
        <v>737</v>
      </c>
      <c r="G6412">
        <v>26.919101999999999</v>
      </c>
      <c r="H6412">
        <v>120.225735</v>
      </c>
      <c r="I6412" t="s">
        <v>764</v>
      </c>
      <c r="J6412" s="2" t="s">
        <v>14</v>
      </c>
      <c r="K6412" t="s">
        <v>739</v>
      </c>
      <c r="L6412" t="s">
        <v>143</v>
      </c>
      <c r="M6412" t="s">
        <v>726</v>
      </c>
      <c r="N6412" t="s">
        <v>85</v>
      </c>
      <c r="O6412" t="s">
        <v>84</v>
      </c>
      <c r="Q6412">
        <v>1.3519000000000001</v>
      </c>
      <c r="R6412" s="2" t="s">
        <v>214</v>
      </c>
      <c r="S6412" t="s">
        <v>9</v>
      </c>
      <c r="T6412">
        <v>3</v>
      </c>
      <c r="U6412" t="s">
        <v>28</v>
      </c>
      <c r="V6412" t="s">
        <v>28</v>
      </c>
      <c r="W6412">
        <v>15</v>
      </c>
      <c r="X6412">
        <v>0.68559999999999999</v>
      </c>
      <c r="Y6412">
        <f>0.7011-X6412</f>
        <v>1.5499999999999958E-2</v>
      </c>
    </row>
    <row r="6413" spans="1:25" x14ac:dyDescent="0.2">
      <c r="A6413" t="s">
        <v>736</v>
      </c>
      <c r="B6413">
        <v>2007</v>
      </c>
      <c r="C6413" t="s">
        <v>826</v>
      </c>
      <c r="D6413" t="s">
        <v>824</v>
      </c>
      <c r="E6413" t="s">
        <v>114</v>
      </c>
      <c r="F6413" t="s">
        <v>737</v>
      </c>
      <c r="G6413">
        <v>26.919101999999999</v>
      </c>
      <c r="H6413">
        <v>120.225735</v>
      </c>
      <c r="I6413" t="s">
        <v>764</v>
      </c>
      <c r="J6413" s="2" t="s">
        <v>14</v>
      </c>
      <c r="K6413" t="s">
        <v>739</v>
      </c>
      <c r="L6413" t="s">
        <v>143</v>
      </c>
      <c r="M6413" t="s">
        <v>726</v>
      </c>
      <c r="N6413" t="s">
        <v>85</v>
      </c>
      <c r="O6413" t="s">
        <v>84</v>
      </c>
      <c r="Q6413">
        <v>1.9759</v>
      </c>
      <c r="R6413" s="2" t="s">
        <v>213</v>
      </c>
      <c r="S6413" t="s">
        <v>9</v>
      </c>
      <c r="T6413">
        <v>3</v>
      </c>
      <c r="U6413" t="s">
        <v>28</v>
      </c>
      <c r="V6413" t="s">
        <v>28</v>
      </c>
      <c r="W6413">
        <v>15</v>
      </c>
      <c r="X6413">
        <v>0.55130000000000001</v>
      </c>
      <c r="Y6413">
        <f>0.5858-X6413</f>
        <v>3.4499999999999975E-2</v>
      </c>
    </row>
    <row r="6414" spans="1:25" x14ac:dyDescent="0.2">
      <c r="A6414" t="s">
        <v>736</v>
      </c>
      <c r="B6414">
        <v>2007</v>
      </c>
      <c r="C6414" t="s">
        <v>826</v>
      </c>
      <c r="D6414" t="s">
        <v>824</v>
      </c>
      <c r="E6414" t="s">
        <v>114</v>
      </c>
      <c r="F6414" t="s">
        <v>737</v>
      </c>
      <c r="G6414">
        <v>26.919101999999999</v>
      </c>
      <c r="H6414">
        <v>120.225735</v>
      </c>
      <c r="I6414" t="s">
        <v>764</v>
      </c>
      <c r="J6414" s="2" t="s">
        <v>14</v>
      </c>
      <c r="K6414" t="s">
        <v>739</v>
      </c>
      <c r="L6414" t="s">
        <v>143</v>
      </c>
      <c r="M6414" t="s">
        <v>726</v>
      </c>
      <c r="N6414" t="s">
        <v>85</v>
      </c>
      <c r="O6414" t="s">
        <v>84</v>
      </c>
      <c r="Q6414">
        <v>2.0899999999999998E-2</v>
      </c>
      <c r="R6414" s="2" t="s">
        <v>214</v>
      </c>
      <c r="S6414" t="s">
        <v>27</v>
      </c>
      <c r="T6414">
        <v>3</v>
      </c>
      <c r="U6414" t="s">
        <v>28</v>
      </c>
      <c r="V6414" t="s">
        <v>28</v>
      </c>
      <c r="W6414">
        <v>20</v>
      </c>
      <c r="X6414">
        <v>0.63749999999999996</v>
      </c>
      <c r="Y6414">
        <f>0.6475-X6414</f>
        <v>1.0000000000000009E-2</v>
      </c>
    </row>
    <row r="6415" spans="1:25" x14ac:dyDescent="0.2">
      <c r="A6415" t="s">
        <v>736</v>
      </c>
      <c r="B6415">
        <v>2007</v>
      </c>
      <c r="C6415" t="s">
        <v>826</v>
      </c>
      <c r="D6415" t="s">
        <v>824</v>
      </c>
      <c r="E6415" t="s">
        <v>114</v>
      </c>
      <c r="F6415" t="s">
        <v>737</v>
      </c>
      <c r="G6415">
        <v>26.919101999999999</v>
      </c>
      <c r="H6415">
        <v>120.225735</v>
      </c>
      <c r="I6415" t="s">
        <v>764</v>
      </c>
      <c r="J6415" s="2" t="s">
        <v>14</v>
      </c>
      <c r="K6415" t="s">
        <v>739</v>
      </c>
      <c r="L6415" t="s">
        <v>143</v>
      </c>
      <c r="M6415" t="s">
        <v>726</v>
      </c>
      <c r="N6415" t="s">
        <v>85</v>
      </c>
      <c r="O6415" t="s">
        <v>84</v>
      </c>
      <c r="Q6415">
        <v>0.18559999999999999</v>
      </c>
      <c r="R6415" s="2" t="s">
        <v>214</v>
      </c>
      <c r="S6415" t="s">
        <v>27</v>
      </c>
      <c r="T6415">
        <v>3</v>
      </c>
      <c r="U6415" t="s">
        <v>28</v>
      </c>
      <c r="V6415" t="s">
        <v>28</v>
      </c>
      <c r="W6415">
        <v>20</v>
      </c>
      <c r="X6415">
        <v>0.66290000000000004</v>
      </c>
      <c r="Y6415">
        <f>0.6775-X6415</f>
        <v>1.4599999999999946E-2</v>
      </c>
    </row>
    <row r="6416" spans="1:25" x14ac:dyDescent="0.2">
      <c r="A6416" t="s">
        <v>736</v>
      </c>
      <c r="B6416">
        <v>2007</v>
      </c>
      <c r="C6416" t="s">
        <v>826</v>
      </c>
      <c r="D6416" t="s">
        <v>824</v>
      </c>
      <c r="E6416" t="s">
        <v>114</v>
      </c>
      <c r="F6416" t="s">
        <v>737</v>
      </c>
      <c r="G6416">
        <v>26.919101999999999</v>
      </c>
      <c r="H6416">
        <v>120.225735</v>
      </c>
      <c r="I6416" t="s">
        <v>764</v>
      </c>
      <c r="J6416" s="2" t="s">
        <v>14</v>
      </c>
      <c r="K6416" t="s">
        <v>739</v>
      </c>
      <c r="L6416" t="s">
        <v>143</v>
      </c>
      <c r="M6416" t="s">
        <v>726</v>
      </c>
      <c r="N6416" t="s">
        <v>85</v>
      </c>
      <c r="O6416" t="s">
        <v>84</v>
      </c>
      <c r="Q6416">
        <v>0.97719999999999996</v>
      </c>
      <c r="R6416" s="2" t="s">
        <v>214</v>
      </c>
      <c r="S6416" t="s">
        <v>27</v>
      </c>
      <c r="T6416">
        <v>3</v>
      </c>
      <c r="U6416" t="s">
        <v>28</v>
      </c>
      <c r="V6416" t="s">
        <v>28</v>
      </c>
      <c r="W6416">
        <v>20</v>
      </c>
      <c r="X6416">
        <v>0.66479999999999995</v>
      </c>
      <c r="Y6416">
        <f>0.6965-X6416</f>
        <v>3.1700000000000061E-2</v>
      </c>
    </row>
    <row r="6417" spans="1:25" x14ac:dyDescent="0.2">
      <c r="A6417" t="s">
        <v>736</v>
      </c>
      <c r="B6417">
        <v>2007</v>
      </c>
      <c r="C6417" t="s">
        <v>826</v>
      </c>
      <c r="D6417" t="s">
        <v>824</v>
      </c>
      <c r="E6417" t="s">
        <v>114</v>
      </c>
      <c r="F6417" t="s">
        <v>737</v>
      </c>
      <c r="G6417">
        <v>26.919101999999999</v>
      </c>
      <c r="H6417">
        <v>120.225735</v>
      </c>
      <c r="I6417" t="s">
        <v>764</v>
      </c>
      <c r="J6417" s="2" t="s">
        <v>14</v>
      </c>
      <c r="K6417" t="s">
        <v>739</v>
      </c>
      <c r="L6417" t="s">
        <v>143</v>
      </c>
      <c r="M6417" t="s">
        <v>726</v>
      </c>
      <c r="N6417" t="s">
        <v>85</v>
      </c>
      <c r="O6417" t="s">
        <v>84</v>
      </c>
      <c r="Q6417">
        <v>1.3504</v>
      </c>
      <c r="R6417" s="2" t="s">
        <v>214</v>
      </c>
      <c r="S6417" t="s">
        <v>27</v>
      </c>
      <c r="T6417">
        <v>3</v>
      </c>
      <c r="U6417" t="s">
        <v>28</v>
      </c>
      <c r="V6417" t="s">
        <v>28</v>
      </c>
      <c r="W6417">
        <v>20</v>
      </c>
      <c r="X6417">
        <v>0.66659999999999997</v>
      </c>
      <c r="Y6417">
        <f>X6417-0.6557</f>
        <v>1.0900000000000021E-2</v>
      </c>
    </row>
    <row r="6418" spans="1:25" x14ac:dyDescent="0.2">
      <c r="A6418" t="s">
        <v>736</v>
      </c>
      <c r="B6418">
        <v>2007</v>
      </c>
      <c r="C6418" t="s">
        <v>826</v>
      </c>
      <c r="D6418" t="s">
        <v>824</v>
      </c>
      <c r="E6418" t="s">
        <v>114</v>
      </c>
      <c r="F6418" t="s">
        <v>737</v>
      </c>
      <c r="G6418">
        <v>26.919101999999999</v>
      </c>
      <c r="H6418">
        <v>120.225735</v>
      </c>
      <c r="I6418" t="s">
        <v>764</v>
      </c>
      <c r="J6418" s="2" t="s">
        <v>14</v>
      </c>
      <c r="K6418" t="s">
        <v>739</v>
      </c>
      <c r="L6418" t="s">
        <v>143</v>
      </c>
      <c r="M6418" t="s">
        <v>726</v>
      </c>
      <c r="N6418" t="s">
        <v>85</v>
      </c>
      <c r="O6418" t="s">
        <v>84</v>
      </c>
      <c r="Q6418">
        <v>1.9761</v>
      </c>
      <c r="R6418" s="2" t="s">
        <v>213</v>
      </c>
      <c r="S6418" t="s">
        <v>27</v>
      </c>
      <c r="T6418">
        <v>3</v>
      </c>
      <c r="U6418" t="s">
        <v>28</v>
      </c>
      <c r="V6418" t="s">
        <v>28</v>
      </c>
      <c r="W6418">
        <v>20</v>
      </c>
      <c r="X6418">
        <v>0.46600000000000003</v>
      </c>
      <c r="Y6418">
        <f>X6418-0.3561</f>
        <v>0.1099</v>
      </c>
    </row>
    <row r="6419" spans="1:25" x14ac:dyDescent="0.2">
      <c r="A6419" t="s">
        <v>736</v>
      </c>
      <c r="B6419">
        <v>2007</v>
      </c>
      <c r="C6419" t="s">
        <v>826</v>
      </c>
      <c r="D6419" t="s">
        <v>824</v>
      </c>
      <c r="E6419" t="s">
        <v>114</v>
      </c>
      <c r="F6419" t="s">
        <v>737</v>
      </c>
      <c r="G6419">
        <v>26.919101999999999</v>
      </c>
      <c r="H6419">
        <v>120.225735</v>
      </c>
      <c r="I6419" t="s">
        <v>764</v>
      </c>
      <c r="J6419" s="2" t="s">
        <v>14</v>
      </c>
      <c r="K6419" t="s">
        <v>739</v>
      </c>
      <c r="L6419" t="s">
        <v>143</v>
      </c>
      <c r="M6419" t="s">
        <v>726</v>
      </c>
      <c r="N6419" t="s">
        <v>85</v>
      </c>
      <c r="O6419" t="s">
        <v>84</v>
      </c>
      <c r="Q6419">
        <v>1.9400000000000001E-2</v>
      </c>
      <c r="R6419" s="2" t="s">
        <v>214</v>
      </c>
      <c r="S6419" t="s">
        <v>13</v>
      </c>
      <c r="T6419">
        <v>3</v>
      </c>
      <c r="U6419" t="s">
        <v>28</v>
      </c>
      <c r="V6419" t="s">
        <v>28</v>
      </c>
      <c r="W6419">
        <v>25</v>
      </c>
      <c r="X6419">
        <v>0.60850000000000004</v>
      </c>
      <c r="Y6419">
        <f>X6419-0.5949</f>
        <v>1.3600000000000056E-2</v>
      </c>
    </row>
    <row r="6420" spans="1:25" x14ac:dyDescent="0.2">
      <c r="A6420" t="s">
        <v>736</v>
      </c>
      <c r="B6420">
        <v>2007</v>
      </c>
      <c r="C6420" t="s">
        <v>826</v>
      </c>
      <c r="D6420" t="s">
        <v>824</v>
      </c>
      <c r="E6420" t="s">
        <v>114</v>
      </c>
      <c r="F6420" t="s">
        <v>737</v>
      </c>
      <c r="G6420">
        <v>26.919101999999999</v>
      </c>
      <c r="H6420">
        <v>120.225735</v>
      </c>
      <c r="I6420" t="s">
        <v>764</v>
      </c>
      <c r="J6420" s="2" t="s">
        <v>14</v>
      </c>
      <c r="K6420" t="s">
        <v>739</v>
      </c>
      <c r="L6420" t="s">
        <v>143</v>
      </c>
      <c r="M6420" t="s">
        <v>726</v>
      </c>
      <c r="N6420" t="s">
        <v>85</v>
      </c>
      <c r="O6420" t="s">
        <v>84</v>
      </c>
      <c r="Q6420">
        <v>0.18579999999999999</v>
      </c>
      <c r="R6420" s="2" t="s">
        <v>214</v>
      </c>
      <c r="S6420" t="s">
        <v>13</v>
      </c>
      <c r="T6420">
        <v>3</v>
      </c>
      <c r="U6420" t="s">
        <v>28</v>
      </c>
      <c r="V6420" t="s">
        <v>28</v>
      </c>
      <c r="W6420">
        <v>25</v>
      </c>
      <c r="X6420">
        <v>0.58940000000000003</v>
      </c>
      <c r="Y6420">
        <f>X6420-0.5676</f>
        <v>2.1800000000000042E-2</v>
      </c>
    </row>
    <row r="6421" spans="1:25" x14ac:dyDescent="0.2">
      <c r="A6421" t="s">
        <v>736</v>
      </c>
      <c r="B6421">
        <v>2007</v>
      </c>
      <c r="C6421" t="s">
        <v>826</v>
      </c>
      <c r="D6421" t="s">
        <v>824</v>
      </c>
      <c r="E6421" t="s">
        <v>114</v>
      </c>
      <c r="F6421" t="s">
        <v>737</v>
      </c>
      <c r="G6421">
        <v>26.919101999999999</v>
      </c>
      <c r="H6421">
        <v>120.225735</v>
      </c>
      <c r="I6421" t="s">
        <v>764</v>
      </c>
      <c r="J6421" s="2" t="s">
        <v>14</v>
      </c>
      <c r="K6421" t="s">
        <v>739</v>
      </c>
      <c r="L6421" t="s">
        <v>143</v>
      </c>
      <c r="M6421" t="s">
        <v>726</v>
      </c>
      <c r="N6421" t="s">
        <v>85</v>
      </c>
      <c r="O6421" t="s">
        <v>84</v>
      </c>
      <c r="Q6421">
        <v>0.97750000000000004</v>
      </c>
      <c r="R6421" s="2" t="s">
        <v>214</v>
      </c>
      <c r="S6421" t="s">
        <v>13</v>
      </c>
      <c r="T6421">
        <v>3</v>
      </c>
      <c r="U6421" t="s">
        <v>28</v>
      </c>
      <c r="V6421" t="s">
        <v>28</v>
      </c>
      <c r="W6421">
        <v>25</v>
      </c>
      <c r="X6421">
        <v>0.54769999999999996</v>
      </c>
      <c r="Y6421">
        <f>X6421-0.5168</f>
        <v>3.0899999999999928E-2</v>
      </c>
    </row>
    <row r="6422" spans="1:25" x14ac:dyDescent="0.2">
      <c r="A6422" t="s">
        <v>736</v>
      </c>
      <c r="B6422">
        <v>2007</v>
      </c>
      <c r="C6422" t="s">
        <v>826</v>
      </c>
      <c r="D6422" t="s">
        <v>824</v>
      </c>
      <c r="E6422" t="s">
        <v>114</v>
      </c>
      <c r="F6422" t="s">
        <v>737</v>
      </c>
      <c r="G6422">
        <v>26.919101999999999</v>
      </c>
      <c r="H6422">
        <v>120.225735</v>
      </c>
      <c r="I6422" t="s">
        <v>764</v>
      </c>
      <c r="J6422" s="2" t="s">
        <v>14</v>
      </c>
      <c r="K6422" t="s">
        <v>739</v>
      </c>
      <c r="L6422" t="s">
        <v>143</v>
      </c>
      <c r="M6422" t="s">
        <v>726</v>
      </c>
      <c r="N6422" t="s">
        <v>85</v>
      </c>
      <c r="O6422" t="s">
        <v>84</v>
      </c>
      <c r="Q6422">
        <v>1.3505</v>
      </c>
      <c r="R6422" s="2" t="s">
        <v>214</v>
      </c>
      <c r="S6422" t="s">
        <v>13</v>
      </c>
      <c r="T6422">
        <v>3</v>
      </c>
      <c r="U6422" t="s">
        <v>28</v>
      </c>
      <c r="V6422" t="s">
        <v>28</v>
      </c>
      <c r="W6422">
        <v>25</v>
      </c>
      <c r="X6422">
        <v>0.61570000000000003</v>
      </c>
      <c r="Y6422">
        <f>X6422-0.603</f>
        <v>1.2700000000000045E-2</v>
      </c>
    </row>
    <row r="6423" spans="1:25" x14ac:dyDescent="0.2">
      <c r="A6423" t="s">
        <v>736</v>
      </c>
      <c r="B6423">
        <v>2007</v>
      </c>
      <c r="C6423" t="s">
        <v>826</v>
      </c>
      <c r="D6423" t="s">
        <v>824</v>
      </c>
      <c r="E6423" t="s">
        <v>114</v>
      </c>
      <c r="F6423" t="s">
        <v>737</v>
      </c>
      <c r="G6423">
        <v>26.919101999999999</v>
      </c>
      <c r="H6423">
        <v>120.225735</v>
      </c>
      <c r="I6423" t="s">
        <v>764</v>
      </c>
      <c r="J6423" s="2" t="s">
        <v>14</v>
      </c>
      <c r="K6423" t="s">
        <v>739</v>
      </c>
      <c r="L6423" t="s">
        <v>143</v>
      </c>
      <c r="M6423" t="s">
        <v>726</v>
      </c>
      <c r="N6423" t="s">
        <v>85</v>
      </c>
      <c r="O6423" t="s">
        <v>84</v>
      </c>
      <c r="Q6423">
        <v>1.9757</v>
      </c>
      <c r="R6423" s="2" t="s">
        <v>213</v>
      </c>
      <c r="S6423" t="s">
        <v>13</v>
      </c>
      <c r="T6423">
        <v>3</v>
      </c>
      <c r="U6423" t="s">
        <v>28</v>
      </c>
      <c r="V6423" t="s">
        <v>28</v>
      </c>
      <c r="W6423">
        <v>25</v>
      </c>
      <c r="X6423">
        <v>1.12E-2</v>
      </c>
      <c r="Y6423">
        <f>0.0339-X6423</f>
        <v>2.2699999999999998E-2</v>
      </c>
    </row>
    <row r="6424" spans="1:25" x14ac:dyDescent="0.2">
      <c r="A6424" t="s">
        <v>736</v>
      </c>
      <c r="B6424">
        <v>2007</v>
      </c>
      <c r="C6424" t="s">
        <v>826</v>
      </c>
      <c r="D6424" t="s">
        <v>824</v>
      </c>
      <c r="E6424" t="s">
        <v>114</v>
      </c>
      <c r="F6424" t="s">
        <v>738</v>
      </c>
      <c r="G6424">
        <v>36.576466000000003</v>
      </c>
      <c r="H6424">
        <v>120.95234499999999</v>
      </c>
      <c r="I6424" t="s">
        <v>763</v>
      </c>
      <c r="J6424" s="2" t="s">
        <v>7</v>
      </c>
      <c r="K6424" t="s">
        <v>739</v>
      </c>
      <c r="L6424" t="s">
        <v>143</v>
      </c>
      <c r="M6424" t="s">
        <v>726</v>
      </c>
      <c r="N6424" t="s">
        <v>85</v>
      </c>
      <c r="O6424" t="s">
        <v>84</v>
      </c>
      <c r="Q6424">
        <v>2.1000000000000001E-2</v>
      </c>
      <c r="R6424" s="2" t="s">
        <v>214</v>
      </c>
      <c r="S6424" t="s">
        <v>7</v>
      </c>
      <c r="T6424">
        <v>3</v>
      </c>
      <c r="U6424" t="s">
        <v>28</v>
      </c>
      <c r="V6424" t="s">
        <v>28</v>
      </c>
      <c r="W6424">
        <v>11.5</v>
      </c>
      <c r="X6424">
        <v>0.7016</v>
      </c>
      <c r="Y6424">
        <f>0.7155-X6424</f>
        <v>1.3900000000000023E-2</v>
      </c>
    </row>
    <row r="6425" spans="1:25" x14ac:dyDescent="0.2">
      <c r="A6425" t="s">
        <v>736</v>
      </c>
      <c r="B6425">
        <v>2007</v>
      </c>
      <c r="C6425" t="s">
        <v>826</v>
      </c>
      <c r="D6425" t="s">
        <v>824</v>
      </c>
      <c r="E6425" t="s">
        <v>114</v>
      </c>
      <c r="F6425" t="s">
        <v>738</v>
      </c>
      <c r="G6425">
        <v>36.576466000000003</v>
      </c>
      <c r="H6425">
        <v>120.95234499999999</v>
      </c>
      <c r="I6425" t="s">
        <v>763</v>
      </c>
      <c r="J6425" s="2" t="s">
        <v>7</v>
      </c>
      <c r="K6425" t="s">
        <v>739</v>
      </c>
      <c r="L6425" t="s">
        <v>143</v>
      </c>
      <c r="M6425" t="s">
        <v>726</v>
      </c>
      <c r="N6425" t="s">
        <v>85</v>
      </c>
      <c r="O6425" t="s">
        <v>84</v>
      </c>
      <c r="Q6425">
        <v>0.18740000000000001</v>
      </c>
      <c r="R6425" s="2" t="s">
        <v>214</v>
      </c>
      <c r="S6425" t="s">
        <v>7</v>
      </c>
      <c r="T6425">
        <v>3</v>
      </c>
      <c r="U6425" t="s">
        <v>28</v>
      </c>
      <c r="V6425" t="s">
        <v>28</v>
      </c>
      <c r="W6425">
        <v>11.5</v>
      </c>
      <c r="X6425">
        <v>0.7016</v>
      </c>
      <c r="Y6425">
        <f>0.7364-X6425</f>
        <v>3.4800000000000053E-2</v>
      </c>
    </row>
    <row r="6426" spans="1:25" x14ac:dyDescent="0.2">
      <c r="A6426" t="s">
        <v>736</v>
      </c>
      <c r="B6426">
        <v>2007</v>
      </c>
      <c r="C6426" t="s">
        <v>826</v>
      </c>
      <c r="D6426" t="s">
        <v>824</v>
      </c>
      <c r="E6426" t="s">
        <v>114</v>
      </c>
      <c r="F6426" t="s">
        <v>738</v>
      </c>
      <c r="G6426">
        <v>36.576466000000003</v>
      </c>
      <c r="H6426">
        <v>120.95234499999999</v>
      </c>
      <c r="I6426" t="s">
        <v>763</v>
      </c>
      <c r="J6426" s="2" t="s">
        <v>7</v>
      </c>
      <c r="K6426" t="s">
        <v>739</v>
      </c>
      <c r="L6426" t="s">
        <v>143</v>
      </c>
      <c r="M6426" t="s">
        <v>726</v>
      </c>
      <c r="N6426" t="s">
        <v>85</v>
      </c>
      <c r="O6426" t="s">
        <v>84</v>
      </c>
      <c r="Q6426">
        <v>0.97899999999999998</v>
      </c>
      <c r="R6426" s="2" t="s">
        <v>214</v>
      </c>
      <c r="S6426" t="s">
        <v>7</v>
      </c>
      <c r="T6426">
        <v>3</v>
      </c>
      <c r="U6426" t="s">
        <v>28</v>
      </c>
      <c r="V6426" t="s">
        <v>28</v>
      </c>
      <c r="W6426">
        <v>11.5</v>
      </c>
      <c r="X6426">
        <v>0.7046</v>
      </c>
      <c r="Y6426">
        <f>0.7215-X6426</f>
        <v>1.6900000000000026E-2</v>
      </c>
    </row>
    <row r="6427" spans="1:25" x14ac:dyDescent="0.2">
      <c r="A6427" t="s">
        <v>736</v>
      </c>
      <c r="B6427">
        <v>2007</v>
      </c>
      <c r="C6427" t="s">
        <v>826</v>
      </c>
      <c r="D6427" t="s">
        <v>824</v>
      </c>
      <c r="E6427" t="s">
        <v>114</v>
      </c>
      <c r="F6427" t="s">
        <v>738</v>
      </c>
      <c r="G6427">
        <v>36.576466000000003</v>
      </c>
      <c r="H6427">
        <v>120.95234499999999</v>
      </c>
      <c r="I6427" t="s">
        <v>763</v>
      </c>
      <c r="J6427" s="2" t="s">
        <v>7</v>
      </c>
      <c r="K6427" t="s">
        <v>739</v>
      </c>
      <c r="L6427" t="s">
        <v>143</v>
      </c>
      <c r="M6427" t="s">
        <v>726</v>
      </c>
      <c r="N6427" t="s">
        <v>85</v>
      </c>
      <c r="O6427" t="s">
        <v>84</v>
      </c>
      <c r="Q6427">
        <v>1.3537999999999999</v>
      </c>
      <c r="R6427" s="2" t="s">
        <v>214</v>
      </c>
      <c r="S6427" t="s">
        <v>7</v>
      </c>
      <c r="T6427">
        <v>3</v>
      </c>
      <c r="U6427" t="s">
        <v>28</v>
      </c>
      <c r="V6427" t="s">
        <v>28</v>
      </c>
      <c r="W6427">
        <v>11.5</v>
      </c>
      <c r="X6427">
        <v>0.71250000000000002</v>
      </c>
      <c r="Y6427">
        <f>0.7284-X6427</f>
        <v>1.5900000000000025E-2</v>
      </c>
    </row>
    <row r="6428" spans="1:25" x14ac:dyDescent="0.2">
      <c r="A6428" t="s">
        <v>736</v>
      </c>
      <c r="B6428">
        <v>2007</v>
      </c>
      <c r="C6428" t="s">
        <v>826</v>
      </c>
      <c r="D6428" t="s">
        <v>824</v>
      </c>
      <c r="E6428" t="s">
        <v>114</v>
      </c>
      <c r="F6428" t="s">
        <v>738</v>
      </c>
      <c r="G6428">
        <v>36.576466000000003</v>
      </c>
      <c r="H6428">
        <v>120.95234499999999</v>
      </c>
      <c r="I6428" t="s">
        <v>763</v>
      </c>
      <c r="J6428" s="2" t="s">
        <v>7</v>
      </c>
      <c r="K6428" t="s">
        <v>739</v>
      </c>
      <c r="L6428" t="s">
        <v>143</v>
      </c>
      <c r="M6428" t="s">
        <v>726</v>
      </c>
      <c r="N6428" t="s">
        <v>85</v>
      </c>
      <c r="O6428" t="s">
        <v>84</v>
      </c>
      <c r="Q6428">
        <v>1.9774</v>
      </c>
      <c r="R6428" s="2" t="s">
        <v>213</v>
      </c>
      <c r="S6428" t="s">
        <v>7</v>
      </c>
      <c r="T6428">
        <v>3</v>
      </c>
      <c r="U6428" t="s">
        <v>28</v>
      </c>
      <c r="V6428" t="s">
        <v>28</v>
      </c>
      <c r="W6428">
        <v>11.5</v>
      </c>
      <c r="X6428">
        <v>0.69269999999999998</v>
      </c>
      <c r="Y6428">
        <f>0.7076-X6428</f>
        <v>1.4900000000000024E-2</v>
      </c>
    </row>
    <row r="6429" spans="1:25" x14ac:dyDescent="0.2">
      <c r="A6429" t="s">
        <v>736</v>
      </c>
      <c r="B6429">
        <v>2007</v>
      </c>
      <c r="C6429" t="s">
        <v>826</v>
      </c>
      <c r="D6429" t="s">
        <v>824</v>
      </c>
      <c r="E6429" t="s">
        <v>114</v>
      </c>
      <c r="F6429" t="s">
        <v>738</v>
      </c>
      <c r="G6429">
        <v>36.576466000000003</v>
      </c>
      <c r="H6429">
        <v>120.95234499999999</v>
      </c>
      <c r="I6429" t="s">
        <v>763</v>
      </c>
      <c r="J6429" s="2" t="s">
        <v>14</v>
      </c>
      <c r="K6429" t="s">
        <v>739</v>
      </c>
      <c r="L6429" t="s">
        <v>143</v>
      </c>
      <c r="M6429" t="s">
        <v>726</v>
      </c>
      <c r="N6429" t="s">
        <v>85</v>
      </c>
      <c r="O6429" t="s">
        <v>84</v>
      </c>
      <c r="Q6429">
        <v>1.9400000000000001E-2</v>
      </c>
      <c r="R6429" s="2" t="s">
        <v>214</v>
      </c>
      <c r="S6429" t="s">
        <v>9</v>
      </c>
      <c r="T6429">
        <v>3</v>
      </c>
      <c r="U6429" t="s">
        <v>28</v>
      </c>
      <c r="V6429" t="s">
        <v>28</v>
      </c>
      <c r="W6429">
        <v>15</v>
      </c>
      <c r="X6429">
        <v>0.67779999999999996</v>
      </c>
      <c r="Y6429">
        <f>0.6917-X6429</f>
        <v>1.3900000000000023E-2</v>
      </c>
    </row>
    <row r="6430" spans="1:25" x14ac:dyDescent="0.2">
      <c r="A6430" t="s">
        <v>736</v>
      </c>
      <c r="B6430">
        <v>2007</v>
      </c>
      <c r="C6430" t="s">
        <v>826</v>
      </c>
      <c r="D6430" t="s">
        <v>824</v>
      </c>
      <c r="E6430" t="s">
        <v>114</v>
      </c>
      <c r="F6430" t="s">
        <v>738</v>
      </c>
      <c r="G6430">
        <v>36.576466000000003</v>
      </c>
      <c r="H6430">
        <v>120.95234499999999</v>
      </c>
      <c r="I6430" t="s">
        <v>763</v>
      </c>
      <c r="J6430" s="2" t="s">
        <v>14</v>
      </c>
      <c r="K6430" t="s">
        <v>739</v>
      </c>
      <c r="L6430" t="s">
        <v>143</v>
      </c>
      <c r="M6430" t="s">
        <v>726</v>
      </c>
      <c r="N6430" t="s">
        <v>85</v>
      </c>
      <c r="O6430" t="s">
        <v>84</v>
      </c>
      <c r="Q6430">
        <v>0.18579999999999999</v>
      </c>
      <c r="R6430" s="2" t="s">
        <v>214</v>
      </c>
      <c r="S6430" t="s">
        <v>9</v>
      </c>
      <c r="T6430">
        <v>3</v>
      </c>
      <c r="U6430" t="s">
        <v>28</v>
      </c>
      <c r="V6430" t="s">
        <v>28</v>
      </c>
      <c r="W6430">
        <v>15</v>
      </c>
      <c r="X6430">
        <v>0.66979999999999995</v>
      </c>
      <c r="Y6430">
        <f>0.6847-X6430</f>
        <v>1.4900000000000024E-2</v>
      </c>
    </row>
    <row r="6431" spans="1:25" x14ac:dyDescent="0.2">
      <c r="A6431" t="s">
        <v>736</v>
      </c>
      <c r="B6431">
        <v>2007</v>
      </c>
      <c r="C6431" t="s">
        <v>826</v>
      </c>
      <c r="D6431" t="s">
        <v>824</v>
      </c>
      <c r="E6431" t="s">
        <v>114</v>
      </c>
      <c r="F6431" t="s">
        <v>738</v>
      </c>
      <c r="G6431">
        <v>36.576466000000003</v>
      </c>
      <c r="H6431">
        <v>120.95234499999999</v>
      </c>
      <c r="I6431" t="s">
        <v>763</v>
      </c>
      <c r="J6431" s="2" t="s">
        <v>14</v>
      </c>
      <c r="K6431" t="s">
        <v>739</v>
      </c>
      <c r="L6431" t="s">
        <v>143</v>
      </c>
      <c r="M6431" t="s">
        <v>726</v>
      </c>
      <c r="N6431" t="s">
        <v>85</v>
      </c>
      <c r="O6431" t="s">
        <v>84</v>
      </c>
      <c r="Q6431">
        <v>0.97740000000000005</v>
      </c>
      <c r="R6431" s="2" t="s">
        <v>214</v>
      </c>
      <c r="S6431" t="s">
        <v>9</v>
      </c>
      <c r="T6431">
        <v>3</v>
      </c>
      <c r="U6431" t="s">
        <v>28</v>
      </c>
      <c r="V6431" t="s">
        <v>28</v>
      </c>
      <c r="W6431">
        <v>15</v>
      </c>
      <c r="X6431">
        <v>0.65590000000000004</v>
      </c>
      <c r="Y6431">
        <f>X6431-0.641</f>
        <v>1.4900000000000024E-2</v>
      </c>
    </row>
    <row r="6432" spans="1:25" x14ac:dyDescent="0.2">
      <c r="A6432" t="s">
        <v>736</v>
      </c>
      <c r="B6432">
        <v>2007</v>
      </c>
      <c r="C6432" t="s">
        <v>826</v>
      </c>
      <c r="D6432" t="s">
        <v>824</v>
      </c>
      <c r="E6432" t="s">
        <v>114</v>
      </c>
      <c r="F6432" t="s">
        <v>738</v>
      </c>
      <c r="G6432">
        <v>36.576466000000003</v>
      </c>
      <c r="H6432">
        <v>120.95234499999999</v>
      </c>
      <c r="I6432" t="s">
        <v>763</v>
      </c>
      <c r="J6432" s="2" t="s">
        <v>14</v>
      </c>
      <c r="K6432" t="s">
        <v>739</v>
      </c>
      <c r="L6432" t="s">
        <v>143</v>
      </c>
      <c r="M6432" t="s">
        <v>726</v>
      </c>
      <c r="N6432" t="s">
        <v>85</v>
      </c>
      <c r="O6432" t="s">
        <v>84</v>
      </c>
      <c r="Q6432">
        <v>1.3537999999999999</v>
      </c>
      <c r="R6432" s="2" t="s">
        <v>214</v>
      </c>
      <c r="S6432" t="s">
        <v>9</v>
      </c>
      <c r="T6432">
        <v>3</v>
      </c>
      <c r="U6432" t="s">
        <v>28</v>
      </c>
      <c r="V6432" t="s">
        <v>28</v>
      </c>
      <c r="W6432">
        <v>15</v>
      </c>
      <c r="X6432">
        <v>0.68669999999999998</v>
      </c>
      <c r="Y6432">
        <f>0.7006-X6432</f>
        <v>1.3900000000000023E-2</v>
      </c>
    </row>
    <row r="6433" spans="1:25" x14ac:dyDescent="0.2">
      <c r="A6433" t="s">
        <v>736</v>
      </c>
      <c r="B6433">
        <v>2007</v>
      </c>
      <c r="C6433" t="s">
        <v>826</v>
      </c>
      <c r="D6433" t="s">
        <v>824</v>
      </c>
      <c r="E6433" t="s">
        <v>114</v>
      </c>
      <c r="F6433" t="s">
        <v>738</v>
      </c>
      <c r="G6433">
        <v>36.576466000000003</v>
      </c>
      <c r="H6433">
        <v>120.95234499999999</v>
      </c>
      <c r="I6433" t="s">
        <v>763</v>
      </c>
      <c r="J6433" s="2" t="s">
        <v>14</v>
      </c>
      <c r="K6433" t="s">
        <v>739</v>
      </c>
      <c r="L6433" t="s">
        <v>143</v>
      </c>
      <c r="M6433" t="s">
        <v>726</v>
      </c>
      <c r="N6433" t="s">
        <v>85</v>
      </c>
      <c r="O6433" t="s">
        <v>84</v>
      </c>
      <c r="Q6433">
        <v>1.9790000000000001</v>
      </c>
      <c r="R6433" s="2" t="s">
        <v>213</v>
      </c>
      <c r="S6433" t="s">
        <v>9</v>
      </c>
      <c r="T6433">
        <v>3</v>
      </c>
      <c r="U6433" t="s">
        <v>28</v>
      </c>
      <c r="V6433" t="s">
        <v>28</v>
      </c>
      <c r="W6433">
        <v>15</v>
      </c>
      <c r="X6433">
        <v>0.68369999999999997</v>
      </c>
      <c r="Y6433">
        <f>0.6996-X6433</f>
        <v>1.5900000000000025E-2</v>
      </c>
    </row>
    <row r="6434" spans="1:25" x14ac:dyDescent="0.2">
      <c r="A6434" t="s">
        <v>736</v>
      </c>
      <c r="B6434">
        <v>2007</v>
      </c>
      <c r="C6434" t="s">
        <v>826</v>
      </c>
      <c r="D6434" t="s">
        <v>824</v>
      </c>
      <c r="E6434" t="s">
        <v>114</v>
      </c>
      <c r="F6434" t="s">
        <v>738</v>
      </c>
      <c r="G6434">
        <v>36.576466000000003</v>
      </c>
      <c r="H6434">
        <v>120.95234499999999</v>
      </c>
      <c r="I6434" t="s">
        <v>763</v>
      </c>
      <c r="J6434" s="2" t="s">
        <v>14</v>
      </c>
      <c r="K6434" t="s">
        <v>739</v>
      </c>
      <c r="L6434" t="s">
        <v>143</v>
      </c>
      <c r="M6434" t="s">
        <v>726</v>
      </c>
      <c r="N6434" t="s">
        <v>85</v>
      </c>
      <c r="O6434" t="s">
        <v>84</v>
      </c>
      <c r="Q6434">
        <v>1.9400000000000001E-2</v>
      </c>
      <c r="R6434" s="2" t="s">
        <v>214</v>
      </c>
      <c r="S6434" t="s">
        <v>27</v>
      </c>
      <c r="T6434">
        <v>3</v>
      </c>
      <c r="U6434" t="s">
        <v>28</v>
      </c>
      <c r="V6434" t="s">
        <v>28</v>
      </c>
      <c r="W6434">
        <v>20</v>
      </c>
      <c r="X6434">
        <v>0.68969999999999998</v>
      </c>
      <c r="Y6434">
        <f>0.6996-X6434</f>
        <v>9.9000000000000199E-3</v>
      </c>
    </row>
    <row r="6435" spans="1:25" x14ac:dyDescent="0.2">
      <c r="A6435" t="s">
        <v>736</v>
      </c>
      <c r="B6435">
        <v>2007</v>
      </c>
      <c r="C6435" t="s">
        <v>826</v>
      </c>
      <c r="D6435" t="s">
        <v>824</v>
      </c>
      <c r="E6435" t="s">
        <v>114</v>
      </c>
      <c r="F6435" t="s">
        <v>738</v>
      </c>
      <c r="G6435">
        <v>36.576466000000003</v>
      </c>
      <c r="H6435">
        <v>120.95234499999999</v>
      </c>
      <c r="I6435" t="s">
        <v>763</v>
      </c>
      <c r="J6435" s="2" t="s">
        <v>14</v>
      </c>
      <c r="K6435" t="s">
        <v>739</v>
      </c>
      <c r="L6435" t="s">
        <v>143</v>
      </c>
      <c r="M6435" t="s">
        <v>726</v>
      </c>
      <c r="N6435" t="s">
        <v>85</v>
      </c>
      <c r="O6435" t="s">
        <v>84</v>
      </c>
      <c r="Q6435">
        <v>0.18740000000000001</v>
      </c>
      <c r="R6435" s="2" t="s">
        <v>214</v>
      </c>
      <c r="S6435" t="s">
        <v>27</v>
      </c>
      <c r="T6435">
        <v>3</v>
      </c>
      <c r="U6435" t="s">
        <v>28</v>
      </c>
      <c r="V6435" t="s">
        <v>28</v>
      </c>
      <c r="W6435">
        <v>20</v>
      </c>
      <c r="X6435">
        <v>0.67779999999999996</v>
      </c>
      <c r="Y6435">
        <f>0.6847-X6435</f>
        <v>6.9000000000000172E-3</v>
      </c>
    </row>
    <row r="6436" spans="1:25" x14ac:dyDescent="0.2">
      <c r="A6436" t="s">
        <v>736</v>
      </c>
      <c r="B6436">
        <v>2007</v>
      </c>
      <c r="C6436" t="s">
        <v>826</v>
      </c>
      <c r="D6436" t="s">
        <v>824</v>
      </c>
      <c r="E6436" t="s">
        <v>114</v>
      </c>
      <c r="F6436" t="s">
        <v>738</v>
      </c>
      <c r="G6436">
        <v>36.576466000000003</v>
      </c>
      <c r="H6436">
        <v>120.95234499999999</v>
      </c>
      <c r="I6436" t="s">
        <v>763</v>
      </c>
      <c r="J6436" s="2" t="s">
        <v>14</v>
      </c>
      <c r="K6436" t="s">
        <v>739</v>
      </c>
      <c r="L6436" t="s">
        <v>143</v>
      </c>
      <c r="M6436" t="s">
        <v>726</v>
      </c>
      <c r="N6436" t="s">
        <v>85</v>
      </c>
      <c r="O6436" t="s">
        <v>84</v>
      </c>
      <c r="Q6436">
        <v>0.97899999999999998</v>
      </c>
      <c r="R6436" s="2" t="s">
        <v>214</v>
      </c>
      <c r="S6436" t="s">
        <v>27</v>
      </c>
      <c r="T6436">
        <v>3</v>
      </c>
      <c r="U6436" t="s">
        <v>28</v>
      </c>
      <c r="V6436" t="s">
        <v>28</v>
      </c>
      <c r="W6436">
        <v>20</v>
      </c>
      <c r="X6436">
        <v>0.67479999999999996</v>
      </c>
      <c r="Y6436">
        <f>0.6857-X6436</f>
        <v>1.0900000000000021E-2</v>
      </c>
    </row>
    <row r="6437" spans="1:25" x14ac:dyDescent="0.2">
      <c r="A6437" t="s">
        <v>736</v>
      </c>
      <c r="B6437">
        <v>2007</v>
      </c>
      <c r="C6437" t="s">
        <v>826</v>
      </c>
      <c r="D6437" t="s">
        <v>824</v>
      </c>
      <c r="E6437" t="s">
        <v>114</v>
      </c>
      <c r="F6437" t="s">
        <v>738</v>
      </c>
      <c r="G6437">
        <v>36.576466000000003</v>
      </c>
      <c r="H6437">
        <v>120.95234499999999</v>
      </c>
      <c r="I6437" t="s">
        <v>763</v>
      </c>
      <c r="J6437" s="2" t="s">
        <v>14</v>
      </c>
      <c r="K6437" t="s">
        <v>739</v>
      </c>
      <c r="L6437" t="s">
        <v>143</v>
      </c>
      <c r="M6437" t="s">
        <v>726</v>
      </c>
      <c r="N6437" t="s">
        <v>85</v>
      </c>
      <c r="O6437" t="s">
        <v>84</v>
      </c>
      <c r="Q6437">
        <v>1.3522000000000001</v>
      </c>
      <c r="R6437" s="2" t="s">
        <v>214</v>
      </c>
      <c r="S6437" t="s">
        <v>27</v>
      </c>
      <c r="T6437">
        <v>3</v>
      </c>
      <c r="U6437" t="s">
        <v>28</v>
      </c>
      <c r="V6437" t="s">
        <v>28</v>
      </c>
      <c r="W6437">
        <v>20</v>
      </c>
      <c r="X6437">
        <v>0.66879999999999995</v>
      </c>
      <c r="Y6437">
        <f>X6437-0.6589</f>
        <v>9.8999999999999089E-3</v>
      </c>
    </row>
    <row r="6438" spans="1:25" x14ac:dyDescent="0.2">
      <c r="A6438" t="s">
        <v>736</v>
      </c>
      <c r="B6438">
        <v>2007</v>
      </c>
      <c r="C6438" t="s">
        <v>826</v>
      </c>
      <c r="D6438" t="s">
        <v>824</v>
      </c>
      <c r="E6438" t="s">
        <v>114</v>
      </c>
      <c r="F6438" t="s">
        <v>738</v>
      </c>
      <c r="G6438">
        <v>36.576466000000003</v>
      </c>
      <c r="H6438">
        <v>120.95234499999999</v>
      </c>
      <c r="I6438" t="s">
        <v>763</v>
      </c>
      <c r="J6438" s="2" t="s">
        <v>14</v>
      </c>
      <c r="K6438" t="s">
        <v>739</v>
      </c>
      <c r="L6438" t="s">
        <v>143</v>
      </c>
      <c r="M6438" t="s">
        <v>726</v>
      </c>
      <c r="N6438" t="s">
        <v>85</v>
      </c>
      <c r="O6438" t="s">
        <v>84</v>
      </c>
      <c r="Q6438">
        <v>1.9774</v>
      </c>
      <c r="R6438" s="2" t="s">
        <v>213</v>
      </c>
      <c r="S6438" t="s">
        <v>27</v>
      </c>
      <c r="T6438">
        <v>3</v>
      </c>
      <c r="U6438" t="s">
        <v>28</v>
      </c>
      <c r="V6438" t="s">
        <v>28</v>
      </c>
      <c r="W6438">
        <v>20</v>
      </c>
      <c r="X6438">
        <v>0.66090000000000004</v>
      </c>
      <c r="Y6438">
        <f>X6438-0.6519</f>
        <v>9.000000000000008E-3</v>
      </c>
    </row>
    <row r="6439" spans="1:25" x14ac:dyDescent="0.2">
      <c r="A6439" t="s">
        <v>736</v>
      </c>
      <c r="B6439">
        <v>2007</v>
      </c>
      <c r="C6439" t="s">
        <v>826</v>
      </c>
      <c r="D6439" t="s">
        <v>824</v>
      </c>
      <c r="E6439" t="s">
        <v>114</v>
      </c>
      <c r="F6439" t="s">
        <v>738</v>
      </c>
      <c r="G6439">
        <v>36.576466000000003</v>
      </c>
      <c r="H6439">
        <v>120.95234499999999</v>
      </c>
      <c r="I6439" t="s">
        <v>763</v>
      </c>
      <c r="J6439" s="2" t="s">
        <v>14</v>
      </c>
      <c r="K6439" t="s">
        <v>739</v>
      </c>
      <c r="L6439" t="s">
        <v>143</v>
      </c>
      <c r="M6439" t="s">
        <v>726</v>
      </c>
      <c r="N6439" t="s">
        <v>85</v>
      </c>
      <c r="O6439" t="s">
        <v>84</v>
      </c>
      <c r="Q6439">
        <v>1.78E-2</v>
      </c>
      <c r="R6439" s="2" t="s">
        <v>214</v>
      </c>
      <c r="S6439" t="s">
        <v>13</v>
      </c>
      <c r="T6439">
        <v>3</v>
      </c>
      <c r="U6439" t="s">
        <v>28</v>
      </c>
      <c r="V6439" t="s">
        <v>28</v>
      </c>
      <c r="W6439">
        <v>25</v>
      </c>
      <c r="X6439">
        <v>0.64100000000000001</v>
      </c>
      <c r="Y6439">
        <f>0.6579-X6439</f>
        <v>1.6900000000000026E-2</v>
      </c>
    </row>
    <row r="6440" spans="1:25" x14ac:dyDescent="0.2">
      <c r="A6440" t="s">
        <v>736</v>
      </c>
      <c r="B6440">
        <v>2007</v>
      </c>
      <c r="C6440" t="s">
        <v>826</v>
      </c>
      <c r="D6440" t="s">
        <v>824</v>
      </c>
      <c r="E6440" t="s">
        <v>114</v>
      </c>
      <c r="F6440" t="s">
        <v>738</v>
      </c>
      <c r="G6440">
        <v>36.576466000000003</v>
      </c>
      <c r="H6440">
        <v>120.95234499999999</v>
      </c>
      <c r="I6440" t="s">
        <v>763</v>
      </c>
      <c r="J6440" s="2" t="s">
        <v>14</v>
      </c>
      <c r="K6440" t="s">
        <v>739</v>
      </c>
      <c r="L6440" t="s">
        <v>143</v>
      </c>
      <c r="M6440" t="s">
        <v>726</v>
      </c>
      <c r="N6440" t="s">
        <v>85</v>
      </c>
      <c r="O6440" t="s">
        <v>84</v>
      </c>
      <c r="Q6440">
        <v>0.18740000000000001</v>
      </c>
      <c r="R6440" s="2" t="s">
        <v>214</v>
      </c>
      <c r="S6440" t="s">
        <v>13</v>
      </c>
      <c r="T6440">
        <v>3</v>
      </c>
      <c r="U6440" t="s">
        <v>28</v>
      </c>
      <c r="V6440" t="s">
        <v>28</v>
      </c>
      <c r="W6440">
        <v>25</v>
      </c>
      <c r="X6440">
        <v>0.65390000000000004</v>
      </c>
      <c r="Y6440">
        <f>X6440-0.645</f>
        <v>8.900000000000019E-3</v>
      </c>
    </row>
    <row r="6441" spans="1:25" x14ac:dyDescent="0.2">
      <c r="A6441" t="s">
        <v>736</v>
      </c>
      <c r="B6441">
        <v>2007</v>
      </c>
      <c r="C6441" t="s">
        <v>826</v>
      </c>
      <c r="D6441" t="s">
        <v>824</v>
      </c>
      <c r="E6441" t="s">
        <v>114</v>
      </c>
      <c r="F6441" t="s">
        <v>738</v>
      </c>
      <c r="G6441">
        <v>36.576466000000003</v>
      </c>
      <c r="H6441">
        <v>120.95234499999999</v>
      </c>
      <c r="I6441" t="s">
        <v>763</v>
      </c>
      <c r="J6441" s="2" t="s">
        <v>14</v>
      </c>
      <c r="K6441" t="s">
        <v>739</v>
      </c>
      <c r="L6441" t="s">
        <v>143</v>
      </c>
      <c r="M6441" t="s">
        <v>726</v>
      </c>
      <c r="N6441" t="s">
        <v>85</v>
      </c>
      <c r="O6441" t="s">
        <v>84</v>
      </c>
      <c r="Q6441">
        <v>0.97740000000000005</v>
      </c>
      <c r="R6441" s="2" t="s">
        <v>214</v>
      </c>
      <c r="S6441" t="s">
        <v>13</v>
      </c>
      <c r="T6441">
        <v>3</v>
      </c>
      <c r="U6441" t="s">
        <v>28</v>
      </c>
      <c r="V6441" t="s">
        <v>28</v>
      </c>
      <c r="W6441">
        <v>25</v>
      </c>
      <c r="X6441">
        <v>0.62209999999999999</v>
      </c>
      <c r="Y6441">
        <f>X6441-0.6022</f>
        <v>1.9900000000000029E-2</v>
      </c>
    </row>
    <row r="6442" spans="1:25" x14ac:dyDescent="0.2">
      <c r="A6442" t="s">
        <v>736</v>
      </c>
      <c r="B6442">
        <v>2007</v>
      </c>
      <c r="C6442" t="s">
        <v>826</v>
      </c>
      <c r="D6442" t="s">
        <v>824</v>
      </c>
      <c r="E6442" t="s">
        <v>114</v>
      </c>
      <c r="F6442" t="s">
        <v>738</v>
      </c>
      <c r="G6442">
        <v>36.576466000000003</v>
      </c>
      <c r="H6442">
        <v>120.95234499999999</v>
      </c>
      <c r="I6442" t="s">
        <v>763</v>
      </c>
      <c r="J6442" s="2" t="s">
        <v>14</v>
      </c>
      <c r="K6442" t="s">
        <v>739</v>
      </c>
      <c r="L6442" t="s">
        <v>143</v>
      </c>
      <c r="M6442" t="s">
        <v>726</v>
      </c>
      <c r="N6442" t="s">
        <v>85</v>
      </c>
      <c r="O6442" t="s">
        <v>84</v>
      </c>
      <c r="Q6442">
        <v>1.3537999999999999</v>
      </c>
      <c r="R6442" s="2" t="s">
        <v>214</v>
      </c>
      <c r="S6442" t="s">
        <v>13</v>
      </c>
      <c r="T6442">
        <v>3</v>
      </c>
      <c r="U6442" t="s">
        <v>28</v>
      </c>
      <c r="V6442" t="s">
        <v>28</v>
      </c>
      <c r="W6442">
        <v>25</v>
      </c>
      <c r="X6442">
        <v>0.61709999999999998</v>
      </c>
      <c r="Y6442">
        <f>X6442-0.6062</f>
        <v>1.0900000000000021E-2</v>
      </c>
    </row>
    <row r="6443" spans="1:25" x14ac:dyDescent="0.2">
      <c r="A6443" t="s">
        <v>736</v>
      </c>
      <c r="B6443">
        <v>2007</v>
      </c>
      <c r="C6443" t="s">
        <v>826</v>
      </c>
      <c r="D6443" t="s">
        <v>824</v>
      </c>
      <c r="E6443" t="s">
        <v>114</v>
      </c>
      <c r="F6443" t="s">
        <v>738</v>
      </c>
      <c r="G6443">
        <v>36.576466000000003</v>
      </c>
      <c r="H6443">
        <v>120.95234499999999</v>
      </c>
      <c r="I6443" t="s">
        <v>763</v>
      </c>
      <c r="J6443" s="2" t="s">
        <v>14</v>
      </c>
      <c r="K6443" t="s">
        <v>739</v>
      </c>
      <c r="L6443" t="s">
        <v>143</v>
      </c>
      <c r="M6443" t="s">
        <v>726</v>
      </c>
      <c r="N6443" t="s">
        <v>85</v>
      </c>
      <c r="O6443" t="s">
        <v>84</v>
      </c>
      <c r="Q6443">
        <v>1.9790000000000001</v>
      </c>
      <c r="R6443" s="2" t="s">
        <v>213</v>
      </c>
      <c r="S6443" t="s">
        <v>13</v>
      </c>
      <c r="T6443">
        <v>3</v>
      </c>
      <c r="U6443" t="s">
        <v>28</v>
      </c>
      <c r="V6443" t="s">
        <v>28</v>
      </c>
      <c r="W6443">
        <v>25</v>
      </c>
      <c r="X6443">
        <v>0.66979999999999995</v>
      </c>
      <c r="Y6443">
        <f>X6443-0.6619</f>
        <v>7.8999999999999071E-3</v>
      </c>
    </row>
    <row r="6444" spans="1:25" x14ac:dyDescent="0.2">
      <c r="A6444" t="s">
        <v>740</v>
      </c>
      <c r="B6444">
        <v>2011</v>
      </c>
      <c r="C6444" t="s">
        <v>816</v>
      </c>
      <c r="D6444" t="s">
        <v>817</v>
      </c>
      <c r="E6444" t="s">
        <v>121</v>
      </c>
      <c r="F6444" t="s">
        <v>741</v>
      </c>
      <c r="G6444">
        <v>48.649805000000001</v>
      </c>
      <c r="H6444">
        <v>-3.8729719999999999</v>
      </c>
      <c r="I6444" t="s">
        <v>764</v>
      </c>
      <c r="J6444" s="2" t="s">
        <v>7</v>
      </c>
      <c r="K6444" t="s">
        <v>300</v>
      </c>
      <c r="L6444" t="s">
        <v>300</v>
      </c>
      <c r="M6444" t="s">
        <v>727</v>
      </c>
      <c r="N6444" t="s">
        <v>85</v>
      </c>
      <c r="O6444" t="s">
        <v>71</v>
      </c>
      <c r="P6444" t="s">
        <v>72</v>
      </c>
      <c r="Q6444">
        <v>2</v>
      </c>
      <c r="R6444" s="2" t="s">
        <v>214</v>
      </c>
      <c r="S6444" t="s">
        <v>7</v>
      </c>
      <c r="T6444">
        <v>3</v>
      </c>
      <c r="U6444" t="s">
        <v>28</v>
      </c>
      <c r="V6444" t="s">
        <v>28</v>
      </c>
      <c r="W6444">
        <v>10</v>
      </c>
      <c r="X6444" s="3"/>
      <c r="Y6444" s="3"/>
    </row>
    <row r="6445" spans="1:25" x14ac:dyDescent="0.2">
      <c r="A6445" t="s">
        <v>740</v>
      </c>
      <c r="B6445">
        <v>2011</v>
      </c>
      <c r="C6445" t="s">
        <v>816</v>
      </c>
      <c r="D6445" t="s">
        <v>817</v>
      </c>
      <c r="E6445" t="s">
        <v>121</v>
      </c>
      <c r="F6445" t="s">
        <v>741</v>
      </c>
      <c r="G6445">
        <v>48.649805000000001</v>
      </c>
      <c r="H6445">
        <v>-3.8729719999999999</v>
      </c>
      <c r="I6445" t="s">
        <v>764</v>
      </c>
      <c r="J6445" s="2" t="s">
        <v>7</v>
      </c>
      <c r="K6445" t="s">
        <v>300</v>
      </c>
      <c r="L6445" t="s">
        <v>300</v>
      </c>
      <c r="M6445" t="s">
        <v>727</v>
      </c>
      <c r="N6445" t="s">
        <v>85</v>
      </c>
      <c r="O6445" t="s">
        <v>71</v>
      </c>
      <c r="P6445" t="s">
        <v>72</v>
      </c>
      <c r="Q6445">
        <v>4</v>
      </c>
      <c r="R6445" s="2" t="s">
        <v>214</v>
      </c>
      <c r="S6445" t="s">
        <v>7</v>
      </c>
      <c r="T6445">
        <v>3</v>
      </c>
      <c r="U6445" t="s">
        <v>28</v>
      </c>
      <c r="V6445" t="s">
        <v>28</v>
      </c>
      <c r="W6445">
        <v>10</v>
      </c>
      <c r="X6445" s="3"/>
      <c r="Y6445" s="3"/>
    </row>
    <row r="6446" spans="1:25" x14ac:dyDescent="0.2">
      <c r="A6446" t="s">
        <v>740</v>
      </c>
      <c r="B6446">
        <v>2011</v>
      </c>
      <c r="C6446" t="s">
        <v>816</v>
      </c>
      <c r="D6446" t="s">
        <v>817</v>
      </c>
      <c r="E6446" t="s">
        <v>121</v>
      </c>
      <c r="F6446" t="s">
        <v>741</v>
      </c>
      <c r="G6446">
        <v>48.649805000000001</v>
      </c>
      <c r="H6446">
        <v>-3.8729719999999999</v>
      </c>
      <c r="I6446" t="s">
        <v>764</v>
      </c>
      <c r="J6446" s="2" t="s">
        <v>7</v>
      </c>
      <c r="K6446" t="s">
        <v>300</v>
      </c>
      <c r="L6446" t="s">
        <v>300</v>
      </c>
      <c r="M6446" t="s">
        <v>727</v>
      </c>
      <c r="N6446" t="s">
        <v>85</v>
      </c>
      <c r="O6446" t="s">
        <v>71</v>
      </c>
      <c r="P6446" t="s">
        <v>72</v>
      </c>
      <c r="Q6446">
        <v>6</v>
      </c>
      <c r="R6446" s="2" t="s">
        <v>213</v>
      </c>
      <c r="S6446" t="s">
        <v>7</v>
      </c>
      <c r="T6446">
        <v>3</v>
      </c>
      <c r="U6446" t="s">
        <v>28</v>
      </c>
      <c r="V6446" t="s">
        <v>28</v>
      </c>
      <c r="W6446">
        <v>10</v>
      </c>
      <c r="X6446" s="3"/>
      <c r="Y6446" s="3"/>
    </row>
    <row r="6447" spans="1:25" x14ac:dyDescent="0.2">
      <c r="A6447" t="s">
        <v>740</v>
      </c>
      <c r="B6447">
        <v>2011</v>
      </c>
      <c r="C6447" t="s">
        <v>816</v>
      </c>
      <c r="D6447" t="s">
        <v>817</v>
      </c>
      <c r="E6447" t="s">
        <v>121</v>
      </c>
      <c r="F6447" t="s">
        <v>741</v>
      </c>
      <c r="G6447">
        <v>48.649805000000001</v>
      </c>
      <c r="H6447">
        <v>-3.8729719999999999</v>
      </c>
      <c r="I6447" t="s">
        <v>764</v>
      </c>
      <c r="J6447" s="2" t="s">
        <v>14</v>
      </c>
      <c r="K6447" t="s">
        <v>300</v>
      </c>
      <c r="L6447" t="s">
        <v>300</v>
      </c>
      <c r="M6447" t="s">
        <v>727</v>
      </c>
      <c r="N6447" t="s">
        <v>85</v>
      </c>
      <c r="O6447" t="s">
        <v>71</v>
      </c>
      <c r="P6447" t="s">
        <v>72</v>
      </c>
      <c r="Q6447">
        <v>2</v>
      </c>
      <c r="R6447" s="2" t="s">
        <v>214</v>
      </c>
      <c r="S6447" t="s">
        <v>9</v>
      </c>
      <c r="T6447">
        <v>3</v>
      </c>
      <c r="U6447" t="s">
        <v>28</v>
      </c>
      <c r="V6447" t="s">
        <v>28</v>
      </c>
      <c r="W6447">
        <v>15</v>
      </c>
      <c r="X6447" s="3"/>
      <c r="Y6447" s="3"/>
    </row>
    <row r="6448" spans="1:25" x14ac:dyDescent="0.2">
      <c r="A6448" t="s">
        <v>740</v>
      </c>
      <c r="B6448">
        <v>2011</v>
      </c>
      <c r="C6448" t="s">
        <v>816</v>
      </c>
      <c r="D6448" t="s">
        <v>817</v>
      </c>
      <c r="E6448" t="s">
        <v>121</v>
      </c>
      <c r="F6448" t="s">
        <v>741</v>
      </c>
      <c r="G6448">
        <v>48.649805000000001</v>
      </c>
      <c r="H6448">
        <v>-3.8729719999999999</v>
      </c>
      <c r="I6448" t="s">
        <v>764</v>
      </c>
      <c r="J6448" s="2" t="s">
        <v>14</v>
      </c>
      <c r="K6448" t="s">
        <v>300</v>
      </c>
      <c r="L6448" t="s">
        <v>300</v>
      </c>
      <c r="M6448" t="s">
        <v>727</v>
      </c>
      <c r="N6448" t="s">
        <v>85</v>
      </c>
      <c r="O6448" t="s">
        <v>71</v>
      </c>
      <c r="P6448" t="s">
        <v>72</v>
      </c>
      <c r="Q6448">
        <v>4</v>
      </c>
      <c r="R6448" s="2" t="s">
        <v>214</v>
      </c>
      <c r="S6448" t="s">
        <v>9</v>
      </c>
      <c r="T6448">
        <v>3</v>
      </c>
      <c r="U6448" t="s">
        <v>28</v>
      </c>
      <c r="V6448" t="s">
        <v>28</v>
      </c>
      <c r="W6448">
        <v>15</v>
      </c>
      <c r="X6448" s="3"/>
      <c r="Y6448" s="3"/>
    </row>
    <row r="6449" spans="1:26" x14ac:dyDescent="0.2">
      <c r="A6449" t="s">
        <v>740</v>
      </c>
      <c r="B6449">
        <v>2011</v>
      </c>
      <c r="C6449" t="s">
        <v>816</v>
      </c>
      <c r="D6449" t="s">
        <v>817</v>
      </c>
      <c r="E6449" t="s">
        <v>121</v>
      </c>
      <c r="F6449" t="s">
        <v>741</v>
      </c>
      <c r="G6449">
        <v>48.649805000000001</v>
      </c>
      <c r="H6449">
        <v>-3.8729719999999999</v>
      </c>
      <c r="I6449" t="s">
        <v>764</v>
      </c>
      <c r="J6449" s="2" t="s">
        <v>14</v>
      </c>
      <c r="K6449" t="s">
        <v>300</v>
      </c>
      <c r="L6449" t="s">
        <v>300</v>
      </c>
      <c r="M6449" t="s">
        <v>727</v>
      </c>
      <c r="N6449" t="s">
        <v>85</v>
      </c>
      <c r="O6449" t="s">
        <v>71</v>
      </c>
      <c r="P6449" t="s">
        <v>72</v>
      </c>
      <c r="Q6449">
        <v>6</v>
      </c>
      <c r="R6449" s="2" t="s">
        <v>213</v>
      </c>
      <c r="S6449" t="s">
        <v>9</v>
      </c>
      <c r="T6449">
        <v>3</v>
      </c>
      <c r="U6449" t="s">
        <v>28</v>
      </c>
      <c r="V6449" t="s">
        <v>28</v>
      </c>
      <c r="W6449">
        <v>15</v>
      </c>
      <c r="X6449" s="3"/>
      <c r="Y6449" s="3"/>
    </row>
    <row r="6450" spans="1:26" x14ac:dyDescent="0.2">
      <c r="A6450" t="s">
        <v>740</v>
      </c>
      <c r="B6450">
        <v>2011</v>
      </c>
      <c r="C6450" t="s">
        <v>816</v>
      </c>
      <c r="D6450" t="s">
        <v>817</v>
      </c>
      <c r="E6450" t="s">
        <v>121</v>
      </c>
      <c r="F6450" t="s">
        <v>741</v>
      </c>
      <c r="G6450">
        <v>48.649805000000001</v>
      </c>
      <c r="H6450">
        <v>-3.8729719999999999</v>
      </c>
      <c r="I6450" t="s">
        <v>764</v>
      </c>
      <c r="J6450" s="2" t="s">
        <v>14</v>
      </c>
      <c r="K6450" t="s">
        <v>300</v>
      </c>
      <c r="L6450" t="s">
        <v>300</v>
      </c>
      <c r="M6450" t="s">
        <v>727</v>
      </c>
      <c r="N6450" t="s">
        <v>85</v>
      </c>
      <c r="O6450" t="s">
        <v>71</v>
      </c>
      <c r="P6450" t="s">
        <v>72</v>
      </c>
      <c r="Q6450">
        <v>2</v>
      </c>
      <c r="R6450" s="2" t="s">
        <v>214</v>
      </c>
      <c r="S6450" t="s">
        <v>27</v>
      </c>
      <c r="T6450">
        <v>3</v>
      </c>
      <c r="U6450" t="s">
        <v>28</v>
      </c>
      <c r="V6450" t="s">
        <v>28</v>
      </c>
      <c r="W6450">
        <v>25</v>
      </c>
      <c r="X6450" s="3"/>
      <c r="Y6450" s="3"/>
    </row>
    <row r="6451" spans="1:26" x14ac:dyDescent="0.2">
      <c r="A6451" t="s">
        <v>740</v>
      </c>
      <c r="B6451">
        <v>2011</v>
      </c>
      <c r="C6451" t="s">
        <v>816</v>
      </c>
      <c r="D6451" t="s">
        <v>817</v>
      </c>
      <c r="E6451" t="s">
        <v>121</v>
      </c>
      <c r="F6451" t="s">
        <v>741</v>
      </c>
      <c r="G6451">
        <v>48.649805000000001</v>
      </c>
      <c r="H6451">
        <v>-3.8729719999999999</v>
      </c>
      <c r="I6451" t="s">
        <v>764</v>
      </c>
      <c r="J6451" s="2" t="s">
        <v>14</v>
      </c>
      <c r="K6451" t="s">
        <v>300</v>
      </c>
      <c r="L6451" t="s">
        <v>300</v>
      </c>
      <c r="M6451" t="s">
        <v>727</v>
      </c>
      <c r="N6451" t="s">
        <v>85</v>
      </c>
      <c r="O6451" t="s">
        <v>71</v>
      </c>
      <c r="P6451" t="s">
        <v>72</v>
      </c>
      <c r="Q6451">
        <v>4</v>
      </c>
      <c r="R6451" s="2" t="s">
        <v>214</v>
      </c>
      <c r="S6451" t="s">
        <v>27</v>
      </c>
      <c r="T6451">
        <v>3</v>
      </c>
      <c r="U6451" t="s">
        <v>28</v>
      </c>
      <c r="V6451" t="s">
        <v>28</v>
      </c>
      <c r="W6451">
        <v>25</v>
      </c>
      <c r="X6451" s="3"/>
      <c r="Y6451" s="3"/>
    </row>
    <row r="6452" spans="1:26" x14ac:dyDescent="0.2">
      <c r="A6452" t="s">
        <v>740</v>
      </c>
      <c r="B6452">
        <v>2011</v>
      </c>
      <c r="C6452" t="s">
        <v>816</v>
      </c>
      <c r="D6452" t="s">
        <v>817</v>
      </c>
      <c r="E6452" t="s">
        <v>121</v>
      </c>
      <c r="F6452" t="s">
        <v>741</v>
      </c>
      <c r="G6452">
        <v>48.649805000000001</v>
      </c>
      <c r="H6452">
        <v>-3.8729719999999999</v>
      </c>
      <c r="I6452" t="s">
        <v>764</v>
      </c>
      <c r="J6452" s="2" t="s">
        <v>14</v>
      </c>
      <c r="K6452" t="s">
        <v>300</v>
      </c>
      <c r="L6452" t="s">
        <v>300</v>
      </c>
      <c r="M6452" t="s">
        <v>727</v>
      </c>
      <c r="N6452" t="s">
        <v>85</v>
      </c>
      <c r="O6452" t="s">
        <v>71</v>
      </c>
      <c r="P6452" t="s">
        <v>72</v>
      </c>
      <c r="Q6452">
        <v>6</v>
      </c>
      <c r="R6452" s="2" t="s">
        <v>213</v>
      </c>
      <c r="S6452" t="s">
        <v>27</v>
      </c>
      <c r="T6452">
        <v>3</v>
      </c>
      <c r="U6452" t="s">
        <v>28</v>
      </c>
      <c r="V6452" t="s">
        <v>28</v>
      </c>
      <c r="W6452">
        <v>25</v>
      </c>
      <c r="X6452" s="3"/>
      <c r="Y6452" s="3"/>
    </row>
    <row r="6453" spans="1:26" x14ac:dyDescent="0.2">
      <c r="A6453" t="s">
        <v>740</v>
      </c>
      <c r="B6453">
        <v>2011</v>
      </c>
      <c r="C6453" t="s">
        <v>816</v>
      </c>
      <c r="D6453" t="s">
        <v>817</v>
      </c>
      <c r="E6453" t="s">
        <v>121</v>
      </c>
      <c r="F6453" t="s">
        <v>741</v>
      </c>
      <c r="G6453">
        <v>48.649805000000001</v>
      </c>
      <c r="H6453">
        <v>-3.8729719999999999</v>
      </c>
      <c r="I6453" t="s">
        <v>764</v>
      </c>
      <c r="J6453" s="2" t="s">
        <v>7</v>
      </c>
      <c r="K6453" t="s">
        <v>3</v>
      </c>
      <c r="L6453" t="s">
        <v>3</v>
      </c>
      <c r="M6453" t="s">
        <v>12</v>
      </c>
      <c r="N6453" t="s">
        <v>85</v>
      </c>
      <c r="O6453" t="s">
        <v>12</v>
      </c>
      <c r="P6453" t="s">
        <v>70</v>
      </c>
      <c r="Q6453">
        <v>26</v>
      </c>
      <c r="R6453" s="2" t="s">
        <v>213</v>
      </c>
      <c r="S6453" t="s">
        <v>7</v>
      </c>
      <c r="T6453">
        <v>3</v>
      </c>
      <c r="U6453" t="s">
        <v>28</v>
      </c>
      <c r="V6453" t="s">
        <v>28</v>
      </c>
      <c r="W6453">
        <v>10</v>
      </c>
      <c r="X6453">
        <f>100-7.05</f>
        <v>92.95</v>
      </c>
      <c r="Y6453" s="6">
        <f t="shared" ref="Y6453:Y6456" si="107">Z6453*SQRT(T6453)</f>
        <v>4.5379731158304581</v>
      </c>
      <c r="Z6453">
        <f>9.67-7.05</f>
        <v>2.62</v>
      </c>
    </row>
    <row r="6454" spans="1:26" x14ac:dyDescent="0.2">
      <c r="A6454" t="s">
        <v>740</v>
      </c>
      <c r="B6454">
        <v>2011</v>
      </c>
      <c r="C6454" t="s">
        <v>816</v>
      </c>
      <c r="D6454" t="s">
        <v>817</v>
      </c>
      <c r="E6454" t="s">
        <v>121</v>
      </c>
      <c r="F6454" t="s">
        <v>741</v>
      </c>
      <c r="G6454">
        <v>48.649805000000001</v>
      </c>
      <c r="H6454">
        <v>-3.8729719999999999</v>
      </c>
      <c r="I6454" t="s">
        <v>764</v>
      </c>
      <c r="J6454" s="2" t="s">
        <v>14</v>
      </c>
      <c r="K6454" t="s">
        <v>3</v>
      </c>
      <c r="L6454" t="s">
        <v>3</v>
      </c>
      <c r="M6454" t="s">
        <v>12</v>
      </c>
      <c r="N6454" t="s">
        <v>85</v>
      </c>
      <c r="O6454" t="s">
        <v>12</v>
      </c>
      <c r="P6454" t="s">
        <v>70</v>
      </c>
      <c r="Q6454">
        <v>26</v>
      </c>
      <c r="R6454" s="2" t="s">
        <v>213</v>
      </c>
      <c r="S6454" t="s">
        <v>9</v>
      </c>
      <c r="T6454">
        <v>3</v>
      </c>
      <c r="U6454" t="s">
        <v>28</v>
      </c>
      <c r="V6454" t="s">
        <v>28</v>
      </c>
      <c r="W6454">
        <v>15</v>
      </c>
      <c r="X6454">
        <f>100-5.3</f>
        <v>94.7</v>
      </c>
      <c r="Y6454" s="6">
        <f t="shared" si="107"/>
        <v>7.4824594886975486</v>
      </c>
      <c r="Z6454">
        <f>9.62-5.3</f>
        <v>4.3199999999999994</v>
      </c>
    </row>
    <row r="6455" spans="1:26" x14ac:dyDescent="0.2">
      <c r="A6455" t="s">
        <v>740</v>
      </c>
      <c r="B6455">
        <v>2011</v>
      </c>
      <c r="C6455" t="s">
        <v>816</v>
      </c>
      <c r="D6455" t="s">
        <v>817</v>
      </c>
      <c r="E6455" t="s">
        <v>121</v>
      </c>
      <c r="F6455" t="s">
        <v>741</v>
      </c>
      <c r="G6455">
        <v>48.649805000000001</v>
      </c>
      <c r="H6455">
        <v>-3.8729719999999999</v>
      </c>
      <c r="I6455" t="s">
        <v>764</v>
      </c>
      <c r="J6455" s="2" t="s">
        <v>14</v>
      </c>
      <c r="K6455" t="s">
        <v>3</v>
      </c>
      <c r="L6455" t="s">
        <v>3</v>
      </c>
      <c r="M6455" t="s">
        <v>12</v>
      </c>
      <c r="N6455" t="s">
        <v>85</v>
      </c>
      <c r="O6455" t="s">
        <v>12</v>
      </c>
      <c r="P6455" t="s">
        <v>70</v>
      </c>
      <c r="Q6455">
        <v>26</v>
      </c>
      <c r="R6455" s="2" t="s">
        <v>213</v>
      </c>
      <c r="S6455" t="s">
        <v>27</v>
      </c>
      <c r="T6455">
        <v>3</v>
      </c>
      <c r="U6455" t="s">
        <v>28</v>
      </c>
      <c r="V6455" t="s">
        <v>28</v>
      </c>
      <c r="W6455">
        <v>25</v>
      </c>
      <c r="X6455">
        <f>100-47.58</f>
        <v>52.42</v>
      </c>
      <c r="Y6455" s="6">
        <f t="shared" si="107"/>
        <v>0.60621778264910953</v>
      </c>
      <c r="Z6455">
        <f>47.93-47.58</f>
        <v>0.35000000000000142</v>
      </c>
    </row>
    <row r="6456" spans="1:26" x14ac:dyDescent="0.2">
      <c r="A6456" t="s">
        <v>740</v>
      </c>
      <c r="B6456">
        <v>2011</v>
      </c>
      <c r="C6456" t="s">
        <v>816</v>
      </c>
      <c r="D6456" t="s">
        <v>817</v>
      </c>
      <c r="E6456" t="s">
        <v>121</v>
      </c>
      <c r="F6456" t="s">
        <v>741</v>
      </c>
      <c r="G6456">
        <v>48.649805000000001</v>
      </c>
      <c r="H6456">
        <v>-3.8729719999999999</v>
      </c>
      <c r="I6456" t="s">
        <v>764</v>
      </c>
      <c r="J6456" s="2" t="s">
        <v>7</v>
      </c>
      <c r="K6456" t="s">
        <v>3</v>
      </c>
      <c r="L6456" t="s">
        <v>3</v>
      </c>
      <c r="M6456" t="s">
        <v>727</v>
      </c>
      <c r="N6456" t="s">
        <v>85</v>
      </c>
      <c r="O6456" t="s">
        <v>42</v>
      </c>
      <c r="P6456" t="s">
        <v>743</v>
      </c>
      <c r="Q6456">
        <v>6</v>
      </c>
      <c r="R6456" s="2" t="s">
        <v>214</v>
      </c>
      <c r="S6456" t="s">
        <v>7</v>
      </c>
      <c r="T6456">
        <v>3</v>
      </c>
      <c r="U6456" t="s">
        <v>28</v>
      </c>
      <c r="V6456" t="s">
        <v>28</v>
      </c>
      <c r="W6456">
        <v>10</v>
      </c>
      <c r="X6456">
        <v>0</v>
      </c>
      <c r="Y6456" s="6">
        <f t="shared" si="107"/>
        <v>0</v>
      </c>
      <c r="Z6456">
        <v>0</v>
      </c>
    </row>
    <row r="6457" spans="1:26" x14ac:dyDescent="0.2">
      <c r="A6457" t="s">
        <v>740</v>
      </c>
      <c r="B6457">
        <v>2011</v>
      </c>
      <c r="C6457" t="s">
        <v>816</v>
      </c>
      <c r="D6457" t="s">
        <v>817</v>
      </c>
      <c r="E6457" t="s">
        <v>121</v>
      </c>
      <c r="F6457" t="s">
        <v>741</v>
      </c>
      <c r="G6457">
        <v>48.649805000000001</v>
      </c>
      <c r="H6457">
        <v>-3.8729719999999999</v>
      </c>
      <c r="I6457" t="s">
        <v>764</v>
      </c>
      <c r="J6457" s="2" t="s">
        <v>7</v>
      </c>
      <c r="K6457" t="s">
        <v>3</v>
      </c>
      <c r="L6457" t="s">
        <v>3</v>
      </c>
      <c r="M6457" t="s">
        <v>727</v>
      </c>
      <c r="N6457" t="s">
        <v>85</v>
      </c>
      <c r="O6457" t="s">
        <v>42</v>
      </c>
      <c r="P6457" t="s">
        <v>743</v>
      </c>
      <c r="Q6457">
        <v>8</v>
      </c>
      <c r="R6457" s="2" t="s">
        <v>214</v>
      </c>
      <c r="S6457" t="s">
        <v>7</v>
      </c>
      <c r="T6457">
        <v>3</v>
      </c>
      <c r="U6457" t="s">
        <v>28</v>
      </c>
      <c r="V6457" t="s">
        <v>28</v>
      </c>
      <c r="W6457">
        <v>10</v>
      </c>
      <c r="X6457">
        <v>0</v>
      </c>
      <c r="Y6457" s="6">
        <f t="shared" ref="Y6457:Y6477" si="108">Z6457*SQRT(T6457)</f>
        <v>0</v>
      </c>
      <c r="Z6457">
        <v>0</v>
      </c>
    </row>
    <row r="6458" spans="1:26" x14ac:dyDescent="0.2">
      <c r="A6458" t="s">
        <v>740</v>
      </c>
      <c r="B6458">
        <v>2011</v>
      </c>
      <c r="C6458" t="s">
        <v>816</v>
      </c>
      <c r="D6458" t="s">
        <v>817</v>
      </c>
      <c r="E6458" t="s">
        <v>121</v>
      </c>
      <c r="F6458" t="s">
        <v>741</v>
      </c>
      <c r="G6458">
        <v>48.649805000000001</v>
      </c>
      <c r="H6458">
        <v>-3.8729719999999999</v>
      </c>
      <c r="I6458" t="s">
        <v>764</v>
      </c>
      <c r="J6458" s="2" t="s">
        <v>7</v>
      </c>
      <c r="K6458" t="s">
        <v>3</v>
      </c>
      <c r="L6458" t="s">
        <v>3</v>
      </c>
      <c r="M6458" t="s">
        <v>727</v>
      </c>
      <c r="N6458" t="s">
        <v>85</v>
      </c>
      <c r="O6458" t="s">
        <v>42</v>
      </c>
      <c r="P6458" t="s">
        <v>743</v>
      </c>
      <c r="Q6458">
        <v>10</v>
      </c>
      <c r="R6458" s="2" t="s">
        <v>214</v>
      </c>
      <c r="S6458" t="s">
        <v>7</v>
      </c>
      <c r="T6458">
        <v>3</v>
      </c>
      <c r="U6458" t="s">
        <v>28</v>
      </c>
      <c r="V6458" t="s">
        <v>28</v>
      </c>
      <c r="W6458">
        <v>10</v>
      </c>
      <c r="X6458">
        <v>0</v>
      </c>
      <c r="Y6458" s="6">
        <f t="shared" si="108"/>
        <v>0</v>
      </c>
      <c r="Z6458">
        <v>0</v>
      </c>
    </row>
    <row r="6459" spans="1:26" x14ac:dyDescent="0.2">
      <c r="A6459" t="s">
        <v>740</v>
      </c>
      <c r="B6459">
        <v>2011</v>
      </c>
      <c r="C6459" t="s">
        <v>816</v>
      </c>
      <c r="D6459" t="s">
        <v>817</v>
      </c>
      <c r="E6459" t="s">
        <v>121</v>
      </c>
      <c r="F6459" t="s">
        <v>741</v>
      </c>
      <c r="G6459">
        <v>48.649805000000001</v>
      </c>
      <c r="H6459">
        <v>-3.8729719999999999</v>
      </c>
      <c r="I6459" t="s">
        <v>764</v>
      </c>
      <c r="J6459" s="2" t="s">
        <v>7</v>
      </c>
      <c r="K6459" t="s">
        <v>3</v>
      </c>
      <c r="L6459" t="s">
        <v>3</v>
      </c>
      <c r="M6459" t="s">
        <v>727</v>
      </c>
      <c r="N6459" t="s">
        <v>85</v>
      </c>
      <c r="O6459" t="s">
        <v>42</v>
      </c>
      <c r="P6459" t="s">
        <v>743</v>
      </c>
      <c r="Q6459">
        <v>12</v>
      </c>
      <c r="R6459" s="2" t="s">
        <v>214</v>
      </c>
      <c r="S6459" t="s">
        <v>7</v>
      </c>
      <c r="T6459">
        <v>3</v>
      </c>
      <c r="U6459" t="s">
        <v>28</v>
      </c>
      <c r="V6459" t="s">
        <v>28</v>
      </c>
      <c r="W6459">
        <v>10</v>
      </c>
      <c r="X6459">
        <v>0</v>
      </c>
      <c r="Y6459" s="6">
        <f t="shared" si="108"/>
        <v>0</v>
      </c>
      <c r="Z6459">
        <v>0</v>
      </c>
    </row>
    <row r="6460" spans="1:26" x14ac:dyDescent="0.2">
      <c r="A6460" t="s">
        <v>740</v>
      </c>
      <c r="B6460">
        <v>2011</v>
      </c>
      <c r="C6460" t="s">
        <v>816</v>
      </c>
      <c r="D6460" t="s">
        <v>817</v>
      </c>
      <c r="E6460" t="s">
        <v>121</v>
      </c>
      <c r="F6460" t="s">
        <v>741</v>
      </c>
      <c r="G6460">
        <v>48.649805000000001</v>
      </c>
      <c r="H6460">
        <v>-3.8729719999999999</v>
      </c>
      <c r="I6460" t="s">
        <v>764</v>
      </c>
      <c r="J6460" s="2" t="s">
        <v>7</v>
      </c>
      <c r="K6460" t="s">
        <v>3</v>
      </c>
      <c r="L6460" t="s">
        <v>3</v>
      </c>
      <c r="M6460" t="s">
        <v>727</v>
      </c>
      <c r="N6460" t="s">
        <v>85</v>
      </c>
      <c r="O6460" t="s">
        <v>42</v>
      </c>
      <c r="P6460" t="s">
        <v>743</v>
      </c>
      <c r="Q6460">
        <v>14</v>
      </c>
      <c r="R6460" s="2" t="s">
        <v>214</v>
      </c>
      <c r="S6460" t="s">
        <v>7</v>
      </c>
      <c r="T6460">
        <v>3</v>
      </c>
      <c r="U6460" t="s">
        <v>28</v>
      </c>
      <c r="V6460" t="s">
        <v>28</v>
      </c>
      <c r="W6460">
        <v>10</v>
      </c>
      <c r="X6460">
        <v>0</v>
      </c>
      <c r="Y6460" s="6">
        <f t="shared" si="108"/>
        <v>0</v>
      </c>
      <c r="Z6460">
        <v>0</v>
      </c>
    </row>
    <row r="6461" spans="1:26" x14ac:dyDescent="0.2">
      <c r="A6461" t="s">
        <v>740</v>
      </c>
      <c r="B6461">
        <v>2011</v>
      </c>
      <c r="C6461" t="s">
        <v>816</v>
      </c>
      <c r="D6461" t="s">
        <v>817</v>
      </c>
      <c r="E6461" t="s">
        <v>121</v>
      </c>
      <c r="F6461" t="s">
        <v>741</v>
      </c>
      <c r="G6461">
        <v>48.649805000000001</v>
      </c>
      <c r="H6461">
        <v>-3.8729719999999999</v>
      </c>
      <c r="I6461" t="s">
        <v>764</v>
      </c>
      <c r="J6461" s="2" t="s">
        <v>7</v>
      </c>
      <c r="K6461" t="s">
        <v>3</v>
      </c>
      <c r="L6461" t="s">
        <v>3</v>
      </c>
      <c r="M6461" t="s">
        <v>727</v>
      </c>
      <c r="N6461" t="s">
        <v>85</v>
      </c>
      <c r="O6461" t="s">
        <v>42</v>
      </c>
      <c r="P6461" t="s">
        <v>743</v>
      </c>
      <c r="Q6461">
        <v>16</v>
      </c>
      <c r="R6461" s="2" t="s">
        <v>214</v>
      </c>
      <c r="S6461" t="s">
        <v>7</v>
      </c>
      <c r="T6461">
        <v>3</v>
      </c>
      <c r="U6461" t="s">
        <v>28</v>
      </c>
      <c r="V6461" t="s">
        <v>28</v>
      </c>
      <c r="W6461">
        <v>10</v>
      </c>
      <c r="X6461">
        <v>2.319</v>
      </c>
      <c r="Y6461" s="6">
        <f t="shared" si="108"/>
        <v>7.0390544819599175</v>
      </c>
      <c r="Z6461">
        <f>6.383-X6461</f>
        <v>4.0640000000000001</v>
      </c>
    </row>
    <row r="6462" spans="1:26" x14ac:dyDescent="0.2">
      <c r="A6462" t="s">
        <v>740</v>
      </c>
      <c r="B6462">
        <v>2011</v>
      </c>
      <c r="C6462" t="s">
        <v>816</v>
      </c>
      <c r="D6462" t="s">
        <v>817</v>
      </c>
      <c r="E6462" t="s">
        <v>121</v>
      </c>
      <c r="F6462" t="s">
        <v>741</v>
      </c>
      <c r="G6462">
        <v>48.649805000000001</v>
      </c>
      <c r="H6462">
        <v>-3.8729719999999999</v>
      </c>
      <c r="I6462" t="s">
        <v>764</v>
      </c>
      <c r="J6462" s="2" t="s">
        <v>7</v>
      </c>
      <c r="K6462" t="s">
        <v>3</v>
      </c>
      <c r="L6462" t="s">
        <v>3</v>
      </c>
      <c r="M6462" t="s">
        <v>727</v>
      </c>
      <c r="N6462" t="s">
        <v>85</v>
      </c>
      <c r="O6462" t="s">
        <v>42</v>
      </c>
      <c r="P6462" t="s">
        <v>743</v>
      </c>
      <c r="Q6462">
        <v>18</v>
      </c>
      <c r="R6462" s="2" t="s">
        <v>214</v>
      </c>
      <c r="S6462" t="s">
        <v>7</v>
      </c>
      <c r="T6462">
        <v>3</v>
      </c>
      <c r="U6462" t="s">
        <v>28</v>
      </c>
      <c r="V6462" t="s">
        <v>28</v>
      </c>
      <c r="W6462">
        <v>10</v>
      </c>
      <c r="X6462">
        <v>1.3440000000000001</v>
      </c>
      <c r="Y6462" s="6">
        <f t="shared" si="108"/>
        <v>0.41742424462409922</v>
      </c>
      <c r="Z6462">
        <f>1.585-X6462</f>
        <v>0.24099999999999988</v>
      </c>
    </row>
    <row r="6463" spans="1:26" x14ac:dyDescent="0.2">
      <c r="A6463" t="s">
        <v>740</v>
      </c>
      <c r="B6463">
        <v>2011</v>
      </c>
      <c r="C6463" t="s">
        <v>816</v>
      </c>
      <c r="D6463" t="s">
        <v>817</v>
      </c>
      <c r="E6463" t="s">
        <v>121</v>
      </c>
      <c r="F6463" t="s">
        <v>741</v>
      </c>
      <c r="G6463">
        <v>48.649805000000001</v>
      </c>
      <c r="H6463">
        <v>-3.8729719999999999</v>
      </c>
      <c r="I6463" t="s">
        <v>764</v>
      </c>
      <c r="J6463" s="2" t="s">
        <v>7</v>
      </c>
      <c r="K6463" t="s">
        <v>3</v>
      </c>
      <c r="L6463" t="s">
        <v>3</v>
      </c>
      <c r="M6463" t="s">
        <v>727</v>
      </c>
      <c r="N6463" t="s">
        <v>85</v>
      </c>
      <c r="O6463" t="s">
        <v>42</v>
      </c>
      <c r="P6463" t="s">
        <v>743</v>
      </c>
      <c r="Q6463">
        <v>20</v>
      </c>
      <c r="R6463" s="2" t="s">
        <v>214</v>
      </c>
      <c r="S6463" t="s">
        <v>7</v>
      </c>
      <c r="T6463">
        <v>3</v>
      </c>
      <c r="U6463" t="s">
        <v>28</v>
      </c>
      <c r="V6463" t="s">
        <v>28</v>
      </c>
      <c r="W6463">
        <v>10</v>
      </c>
      <c r="X6463">
        <v>1.3120000000000001</v>
      </c>
      <c r="Y6463" s="6">
        <f t="shared" si="108"/>
        <v>0.32389350101538011</v>
      </c>
      <c r="Z6463">
        <f>1.499-X6463</f>
        <v>0.18700000000000006</v>
      </c>
    </row>
    <row r="6464" spans="1:26" x14ac:dyDescent="0.2">
      <c r="A6464" t="s">
        <v>740</v>
      </c>
      <c r="B6464">
        <v>2011</v>
      </c>
      <c r="C6464" t="s">
        <v>816</v>
      </c>
      <c r="D6464" t="s">
        <v>817</v>
      </c>
      <c r="E6464" t="s">
        <v>121</v>
      </c>
      <c r="F6464" t="s">
        <v>741</v>
      </c>
      <c r="G6464">
        <v>48.649805000000001</v>
      </c>
      <c r="H6464">
        <v>-3.8729719999999999</v>
      </c>
      <c r="I6464" t="s">
        <v>764</v>
      </c>
      <c r="J6464" s="2" t="s">
        <v>7</v>
      </c>
      <c r="K6464" t="s">
        <v>3</v>
      </c>
      <c r="L6464" t="s">
        <v>3</v>
      </c>
      <c r="M6464" t="s">
        <v>727</v>
      </c>
      <c r="N6464" t="s">
        <v>85</v>
      </c>
      <c r="O6464" t="s">
        <v>42</v>
      </c>
      <c r="P6464" t="s">
        <v>743</v>
      </c>
      <c r="Q6464">
        <v>22</v>
      </c>
      <c r="R6464" s="2" t="s">
        <v>214</v>
      </c>
      <c r="S6464" t="s">
        <v>7</v>
      </c>
      <c r="T6464">
        <v>3</v>
      </c>
      <c r="U6464" t="s">
        <v>28</v>
      </c>
      <c r="V6464" t="s">
        <v>28</v>
      </c>
      <c r="W6464">
        <v>10</v>
      </c>
      <c r="X6464">
        <v>1.67</v>
      </c>
      <c r="Y6464" s="6">
        <f t="shared" si="108"/>
        <v>1.1327612281500454</v>
      </c>
      <c r="Z6464">
        <f>2.324-X6464</f>
        <v>0.65399999999999991</v>
      </c>
    </row>
    <row r="6465" spans="1:26" x14ac:dyDescent="0.2">
      <c r="A6465" t="s">
        <v>740</v>
      </c>
      <c r="B6465">
        <v>2011</v>
      </c>
      <c r="C6465" t="s">
        <v>816</v>
      </c>
      <c r="D6465" t="s">
        <v>817</v>
      </c>
      <c r="E6465" t="s">
        <v>121</v>
      </c>
      <c r="F6465" t="s">
        <v>741</v>
      </c>
      <c r="G6465">
        <v>48.649805000000001</v>
      </c>
      <c r="H6465">
        <v>-3.8729719999999999</v>
      </c>
      <c r="I6465" t="s">
        <v>764</v>
      </c>
      <c r="J6465" s="2" t="s">
        <v>7</v>
      </c>
      <c r="K6465" t="s">
        <v>3</v>
      </c>
      <c r="L6465" t="s">
        <v>3</v>
      </c>
      <c r="M6465" t="s">
        <v>727</v>
      </c>
      <c r="N6465" t="s">
        <v>85</v>
      </c>
      <c r="O6465" t="s">
        <v>42</v>
      </c>
      <c r="P6465" t="s">
        <v>743</v>
      </c>
      <c r="Q6465">
        <v>24</v>
      </c>
      <c r="R6465" s="2" t="s">
        <v>214</v>
      </c>
      <c r="S6465" t="s">
        <v>7</v>
      </c>
      <c r="T6465">
        <v>3</v>
      </c>
      <c r="U6465" t="s">
        <v>28</v>
      </c>
      <c r="V6465" t="s">
        <v>28</v>
      </c>
      <c r="W6465">
        <v>10</v>
      </c>
      <c r="X6465">
        <v>1.0920000000000001</v>
      </c>
      <c r="Y6465" s="6">
        <f t="shared" si="108"/>
        <v>0.23382685902179845</v>
      </c>
      <c r="Z6465">
        <f>1.227-X6465</f>
        <v>0.13500000000000001</v>
      </c>
    </row>
    <row r="6466" spans="1:26" x14ac:dyDescent="0.2">
      <c r="A6466" t="s">
        <v>740</v>
      </c>
      <c r="B6466">
        <v>2011</v>
      </c>
      <c r="C6466" t="s">
        <v>816</v>
      </c>
      <c r="D6466" t="s">
        <v>817</v>
      </c>
      <c r="E6466" t="s">
        <v>121</v>
      </c>
      <c r="F6466" t="s">
        <v>741</v>
      </c>
      <c r="G6466">
        <v>48.649805000000001</v>
      </c>
      <c r="H6466">
        <v>-3.8729719999999999</v>
      </c>
      <c r="I6466" t="s">
        <v>764</v>
      </c>
      <c r="J6466" s="2" t="s">
        <v>7</v>
      </c>
      <c r="K6466" t="s">
        <v>3</v>
      </c>
      <c r="L6466" t="s">
        <v>3</v>
      </c>
      <c r="M6466" t="s">
        <v>727</v>
      </c>
      <c r="N6466" t="s">
        <v>85</v>
      </c>
      <c r="O6466" t="s">
        <v>42</v>
      </c>
      <c r="P6466" t="s">
        <v>743</v>
      </c>
      <c r="Q6466">
        <v>26</v>
      </c>
      <c r="R6466" s="2" t="s">
        <v>213</v>
      </c>
      <c r="S6466" t="s">
        <v>7</v>
      </c>
      <c r="T6466">
        <v>3</v>
      </c>
      <c r="U6466" t="s">
        <v>28</v>
      </c>
      <c r="V6466" t="s">
        <v>28</v>
      </c>
      <c r="W6466">
        <v>10</v>
      </c>
      <c r="X6466">
        <v>0.98199999999999998</v>
      </c>
      <c r="Y6466" s="6">
        <f t="shared" si="108"/>
        <v>0.40356783816354858</v>
      </c>
      <c r="Z6466">
        <f>1.215-X6466</f>
        <v>0.2330000000000001</v>
      </c>
    </row>
    <row r="6467" spans="1:26" x14ac:dyDescent="0.2">
      <c r="A6467" t="s">
        <v>740</v>
      </c>
      <c r="B6467">
        <v>2011</v>
      </c>
      <c r="C6467" t="s">
        <v>816</v>
      </c>
      <c r="D6467" t="s">
        <v>817</v>
      </c>
      <c r="E6467" t="s">
        <v>121</v>
      </c>
      <c r="F6467" t="s">
        <v>741</v>
      </c>
      <c r="G6467">
        <v>48.649805000000001</v>
      </c>
      <c r="H6467">
        <v>-3.8729719999999999</v>
      </c>
      <c r="I6467" t="s">
        <v>764</v>
      </c>
      <c r="J6467" s="2" t="s">
        <v>14</v>
      </c>
      <c r="K6467" t="s">
        <v>3</v>
      </c>
      <c r="L6467" t="s">
        <v>3</v>
      </c>
      <c r="M6467" t="s">
        <v>727</v>
      </c>
      <c r="N6467" t="s">
        <v>85</v>
      </c>
      <c r="O6467" t="s">
        <v>42</v>
      </c>
      <c r="P6467" t="s">
        <v>743</v>
      </c>
      <c r="Q6467">
        <v>6</v>
      </c>
      <c r="R6467" s="2" t="s">
        <v>214</v>
      </c>
      <c r="S6467" t="s">
        <v>9</v>
      </c>
      <c r="T6467">
        <v>3</v>
      </c>
      <c r="U6467" t="s">
        <v>28</v>
      </c>
      <c r="V6467" t="s">
        <v>28</v>
      </c>
      <c r="W6467">
        <v>15</v>
      </c>
      <c r="X6467">
        <v>0</v>
      </c>
      <c r="Y6467" s="6">
        <f t="shared" si="108"/>
        <v>0</v>
      </c>
      <c r="Z6467">
        <v>0</v>
      </c>
    </row>
    <row r="6468" spans="1:26" x14ac:dyDescent="0.2">
      <c r="A6468" t="s">
        <v>740</v>
      </c>
      <c r="B6468">
        <v>2011</v>
      </c>
      <c r="C6468" t="s">
        <v>816</v>
      </c>
      <c r="D6468" t="s">
        <v>817</v>
      </c>
      <c r="E6468" t="s">
        <v>121</v>
      </c>
      <c r="F6468" t="s">
        <v>741</v>
      </c>
      <c r="G6468">
        <v>48.649805000000001</v>
      </c>
      <c r="H6468">
        <v>-3.8729719999999999</v>
      </c>
      <c r="I6468" t="s">
        <v>764</v>
      </c>
      <c r="J6468" s="2" t="s">
        <v>14</v>
      </c>
      <c r="K6468" t="s">
        <v>3</v>
      </c>
      <c r="L6468" t="s">
        <v>3</v>
      </c>
      <c r="M6468" t="s">
        <v>727</v>
      </c>
      <c r="N6468" t="s">
        <v>85</v>
      </c>
      <c r="O6468" t="s">
        <v>42</v>
      </c>
      <c r="P6468" t="s">
        <v>743</v>
      </c>
      <c r="Q6468">
        <v>8</v>
      </c>
      <c r="R6468" s="2" t="s">
        <v>214</v>
      </c>
      <c r="S6468" t="s">
        <v>9</v>
      </c>
      <c r="T6468">
        <v>3</v>
      </c>
      <c r="U6468" t="s">
        <v>28</v>
      </c>
      <c r="V6468" t="s">
        <v>28</v>
      </c>
      <c r="W6468">
        <v>15</v>
      </c>
      <c r="X6468">
        <v>0</v>
      </c>
      <c r="Y6468" s="6">
        <f t="shared" si="108"/>
        <v>0</v>
      </c>
      <c r="Z6468">
        <v>0</v>
      </c>
    </row>
    <row r="6469" spans="1:26" x14ac:dyDescent="0.2">
      <c r="A6469" t="s">
        <v>740</v>
      </c>
      <c r="B6469">
        <v>2011</v>
      </c>
      <c r="C6469" t="s">
        <v>816</v>
      </c>
      <c r="D6469" t="s">
        <v>817</v>
      </c>
      <c r="E6469" t="s">
        <v>121</v>
      </c>
      <c r="F6469" t="s">
        <v>741</v>
      </c>
      <c r="G6469">
        <v>48.649805000000001</v>
      </c>
      <c r="H6469">
        <v>-3.8729719999999999</v>
      </c>
      <c r="I6469" t="s">
        <v>764</v>
      </c>
      <c r="J6469" s="2" t="s">
        <v>14</v>
      </c>
      <c r="K6469" t="s">
        <v>3</v>
      </c>
      <c r="L6469" t="s">
        <v>3</v>
      </c>
      <c r="M6469" t="s">
        <v>727</v>
      </c>
      <c r="N6469" t="s">
        <v>85</v>
      </c>
      <c r="O6469" t="s">
        <v>42</v>
      </c>
      <c r="P6469" t="s">
        <v>743</v>
      </c>
      <c r="Q6469">
        <v>10</v>
      </c>
      <c r="R6469" s="2" t="s">
        <v>214</v>
      </c>
      <c r="S6469" t="s">
        <v>9</v>
      </c>
      <c r="T6469">
        <v>3</v>
      </c>
      <c r="U6469" t="s">
        <v>28</v>
      </c>
      <c r="V6469" t="s">
        <v>28</v>
      </c>
      <c r="W6469">
        <v>15</v>
      </c>
      <c r="X6469">
        <v>0</v>
      </c>
      <c r="Y6469" s="6">
        <f t="shared" si="108"/>
        <v>0</v>
      </c>
      <c r="Z6469">
        <v>0</v>
      </c>
    </row>
    <row r="6470" spans="1:26" x14ac:dyDescent="0.2">
      <c r="A6470" t="s">
        <v>740</v>
      </c>
      <c r="B6470">
        <v>2011</v>
      </c>
      <c r="C6470" t="s">
        <v>816</v>
      </c>
      <c r="D6470" t="s">
        <v>817</v>
      </c>
      <c r="E6470" t="s">
        <v>121</v>
      </c>
      <c r="F6470" t="s">
        <v>741</v>
      </c>
      <c r="G6470">
        <v>48.649805000000001</v>
      </c>
      <c r="H6470">
        <v>-3.8729719999999999</v>
      </c>
      <c r="I6470" t="s">
        <v>764</v>
      </c>
      <c r="J6470" s="2" t="s">
        <v>14</v>
      </c>
      <c r="K6470" t="s">
        <v>3</v>
      </c>
      <c r="L6470" t="s">
        <v>3</v>
      </c>
      <c r="M6470" t="s">
        <v>727</v>
      </c>
      <c r="N6470" t="s">
        <v>85</v>
      </c>
      <c r="O6470" t="s">
        <v>42</v>
      </c>
      <c r="P6470" t="s">
        <v>743</v>
      </c>
      <c r="Q6470">
        <v>12</v>
      </c>
      <c r="R6470" s="2" t="s">
        <v>214</v>
      </c>
      <c r="S6470" t="s">
        <v>9</v>
      </c>
      <c r="T6470">
        <v>3</v>
      </c>
      <c r="U6470" t="s">
        <v>28</v>
      </c>
      <c r="V6470" t="s">
        <v>28</v>
      </c>
      <c r="W6470">
        <v>15</v>
      </c>
      <c r="X6470">
        <v>1.7669999999999999</v>
      </c>
      <c r="Y6470" s="6">
        <f t="shared" si="108"/>
        <v>2.5166698233975793</v>
      </c>
      <c r="Z6470">
        <f>3.22-X6470</f>
        <v>1.4530000000000003</v>
      </c>
    </row>
    <row r="6471" spans="1:26" x14ac:dyDescent="0.2">
      <c r="A6471" t="s">
        <v>740</v>
      </c>
      <c r="B6471">
        <v>2011</v>
      </c>
      <c r="C6471" t="s">
        <v>816</v>
      </c>
      <c r="D6471" t="s">
        <v>817</v>
      </c>
      <c r="E6471" t="s">
        <v>121</v>
      </c>
      <c r="F6471" t="s">
        <v>741</v>
      </c>
      <c r="G6471">
        <v>48.649805000000001</v>
      </c>
      <c r="H6471">
        <v>-3.8729719999999999</v>
      </c>
      <c r="I6471" t="s">
        <v>764</v>
      </c>
      <c r="J6471" s="2" t="s">
        <v>14</v>
      </c>
      <c r="K6471" t="s">
        <v>3</v>
      </c>
      <c r="L6471" t="s">
        <v>3</v>
      </c>
      <c r="M6471" t="s">
        <v>727</v>
      </c>
      <c r="N6471" t="s">
        <v>85</v>
      </c>
      <c r="O6471" t="s">
        <v>42</v>
      </c>
      <c r="P6471" t="s">
        <v>743</v>
      </c>
      <c r="Q6471">
        <v>14</v>
      </c>
      <c r="R6471" s="2" t="s">
        <v>214</v>
      </c>
      <c r="S6471" t="s">
        <v>9</v>
      </c>
      <c r="T6471">
        <v>3</v>
      </c>
      <c r="U6471" t="s">
        <v>28</v>
      </c>
      <c r="V6471" t="s">
        <v>28</v>
      </c>
      <c r="W6471">
        <v>15</v>
      </c>
      <c r="X6471">
        <v>1.3839999999999999</v>
      </c>
      <c r="Y6471" s="6">
        <f t="shared" si="108"/>
        <v>1.4410662718973064</v>
      </c>
      <c r="Z6471">
        <f>2.216-X6471</f>
        <v>0.83200000000000029</v>
      </c>
    </row>
    <row r="6472" spans="1:26" x14ac:dyDescent="0.2">
      <c r="A6472" t="s">
        <v>740</v>
      </c>
      <c r="B6472">
        <v>2011</v>
      </c>
      <c r="C6472" t="s">
        <v>816</v>
      </c>
      <c r="D6472" t="s">
        <v>817</v>
      </c>
      <c r="E6472" t="s">
        <v>121</v>
      </c>
      <c r="F6472" t="s">
        <v>741</v>
      </c>
      <c r="G6472">
        <v>48.649805000000001</v>
      </c>
      <c r="H6472">
        <v>-3.8729719999999999</v>
      </c>
      <c r="I6472" t="s">
        <v>764</v>
      </c>
      <c r="J6472" s="2" t="s">
        <v>14</v>
      </c>
      <c r="K6472" t="s">
        <v>3</v>
      </c>
      <c r="L6472" t="s">
        <v>3</v>
      </c>
      <c r="M6472" t="s">
        <v>727</v>
      </c>
      <c r="N6472" t="s">
        <v>85</v>
      </c>
      <c r="O6472" t="s">
        <v>42</v>
      </c>
      <c r="P6472" t="s">
        <v>743</v>
      </c>
      <c r="Q6472">
        <v>16</v>
      </c>
      <c r="R6472" s="2" t="s">
        <v>214</v>
      </c>
      <c r="S6472" t="s">
        <v>9</v>
      </c>
      <c r="T6472">
        <v>3</v>
      </c>
      <c r="U6472" t="s">
        <v>28</v>
      </c>
      <c r="V6472" t="s">
        <v>28</v>
      </c>
      <c r="W6472">
        <v>15</v>
      </c>
      <c r="X6472">
        <v>0.88500000000000001</v>
      </c>
      <c r="Y6472" s="6">
        <f t="shared" si="108"/>
        <v>0.11604740410711469</v>
      </c>
      <c r="Z6472">
        <f>0.952-X6472</f>
        <v>6.6999999999999948E-2</v>
      </c>
    </row>
    <row r="6473" spans="1:26" x14ac:dyDescent="0.2">
      <c r="A6473" t="s">
        <v>740</v>
      </c>
      <c r="B6473">
        <v>2011</v>
      </c>
      <c r="C6473" t="s">
        <v>816</v>
      </c>
      <c r="D6473" t="s">
        <v>817</v>
      </c>
      <c r="E6473" t="s">
        <v>121</v>
      </c>
      <c r="F6473" t="s">
        <v>741</v>
      </c>
      <c r="G6473">
        <v>48.649805000000001</v>
      </c>
      <c r="H6473">
        <v>-3.8729719999999999</v>
      </c>
      <c r="I6473" t="s">
        <v>764</v>
      </c>
      <c r="J6473" s="2" t="s">
        <v>14</v>
      </c>
      <c r="K6473" t="s">
        <v>3</v>
      </c>
      <c r="L6473" t="s">
        <v>3</v>
      </c>
      <c r="M6473" t="s">
        <v>727</v>
      </c>
      <c r="N6473" t="s">
        <v>85</v>
      </c>
      <c r="O6473" t="s">
        <v>42</v>
      </c>
      <c r="P6473" t="s">
        <v>743</v>
      </c>
      <c r="Q6473">
        <v>18</v>
      </c>
      <c r="R6473" s="2" t="s">
        <v>214</v>
      </c>
      <c r="S6473" t="s">
        <v>9</v>
      </c>
      <c r="T6473">
        <v>3</v>
      </c>
      <c r="U6473" t="s">
        <v>28</v>
      </c>
      <c r="V6473" t="s">
        <v>28</v>
      </c>
      <c r="W6473">
        <v>15</v>
      </c>
      <c r="X6473">
        <v>0.84499999999999997</v>
      </c>
      <c r="Y6473" s="6">
        <f t="shared" si="108"/>
        <v>0.54039985196148976</v>
      </c>
      <c r="Z6473">
        <f>1.157-X6473</f>
        <v>0.31200000000000006</v>
      </c>
    </row>
    <row r="6474" spans="1:26" x14ac:dyDescent="0.2">
      <c r="A6474" t="s">
        <v>740</v>
      </c>
      <c r="B6474">
        <v>2011</v>
      </c>
      <c r="C6474" t="s">
        <v>816</v>
      </c>
      <c r="D6474" t="s">
        <v>817</v>
      </c>
      <c r="E6474" t="s">
        <v>121</v>
      </c>
      <c r="F6474" t="s">
        <v>741</v>
      </c>
      <c r="G6474">
        <v>48.649805000000001</v>
      </c>
      <c r="H6474">
        <v>-3.8729719999999999</v>
      </c>
      <c r="I6474" t="s">
        <v>764</v>
      </c>
      <c r="J6474" s="2" t="s">
        <v>14</v>
      </c>
      <c r="K6474" t="s">
        <v>3</v>
      </c>
      <c r="L6474" t="s">
        <v>3</v>
      </c>
      <c r="M6474" t="s">
        <v>727</v>
      </c>
      <c r="N6474" t="s">
        <v>85</v>
      </c>
      <c r="O6474" t="s">
        <v>42</v>
      </c>
      <c r="P6474" t="s">
        <v>743</v>
      </c>
      <c r="Q6474">
        <v>20</v>
      </c>
      <c r="R6474" s="2" t="s">
        <v>214</v>
      </c>
      <c r="S6474" t="s">
        <v>9</v>
      </c>
      <c r="T6474">
        <v>3</v>
      </c>
      <c r="U6474" t="s">
        <v>28</v>
      </c>
      <c r="V6474" t="s">
        <v>28</v>
      </c>
      <c r="W6474">
        <v>15</v>
      </c>
      <c r="X6474">
        <v>0.95299999999999996</v>
      </c>
      <c r="Y6474" s="6">
        <f t="shared" si="108"/>
        <v>0.49363448015713007</v>
      </c>
      <c r="Z6474">
        <f>1.238-X6474</f>
        <v>0.28500000000000003</v>
      </c>
    </row>
    <row r="6475" spans="1:26" x14ac:dyDescent="0.2">
      <c r="A6475" t="s">
        <v>740</v>
      </c>
      <c r="B6475">
        <v>2011</v>
      </c>
      <c r="C6475" t="s">
        <v>816</v>
      </c>
      <c r="D6475" t="s">
        <v>817</v>
      </c>
      <c r="E6475" t="s">
        <v>121</v>
      </c>
      <c r="F6475" t="s">
        <v>741</v>
      </c>
      <c r="G6475">
        <v>48.649805000000001</v>
      </c>
      <c r="H6475">
        <v>-3.8729719999999999</v>
      </c>
      <c r="I6475" t="s">
        <v>764</v>
      </c>
      <c r="J6475" s="2" t="s">
        <v>14</v>
      </c>
      <c r="K6475" t="s">
        <v>3</v>
      </c>
      <c r="L6475" t="s">
        <v>3</v>
      </c>
      <c r="M6475" t="s">
        <v>727</v>
      </c>
      <c r="N6475" t="s">
        <v>85</v>
      </c>
      <c r="O6475" t="s">
        <v>42</v>
      </c>
      <c r="P6475" t="s">
        <v>743</v>
      </c>
      <c r="Q6475">
        <v>22</v>
      </c>
      <c r="R6475" s="2" t="s">
        <v>214</v>
      </c>
      <c r="S6475" t="s">
        <v>9</v>
      </c>
      <c r="T6475">
        <v>3</v>
      </c>
      <c r="U6475" t="s">
        <v>28</v>
      </c>
      <c r="V6475" t="s">
        <v>28</v>
      </c>
      <c r="W6475">
        <v>15</v>
      </c>
      <c r="X6475">
        <v>0.96</v>
      </c>
      <c r="Y6475" s="6">
        <f t="shared" si="108"/>
        <v>0.46072551481332136</v>
      </c>
      <c r="Z6475">
        <f>1.226-X6475</f>
        <v>0.26600000000000001</v>
      </c>
    </row>
    <row r="6476" spans="1:26" x14ac:dyDescent="0.2">
      <c r="A6476" t="s">
        <v>740</v>
      </c>
      <c r="B6476">
        <v>2011</v>
      </c>
      <c r="C6476" t="s">
        <v>816</v>
      </c>
      <c r="D6476" t="s">
        <v>817</v>
      </c>
      <c r="E6476" t="s">
        <v>121</v>
      </c>
      <c r="F6476" t="s">
        <v>741</v>
      </c>
      <c r="G6476">
        <v>48.649805000000001</v>
      </c>
      <c r="H6476">
        <v>-3.8729719999999999</v>
      </c>
      <c r="I6476" t="s">
        <v>764</v>
      </c>
      <c r="J6476" s="2" t="s">
        <v>14</v>
      </c>
      <c r="K6476" t="s">
        <v>3</v>
      </c>
      <c r="L6476" t="s">
        <v>3</v>
      </c>
      <c r="M6476" t="s">
        <v>727</v>
      </c>
      <c r="N6476" t="s">
        <v>85</v>
      </c>
      <c r="O6476" t="s">
        <v>42</v>
      </c>
      <c r="P6476" t="s">
        <v>743</v>
      </c>
      <c r="Q6476">
        <v>24</v>
      </c>
      <c r="R6476" s="2" t="s">
        <v>214</v>
      </c>
      <c r="S6476" t="s">
        <v>9</v>
      </c>
      <c r="T6476">
        <v>3</v>
      </c>
      <c r="U6476" t="s">
        <v>28</v>
      </c>
      <c r="V6476" t="s">
        <v>28</v>
      </c>
      <c r="W6476">
        <v>15</v>
      </c>
      <c r="X6476">
        <v>0.99099999999999999</v>
      </c>
      <c r="Y6476" s="6">
        <f t="shared" si="108"/>
        <v>0.40876399058625518</v>
      </c>
      <c r="Z6476">
        <f>1.227-X6476</f>
        <v>0.2360000000000001</v>
      </c>
    </row>
    <row r="6477" spans="1:26" x14ac:dyDescent="0.2">
      <c r="A6477" t="s">
        <v>740</v>
      </c>
      <c r="B6477">
        <v>2011</v>
      </c>
      <c r="C6477" t="s">
        <v>816</v>
      </c>
      <c r="D6477" t="s">
        <v>817</v>
      </c>
      <c r="E6477" t="s">
        <v>121</v>
      </c>
      <c r="F6477" t="s">
        <v>741</v>
      </c>
      <c r="G6477">
        <v>48.649805000000001</v>
      </c>
      <c r="H6477">
        <v>-3.8729719999999999</v>
      </c>
      <c r="I6477" t="s">
        <v>764</v>
      </c>
      <c r="J6477" s="2" t="s">
        <v>14</v>
      </c>
      <c r="K6477" t="s">
        <v>3</v>
      </c>
      <c r="L6477" t="s">
        <v>3</v>
      </c>
      <c r="M6477" t="s">
        <v>727</v>
      </c>
      <c r="N6477" t="s">
        <v>85</v>
      </c>
      <c r="O6477" t="s">
        <v>42</v>
      </c>
      <c r="P6477" t="s">
        <v>743</v>
      </c>
      <c r="Q6477">
        <v>26</v>
      </c>
      <c r="R6477" s="2" t="s">
        <v>213</v>
      </c>
      <c r="S6477" t="s">
        <v>9</v>
      </c>
      <c r="T6477">
        <v>3</v>
      </c>
      <c r="U6477" t="s">
        <v>28</v>
      </c>
      <c r="V6477" t="s">
        <v>28</v>
      </c>
      <c r="W6477">
        <v>15</v>
      </c>
      <c r="X6477">
        <v>0.99</v>
      </c>
      <c r="Y6477" s="6">
        <f t="shared" si="108"/>
        <v>0.41222809220139273</v>
      </c>
      <c r="Z6477">
        <f>1.228-X6477</f>
        <v>0.23799999999999999</v>
      </c>
    </row>
    <row r="6478" spans="1:26" x14ac:dyDescent="0.2">
      <c r="A6478" t="s">
        <v>744</v>
      </c>
      <c r="B6478">
        <v>2021</v>
      </c>
      <c r="C6478" t="s">
        <v>807</v>
      </c>
      <c r="D6478" t="s">
        <v>825</v>
      </c>
      <c r="E6478" t="s">
        <v>35</v>
      </c>
      <c r="F6478" t="s">
        <v>745</v>
      </c>
      <c r="G6478">
        <v>38.533332999999999</v>
      </c>
      <c r="H6478">
        <v>141.51666700000001</v>
      </c>
      <c r="I6478" t="s">
        <v>770</v>
      </c>
      <c r="J6478" s="2" t="s">
        <v>7</v>
      </c>
      <c r="K6478" t="s">
        <v>746</v>
      </c>
      <c r="L6478" t="s">
        <v>144</v>
      </c>
      <c r="M6478" t="s">
        <v>73</v>
      </c>
      <c r="N6478" t="s">
        <v>85</v>
      </c>
      <c r="O6478" t="s">
        <v>834</v>
      </c>
      <c r="P6478" t="s">
        <v>641</v>
      </c>
      <c r="Q6478">
        <f t="shared" ref="Q6478:Q6489" si="109">1/24</f>
        <v>4.1666666666666664E-2</v>
      </c>
      <c r="R6478" s="2" t="s">
        <v>213</v>
      </c>
      <c r="S6478" t="s">
        <v>7</v>
      </c>
      <c r="T6478">
        <v>5</v>
      </c>
      <c r="U6478" t="s">
        <v>28</v>
      </c>
      <c r="V6478" t="s">
        <v>28</v>
      </c>
      <c r="W6478" s="23">
        <v>16</v>
      </c>
      <c r="X6478" s="24">
        <v>20.095525924064528</v>
      </c>
      <c r="Y6478" s="24">
        <v>2.6571811810853903</v>
      </c>
    </row>
    <row r="6479" spans="1:26" x14ac:dyDescent="0.2">
      <c r="A6479" t="s">
        <v>744</v>
      </c>
      <c r="B6479">
        <v>2021</v>
      </c>
      <c r="C6479" t="s">
        <v>807</v>
      </c>
      <c r="D6479" t="s">
        <v>825</v>
      </c>
      <c r="E6479" t="s">
        <v>35</v>
      </c>
      <c r="F6479" t="s">
        <v>745</v>
      </c>
      <c r="G6479">
        <v>38.533332999999999</v>
      </c>
      <c r="H6479">
        <v>141.51666700000001</v>
      </c>
      <c r="I6479" t="s">
        <v>770</v>
      </c>
      <c r="J6479" s="2" t="s">
        <v>14</v>
      </c>
      <c r="K6479" t="s">
        <v>746</v>
      </c>
      <c r="L6479" t="s">
        <v>144</v>
      </c>
      <c r="M6479" t="s">
        <v>73</v>
      </c>
      <c r="N6479" t="s">
        <v>85</v>
      </c>
      <c r="O6479" t="s">
        <v>834</v>
      </c>
      <c r="P6479" t="s">
        <v>641</v>
      </c>
      <c r="Q6479">
        <f t="shared" si="109"/>
        <v>4.1666666666666664E-2</v>
      </c>
      <c r="R6479" s="2" t="s">
        <v>213</v>
      </c>
      <c r="S6479" t="s">
        <v>27</v>
      </c>
      <c r="T6479">
        <v>5</v>
      </c>
      <c r="U6479" t="s">
        <v>28</v>
      </c>
      <c r="V6479" t="s">
        <v>28</v>
      </c>
      <c r="W6479" s="23">
        <v>20</v>
      </c>
      <c r="X6479" s="24">
        <v>21.820943752757586</v>
      </c>
      <c r="Y6479" s="24">
        <v>3.5240318569498839</v>
      </c>
    </row>
    <row r="6480" spans="1:26" x14ac:dyDescent="0.2">
      <c r="A6480" t="s">
        <v>744</v>
      </c>
      <c r="B6480">
        <v>2021</v>
      </c>
      <c r="C6480" t="s">
        <v>807</v>
      </c>
      <c r="D6480" t="s">
        <v>825</v>
      </c>
      <c r="E6480" t="s">
        <v>35</v>
      </c>
      <c r="F6480" t="s">
        <v>745</v>
      </c>
      <c r="G6480">
        <v>38.533332999999999</v>
      </c>
      <c r="H6480">
        <v>141.51666700000001</v>
      </c>
      <c r="I6480" t="s">
        <v>770</v>
      </c>
      <c r="J6480" s="2" t="s">
        <v>14</v>
      </c>
      <c r="K6480" t="s">
        <v>746</v>
      </c>
      <c r="L6480" t="s">
        <v>144</v>
      </c>
      <c r="M6480" t="s">
        <v>73</v>
      </c>
      <c r="N6480" t="s">
        <v>85</v>
      </c>
      <c r="O6480" t="s">
        <v>834</v>
      </c>
      <c r="P6480" t="s">
        <v>641</v>
      </c>
      <c r="Q6480">
        <f t="shared" si="109"/>
        <v>4.1666666666666664E-2</v>
      </c>
      <c r="R6480" s="2" t="s">
        <v>213</v>
      </c>
      <c r="S6480" t="s">
        <v>15</v>
      </c>
      <c r="T6480">
        <v>5</v>
      </c>
      <c r="U6480" t="s">
        <v>28</v>
      </c>
      <c r="V6480" t="s">
        <v>28</v>
      </c>
      <c r="W6480" s="23">
        <v>24</v>
      </c>
      <c r="X6480" s="24">
        <v>12.60642029518454</v>
      </c>
      <c r="Y6480" s="24">
        <v>4.269106697629927</v>
      </c>
    </row>
    <row r="6481" spans="1:25" x14ac:dyDescent="0.2">
      <c r="A6481" t="s">
        <v>744</v>
      </c>
      <c r="B6481">
        <v>2021</v>
      </c>
      <c r="C6481" t="s">
        <v>807</v>
      </c>
      <c r="D6481" t="s">
        <v>825</v>
      </c>
      <c r="E6481" t="s">
        <v>35</v>
      </c>
      <c r="F6481" t="s">
        <v>745</v>
      </c>
      <c r="G6481">
        <v>38.533332999999999</v>
      </c>
      <c r="H6481">
        <v>141.51666700000001</v>
      </c>
      <c r="I6481" t="s">
        <v>770</v>
      </c>
      <c r="J6481" s="2" t="s">
        <v>14</v>
      </c>
      <c r="K6481" t="s">
        <v>746</v>
      </c>
      <c r="L6481" t="s">
        <v>144</v>
      </c>
      <c r="M6481" t="s">
        <v>73</v>
      </c>
      <c r="N6481" t="s">
        <v>85</v>
      </c>
      <c r="O6481" t="s">
        <v>834</v>
      </c>
      <c r="P6481" t="s">
        <v>641</v>
      </c>
      <c r="Q6481">
        <f t="shared" si="109"/>
        <v>4.1666666666666664E-2</v>
      </c>
      <c r="R6481" s="2" t="s">
        <v>213</v>
      </c>
      <c r="S6481" t="s">
        <v>37</v>
      </c>
      <c r="T6481">
        <v>5</v>
      </c>
      <c r="U6481" t="s">
        <v>28</v>
      </c>
      <c r="V6481" t="s">
        <v>28</v>
      </c>
      <c r="W6481" s="23">
        <v>28</v>
      </c>
      <c r="X6481" s="24">
        <v>10.865521314399329</v>
      </c>
      <c r="Y6481" s="24">
        <v>3.1366031796430849</v>
      </c>
    </row>
    <row r="6482" spans="1:25" x14ac:dyDescent="0.2">
      <c r="A6482" t="s">
        <v>744</v>
      </c>
      <c r="B6482">
        <v>2021</v>
      </c>
      <c r="C6482" t="s">
        <v>807</v>
      </c>
      <c r="D6482" t="s">
        <v>825</v>
      </c>
      <c r="E6482" t="s">
        <v>35</v>
      </c>
      <c r="F6482" t="s">
        <v>745</v>
      </c>
      <c r="G6482">
        <v>38.533332999999999</v>
      </c>
      <c r="H6482">
        <v>141.51666700000001</v>
      </c>
      <c r="I6482" t="s">
        <v>770</v>
      </c>
      <c r="J6482" s="2" t="s">
        <v>14</v>
      </c>
      <c r="K6482" t="s">
        <v>746</v>
      </c>
      <c r="L6482" t="s">
        <v>144</v>
      </c>
      <c r="M6482" t="s">
        <v>73</v>
      </c>
      <c r="N6482" t="s">
        <v>85</v>
      </c>
      <c r="O6482" t="s">
        <v>834</v>
      </c>
      <c r="P6482" t="s">
        <v>641</v>
      </c>
      <c r="Q6482">
        <f t="shared" si="109"/>
        <v>4.1666666666666664E-2</v>
      </c>
      <c r="R6482" s="2" t="s">
        <v>213</v>
      </c>
      <c r="S6482" t="s">
        <v>116</v>
      </c>
      <c r="T6482">
        <v>5</v>
      </c>
      <c r="U6482" t="s">
        <v>28</v>
      </c>
      <c r="V6482" t="s">
        <v>28</v>
      </c>
      <c r="W6482" s="23">
        <v>32</v>
      </c>
      <c r="X6482" s="24">
        <v>-4.4819375926110299</v>
      </c>
      <c r="Y6482" s="24">
        <v>2.5931204855890284</v>
      </c>
    </row>
    <row r="6483" spans="1:25" x14ac:dyDescent="0.2">
      <c r="A6483" t="s">
        <v>744</v>
      </c>
      <c r="B6483">
        <v>2021</v>
      </c>
      <c r="C6483" t="s">
        <v>807</v>
      </c>
      <c r="D6483" t="s">
        <v>825</v>
      </c>
      <c r="E6483" t="s">
        <v>35</v>
      </c>
      <c r="F6483" t="s">
        <v>745</v>
      </c>
      <c r="G6483">
        <v>38.533332999999999</v>
      </c>
      <c r="H6483">
        <v>141.51666700000001</v>
      </c>
      <c r="I6483" t="s">
        <v>770</v>
      </c>
      <c r="J6483" s="2" t="s">
        <v>14</v>
      </c>
      <c r="K6483" t="s">
        <v>746</v>
      </c>
      <c r="L6483" t="s">
        <v>144</v>
      </c>
      <c r="M6483" t="s">
        <v>73</v>
      </c>
      <c r="N6483" t="s">
        <v>85</v>
      </c>
      <c r="O6483" t="s">
        <v>834</v>
      </c>
      <c r="P6483" t="s">
        <v>641</v>
      </c>
      <c r="Q6483">
        <f t="shared" si="109"/>
        <v>4.1666666666666664E-2</v>
      </c>
      <c r="R6483" s="2" t="s">
        <v>213</v>
      </c>
      <c r="S6483" t="s">
        <v>117</v>
      </c>
      <c r="T6483">
        <v>5</v>
      </c>
      <c r="U6483" t="s">
        <v>28</v>
      </c>
      <c r="V6483" t="s">
        <v>28</v>
      </c>
      <c r="W6483" s="23">
        <v>36</v>
      </c>
      <c r="X6483" s="24">
        <v>-8.3063335895412838</v>
      </c>
      <c r="Y6483" s="24">
        <v>1.6723097072872553</v>
      </c>
    </row>
    <row r="6484" spans="1:25" x14ac:dyDescent="0.2">
      <c r="A6484" t="s">
        <v>744</v>
      </c>
      <c r="B6484">
        <v>2021</v>
      </c>
      <c r="C6484" t="s">
        <v>807</v>
      </c>
      <c r="D6484" t="s">
        <v>825</v>
      </c>
      <c r="E6484" t="s">
        <v>35</v>
      </c>
      <c r="F6484" t="s">
        <v>745</v>
      </c>
      <c r="G6484">
        <v>38.533332999999999</v>
      </c>
      <c r="H6484">
        <v>141.51666700000001</v>
      </c>
      <c r="I6484" t="s">
        <v>770</v>
      </c>
      <c r="J6484" s="2" t="s">
        <v>7</v>
      </c>
      <c r="K6484" t="s">
        <v>746</v>
      </c>
      <c r="L6484" t="s">
        <v>144</v>
      </c>
      <c r="M6484" t="s">
        <v>172</v>
      </c>
      <c r="N6484" t="s">
        <v>86</v>
      </c>
      <c r="O6484" t="s">
        <v>62</v>
      </c>
      <c r="P6484" t="s">
        <v>641</v>
      </c>
      <c r="Q6484">
        <f t="shared" si="109"/>
        <v>4.1666666666666664E-2</v>
      </c>
      <c r="R6484" s="2" t="s">
        <v>213</v>
      </c>
      <c r="S6484" t="s">
        <v>7</v>
      </c>
      <c r="T6484">
        <v>5</v>
      </c>
      <c r="U6484" t="s">
        <v>28</v>
      </c>
      <c r="V6484" t="s">
        <v>28</v>
      </c>
      <c r="W6484" s="23">
        <v>16</v>
      </c>
      <c r="X6484" s="24">
        <v>-3.0482487586560523</v>
      </c>
      <c r="Y6484" s="24">
        <v>1.2722670632647766</v>
      </c>
    </row>
    <row r="6485" spans="1:25" x14ac:dyDescent="0.2">
      <c r="A6485" t="s">
        <v>744</v>
      </c>
      <c r="B6485">
        <v>2021</v>
      </c>
      <c r="C6485" t="s">
        <v>807</v>
      </c>
      <c r="D6485" t="s">
        <v>825</v>
      </c>
      <c r="E6485" t="s">
        <v>35</v>
      </c>
      <c r="F6485" t="s">
        <v>745</v>
      </c>
      <c r="G6485">
        <v>38.533332999999999</v>
      </c>
      <c r="H6485">
        <v>141.51666700000001</v>
      </c>
      <c r="I6485" t="s">
        <v>770</v>
      </c>
      <c r="J6485" s="2" t="s">
        <v>14</v>
      </c>
      <c r="K6485" t="s">
        <v>746</v>
      </c>
      <c r="L6485" t="s">
        <v>144</v>
      </c>
      <c r="M6485" t="s">
        <v>172</v>
      </c>
      <c r="N6485" t="s">
        <v>86</v>
      </c>
      <c r="O6485" t="s">
        <v>62</v>
      </c>
      <c r="P6485" t="s">
        <v>641</v>
      </c>
      <c r="Q6485">
        <f t="shared" si="109"/>
        <v>4.1666666666666664E-2</v>
      </c>
      <c r="R6485" s="2" t="s">
        <v>213</v>
      </c>
      <c r="S6485" t="s">
        <v>27</v>
      </c>
      <c r="T6485">
        <v>5</v>
      </c>
      <c r="U6485" t="s">
        <v>28</v>
      </c>
      <c r="V6485" t="s">
        <v>28</v>
      </c>
      <c r="W6485" s="23">
        <v>20</v>
      </c>
      <c r="X6485" s="24">
        <v>-5.0625474000353483</v>
      </c>
      <c r="Y6485" s="24">
        <v>0.53261539951198511</v>
      </c>
    </row>
    <row r="6486" spans="1:25" x14ac:dyDescent="0.2">
      <c r="A6486" t="s">
        <v>744</v>
      </c>
      <c r="B6486">
        <v>2021</v>
      </c>
      <c r="C6486" t="s">
        <v>807</v>
      </c>
      <c r="D6486" t="s">
        <v>825</v>
      </c>
      <c r="E6486" t="s">
        <v>35</v>
      </c>
      <c r="F6486" t="s">
        <v>745</v>
      </c>
      <c r="G6486">
        <v>38.533332999999999</v>
      </c>
      <c r="H6486">
        <v>141.51666700000001</v>
      </c>
      <c r="I6486" t="s">
        <v>770</v>
      </c>
      <c r="J6486" s="2" t="s">
        <v>14</v>
      </c>
      <c r="K6486" t="s">
        <v>746</v>
      </c>
      <c r="L6486" t="s">
        <v>144</v>
      </c>
      <c r="M6486" t="s">
        <v>172</v>
      </c>
      <c r="N6486" t="s">
        <v>86</v>
      </c>
      <c r="O6486" t="s">
        <v>62</v>
      </c>
      <c r="P6486" t="s">
        <v>641</v>
      </c>
      <c r="Q6486">
        <f t="shared" si="109"/>
        <v>4.1666666666666664E-2</v>
      </c>
      <c r="R6486" s="2" t="s">
        <v>213</v>
      </c>
      <c r="S6486" t="s">
        <v>15</v>
      </c>
      <c r="T6486">
        <v>5</v>
      </c>
      <c r="U6486" t="s">
        <v>28</v>
      </c>
      <c r="V6486" t="s">
        <v>28</v>
      </c>
      <c r="W6486" s="23">
        <v>24</v>
      </c>
      <c r="X6486" s="24">
        <v>-5.8941226268428029</v>
      </c>
      <c r="Y6486" s="24">
        <v>0.71116370057481837</v>
      </c>
    </row>
    <row r="6487" spans="1:25" x14ac:dyDescent="0.2">
      <c r="A6487" t="s">
        <v>744</v>
      </c>
      <c r="B6487">
        <v>2021</v>
      </c>
      <c r="C6487" t="s">
        <v>807</v>
      </c>
      <c r="D6487" t="s">
        <v>825</v>
      </c>
      <c r="E6487" t="s">
        <v>35</v>
      </c>
      <c r="F6487" t="s">
        <v>745</v>
      </c>
      <c r="G6487">
        <v>38.533332999999999</v>
      </c>
      <c r="H6487">
        <v>141.51666700000001</v>
      </c>
      <c r="I6487" t="s">
        <v>770</v>
      </c>
      <c r="J6487" s="2" t="s">
        <v>14</v>
      </c>
      <c r="K6487" t="s">
        <v>746</v>
      </c>
      <c r="L6487" t="s">
        <v>144</v>
      </c>
      <c r="M6487" t="s">
        <v>172</v>
      </c>
      <c r="N6487" t="s">
        <v>86</v>
      </c>
      <c r="O6487" t="s">
        <v>62</v>
      </c>
      <c r="P6487" t="s">
        <v>641</v>
      </c>
      <c r="Q6487">
        <f t="shared" si="109"/>
        <v>4.1666666666666664E-2</v>
      </c>
      <c r="R6487" s="2" t="s">
        <v>213</v>
      </c>
      <c r="S6487" t="s">
        <v>37</v>
      </c>
      <c r="T6487">
        <v>5</v>
      </c>
      <c r="U6487" t="s">
        <v>28</v>
      </c>
      <c r="V6487" t="s">
        <v>28</v>
      </c>
      <c r="W6487" s="23">
        <v>28</v>
      </c>
      <c r="X6487" s="24">
        <v>-6.6108435258111236</v>
      </c>
      <c r="Y6487" s="24">
        <v>1.2621635174402819</v>
      </c>
    </row>
    <row r="6488" spans="1:25" x14ac:dyDescent="0.2">
      <c r="A6488" t="s">
        <v>744</v>
      </c>
      <c r="B6488">
        <v>2021</v>
      </c>
      <c r="C6488" t="s">
        <v>807</v>
      </c>
      <c r="D6488" t="s">
        <v>825</v>
      </c>
      <c r="E6488" t="s">
        <v>35</v>
      </c>
      <c r="F6488" t="s">
        <v>745</v>
      </c>
      <c r="G6488">
        <v>38.533332999999999</v>
      </c>
      <c r="H6488">
        <v>141.51666700000001</v>
      </c>
      <c r="I6488" t="s">
        <v>770</v>
      </c>
      <c r="J6488" s="2" t="s">
        <v>14</v>
      </c>
      <c r="K6488" t="s">
        <v>746</v>
      </c>
      <c r="L6488" t="s">
        <v>144</v>
      </c>
      <c r="M6488" t="s">
        <v>172</v>
      </c>
      <c r="N6488" t="s">
        <v>86</v>
      </c>
      <c r="O6488" t="s">
        <v>62</v>
      </c>
      <c r="P6488" t="s">
        <v>641</v>
      </c>
      <c r="Q6488">
        <f t="shared" si="109"/>
        <v>4.1666666666666664E-2</v>
      </c>
      <c r="R6488" s="2" t="s">
        <v>213</v>
      </c>
      <c r="S6488" t="s">
        <v>116</v>
      </c>
      <c r="T6488">
        <v>5</v>
      </c>
      <c r="U6488" t="s">
        <v>28</v>
      </c>
      <c r="V6488" t="s">
        <v>28</v>
      </c>
      <c r="W6488" s="23">
        <v>32</v>
      </c>
      <c r="X6488" s="24">
        <v>-8.6159971483393072</v>
      </c>
      <c r="Y6488" s="24">
        <v>1.3638874132802195</v>
      </c>
    </row>
    <row r="6489" spans="1:25" x14ac:dyDescent="0.2">
      <c r="A6489" t="s">
        <v>744</v>
      </c>
      <c r="B6489">
        <v>2021</v>
      </c>
      <c r="C6489" t="s">
        <v>807</v>
      </c>
      <c r="D6489" t="s">
        <v>825</v>
      </c>
      <c r="E6489" t="s">
        <v>35</v>
      </c>
      <c r="F6489" t="s">
        <v>745</v>
      </c>
      <c r="G6489">
        <v>38.533332999999999</v>
      </c>
      <c r="H6489">
        <v>141.51666700000001</v>
      </c>
      <c r="I6489" t="s">
        <v>770</v>
      </c>
      <c r="J6489" s="2" t="s">
        <v>14</v>
      </c>
      <c r="K6489" t="s">
        <v>746</v>
      </c>
      <c r="L6489" t="s">
        <v>144</v>
      </c>
      <c r="M6489" t="s">
        <v>172</v>
      </c>
      <c r="N6489" t="s">
        <v>86</v>
      </c>
      <c r="O6489" t="s">
        <v>62</v>
      </c>
      <c r="P6489" t="s">
        <v>641</v>
      </c>
      <c r="Q6489">
        <f t="shared" si="109"/>
        <v>4.1666666666666664E-2</v>
      </c>
      <c r="R6489" s="2" t="s">
        <v>213</v>
      </c>
      <c r="S6489" t="s">
        <v>117</v>
      </c>
      <c r="T6489">
        <v>5</v>
      </c>
      <c r="U6489" t="s">
        <v>28</v>
      </c>
      <c r="V6489" t="s">
        <v>28</v>
      </c>
      <c r="W6489" s="23">
        <v>36</v>
      </c>
      <c r="X6489" s="24">
        <v>-12.751687377489898</v>
      </c>
      <c r="Y6489" s="24">
        <v>1.4268890971546935</v>
      </c>
    </row>
    <row r="6490" spans="1:25" x14ac:dyDescent="0.2">
      <c r="A6490" t="s">
        <v>744</v>
      </c>
      <c r="B6490">
        <v>2021</v>
      </c>
      <c r="C6490" t="s">
        <v>807</v>
      </c>
      <c r="D6490" t="s">
        <v>825</v>
      </c>
      <c r="E6490" t="s">
        <v>35</v>
      </c>
      <c r="F6490" t="s">
        <v>745</v>
      </c>
      <c r="G6490">
        <v>38.533332999999999</v>
      </c>
      <c r="H6490">
        <v>141.51666700000001</v>
      </c>
      <c r="I6490" t="s">
        <v>770</v>
      </c>
      <c r="J6490" s="2" t="s">
        <v>7</v>
      </c>
      <c r="K6490" t="s">
        <v>746</v>
      </c>
      <c r="L6490" t="s">
        <v>144</v>
      </c>
      <c r="M6490" t="s">
        <v>726</v>
      </c>
      <c r="N6490" t="s">
        <v>85</v>
      </c>
      <c r="O6490" t="s">
        <v>84</v>
      </c>
      <c r="Q6490" s="25">
        <v>1</v>
      </c>
      <c r="R6490" s="2" t="s">
        <v>213</v>
      </c>
      <c r="S6490" t="s">
        <v>7</v>
      </c>
      <c r="T6490">
        <v>10</v>
      </c>
      <c r="U6490" t="s">
        <v>28</v>
      </c>
      <c r="V6490" t="s">
        <v>28</v>
      </c>
      <c r="W6490" s="25">
        <v>16</v>
      </c>
      <c r="X6490" s="25">
        <v>0.72950000000000004</v>
      </c>
      <c r="Y6490" s="25">
        <v>9.6407699093196998E-3</v>
      </c>
    </row>
    <row r="6491" spans="1:25" x14ac:dyDescent="0.2">
      <c r="A6491" t="s">
        <v>744</v>
      </c>
      <c r="B6491">
        <v>2021</v>
      </c>
      <c r="C6491" t="s">
        <v>807</v>
      </c>
      <c r="D6491" t="s">
        <v>825</v>
      </c>
      <c r="E6491" t="s">
        <v>35</v>
      </c>
      <c r="F6491" t="s">
        <v>745</v>
      </c>
      <c r="G6491">
        <v>38.533332999999999</v>
      </c>
      <c r="H6491">
        <v>141.51666700000001</v>
      </c>
      <c r="I6491" t="s">
        <v>770</v>
      </c>
      <c r="J6491" s="2" t="s">
        <v>14</v>
      </c>
      <c r="K6491" t="s">
        <v>746</v>
      </c>
      <c r="L6491" t="s">
        <v>144</v>
      </c>
      <c r="M6491" t="s">
        <v>726</v>
      </c>
      <c r="N6491" t="s">
        <v>85</v>
      </c>
      <c r="O6491" t="s">
        <v>84</v>
      </c>
      <c r="Q6491" s="25">
        <v>1</v>
      </c>
      <c r="R6491" s="2" t="s">
        <v>214</v>
      </c>
      <c r="S6491" t="s">
        <v>9</v>
      </c>
      <c r="T6491">
        <v>10</v>
      </c>
      <c r="U6491" t="s">
        <v>28</v>
      </c>
      <c r="V6491" t="s">
        <v>28</v>
      </c>
      <c r="W6491" s="25">
        <v>18</v>
      </c>
      <c r="X6491" s="25">
        <v>0.72819999999999996</v>
      </c>
      <c r="Y6491" s="25">
        <v>1.2594531441154211E-2</v>
      </c>
    </row>
    <row r="6492" spans="1:25" x14ac:dyDescent="0.2">
      <c r="A6492" t="s">
        <v>744</v>
      </c>
      <c r="B6492">
        <v>2021</v>
      </c>
      <c r="C6492" t="s">
        <v>807</v>
      </c>
      <c r="D6492" t="s">
        <v>825</v>
      </c>
      <c r="E6492" t="s">
        <v>35</v>
      </c>
      <c r="F6492" t="s">
        <v>745</v>
      </c>
      <c r="G6492">
        <v>38.533332999999999</v>
      </c>
      <c r="H6492">
        <v>141.51666700000001</v>
      </c>
      <c r="I6492" t="s">
        <v>770</v>
      </c>
      <c r="J6492" s="2" t="s">
        <v>14</v>
      </c>
      <c r="K6492" t="s">
        <v>746</v>
      </c>
      <c r="L6492" t="s">
        <v>144</v>
      </c>
      <c r="M6492" t="s">
        <v>726</v>
      </c>
      <c r="N6492" t="s">
        <v>85</v>
      </c>
      <c r="O6492" t="s">
        <v>84</v>
      </c>
      <c r="Q6492" s="25">
        <v>1</v>
      </c>
      <c r="R6492" s="2" t="s">
        <v>214</v>
      </c>
      <c r="S6492" t="s">
        <v>27</v>
      </c>
      <c r="T6492">
        <v>10</v>
      </c>
      <c r="U6492" t="s">
        <v>28</v>
      </c>
      <c r="V6492" t="s">
        <v>28</v>
      </c>
      <c r="W6492" s="25">
        <v>20</v>
      </c>
      <c r="X6492" s="25">
        <v>0.71879999999999999</v>
      </c>
      <c r="Y6492" s="25">
        <v>1.3289929353545178E-2</v>
      </c>
    </row>
    <row r="6493" spans="1:25" x14ac:dyDescent="0.2">
      <c r="A6493" t="s">
        <v>744</v>
      </c>
      <c r="B6493">
        <v>2021</v>
      </c>
      <c r="C6493" t="s">
        <v>807</v>
      </c>
      <c r="D6493" t="s">
        <v>825</v>
      </c>
      <c r="E6493" t="s">
        <v>35</v>
      </c>
      <c r="F6493" t="s">
        <v>745</v>
      </c>
      <c r="G6493">
        <v>38.533332999999999</v>
      </c>
      <c r="H6493">
        <v>141.51666700000001</v>
      </c>
      <c r="I6493" t="s">
        <v>770</v>
      </c>
      <c r="J6493" s="2" t="s">
        <v>14</v>
      </c>
      <c r="K6493" t="s">
        <v>746</v>
      </c>
      <c r="L6493" t="s">
        <v>144</v>
      </c>
      <c r="M6493" t="s">
        <v>726</v>
      </c>
      <c r="N6493" t="s">
        <v>85</v>
      </c>
      <c r="O6493" t="s">
        <v>84</v>
      </c>
      <c r="Q6493" s="25">
        <v>1</v>
      </c>
      <c r="R6493" s="2" t="s">
        <v>214</v>
      </c>
      <c r="S6493" t="s">
        <v>13</v>
      </c>
      <c r="T6493">
        <v>10</v>
      </c>
      <c r="U6493" t="s">
        <v>28</v>
      </c>
      <c r="V6493" t="s">
        <v>28</v>
      </c>
      <c r="W6493" s="25">
        <v>22</v>
      </c>
      <c r="X6493" s="25">
        <v>0.71199999999999997</v>
      </c>
      <c r="Y6493" s="25">
        <v>1.0687479694587608E-2</v>
      </c>
    </row>
    <row r="6494" spans="1:25" x14ac:dyDescent="0.2">
      <c r="A6494" t="s">
        <v>744</v>
      </c>
      <c r="B6494">
        <v>2021</v>
      </c>
      <c r="C6494" t="s">
        <v>807</v>
      </c>
      <c r="D6494" t="s">
        <v>825</v>
      </c>
      <c r="E6494" t="s">
        <v>35</v>
      </c>
      <c r="F6494" t="s">
        <v>745</v>
      </c>
      <c r="G6494">
        <v>38.533332999999999</v>
      </c>
      <c r="H6494">
        <v>141.51666700000001</v>
      </c>
      <c r="I6494" t="s">
        <v>770</v>
      </c>
      <c r="J6494" s="2" t="s">
        <v>14</v>
      </c>
      <c r="K6494" t="s">
        <v>746</v>
      </c>
      <c r="L6494" t="s">
        <v>144</v>
      </c>
      <c r="M6494" t="s">
        <v>726</v>
      </c>
      <c r="N6494" t="s">
        <v>85</v>
      </c>
      <c r="O6494" t="s">
        <v>84</v>
      </c>
      <c r="Q6494" s="25">
        <v>1</v>
      </c>
      <c r="R6494" s="2" t="s">
        <v>214</v>
      </c>
      <c r="S6494" t="s">
        <v>15</v>
      </c>
      <c r="T6494">
        <v>10</v>
      </c>
      <c r="U6494" t="s">
        <v>28</v>
      </c>
      <c r="V6494" t="s">
        <v>28</v>
      </c>
      <c r="W6494" s="25">
        <v>24</v>
      </c>
      <c r="X6494" s="25">
        <v>0.71079999999999988</v>
      </c>
      <c r="Y6494" s="25">
        <v>1.1429007928172277E-2</v>
      </c>
    </row>
    <row r="6495" spans="1:25" x14ac:dyDescent="0.2">
      <c r="A6495" t="s">
        <v>744</v>
      </c>
      <c r="B6495">
        <v>2021</v>
      </c>
      <c r="C6495" t="s">
        <v>807</v>
      </c>
      <c r="D6495" t="s">
        <v>825</v>
      </c>
      <c r="E6495" t="s">
        <v>35</v>
      </c>
      <c r="F6495" t="s">
        <v>745</v>
      </c>
      <c r="G6495">
        <v>38.533332999999999</v>
      </c>
      <c r="H6495">
        <v>141.51666700000001</v>
      </c>
      <c r="I6495" t="s">
        <v>770</v>
      </c>
      <c r="J6495" s="2" t="s">
        <v>14</v>
      </c>
      <c r="K6495" t="s">
        <v>746</v>
      </c>
      <c r="L6495" t="s">
        <v>144</v>
      </c>
      <c r="M6495" t="s">
        <v>726</v>
      </c>
      <c r="N6495" t="s">
        <v>85</v>
      </c>
      <c r="O6495" t="s">
        <v>84</v>
      </c>
      <c r="Q6495" s="25">
        <v>1</v>
      </c>
      <c r="R6495" s="2" t="s">
        <v>214</v>
      </c>
      <c r="S6495" t="s">
        <v>37</v>
      </c>
      <c r="T6495">
        <v>10</v>
      </c>
      <c r="U6495" t="s">
        <v>28</v>
      </c>
      <c r="V6495" t="s">
        <v>28</v>
      </c>
      <c r="W6495" s="25">
        <v>28</v>
      </c>
      <c r="X6495" s="25">
        <v>0.68720000000000003</v>
      </c>
      <c r="Y6495" s="25">
        <v>1.5732485852881308E-2</v>
      </c>
    </row>
    <row r="6496" spans="1:25" x14ac:dyDescent="0.2">
      <c r="A6496" t="s">
        <v>744</v>
      </c>
      <c r="B6496">
        <v>2021</v>
      </c>
      <c r="C6496" t="s">
        <v>807</v>
      </c>
      <c r="D6496" t="s">
        <v>825</v>
      </c>
      <c r="E6496" t="s">
        <v>35</v>
      </c>
      <c r="F6496" t="s">
        <v>745</v>
      </c>
      <c r="G6496">
        <v>38.533332999999999</v>
      </c>
      <c r="H6496">
        <v>141.51666700000001</v>
      </c>
      <c r="I6496" t="s">
        <v>770</v>
      </c>
      <c r="J6496" s="2" t="s">
        <v>14</v>
      </c>
      <c r="K6496" t="s">
        <v>746</v>
      </c>
      <c r="L6496" t="s">
        <v>144</v>
      </c>
      <c r="M6496" t="s">
        <v>726</v>
      </c>
      <c r="N6496" t="s">
        <v>85</v>
      </c>
      <c r="O6496" t="s">
        <v>84</v>
      </c>
      <c r="Q6496" s="25">
        <v>1</v>
      </c>
      <c r="R6496" s="2" t="s">
        <v>213</v>
      </c>
      <c r="S6496" t="s">
        <v>116</v>
      </c>
      <c r="T6496">
        <v>10</v>
      </c>
      <c r="U6496" t="s">
        <v>28</v>
      </c>
      <c r="V6496" t="s">
        <v>28</v>
      </c>
      <c r="W6496" s="25">
        <v>32</v>
      </c>
      <c r="X6496" s="25">
        <v>8.0000000000000004E-4</v>
      </c>
      <c r="Y6496" s="25">
        <v>2.5298221281347035E-3</v>
      </c>
    </row>
    <row r="6497" spans="1:25" x14ac:dyDescent="0.2">
      <c r="A6497" t="s">
        <v>744</v>
      </c>
      <c r="B6497">
        <v>2021</v>
      </c>
      <c r="C6497" t="s">
        <v>807</v>
      </c>
      <c r="D6497" t="s">
        <v>825</v>
      </c>
      <c r="E6497" t="s">
        <v>35</v>
      </c>
      <c r="F6497" t="s">
        <v>745</v>
      </c>
      <c r="G6497">
        <v>38.533332999999999</v>
      </c>
      <c r="H6497">
        <v>141.51666700000001</v>
      </c>
      <c r="I6497" t="s">
        <v>770</v>
      </c>
      <c r="J6497" s="2" t="s">
        <v>7</v>
      </c>
      <c r="K6497" t="s">
        <v>746</v>
      </c>
      <c r="L6497" t="s">
        <v>144</v>
      </c>
      <c r="M6497" t="s">
        <v>726</v>
      </c>
      <c r="N6497" t="s">
        <v>85</v>
      </c>
      <c r="O6497" t="s">
        <v>84</v>
      </c>
      <c r="Q6497" s="25">
        <v>2</v>
      </c>
      <c r="R6497" s="2" t="s">
        <v>214</v>
      </c>
      <c r="S6497" t="s">
        <v>7</v>
      </c>
      <c r="T6497">
        <v>10</v>
      </c>
      <c r="U6497" t="s">
        <v>28</v>
      </c>
      <c r="V6497" t="s">
        <v>28</v>
      </c>
      <c r="W6497" s="25">
        <v>16</v>
      </c>
      <c r="X6497" s="25">
        <v>0.72720000000000007</v>
      </c>
      <c r="Y6497" s="25">
        <v>1.2856472645671165E-2</v>
      </c>
    </row>
    <row r="6498" spans="1:25" x14ac:dyDescent="0.2">
      <c r="A6498" t="s">
        <v>744</v>
      </c>
      <c r="B6498">
        <v>2021</v>
      </c>
      <c r="C6498" t="s">
        <v>807</v>
      </c>
      <c r="D6498" t="s">
        <v>825</v>
      </c>
      <c r="E6498" t="s">
        <v>35</v>
      </c>
      <c r="F6498" t="s">
        <v>745</v>
      </c>
      <c r="G6498">
        <v>38.533332999999999</v>
      </c>
      <c r="H6498">
        <v>141.51666700000001</v>
      </c>
      <c r="I6498" t="s">
        <v>770</v>
      </c>
      <c r="J6498" s="2" t="s">
        <v>14</v>
      </c>
      <c r="K6498" t="s">
        <v>746</v>
      </c>
      <c r="L6498" t="s">
        <v>144</v>
      </c>
      <c r="M6498" t="s">
        <v>726</v>
      </c>
      <c r="N6498" t="s">
        <v>85</v>
      </c>
      <c r="O6498" t="s">
        <v>84</v>
      </c>
      <c r="Q6498" s="25">
        <v>2</v>
      </c>
      <c r="R6498" s="2" t="s">
        <v>214</v>
      </c>
      <c r="S6498" t="s">
        <v>9</v>
      </c>
      <c r="T6498">
        <v>10</v>
      </c>
      <c r="U6498" t="s">
        <v>28</v>
      </c>
      <c r="V6498" t="s">
        <v>28</v>
      </c>
      <c r="W6498" s="25">
        <v>18</v>
      </c>
      <c r="X6498" s="25">
        <v>0.72560000000000002</v>
      </c>
      <c r="Y6498" s="25">
        <v>9.559172442098661E-3</v>
      </c>
    </row>
    <row r="6499" spans="1:25" x14ac:dyDescent="0.2">
      <c r="A6499" t="s">
        <v>744</v>
      </c>
      <c r="B6499">
        <v>2021</v>
      </c>
      <c r="C6499" t="s">
        <v>807</v>
      </c>
      <c r="D6499" t="s">
        <v>825</v>
      </c>
      <c r="E6499" t="s">
        <v>35</v>
      </c>
      <c r="F6499" t="s">
        <v>745</v>
      </c>
      <c r="G6499">
        <v>38.533332999999999</v>
      </c>
      <c r="H6499">
        <v>141.51666700000001</v>
      </c>
      <c r="I6499" t="s">
        <v>770</v>
      </c>
      <c r="J6499" s="2" t="s">
        <v>14</v>
      </c>
      <c r="K6499" t="s">
        <v>746</v>
      </c>
      <c r="L6499" t="s">
        <v>144</v>
      </c>
      <c r="M6499" t="s">
        <v>726</v>
      </c>
      <c r="N6499" t="s">
        <v>85</v>
      </c>
      <c r="O6499" t="s">
        <v>84</v>
      </c>
      <c r="Q6499" s="25">
        <v>2</v>
      </c>
      <c r="R6499" s="2" t="s">
        <v>214</v>
      </c>
      <c r="S6499" t="s">
        <v>27</v>
      </c>
      <c r="T6499">
        <v>10</v>
      </c>
      <c r="U6499" t="s">
        <v>28</v>
      </c>
      <c r="V6499" t="s">
        <v>28</v>
      </c>
      <c r="W6499" s="25">
        <v>20</v>
      </c>
      <c r="X6499" s="25">
        <v>0.7178000000000001</v>
      </c>
      <c r="Y6499" s="25">
        <v>1.2479316220583909E-2</v>
      </c>
    </row>
    <row r="6500" spans="1:25" x14ac:dyDescent="0.2">
      <c r="A6500" t="s">
        <v>744</v>
      </c>
      <c r="B6500">
        <v>2021</v>
      </c>
      <c r="C6500" t="s">
        <v>807</v>
      </c>
      <c r="D6500" t="s">
        <v>825</v>
      </c>
      <c r="E6500" t="s">
        <v>35</v>
      </c>
      <c r="F6500" t="s">
        <v>745</v>
      </c>
      <c r="G6500">
        <v>38.533332999999999</v>
      </c>
      <c r="H6500">
        <v>141.51666700000001</v>
      </c>
      <c r="I6500" t="s">
        <v>770</v>
      </c>
      <c r="J6500" s="2" t="s">
        <v>14</v>
      </c>
      <c r="K6500" t="s">
        <v>746</v>
      </c>
      <c r="L6500" t="s">
        <v>144</v>
      </c>
      <c r="M6500" t="s">
        <v>726</v>
      </c>
      <c r="N6500" t="s">
        <v>85</v>
      </c>
      <c r="O6500" t="s">
        <v>84</v>
      </c>
      <c r="Q6500" s="25">
        <v>2</v>
      </c>
      <c r="R6500" s="2" t="s">
        <v>214</v>
      </c>
      <c r="S6500" t="s">
        <v>13</v>
      </c>
      <c r="T6500">
        <v>10</v>
      </c>
      <c r="U6500" t="s">
        <v>28</v>
      </c>
      <c r="V6500" t="s">
        <v>28</v>
      </c>
      <c r="W6500" s="25">
        <v>22</v>
      </c>
      <c r="X6500" s="25">
        <v>0.71419999999999995</v>
      </c>
      <c r="Y6500" s="25">
        <v>8.7534120331572707E-3</v>
      </c>
    </row>
    <row r="6501" spans="1:25" x14ac:dyDescent="0.2">
      <c r="A6501" t="s">
        <v>744</v>
      </c>
      <c r="B6501">
        <v>2021</v>
      </c>
      <c r="C6501" t="s">
        <v>807</v>
      </c>
      <c r="D6501" t="s">
        <v>825</v>
      </c>
      <c r="E6501" t="s">
        <v>35</v>
      </c>
      <c r="F6501" t="s">
        <v>745</v>
      </c>
      <c r="G6501">
        <v>38.533332999999999</v>
      </c>
      <c r="H6501">
        <v>141.51666700000001</v>
      </c>
      <c r="I6501" t="s">
        <v>770</v>
      </c>
      <c r="J6501" s="2" t="s">
        <v>14</v>
      </c>
      <c r="K6501" t="s">
        <v>746</v>
      </c>
      <c r="L6501" t="s">
        <v>144</v>
      </c>
      <c r="M6501" t="s">
        <v>726</v>
      </c>
      <c r="N6501" t="s">
        <v>85</v>
      </c>
      <c r="O6501" t="s">
        <v>84</v>
      </c>
      <c r="Q6501" s="25">
        <v>2</v>
      </c>
      <c r="R6501" s="2" t="s">
        <v>214</v>
      </c>
      <c r="S6501" t="s">
        <v>15</v>
      </c>
      <c r="T6501">
        <v>10</v>
      </c>
      <c r="U6501" t="s">
        <v>28</v>
      </c>
      <c r="V6501" t="s">
        <v>28</v>
      </c>
      <c r="W6501" s="25">
        <v>24</v>
      </c>
      <c r="X6501" s="25">
        <v>0.71709999999999996</v>
      </c>
      <c r="Y6501" s="25">
        <v>1.1920570456148475E-2</v>
      </c>
    </row>
    <row r="6502" spans="1:25" x14ac:dyDescent="0.2">
      <c r="A6502" t="s">
        <v>744</v>
      </c>
      <c r="B6502">
        <v>2021</v>
      </c>
      <c r="C6502" t="s">
        <v>807</v>
      </c>
      <c r="D6502" t="s">
        <v>825</v>
      </c>
      <c r="E6502" t="s">
        <v>35</v>
      </c>
      <c r="F6502" t="s">
        <v>745</v>
      </c>
      <c r="G6502">
        <v>38.533332999999999</v>
      </c>
      <c r="H6502">
        <v>141.51666700000001</v>
      </c>
      <c r="I6502" t="s">
        <v>770</v>
      </c>
      <c r="J6502" s="2" t="s">
        <v>14</v>
      </c>
      <c r="K6502" t="s">
        <v>746</v>
      </c>
      <c r="L6502" t="s">
        <v>144</v>
      </c>
      <c r="M6502" t="s">
        <v>726</v>
      </c>
      <c r="N6502" t="s">
        <v>85</v>
      </c>
      <c r="O6502" t="s">
        <v>84</v>
      </c>
      <c r="Q6502" s="25">
        <v>2</v>
      </c>
      <c r="R6502" s="2" t="s">
        <v>214</v>
      </c>
      <c r="S6502" t="s">
        <v>37</v>
      </c>
      <c r="T6502">
        <v>10</v>
      </c>
      <c r="U6502" t="s">
        <v>28</v>
      </c>
      <c r="V6502" t="s">
        <v>28</v>
      </c>
      <c r="W6502" s="25">
        <v>28</v>
      </c>
      <c r="X6502" s="25">
        <v>0.68600000000000005</v>
      </c>
      <c r="Y6502" s="25">
        <v>1.6599866130651595E-2</v>
      </c>
    </row>
    <row r="6503" spans="1:25" x14ac:dyDescent="0.2">
      <c r="A6503" t="s">
        <v>744</v>
      </c>
      <c r="B6503">
        <v>2021</v>
      </c>
      <c r="C6503" t="s">
        <v>807</v>
      </c>
      <c r="D6503" t="s">
        <v>825</v>
      </c>
      <c r="E6503" t="s">
        <v>35</v>
      </c>
      <c r="F6503" t="s">
        <v>745</v>
      </c>
      <c r="G6503">
        <v>38.533332999999999</v>
      </c>
      <c r="H6503">
        <v>141.51666700000001</v>
      </c>
      <c r="I6503" t="s">
        <v>770</v>
      </c>
      <c r="J6503" s="2" t="s">
        <v>7</v>
      </c>
      <c r="K6503" t="s">
        <v>746</v>
      </c>
      <c r="L6503" t="s">
        <v>144</v>
      </c>
      <c r="M6503" t="s">
        <v>726</v>
      </c>
      <c r="N6503" t="s">
        <v>85</v>
      </c>
      <c r="O6503" t="s">
        <v>84</v>
      </c>
      <c r="Q6503" s="25">
        <v>3</v>
      </c>
      <c r="R6503" s="2" t="s">
        <v>214</v>
      </c>
      <c r="S6503" t="s">
        <v>7</v>
      </c>
      <c r="T6503">
        <v>10</v>
      </c>
      <c r="U6503" t="s">
        <v>28</v>
      </c>
      <c r="V6503" t="s">
        <v>28</v>
      </c>
      <c r="W6503" s="25">
        <v>16</v>
      </c>
      <c r="X6503" s="25">
        <v>0.72539999999999993</v>
      </c>
      <c r="Y6503" s="25">
        <v>1.0500793620801571E-2</v>
      </c>
    </row>
    <row r="6504" spans="1:25" x14ac:dyDescent="0.2">
      <c r="A6504" t="s">
        <v>744</v>
      </c>
      <c r="B6504">
        <v>2021</v>
      </c>
      <c r="C6504" t="s">
        <v>807</v>
      </c>
      <c r="D6504" t="s">
        <v>825</v>
      </c>
      <c r="E6504" t="s">
        <v>35</v>
      </c>
      <c r="F6504" t="s">
        <v>745</v>
      </c>
      <c r="G6504">
        <v>38.533332999999999</v>
      </c>
      <c r="H6504">
        <v>141.51666700000001</v>
      </c>
      <c r="I6504" t="s">
        <v>770</v>
      </c>
      <c r="J6504" s="2" t="s">
        <v>14</v>
      </c>
      <c r="K6504" t="s">
        <v>746</v>
      </c>
      <c r="L6504" t="s">
        <v>144</v>
      </c>
      <c r="M6504" t="s">
        <v>726</v>
      </c>
      <c r="N6504" t="s">
        <v>85</v>
      </c>
      <c r="O6504" t="s">
        <v>84</v>
      </c>
      <c r="Q6504" s="25">
        <v>3</v>
      </c>
      <c r="R6504" s="2" t="s">
        <v>214</v>
      </c>
      <c r="S6504" t="s">
        <v>9</v>
      </c>
      <c r="T6504">
        <v>10</v>
      </c>
      <c r="U6504" t="s">
        <v>28</v>
      </c>
      <c r="V6504" t="s">
        <v>28</v>
      </c>
      <c r="W6504" s="25">
        <v>18</v>
      </c>
      <c r="X6504" s="25">
        <v>0.72039999999999993</v>
      </c>
      <c r="Y6504" s="25">
        <v>1.5320284302554901E-2</v>
      </c>
    </row>
    <row r="6505" spans="1:25" x14ac:dyDescent="0.2">
      <c r="A6505" t="s">
        <v>744</v>
      </c>
      <c r="B6505">
        <v>2021</v>
      </c>
      <c r="C6505" t="s">
        <v>807</v>
      </c>
      <c r="D6505" t="s">
        <v>825</v>
      </c>
      <c r="E6505" t="s">
        <v>35</v>
      </c>
      <c r="F6505" t="s">
        <v>745</v>
      </c>
      <c r="G6505">
        <v>38.533332999999999</v>
      </c>
      <c r="H6505">
        <v>141.51666700000001</v>
      </c>
      <c r="I6505" t="s">
        <v>770</v>
      </c>
      <c r="J6505" s="2" t="s">
        <v>14</v>
      </c>
      <c r="K6505" t="s">
        <v>746</v>
      </c>
      <c r="L6505" t="s">
        <v>144</v>
      </c>
      <c r="M6505" t="s">
        <v>726</v>
      </c>
      <c r="N6505" t="s">
        <v>85</v>
      </c>
      <c r="O6505" t="s">
        <v>84</v>
      </c>
      <c r="Q6505" s="25">
        <v>3</v>
      </c>
      <c r="R6505" s="2" t="s">
        <v>214</v>
      </c>
      <c r="S6505" t="s">
        <v>27</v>
      </c>
      <c r="T6505">
        <v>10</v>
      </c>
      <c r="U6505" t="s">
        <v>28</v>
      </c>
      <c r="V6505" t="s">
        <v>28</v>
      </c>
      <c r="W6505" s="25">
        <v>20</v>
      </c>
      <c r="X6505" s="25">
        <v>0.73070000000000002</v>
      </c>
      <c r="Y6505" s="25">
        <v>8.499019551297322E-3</v>
      </c>
    </row>
    <row r="6506" spans="1:25" x14ac:dyDescent="0.2">
      <c r="A6506" t="s">
        <v>744</v>
      </c>
      <c r="B6506">
        <v>2021</v>
      </c>
      <c r="C6506" t="s">
        <v>807</v>
      </c>
      <c r="D6506" t="s">
        <v>825</v>
      </c>
      <c r="E6506" t="s">
        <v>35</v>
      </c>
      <c r="F6506" t="s">
        <v>745</v>
      </c>
      <c r="G6506">
        <v>38.533332999999999</v>
      </c>
      <c r="H6506">
        <v>141.51666700000001</v>
      </c>
      <c r="I6506" t="s">
        <v>770</v>
      </c>
      <c r="J6506" s="2" t="s">
        <v>14</v>
      </c>
      <c r="K6506" t="s">
        <v>746</v>
      </c>
      <c r="L6506" t="s">
        <v>144</v>
      </c>
      <c r="M6506" t="s">
        <v>726</v>
      </c>
      <c r="N6506" t="s">
        <v>85</v>
      </c>
      <c r="O6506" t="s">
        <v>84</v>
      </c>
      <c r="Q6506" s="25">
        <v>3</v>
      </c>
      <c r="R6506" s="2" t="s">
        <v>214</v>
      </c>
      <c r="S6506" t="s">
        <v>13</v>
      </c>
      <c r="T6506">
        <v>10</v>
      </c>
      <c r="U6506" t="s">
        <v>28</v>
      </c>
      <c r="V6506" t="s">
        <v>28</v>
      </c>
      <c r="W6506" s="25">
        <v>22</v>
      </c>
      <c r="X6506" s="25">
        <v>0.72519999999999996</v>
      </c>
      <c r="Y6506" s="25">
        <v>9.4844902633487178E-3</v>
      </c>
    </row>
    <row r="6507" spans="1:25" x14ac:dyDescent="0.2">
      <c r="A6507" t="s">
        <v>744</v>
      </c>
      <c r="B6507">
        <v>2021</v>
      </c>
      <c r="C6507" t="s">
        <v>807</v>
      </c>
      <c r="D6507" t="s">
        <v>825</v>
      </c>
      <c r="E6507" t="s">
        <v>35</v>
      </c>
      <c r="F6507" t="s">
        <v>745</v>
      </c>
      <c r="G6507">
        <v>38.533332999999999</v>
      </c>
      <c r="H6507">
        <v>141.51666700000001</v>
      </c>
      <c r="I6507" t="s">
        <v>770</v>
      </c>
      <c r="J6507" s="2" t="s">
        <v>14</v>
      </c>
      <c r="K6507" t="s">
        <v>746</v>
      </c>
      <c r="L6507" t="s">
        <v>144</v>
      </c>
      <c r="M6507" t="s">
        <v>726</v>
      </c>
      <c r="N6507" t="s">
        <v>85</v>
      </c>
      <c r="O6507" t="s">
        <v>84</v>
      </c>
      <c r="Q6507" s="25">
        <v>3</v>
      </c>
      <c r="R6507" s="2" t="s">
        <v>214</v>
      </c>
      <c r="S6507" t="s">
        <v>15</v>
      </c>
      <c r="T6507">
        <v>10</v>
      </c>
      <c r="U6507" t="s">
        <v>28</v>
      </c>
      <c r="V6507" t="s">
        <v>28</v>
      </c>
      <c r="W6507" s="25">
        <v>24</v>
      </c>
      <c r="X6507" s="25">
        <v>0.72250000000000003</v>
      </c>
      <c r="Y6507" s="25">
        <v>7.7064186811312716E-3</v>
      </c>
    </row>
    <row r="6508" spans="1:25" x14ac:dyDescent="0.2">
      <c r="A6508" t="s">
        <v>744</v>
      </c>
      <c r="B6508">
        <v>2021</v>
      </c>
      <c r="C6508" t="s">
        <v>807</v>
      </c>
      <c r="D6508" t="s">
        <v>825</v>
      </c>
      <c r="E6508" t="s">
        <v>35</v>
      </c>
      <c r="F6508" t="s">
        <v>745</v>
      </c>
      <c r="G6508">
        <v>38.533332999999999</v>
      </c>
      <c r="H6508">
        <v>141.51666700000001</v>
      </c>
      <c r="I6508" t="s">
        <v>770</v>
      </c>
      <c r="J6508" s="2" t="s">
        <v>14</v>
      </c>
      <c r="K6508" t="s">
        <v>746</v>
      </c>
      <c r="L6508" t="s">
        <v>144</v>
      </c>
      <c r="M6508" t="s">
        <v>726</v>
      </c>
      <c r="N6508" t="s">
        <v>85</v>
      </c>
      <c r="O6508" t="s">
        <v>84</v>
      </c>
      <c r="Q6508" s="25">
        <v>3</v>
      </c>
      <c r="R6508" s="2" t="s">
        <v>214</v>
      </c>
      <c r="S6508" t="s">
        <v>37</v>
      </c>
      <c r="T6508">
        <v>10</v>
      </c>
      <c r="U6508" t="s">
        <v>28</v>
      </c>
      <c r="V6508" t="s">
        <v>28</v>
      </c>
      <c r="W6508" s="25">
        <v>28</v>
      </c>
      <c r="X6508" s="25">
        <v>0.68720000000000003</v>
      </c>
      <c r="Y6508" s="25">
        <v>1.2682446311514342E-2</v>
      </c>
    </row>
    <row r="6509" spans="1:25" x14ac:dyDescent="0.2">
      <c r="A6509" t="s">
        <v>744</v>
      </c>
      <c r="B6509">
        <v>2021</v>
      </c>
      <c r="C6509" t="s">
        <v>807</v>
      </c>
      <c r="D6509" t="s">
        <v>825</v>
      </c>
      <c r="E6509" t="s">
        <v>35</v>
      </c>
      <c r="F6509" t="s">
        <v>745</v>
      </c>
      <c r="G6509">
        <v>38.533332999999999</v>
      </c>
      <c r="H6509">
        <v>141.51666700000001</v>
      </c>
      <c r="I6509" t="s">
        <v>770</v>
      </c>
      <c r="J6509" s="2" t="s">
        <v>7</v>
      </c>
      <c r="K6509" t="s">
        <v>746</v>
      </c>
      <c r="L6509" t="s">
        <v>144</v>
      </c>
      <c r="M6509" t="s">
        <v>726</v>
      </c>
      <c r="N6509" t="s">
        <v>85</v>
      </c>
      <c r="O6509" t="s">
        <v>84</v>
      </c>
      <c r="Q6509" s="25">
        <v>7</v>
      </c>
      <c r="R6509" s="2" t="s">
        <v>213</v>
      </c>
      <c r="S6509" t="s">
        <v>7</v>
      </c>
      <c r="T6509">
        <v>10</v>
      </c>
      <c r="U6509" t="s">
        <v>28</v>
      </c>
      <c r="V6509" t="s">
        <v>28</v>
      </c>
      <c r="W6509" s="25">
        <v>16</v>
      </c>
      <c r="X6509" s="25">
        <v>0.72179999999999989</v>
      </c>
      <c r="Y6509" s="25">
        <v>1.4596803303006656E-2</v>
      </c>
    </row>
    <row r="6510" spans="1:25" x14ac:dyDescent="0.2">
      <c r="A6510" t="s">
        <v>744</v>
      </c>
      <c r="B6510">
        <v>2021</v>
      </c>
      <c r="C6510" t="s">
        <v>807</v>
      </c>
      <c r="D6510" t="s">
        <v>825</v>
      </c>
      <c r="E6510" t="s">
        <v>35</v>
      </c>
      <c r="F6510" t="s">
        <v>745</v>
      </c>
      <c r="G6510">
        <v>38.533332999999999</v>
      </c>
      <c r="H6510">
        <v>141.51666700000001</v>
      </c>
      <c r="I6510" t="s">
        <v>770</v>
      </c>
      <c r="J6510" s="2" t="s">
        <v>14</v>
      </c>
      <c r="K6510" t="s">
        <v>746</v>
      </c>
      <c r="L6510" t="s">
        <v>144</v>
      </c>
      <c r="M6510" t="s">
        <v>726</v>
      </c>
      <c r="N6510" t="s">
        <v>85</v>
      </c>
      <c r="O6510" t="s">
        <v>84</v>
      </c>
      <c r="Q6510" s="25">
        <v>7</v>
      </c>
      <c r="R6510" s="2" t="s">
        <v>213</v>
      </c>
      <c r="S6510" t="s">
        <v>9</v>
      </c>
      <c r="T6510">
        <v>10</v>
      </c>
      <c r="U6510" t="s">
        <v>28</v>
      </c>
      <c r="V6510" t="s">
        <v>28</v>
      </c>
      <c r="W6510" s="25">
        <v>18</v>
      </c>
      <c r="X6510" s="25">
        <v>0.71690000000000009</v>
      </c>
      <c r="Y6510" s="25">
        <v>2.5984824631140262E-2</v>
      </c>
    </row>
    <row r="6511" spans="1:25" x14ac:dyDescent="0.2">
      <c r="A6511" t="s">
        <v>744</v>
      </c>
      <c r="B6511">
        <v>2021</v>
      </c>
      <c r="C6511" t="s">
        <v>807</v>
      </c>
      <c r="D6511" t="s">
        <v>825</v>
      </c>
      <c r="E6511" t="s">
        <v>35</v>
      </c>
      <c r="F6511" t="s">
        <v>745</v>
      </c>
      <c r="G6511">
        <v>38.533332999999999</v>
      </c>
      <c r="H6511">
        <v>141.51666700000001</v>
      </c>
      <c r="I6511" t="s">
        <v>770</v>
      </c>
      <c r="J6511" s="2" t="s">
        <v>14</v>
      </c>
      <c r="K6511" t="s">
        <v>746</v>
      </c>
      <c r="L6511" t="s">
        <v>144</v>
      </c>
      <c r="M6511" t="s">
        <v>726</v>
      </c>
      <c r="N6511" t="s">
        <v>85</v>
      </c>
      <c r="O6511" t="s">
        <v>84</v>
      </c>
      <c r="Q6511" s="25">
        <v>7</v>
      </c>
      <c r="R6511" s="2" t="s">
        <v>213</v>
      </c>
      <c r="S6511" t="s">
        <v>27</v>
      </c>
      <c r="T6511">
        <v>10</v>
      </c>
      <c r="U6511" t="s">
        <v>28</v>
      </c>
      <c r="V6511" t="s">
        <v>28</v>
      </c>
      <c r="W6511" s="25">
        <v>20</v>
      </c>
      <c r="X6511" s="25">
        <v>0.74029999999999996</v>
      </c>
      <c r="Y6511" s="25">
        <v>1.5070574714396935E-2</v>
      </c>
    </row>
    <row r="6512" spans="1:25" x14ac:dyDescent="0.2">
      <c r="A6512" t="s">
        <v>744</v>
      </c>
      <c r="B6512">
        <v>2021</v>
      </c>
      <c r="C6512" t="s">
        <v>807</v>
      </c>
      <c r="D6512" t="s">
        <v>825</v>
      </c>
      <c r="E6512" t="s">
        <v>35</v>
      </c>
      <c r="F6512" t="s">
        <v>745</v>
      </c>
      <c r="G6512">
        <v>38.533332999999999</v>
      </c>
      <c r="H6512">
        <v>141.51666700000001</v>
      </c>
      <c r="I6512" t="s">
        <v>770</v>
      </c>
      <c r="J6512" s="2" t="s">
        <v>14</v>
      </c>
      <c r="K6512" t="s">
        <v>746</v>
      </c>
      <c r="L6512" t="s">
        <v>144</v>
      </c>
      <c r="M6512" t="s">
        <v>726</v>
      </c>
      <c r="N6512" t="s">
        <v>85</v>
      </c>
      <c r="O6512" t="s">
        <v>84</v>
      </c>
      <c r="Q6512" s="25">
        <v>7</v>
      </c>
      <c r="R6512" s="2" t="s">
        <v>213</v>
      </c>
      <c r="S6512" t="s">
        <v>13</v>
      </c>
      <c r="T6512">
        <v>10</v>
      </c>
      <c r="U6512" t="s">
        <v>28</v>
      </c>
      <c r="V6512" t="s">
        <v>28</v>
      </c>
      <c r="W6512" s="25">
        <v>22</v>
      </c>
      <c r="X6512" s="25">
        <v>0.73389999999999989</v>
      </c>
      <c r="Y6512" s="25">
        <v>1.1039826890752337E-2</v>
      </c>
    </row>
    <row r="6513" spans="1:25" x14ac:dyDescent="0.2">
      <c r="A6513" t="s">
        <v>744</v>
      </c>
      <c r="B6513">
        <v>2021</v>
      </c>
      <c r="C6513" t="s">
        <v>807</v>
      </c>
      <c r="D6513" t="s">
        <v>825</v>
      </c>
      <c r="E6513" t="s">
        <v>35</v>
      </c>
      <c r="F6513" t="s">
        <v>745</v>
      </c>
      <c r="G6513">
        <v>38.533332999999999</v>
      </c>
      <c r="H6513">
        <v>141.51666700000001</v>
      </c>
      <c r="I6513" t="s">
        <v>770</v>
      </c>
      <c r="J6513" s="2" t="s">
        <v>14</v>
      </c>
      <c r="K6513" t="s">
        <v>746</v>
      </c>
      <c r="L6513" t="s">
        <v>144</v>
      </c>
      <c r="M6513" t="s">
        <v>726</v>
      </c>
      <c r="N6513" t="s">
        <v>85</v>
      </c>
      <c r="O6513" t="s">
        <v>84</v>
      </c>
      <c r="Q6513" s="25">
        <v>7</v>
      </c>
      <c r="R6513" s="2" t="s">
        <v>213</v>
      </c>
      <c r="S6513" t="s">
        <v>15</v>
      </c>
      <c r="T6513">
        <v>10</v>
      </c>
      <c r="U6513" t="s">
        <v>28</v>
      </c>
      <c r="V6513" t="s">
        <v>28</v>
      </c>
      <c r="W6513" s="25">
        <v>24</v>
      </c>
      <c r="X6513" s="25">
        <v>0.71450000000000002</v>
      </c>
      <c r="Y6513" s="25">
        <v>1.3201430898875313E-2</v>
      </c>
    </row>
    <row r="6514" spans="1:25" x14ac:dyDescent="0.2">
      <c r="A6514" t="s">
        <v>744</v>
      </c>
      <c r="B6514">
        <v>2021</v>
      </c>
      <c r="C6514" t="s">
        <v>807</v>
      </c>
      <c r="D6514" t="s">
        <v>825</v>
      </c>
      <c r="E6514" t="s">
        <v>35</v>
      </c>
      <c r="F6514" t="s">
        <v>745</v>
      </c>
      <c r="G6514">
        <v>38.533332999999999</v>
      </c>
      <c r="H6514">
        <v>141.51666700000001</v>
      </c>
      <c r="I6514" t="s">
        <v>770</v>
      </c>
      <c r="J6514" s="2" t="s">
        <v>14</v>
      </c>
      <c r="K6514" t="s">
        <v>746</v>
      </c>
      <c r="L6514" t="s">
        <v>144</v>
      </c>
      <c r="M6514" t="s">
        <v>726</v>
      </c>
      <c r="N6514" t="s">
        <v>85</v>
      </c>
      <c r="O6514" t="s">
        <v>84</v>
      </c>
      <c r="Q6514" s="25">
        <v>7</v>
      </c>
      <c r="R6514" s="2" t="s">
        <v>213</v>
      </c>
      <c r="S6514" t="s">
        <v>37</v>
      </c>
      <c r="T6514">
        <v>10</v>
      </c>
      <c r="U6514" t="s">
        <v>28</v>
      </c>
      <c r="V6514" t="s">
        <v>28</v>
      </c>
      <c r="W6514" s="25">
        <v>28</v>
      </c>
      <c r="X6514" s="25">
        <v>0.59260000000000002</v>
      </c>
      <c r="Y6514" s="25">
        <v>6.8370233939111902E-2</v>
      </c>
    </row>
    <row r="6515" spans="1:25" x14ac:dyDescent="0.2">
      <c r="A6515" t="s">
        <v>744</v>
      </c>
      <c r="B6515">
        <v>2021</v>
      </c>
      <c r="C6515" t="s">
        <v>807</v>
      </c>
      <c r="D6515" t="s">
        <v>825</v>
      </c>
      <c r="E6515" t="s">
        <v>35</v>
      </c>
      <c r="F6515" t="s">
        <v>745</v>
      </c>
      <c r="G6515">
        <v>38.533332999999999</v>
      </c>
      <c r="H6515">
        <v>141.51666700000001</v>
      </c>
      <c r="J6515" s="2" t="s">
        <v>7</v>
      </c>
      <c r="K6515" t="s">
        <v>747</v>
      </c>
      <c r="L6515" t="s">
        <v>143</v>
      </c>
      <c r="M6515" t="s">
        <v>726</v>
      </c>
      <c r="N6515" t="s">
        <v>85</v>
      </c>
      <c r="O6515" t="s">
        <v>84</v>
      </c>
      <c r="Q6515" s="25">
        <v>1</v>
      </c>
      <c r="R6515" s="2" t="s">
        <v>213</v>
      </c>
      <c r="S6515" t="s">
        <v>7</v>
      </c>
      <c r="T6515">
        <v>10</v>
      </c>
      <c r="U6515" t="s">
        <v>28</v>
      </c>
      <c r="V6515" t="s">
        <v>28</v>
      </c>
      <c r="W6515" s="25">
        <v>18</v>
      </c>
      <c r="X6515" s="25">
        <v>0.72450000000000003</v>
      </c>
      <c r="Y6515" s="25">
        <v>1.9271452692749675E-2</v>
      </c>
    </row>
    <row r="6516" spans="1:25" x14ac:dyDescent="0.2">
      <c r="A6516" t="s">
        <v>744</v>
      </c>
      <c r="B6516">
        <v>2021</v>
      </c>
      <c r="C6516" t="s">
        <v>807</v>
      </c>
      <c r="D6516" t="s">
        <v>825</v>
      </c>
      <c r="E6516" t="s">
        <v>35</v>
      </c>
      <c r="F6516" t="s">
        <v>745</v>
      </c>
      <c r="G6516">
        <v>38.533332999999999</v>
      </c>
      <c r="H6516">
        <v>141.51666700000001</v>
      </c>
      <c r="J6516" s="2" t="s">
        <v>14</v>
      </c>
      <c r="K6516" t="s">
        <v>747</v>
      </c>
      <c r="L6516" t="s">
        <v>143</v>
      </c>
      <c r="M6516" t="s">
        <v>726</v>
      </c>
      <c r="N6516" t="s">
        <v>85</v>
      </c>
      <c r="O6516" t="s">
        <v>84</v>
      </c>
      <c r="Q6516" s="25">
        <v>1</v>
      </c>
      <c r="R6516" s="2" t="s">
        <v>214</v>
      </c>
      <c r="S6516" t="s">
        <v>9</v>
      </c>
      <c r="T6516">
        <v>10</v>
      </c>
      <c r="U6516" t="s">
        <v>28</v>
      </c>
      <c r="V6516" t="s">
        <v>28</v>
      </c>
      <c r="W6516" s="25">
        <v>20</v>
      </c>
      <c r="X6516" s="25">
        <v>0.68320000000000003</v>
      </c>
      <c r="Y6516" s="25">
        <v>5.8575307653196892E-2</v>
      </c>
    </row>
    <row r="6517" spans="1:25" x14ac:dyDescent="0.2">
      <c r="A6517" t="s">
        <v>744</v>
      </c>
      <c r="B6517">
        <v>2021</v>
      </c>
      <c r="C6517" t="s">
        <v>807</v>
      </c>
      <c r="D6517" t="s">
        <v>825</v>
      </c>
      <c r="E6517" t="s">
        <v>35</v>
      </c>
      <c r="F6517" t="s">
        <v>745</v>
      </c>
      <c r="G6517">
        <v>38.533332999999999</v>
      </c>
      <c r="H6517">
        <v>141.51666700000001</v>
      </c>
      <c r="J6517" s="2" t="s">
        <v>14</v>
      </c>
      <c r="K6517" t="s">
        <v>747</v>
      </c>
      <c r="L6517" t="s">
        <v>143</v>
      </c>
      <c r="M6517" t="s">
        <v>726</v>
      </c>
      <c r="N6517" t="s">
        <v>85</v>
      </c>
      <c r="O6517" t="s">
        <v>84</v>
      </c>
      <c r="Q6517" s="25">
        <v>1</v>
      </c>
      <c r="R6517" s="2" t="s">
        <v>214</v>
      </c>
      <c r="S6517" t="s">
        <v>27</v>
      </c>
      <c r="T6517">
        <v>10</v>
      </c>
      <c r="U6517" t="s">
        <v>28</v>
      </c>
      <c r="V6517" t="s">
        <v>28</v>
      </c>
      <c r="W6517" s="25">
        <v>22</v>
      </c>
      <c r="X6517" s="25">
        <v>0.7087</v>
      </c>
      <c r="Y6517" s="25">
        <v>2.204061906773239E-2</v>
      </c>
    </row>
    <row r="6518" spans="1:25" x14ac:dyDescent="0.2">
      <c r="A6518" t="s">
        <v>744</v>
      </c>
      <c r="B6518">
        <v>2021</v>
      </c>
      <c r="C6518" t="s">
        <v>807</v>
      </c>
      <c r="D6518" t="s">
        <v>825</v>
      </c>
      <c r="E6518" t="s">
        <v>35</v>
      </c>
      <c r="F6518" t="s">
        <v>745</v>
      </c>
      <c r="G6518">
        <v>38.533332999999999</v>
      </c>
      <c r="H6518">
        <v>141.51666700000001</v>
      </c>
      <c r="J6518" s="2" t="s">
        <v>14</v>
      </c>
      <c r="K6518" t="s">
        <v>747</v>
      </c>
      <c r="L6518" t="s">
        <v>143</v>
      </c>
      <c r="M6518" t="s">
        <v>726</v>
      </c>
      <c r="N6518" t="s">
        <v>85</v>
      </c>
      <c r="O6518" t="s">
        <v>84</v>
      </c>
      <c r="Q6518" s="25">
        <v>1</v>
      </c>
      <c r="R6518" s="2" t="s">
        <v>214</v>
      </c>
      <c r="S6518" t="s">
        <v>13</v>
      </c>
      <c r="T6518">
        <v>10</v>
      </c>
      <c r="U6518" t="s">
        <v>28</v>
      </c>
      <c r="V6518" t="s">
        <v>28</v>
      </c>
      <c r="W6518" s="25">
        <v>24</v>
      </c>
      <c r="X6518" s="25">
        <v>0.70569999999999999</v>
      </c>
      <c r="Y6518" s="25">
        <v>9.9224772892435899E-3</v>
      </c>
    </row>
    <row r="6519" spans="1:25" x14ac:dyDescent="0.2">
      <c r="A6519" t="s">
        <v>744</v>
      </c>
      <c r="B6519">
        <v>2021</v>
      </c>
      <c r="C6519" t="s">
        <v>807</v>
      </c>
      <c r="D6519" t="s">
        <v>825</v>
      </c>
      <c r="E6519" t="s">
        <v>35</v>
      </c>
      <c r="F6519" t="s">
        <v>745</v>
      </c>
      <c r="G6519">
        <v>38.533332999999999</v>
      </c>
      <c r="H6519">
        <v>141.51666700000001</v>
      </c>
      <c r="J6519" s="2" t="s">
        <v>14</v>
      </c>
      <c r="K6519" t="s">
        <v>747</v>
      </c>
      <c r="L6519" t="s">
        <v>143</v>
      </c>
      <c r="M6519" t="s">
        <v>726</v>
      </c>
      <c r="N6519" t="s">
        <v>85</v>
      </c>
      <c r="O6519" t="s">
        <v>84</v>
      </c>
      <c r="Q6519" s="25">
        <v>1</v>
      </c>
      <c r="R6519" s="2" t="s">
        <v>214</v>
      </c>
      <c r="S6519" t="s">
        <v>15</v>
      </c>
      <c r="T6519">
        <v>10</v>
      </c>
      <c r="U6519" t="s">
        <v>28</v>
      </c>
      <c r="V6519" t="s">
        <v>28</v>
      </c>
      <c r="W6519" s="25">
        <v>28</v>
      </c>
      <c r="X6519" s="25">
        <v>0.69940000000000002</v>
      </c>
      <c r="Y6519" s="25">
        <v>1.3664227424597043E-2</v>
      </c>
    </row>
    <row r="6520" spans="1:25" x14ac:dyDescent="0.2">
      <c r="A6520" t="s">
        <v>744</v>
      </c>
      <c r="B6520">
        <v>2021</v>
      </c>
      <c r="C6520" t="s">
        <v>807</v>
      </c>
      <c r="D6520" t="s">
        <v>825</v>
      </c>
      <c r="E6520" t="s">
        <v>35</v>
      </c>
      <c r="F6520" t="s">
        <v>745</v>
      </c>
      <c r="G6520">
        <v>38.533332999999999</v>
      </c>
      <c r="H6520">
        <v>141.51666700000001</v>
      </c>
      <c r="J6520" s="2" t="s">
        <v>14</v>
      </c>
      <c r="K6520" t="s">
        <v>747</v>
      </c>
      <c r="L6520" t="s">
        <v>143</v>
      </c>
      <c r="M6520" t="s">
        <v>726</v>
      </c>
      <c r="N6520" t="s">
        <v>85</v>
      </c>
      <c r="O6520" t="s">
        <v>84</v>
      </c>
      <c r="Q6520" s="25">
        <v>1</v>
      </c>
      <c r="R6520" s="2" t="s">
        <v>213</v>
      </c>
      <c r="S6520" t="s">
        <v>37</v>
      </c>
      <c r="T6520">
        <v>10</v>
      </c>
      <c r="U6520" t="s">
        <v>28</v>
      </c>
      <c r="V6520" t="s">
        <v>28</v>
      </c>
      <c r="W6520" s="25">
        <v>32</v>
      </c>
      <c r="X6520" s="25">
        <v>1.32E-2</v>
      </c>
      <c r="Y6520" s="25">
        <v>2.4330136776342947E-2</v>
      </c>
    </row>
    <row r="6521" spans="1:25" x14ac:dyDescent="0.2">
      <c r="A6521" t="s">
        <v>744</v>
      </c>
      <c r="B6521">
        <v>2021</v>
      </c>
      <c r="C6521" t="s">
        <v>807</v>
      </c>
      <c r="D6521" t="s">
        <v>825</v>
      </c>
      <c r="E6521" t="s">
        <v>35</v>
      </c>
      <c r="F6521" t="s">
        <v>745</v>
      </c>
      <c r="G6521">
        <v>38.533332999999999</v>
      </c>
      <c r="H6521">
        <v>141.51666700000001</v>
      </c>
      <c r="J6521" s="2" t="s">
        <v>14</v>
      </c>
      <c r="K6521" t="s">
        <v>747</v>
      </c>
      <c r="L6521" t="s">
        <v>143</v>
      </c>
      <c r="M6521" t="s">
        <v>726</v>
      </c>
      <c r="N6521" t="s">
        <v>85</v>
      </c>
      <c r="O6521" t="s">
        <v>84</v>
      </c>
      <c r="Q6521" s="25">
        <v>1</v>
      </c>
      <c r="R6521" s="2" t="s">
        <v>213</v>
      </c>
      <c r="S6521" t="s">
        <v>116</v>
      </c>
      <c r="T6521">
        <v>10</v>
      </c>
      <c r="U6521" t="s">
        <v>28</v>
      </c>
      <c r="V6521" t="s">
        <v>28</v>
      </c>
      <c r="W6521" s="25">
        <v>36</v>
      </c>
      <c r="X6521" s="25">
        <v>1.7499999999999998E-2</v>
      </c>
      <c r="Y6521" s="25">
        <v>4.9971658634336592E-2</v>
      </c>
    </row>
    <row r="6522" spans="1:25" x14ac:dyDescent="0.2">
      <c r="A6522" t="s">
        <v>744</v>
      </c>
      <c r="B6522">
        <v>2021</v>
      </c>
      <c r="C6522" t="s">
        <v>807</v>
      </c>
      <c r="D6522" t="s">
        <v>825</v>
      </c>
      <c r="E6522" t="s">
        <v>35</v>
      </c>
      <c r="F6522" t="s">
        <v>745</v>
      </c>
      <c r="G6522">
        <v>38.533332999999999</v>
      </c>
      <c r="H6522">
        <v>141.51666700000001</v>
      </c>
      <c r="J6522" s="2" t="s">
        <v>7</v>
      </c>
      <c r="K6522" t="s">
        <v>747</v>
      </c>
      <c r="L6522" t="s">
        <v>143</v>
      </c>
      <c r="M6522" t="s">
        <v>726</v>
      </c>
      <c r="N6522" t="s">
        <v>85</v>
      </c>
      <c r="O6522" t="s">
        <v>84</v>
      </c>
      <c r="Q6522" s="25">
        <v>2</v>
      </c>
      <c r="R6522" s="2" t="s">
        <v>214</v>
      </c>
      <c r="S6522" t="s">
        <v>7</v>
      </c>
      <c r="T6522">
        <v>10</v>
      </c>
      <c r="U6522" t="s">
        <v>28</v>
      </c>
      <c r="V6522" t="s">
        <v>28</v>
      </c>
      <c r="W6522" s="25">
        <v>18</v>
      </c>
      <c r="X6522" s="25">
        <v>0.7226999999999999</v>
      </c>
      <c r="Y6522" s="25">
        <v>1.5867857098199697E-2</v>
      </c>
    </row>
    <row r="6523" spans="1:25" x14ac:dyDescent="0.2">
      <c r="A6523" t="s">
        <v>744</v>
      </c>
      <c r="B6523">
        <v>2021</v>
      </c>
      <c r="C6523" t="s">
        <v>807</v>
      </c>
      <c r="D6523" t="s">
        <v>825</v>
      </c>
      <c r="E6523" t="s">
        <v>35</v>
      </c>
      <c r="F6523" t="s">
        <v>745</v>
      </c>
      <c r="G6523">
        <v>38.533332999999999</v>
      </c>
      <c r="H6523">
        <v>141.51666700000001</v>
      </c>
      <c r="J6523" s="2" t="s">
        <v>14</v>
      </c>
      <c r="K6523" t="s">
        <v>747</v>
      </c>
      <c r="L6523" t="s">
        <v>143</v>
      </c>
      <c r="M6523" t="s">
        <v>726</v>
      </c>
      <c r="N6523" t="s">
        <v>85</v>
      </c>
      <c r="O6523" t="s">
        <v>84</v>
      </c>
      <c r="Q6523" s="25">
        <v>2</v>
      </c>
      <c r="R6523" s="2" t="s">
        <v>214</v>
      </c>
      <c r="S6523" t="s">
        <v>9</v>
      </c>
      <c r="T6523">
        <v>10</v>
      </c>
      <c r="U6523" t="s">
        <v>28</v>
      </c>
      <c r="V6523" t="s">
        <v>28</v>
      </c>
      <c r="W6523" s="25">
        <v>20</v>
      </c>
      <c r="X6523" s="25">
        <v>0.68989999999999996</v>
      </c>
      <c r="Y6523" s="25">
        <v>1.1836384583140241E-2</v>
      </c>
    </row>
    <row r="6524" spans="1:25" x14ac:dyDescent="0.2">
      <c r="A6524" t="s">
        <v>744</v>
      </c>
      <c r="B6524">
        <v>2021</v>
      </c>
      <c r="C6524" t="s">
        <v>807</v>
      </c>
      <c r="D6524" t="s">
        <v>825</v>
      </c>
      <c r="E6524" t="s">
        <v>35</v>
      </c>
      <c r="F6524" t="s">
        <v>745</v>
      </c>
      <c r="G6524">
        <v>38.533332999999999</v>
      </c>
      <c r="H6524">
        <v>141.51666700000001</v>
      </c>
      <c r="J6524" s="2" t="s">
        <v>14</v>
      </c>
      <c r="K6524" t="s">
        <v>747</v>
      </c>
      <c r="L6524" t="s">
        <v>143</v>
      </c>
      <c r="M6524" t="s">
        <v>726</v>
      </c>
      <c r="N6524" t="s">
        <v>85</v>
      </c>
      <c r="O6524" t="s">
        <v>84</v>
      </c>
      <c r="Q6524" s="25">
        <v>2</v>
      </c>
      <c r="R6524" s="2" t="s">
        <v>214</v>
      </c>
      <c r="S6524" t="s">
        <v>27</v>
      </c>
      <c r="T6524">
        <v>10</v>
      </c>
      <c r="U6524" t="s">
        <v>28</v>
      </c>
      <c r="V6524" t="s">
        <v>28</v>
      </c>
      <c r="W6524" s="25">
        <v>22</v>
      </c>
      <c r="X6524" s="25">
        <v>0.70169999999999999</v>
      </c>
      <c r="Y6524" s="25">
        <v>3.1763186238159428E-2</v>
      </c>
    </row>
    <row r="6525" spans="1:25" x14ac:dyDescent="0.2">
      <c r="A6525" t="s">
        <v>744</v>
      </c>
      <c r="B6525">
        <v>2021</v>
      </c>
      <c r="C6525" t="s">
        <v>807</v>
      </c>
      <c r="D6525" t="s">
        <v>825</v>
      </c>
      <c r="E6525" t="s">
        <v>35</v>
      </c>
      <c r="F6525" t="s">
        <v>745</v>
      </c>
      <c r="G6525">
        <v>38.533332999999999</v>
      </c>
      <c r="H6525">
        <v>141.51666700000001</v>
      </c>
      <c r="J6525" s="2" t="s">
        <v>14</v>
      </c>
      <c r="K6525" t="s">
        <v>747</v>
      </c>
      <c r="L6525" t="s">
        <v>143</v>
      </c>
      <c r="M6525" t="s">
        <v>726</v>
      </c>
      <c r="N6525" t="s">
        <v>85</v>
      </c>
      <c r="O6525" t="s">
        <v>84</v>
      </c>
      <c r="Q6525" s="25">
        <v>2</v>
      </c>
      <c r="R6525" s="2" t="s">
        <v>214</v>
      </c>
      <c r="S6525" t="s">
        <v>13</v>
      </c>
      <c r="T6525">
        <v>10</v>
      </c>
      <c r="U6525" t="s">
        <v>28</v>
      </c>
      <c r="V6525" t="s">
        <v>28</v>
      </c>
      <c r="W6525" s="25">
        <v>24</v>
      </c>
      <c r="X6525" s="25">
        <v>0.69040000000000001</v>
      </c>
      <c r="Y6525" s="25">
        <v>1.8252549289224079E-2</v>
      </c>
    </row>
    <row r="6526" spans="1:25" x14ac:dyDescent="0.2">
      <c r="A6526" t="s">
        <v>744</v>
      </c>
      <c r="B6526">
        <v>2021</v>
      </c>
      <c r="C6526" t="s">
        <v>807</v>
      </c>
      <c r="D6526" t="s">
        <v>825</v>
      </c>
      <c r="E6526" t="s">
        <v>35</v>
      </c>
      <c r="F6526" t="s">
        <v>745</v>
      </c>
      <c r="G6526">
        <v>38.533332999999999</v>
      </c>
      <c r="H6526">
        <v>141.51666700000001</v>
      </c>
      <c r="J6526" s="2" t="s">
        <v>14</v>
      </c>
      <c r="K6526" t="s">
        <v>747</v>
      </c>
      <c r="L6526" t="s">
        <v>143</v>
      </c>
      <c r="M6526" t="s">
        <v>726</v>
      </c>
      <c r="N6526" t="s">
        <v>85</v>
      </c>
      <c r="O6526" t="s">
        <v>84</v>
      </c>
      <c r="Q6526" s="25">
        <v>2</v>
      </c>
      <c r="R6526" s="2" t="s">
        <v>214</v>
      </c>
      <c r="S6526" t="s">
        <v>15</v>
      </c>
      <c r="T6526">
        <v>10</v>
      </c>
      <c r="U6526" t="s">
        <v>28</v>
      </c>
      <c r="V6526" t="s">
        <v>28</v>
      </c>
      <c r="W6526" s="25">
        <v>28</v>
      </c>
      <c r="X6526" s="25">
        <v>0.65939999999999999</v>
      </c>
      <c r="Y6526" s="25">
        <v>1.3753383422109421E-2</v>
      </c>
    </row>
    <row r="6527" spans="1:25" x14ac:dyDescent="0.2">
      <c r="A6527" t="s">
        <v>744</v>
      </c>
      <c r="B6527">
        <v>2021</v>
      </c>
      <c r="C6527" t="s">
        <v>807</v>
      </c>
      <c r="D6527" t="s">
        <v>825</v>
      </c>
      <c r="E6527" t="s">
        <v>35</v>
      </c>
      <c r="F6527" t="s">
        <v>745</v>
      </c>
      <c r="G6527">
        <v>38.533332999999999</v>
      </c>
      <c r="H6527">
        <v>141.51666700000001</v>
      </c>
      <c r="J6527" s="2" t="s">
        <v>7</v>
      </c>
      <c r="K6527" t="s">
        <v>747</v>
      </c>
      <c r="L6527" t="s">
        <v>143</v>
      </c>
      <c r="M6527" t="s">
        <v>726</v>
      </c>
      <c r="N6527" t="s">
        <v>85</v>
      </c>
      <c r="O6527" t="s">
        <v>84</v>
      </c>
      <c r="Q6527" s="25">
        <v>3</v>
      </c>
      <c r="R6527" s="2" t="s">
        <v>213</v>
      </c>
      <c r="S6527" t="s">
        <v>7</v>
      </c>
      <c r="T6527">
        <v>10</v>
      </c>
      <c r="U6527" t="s">
        <v>28</v>
      </c>
      <c r="V6527" t="s">
        <v>28</v>
      </c>
      <c r="W6527" s="25">
        <v>18</v>
      </c>
      <c r="X6527" s="25">
        <v>0.72</v>
      </c>
      <c r="Y6527" s="25">
        <v>1.35728487143349E-2</v>
      </c>
    </row>
    <row r="6528" spans="1:25" x14ac:dyDescent="0.2">
      <c r="A6528" t="s">
        <v>744</v>
      </c>
      <c r="B6528">
        <v>2021</v>
      </c>
      <c r="C6528" t="s">
        <v>807</v>
      </c>
      <c r="D6528" t="s">
        <v>825</v>
      </c>
      <c r="E6528" t="s">
        <v>35</v>
      </c>
      <c r="F6528" t="s">
        <v>745</v>
      </c>
      <c r="G6528">
        <v>38.533332999999999</v>
      </c>
      <c r="H6528">
        <v>141.51666700000001</v>
      </c>
      <c r="J6528" s="2" t="s">
        <v>14</v>
      </c>
      <c r="K6528" t="s">
        <v>747</v>
      </c>
      <c r="L6528" t="s">
        <v>143</v>
      </c>
      <c r="M6528" t="s">
        <v>726</v>
      </c>
      <c r="N6528" t="s">
        <v>85</v>
      </c>
      <c r="O6528" t="s">
        <v>84</v>
      </c>
      <c r="Q6528" s="25">
        <v>3</v>
      </c>
      <c r="R6528" s="2" t="s">
        <v>214</v>
      </c>
      <c r="S6528" t="s">
        <v>9</v>
      </c>
      <c r="T6528">
        <v>10</v>
      </c>
      <c r="U6528" t="s">
        <v>28</v>
      </c>
      <c r="V6528" t="s">
        <v>28</v>
      </c>
      <c r="W6528" s="25">
        <v>20</v>
      </c>
      <c r="X6528" s="25">
        <v>0.68079999999999996</v>
      </c>
      <c r="Y6528" s="25">
        <v>1.4972567507871706E-2</v>
      </c>
    </row>
    <row r="6529" spans="1:25" x14ac:dyDescent="0.2">
      <c r="A6529" t="s">
        <v>744</v>
      </c>
      <c r="B6529">
        <v>2021</v>
      </c>
      <c r="C6529" t="s">
        <v>807</v>
      </c>
      <c r="D6529" t="s">
        <v>825</v>
      </c>
      <c r="E6529" t="s">
        <v>35</v>
      </c>
      <c r="F6529" t="s">
        <v>745</v>
      </c>
      <c r="G6529">
        <v>38.533332999999999</v>
      </c>
      <c r="H6529">
        <v>141.51666700000001</v>
      </c>
      <c r="J6529" s="2" t="s">
        <v>14</v>
      </c>
      <c r="K6529" t="s">
        <v>747</v>
      </c>
      <c r="L6529" t="s">
        <v>143</v>
      </c>
      <c r="M6529" t="s">
        <v>726</v>
      </c>
      <c r="N6529" t="s">
        <v>85</v>
      </c>
      <c r="O6529" t="s">
        <v>84</v>
      </c>
      <c r="Q6529" s="25">
        <v>3</v>
      </c>
      <c r="R6529" s="2" t="s">
        <v>214</v>
      </c>
      <c r="S6529" t="s">
        <v>27</v>
      </c>
      <c r="T6529">
        <v>10</v>
      </c>
      <c r="U6529" t="s">
        <v>28</v>
      </c>
      <c r="V6529" t="s">
        <v>28</v>
      </c>
      <c r="W6529" s="25">
        <v>22</v>
      </c>
      <c r="X6529" s="25">
        <v>0.68609999999999993</v>
      </c>
      <c r="Y6529" s="25">
        <v>1.13768771344921E-2</v>
      </c>
    </row>
    <row r="6530" spans="1:25" x14ac:dyDescent="0.2">
      <c r="A6530" t="s">
        <v>744</v>
      </c>
      <c r="B6530">
        <v>2021</v>
      </c>
      <c r="C6530" t="s">
        <v>807</v>
      </c>
      <c r="D6530" t="s">
        <v>825</v>
      </c>
      <c r="E6530" t="s">
        <v>35</v>
      </c>
      <c r="F6530" t="s">
        <v>745</v>
      </c>
      <c r="G6530">
        <v>38.533332999999999</v>
      </c>
      <c r="H6530">
        <v>141.51666700000001</v>
      </c>
      <c r="J6530" s="2" t="s">
        <v>14</v>
      </c>
      <c r="K6530" t="s">
        <v>747</v>
      </c>
      <c r="L6530" t="s">
        <v>143</v>
      </c>
      <c r="M6530" t="s">
        <v>726</v>
      </c>
      <c r="N6530" t="s">
        <v>85</v>
      </c>
      <c r="O6530" t="s">
        <v>84</v>
      </c>
      <c r="Q6530" s="25">
        <v>3</v>
      </c>
      <c r="R6530" s="2" t="s">
        <v>214</v>
      </c>
      <c r="S6530" t="s">
        <v>13</v>
      </c>
      <c r="T6530">
        <v>10</v>
      </c>
      <c r="U6530" t="s">
        <v>28</v>
      </c>
      <c r="V6530" t="s">
        <v>28</v>
      </c>
      <c r="W6530" s="25">
        <v>24</v>
      </c>
      <c r="X6530" s="25">
        <v>0.69359999999999999</v>
      </c>
      <c r="Y6530" s="25">
        <v>9.2400096200045637E-3</v>
      </c>
    </row>
    <row r="6531" spans="1:25" x14ac:dyDescent="0.2">
      <c r="A6531" t="s">
        <v>744</v>
      </c>
      <c r="B6531">
        <v>2021</v>
      </c>
      <c r="C6531" t="s">
        <v>807</v>
      </c>
      <c r="D6531" t="s">
        <v>825</v>
      </c>
      <c r="E6531" t="s">
        <v>35</v>
      </c>
      <c r="F6531" t="s">
        <v>745</v>
      </c>
      <c r="G6531">
        <v>38.533332999999999</v>
      </c>
      <c r="H6531">
        <v>141.51666700000001</v>
      </c>
      <c r="J6531" s="2" t="s">
        <v>14</v>
      </c>
      <c r="K6531" t="s">
        <v>747</v>
      </c>
      <c r="L6531" t="s">
        <v>143</v>
      </c>
      <c r="M6531" t="s">
        <v>726</v>
      </c>
      <c r="N6531" t="s">
        <v>85</v>
      </c>
      <c r="O6531" t="s">
        <v>84</v>
      </c>
      <c r="Q6531" s="25">
        <v>3</v>
      </c>
      <c r="R6531" s="2" t="s">
        <v>213</v>
      </c>
      <c r="S6531" t="s">
        <v>15</v>
      </c>
      <c r="T6531">
        <v>10</v>
      </c>
      <c r="U6531" t="s">
        <v>28</v>
      </c>
      <c r="V6531" t="s">
        <v>28</v>
      </c>
      <c r="W6531" s="25">
        <v>28</v>
      </c>
      <c r="X6531" s="25">
        <v>0.62609999999999999</v>
      </c>
      <c r="Y6531" s="25">
        <v>2.4071421506286966E-2</v>
      </c>
    </row>
    <row r="6532" spans="1:25" x14ac:dyDescent="0.2">
      <c r="A6532" t="s">
        <v>744</v>
      </c>
      <c r="B6532">
        <v>2021</v>
      </c>
      <c r="C6532" t="s">
        <v>807</v>
      </c>
      <c r="D6532" t="s">
        <v>825</v>
      </c>
      <c r="E6532" t="s">
        <v>35</v>
      </c>
      <c r="F6532" t="s">
        <v>745</v>
      </c>
      <c r="G6532">
        <v>38.533332999999999</v>
      </c>
      <c r="H6532">
        <v>141.51666700000001</v>
      </c>
      <c r="J6532" s="2" t="s">
        <v>7</v>
      </c>
      <c r="K6532" t="s">
        <v>747</v>
      </c>
      <c r="L6532" t="s">
        <v>143</v>
      </c>
      <c r="M6532" t="s">
        <v>726</v>
      </c>
      <c r="N6532" t="s">
        <v>85</v>
      </c>
      <c r="O6532" t="s">
        <v>84</v>
      </c>
      <c r="Q6532" s="25">
        <v>7</v>
      </c>
      <c r="R6532" s="2" t="s">
        <v>213</v>
      </c>
      <c r="S6532" t="s">
        <v>7</v>
      </c>
      <c r="T6532">
        <v>10</v>
      </c>
      <c r="U6532" t="s">
        <v>28</v>
      </c>
      <c r="V6532" t="s">
        <v>28</v>
      </c>
      <c r="W6532" s="25">
        <v>18</v>
      </c>
      <c r="X6532" s="25">
        <v>0.64710000000000001</v>
      </c>
      <c r="Y6532" s="25">
        <v>2.9685200203318662E-2</v>
      </c>
    </row>
    <row r="6533" spans="1:25" x14ac:dyDescent="0.2">
      <c r="A6533" t="s">
        <v>744</v>
      </c>
      <c r="B6533">
        <v>2021</v>
      </c>
      <c r="C6533" t="s">
        <v>807</v>
      </c>
      <c r="D6533" t="s">
        <v>825</v>
      </c>
      <c r="E6533" t="s">
        <v>35</v>
      </c>
      <c r="F6533" t="s">
        <v>745</v>
      </c>
      <c r="G6533">
        <v>38.533332999999999</v>
      </c>
      <c r="H6533">
        <v>141.51666700000001</v>
      </c>
      <c r="J6533" s="2" t="s">
        <v>14</v>
      </c>
      <c r="K6533" t="s">
        <v>747</v>
      </c>
      <c r="L6533" t="s">
        <v>143</v>
      </c>
      <c r="M6533" t="s">
        <v>726</v>
      </c>
      <c r="N6533" t="s">
        <v>85</v>
      </c>
      <c r="O6533" t="s">
        <v>84</v>
      </c>
      <c r="Q6533" s="25">
        <v>7</v>
      </c>
      <c r="R6533" s="2" t="s">
        <v>213</v>
      </c>
      <c r="S6533" t="s">
        <v>9</v>
      </c>
      <c r="T6533">
        <v>10</v>
      </c>
      <c r="U6533" t="s">
        <v>28</v>
      </c>
      <c r="V6533" t="s">
        <v>28</v>
      </c>
      <c r="W6533" s="25">
        <v>20</v>
      </c>
      <c r="X6533" s="25">
        <v>0.70499999999999996</v>
      </c>
      <c r="Y6533" s="25">
        <v>1.7243356208503431E-2</v>
      </c>
    </row>
    <row r="6534" spans="1:25" x14ac:dyDescent="0.2">
      <c r="A6534" t="s">
        <v>744</v>
      </c>
      <c r="B6534">
        <v>2021</v>
      </c>
      <c r="C6534" t="s">
        <v>807</v>
      </c>
      <c r="D6534" t="s">
        <v>825</v>
      </c>
      <c r="E6534" t="s">
        <v>35</v>
      </c>
      <c r="F6534" t="s">
        <v>745</v>
      </c>
      <c r="G6534">
        <v>38.533332999999999</v>
      </c>
      <c r="H6534">
        <v>141.51666700000001</v>
      </c>
      <c r="J6534" s="2" t="s">
        <v>14</v>
      </c>
      <c r="K6534" t="s">
        <v>747</v>
      </c>
      <c r="L6534" t="s">
        <v>143</v>
      </c>
      <c r="M6534" t="s">
        <v>726</v>
      </c>
      <c r="N6534" t="s">
        <v>85</v>
      </c>
      <c r="O6534" t="s">
        <v>84</v>
      </c>
      <c r="Q6534" s="25">
        <v>7</v>
      </c>
      <c r="R6534" s="2" t="s">
        <v>213</v>
      </c>
      <c r="S6534" t="s">
        <v>27</v>
      </c>
      <c r="T6534">
        <v>10</v>
      </c>
      <c r="U6534" t="s">
        <v>28</v>
      </c>
      <c r="V6534" t="s">
        <v>28</v>
      </c>
      <c r="W6534" s="25">
        <v>22</v>
      </c>
      <c r="X6534" s="25">
        <v>0.6997000000000001</v>
      </c>
      <c r="Y6534" s="25">
        <v>1.5275616008673427E-2</v>
      </c>
    </row>
    <row r="6535" spans="1:25" x14ac:dyDescent="0.2">
      <c r="A6535" t="s">
        <v>744</v>
      </c>
      <c r="B6535">
        <v>2021</v>
      </c>
      <c r="C6535" t="s">
        <v>807</v>
      </c>
      <c r="D6535" t="s">
        <v>825</v>
      </c>
      <c r="E6535" t="s">
        <v>35</v>
      </c>
      <c r="F6535" t="s">
        <v>745</v>
      </c>
      <c r="G6535">
        <v>38.533332999999999</v>
      </c>
      <c r="H6535">
        <v>141.51666700000001</v>
      </c>
      <c r="J6535" s="2" t="s">
        <v>14</v>
      </c>
      <c r="K6535" t="s">
        <v>747</v>
      </c>
      <c r="L6535" t="s">
        <v>143</v>
      </c>
      <c r="M6535" t="s">
        <v>726</v>
      </c>
      <c r="N6535" t="s">
        <v>85</v>
      </c>
      <c r="O6535" t="s">
        <v>84</v>
      </c>
      <c r="Q6535" s="25">
        <v>7</v>
      </c>
      <c r="R6535" s="2" t="s">
        <v>213</v>
      </c>
      <c r="S6535" t="s">
        <v>13</v>
      </c>
      <c r="T6535">
        <v>10</v>
      </c>
      <c r="U6535" t="s">
        <v>28</v>
      </c>
      <c r="V6535" t="s">
        <v>28</v>
      </c>
      <c r="W6535" s="25">
        <v>24</v>
      </c>
      <c r="X6535" s="25">
        <v>0.68530000000000002</v>
      </c>
      <c r="Y6535" s="25">
        <v>1.6766699801160058E-2</v>
      </c>
    </row>
    <row r="6536" spans="1:25" x14ac:dyDescent="0.2">
      <c r="A6536" t="s">
        <v>744</v>
      </c>
      <c r="B6536">
        <v>2021</v>
      </c>
      <c r="C6536" t="s">
        <v>807</v>
      </c>
      <c r="D6536" t="s">
        <v>825</v>
      </c>
      <c r="E6536" t="s">
        <v>35</v>
      </c>
      <c r="F6536" t="s">
        <v>745</v>
      </c>
      <c r="G6536">
        <v>38.533332999999999</v>
      </c>
      <c r="H6536">
        <v>141.51666700000001</v>
      </c>
      <c r="I6536" t="s">
        <v>770</v>
      </c>
      <c r="J6536" s="2" t="s">
        <v>7</v>
      </c>
      <c r="K6536" t="s">
        <v>746</v>
      </c>
      <c r="L6536" t="s">
        <v>144</v>
      </c>
      <c r="M6536" t="s">
        <v>726</v>
      </c>
      <c r="N6536" t="s">
        <v>85</v>
      </c>
      <c r="O6536" t="s">
        <v>396</v>
      </c>
      <c r="Q6536">
        <f>1/24</f>
        <v>4.1666666666666664E-2</v>
      </c>
      <c r="R6536" s="2" t="s">
        <v>214</v>
      </c>
      <c r="S6536" t="s">
        <v>7</v>
      </c>
      <c r="T6536">
        <v>10</v>
      </c>
      <c r="U6536" t="s">
        <v>28</v>
      </c>
      <c r="V6536" t="s">
        <v>28</v>
      </c>
      <c r="W6536" s="25">
        <v>15</v>
      </c>
      <c r="X6536">
        <v>0.46179999999999999</v>
      </c>
      <c r="Y6536">
        <f>0.5382-X6536</f>
        <v>7.6400000000000023E-2</v>
      </c>
    </row>
    <row r="6537" spans="1:25" x14ac:dyDescent="0.2">
      <c r="A6537" t="s">
        <v>744</v>
      </c>
      <c r="B6537">
        <v>2021</v>
      </c>
      <c r="C6537" t="s">
        <v>807</v>
      </c>
      <c r="D6537" t="s">
        <v>825</v>
      </c>
      <c r="E6537" t="s">
        <v>35</v>
      </c>
      <c r="F6537" t="s">
        <v>745</v>
      </c>
      <c r="G6537">
        <v>38.533332999999999</v>
      </c>
      <c r="H6537">
        <v>141.51666700000001</v>
      </c>
      <c r="I6537" t="s">
        <v>770</v>
      </c>
      <c r="J6537" s="2" t="s">
        <v>7</v>
      </c>
      <c r="K6537" t="s">
        <v>746</v>
      </c>
      <c r="L6537" t="s">
        <v>144</v>
      </c>
      <c r="M6537" t="s">
        <v>726</v>
      </c>
      <c r="N6537" t="s">
        <v>85</v>
      </c>
      <c r="O6537" t="s">
        <v>396</v>
      </c>
      <c r="Q6537">
        <f>2/24</f>
        <v>8.3333333333333329E-2</v>
      </c>
      <c r="R6537" s="2" t="s">
        <v>214</v>
      </c>
      <c r="S6537" t="s">
        <v>7</v>
      </c>
      <c r="T6537">
        <v>10</v>
      </c>
      <c r="U6537" t="s">
        <v>28</v>
      </c>
      <c r="V6537" t="s">
        <v>28</v>
      </c>
      <c r="W6537" s="25">
        <v>15</v>
      </c>
      <c r="X6537">
        <v>0.43519999999999998</v>
      </c>
      <c r="Y6537">
        <f>0.5415-X6537</f>
        <v>0.10630000000000001</v>
      </c>
    </row>
    <row r="6538" spans="1:25" x14ac:dyDescent="0.2">
      <c r="A6538" t="s">
        <v>744</v>
      </c>
      <c r="B6538">
        <v>2021</v>
      </c>
      <c r="C6538" t="s">
        <v>807</v>
      </c>
      <c r="D6538" t="s">
        <v>825</v>
      </c>
      <c r="E6538" t="s">
        <v>35</v>
      </c>
      <c r="F6538" t="s">
        <v>745</v>
      </c>
      <c r="G6538">
        <v>38.533332999999999</v>
      </c>
      <c r="H6538">
        <v>141.51666700000001</v>
      </c>
      <c r="I6538" t="s">
        <v>770</v>
      </c>
      <c r="J6538" s="2" t="s">
        <v>7</v>
      </c>
      <c r="K6538" t="s">
        <v>746</v>
      </c>
      <c r="L6538" t="s">
        <v>144</v>
      </c>
      <c r="M6538" t="s">
        <v>726</v>
      </c>
      <c r="N6538" t="s">
        <v>85</v>
      </c>
      <c r="O6538" t="s">
        <v>396</v>
      </c>
      <c r="Q6538">
        <f>3/24</f>
        <v>0.125</v>
      </c>
      <c r="R6538" s="2" t="s">
        <v>214</v>
      </c>
      <c r="S6538" t="s">
        <v>7</v>
      </c>
      <c r="T6538">
        <v>10</v>
      </c>
      <c r="U6538" t="s">
        <v>28</v>
      </c>
      <c r="V6538" t="s">
        <v>28</v>
      </c>
      <c r="W6538" s="25">
        <v>15</v>
      </c>
      <c r="X6538">
        <v>0.43519999999999998</v>
      </c>
      <c r="Y6538">
        <f>0.5382-X6538</f>
        <v>0.10300000000000004</v>
      </c>
    </row>
    <row r="6539" spans="1:25" x14ac:dyDescent="0.2">
      <c r="A6539" t="s">
        <v>744</v>
      </c>
      <c r="B6539">
        <v>2021</v>
      </c>
      <c r="C6539" t="s">
        <v>807</v>
      </c>
      <c r="D6539" t="s">
        <v>825</v>
      </c>
      <c r="E6539" t="s">
        <v>35</v>
      </c>
      <c r="F6539" t="s">
        <v>745</v>
      </c>
      <c r="G6539">
        <v>38.533332999999999</v>
      </c>
      <c r="H6539">
        <v>141.51666700000001</v>
      </c>
      <c r="I6539" t="s">
        <v>770</v>
      </c>
      <c r="J6539" s="2" t="s">
        <v>7</v>
      </c>
      <c r="K6539" t="s">
        <v>746</v>
      </c>
      <c r="L6539" t="s">
        <v>144</v>
      </c>
      <c r="M6539" t="s">
        <v>726</v>
      </c>
      <c r="N6539" t="s">
        <v>85</v>
      </c>
      <c r="O6539" t="s">
        <v>396</v>
      </c>
      <c r="Q6539">
        <f>4/24</f>
        <v>0.16666666666666666</v>
      </c>
      <c r="R6539" s="2" t="s">
        <v>214</v>
      </c>
      <c r="S6539" t="s">
        <v>7</v>
      </c>
      <c r="T6539">
        <v>10</v>
      </c>
      <c r="U6539" t="s">
        <v>28</v>
      </c>
      <c r="V6539" t="s">
        <v>28</v>
      </c>
      <c r="W6539" s="25">
        <v>15</v>
      </c>
      <c r="X6539">
        <v>0.3987</v>
      </c>
      <c r="Y6539">
        <f>0.4452-X6539</f>
        <v>4.6499999999999986E-2</v>
      </c>
    </row>
    <row r="6540" spans="1:25" x14ac:dyDescent="0.2">
      <c r="A6540" t="s">
        <v>744</v>
      </c>
      <c r="B6540">
        <v>2021</v>
      </c>
      <c r="C6540" t="s">
        <v>807</v>
      </c>
      <c r="D6540" t="s">
        <v>825</v>
      </c>
      <c r="E6540" t="s">
        <v>35</v>
      </c>
      <c r="F6540" t="s">
        <v>745</v>
      </c>
      <c r="G6540">
        <v>38.533332999999999</v>
      </c>
      <c r="H6540">
        <v>141.51666700000001</v>
      </c>
      <c r="I6540" t="s">
        <v>770</v>
      </c>
      <c r="J6540" s="2" t="s">
        <v>7</v>
      </c>
      <c r="K6540" t="s">
        <v>746</v>
      </c>
      <c r="L6540" t="s">
        <v>144</v>
      </c>
      <c r="M6540" t="s">
        <v>726</v>
      </c>
      <c r="N6540" t="s">
        <v>85</v>
      </c>
      <c r="O6540" t="s">
        <v>396</v>
      </c>
      <c r="Q6540">
        <f>5/24</f>
        <v>0.20833333333333334</v>
      </c>
      <c r="R6540" s="2" t="s">
        <v>214</v>
      </c>
      <c r="S6540" t="s">
        <v>7</v>
      </c>
      <c r="T6540">
        <v>10</v>
      </c>
      <c r="U6540" t="s">
        <v>28</v>
      </c>
      <c r="V6540" t="s">
        <v>28</v>
      </c>
      <c r="W6540" s="25">
        <v>15</v>
      </c>
      <c r="X6540">
        <v>0.43519999999999998</v>
      </c>
      <c r="Y6540">
        <f>0.4983-X6540</f>
        <v>6.3100000000000045E-2</v>
      </c>
    </row>
    <row r="6541" spans="1:25" x14ac:dyDescent="0.2">
      <c r="A6541" t="s">
        <v>744</v>
      </c>
      <c r="B6541">
        <v>2021</v>
      </c>
      <c r="C6541" t="s">
        <v>807</v>
      </c>
      <c r="D6541" t="s">
        <v>825</v>
      </c>
      <c r="E6541" t="s">
        <v>35</v>
      </c>
      <c r="F6541" t="s">
        <v>745</v>
      </c>
      <c r="G6541">
        <v>38.533332999999999</v>
      </c>
      <c r="H6541">
        <v>141.51666700000001</v>
      </c>
      <c r="I6541" t="s">
        <v>770</v>
      </c>
      <c r="J6541" s="2" t="s">
        <v>7</v>
      </c>
      <c r="K6541" t="s">
        <v>746</v>
      </c>
      <c r="L6541" t="s">
        <v>144</v>
      </c>
      <c r="M6541" t="s">
        <v>726</v>
      </c>
      <c r="N6541" t="s">
        <v>85</v>
      </c>
      <c r="O6541" t="s">
        <v>396</v>
      </c>
      <c r="Q6541">
        <f>6/24</f>
        <v>0.25</v>
      </c>
      <c r="R6541" s="2" t="s">
        <v>213</v>
      </c>
      <c r="S6541" t="s">
        <v>7</v>
      </c>
      <c r="T6541">
        <v>10</v>
      </c>
      <c r="U6541" t="s">
        <v>28</v>
      </c>
      <c r="V6541" t="s">
        <v>28</v>
      </c>
      <c r="W6541" s="25">
        <v>15</v>
      </c>
      <c r="X6541">
        <v>0.40529999999999999</v>
      </c>
      <c r="Y6541">
        <f>0.5449-X6541</f>
        <v>0.13960000000000006</v>
      </c>
    </row>
    <row r="6542" spans="1:25" x14ac:dyDescent="0.2">
      <c r="A6542" t="s">
        <v>744</v>
      </c>
      <c r="B6542">
        <v>2021</v>
      </c>
      <c r="C6542" t="s">
        <v>807</v>
      </c>
      <c r="D6542" t="s">
        <v>825</v>
      </c>
      <c r="E6542" t="s">
        <v>35</v>
      </c>
      <c r="F6542" t="s">
        <v>745</v>
      </c>
      <c r="G6542">
        <v>38.533332999999999</v>
      </c>
      <c r="H6542">
        <v>141.51666700000001</v>
      </c>
      <c r="I6542" t="s">
        <v>770</v>
      </c>
      <c r="J6542" s="2" t="s">
        <v>14</v>
      </c>
      <c r="K6542" t="s">
        <v>746</v>
      </c>
      <c r="L6542" t="s">
        <v>144</v>
      </c>
      <c r="M6542" t="s">
        <v>726</v>
      </c>
      <c r="N6542" t="s">
        <v>85</v>
      </c>
      <c r="O6542" t="s">
        <v>396</v>
      </c>
      <c r="Q6542">
        <f>1/24</f>
        <v>4.1666666666666664E-2</v>
      </c>
      <c r="R6542" s="2" t="s">
        <v>214</v>
      </c>
      <c r="S6542" t="s">
        <v>13</v>
      </c>
      <c r="T6542">
        <v>10</v>
      </c>
      <c r="U6542" t="s">
        <v>28</v>
      </c>
      <c r="V6542" t="s">
        <v>28</v>
      </c>
      <c r="W6542" s="25">
        <v>22</v>
      </c>
      <c r="X6542">
        <v>0.58799999999999997</v>
      </c>
      <c r="Y6542">
        <f>0.6545-X6542</f>
        <v>6.6500000000000004E-2</v>
      </c>
    </row>
    <row r="6543" spans="1:25" x14ac:dyDescent="0.2">
      <c r="A6543" t="s">
        <v>744</v>
      </c>
      <c r="B6543">
        <v>2021</v>
      </c>
      <c r="C6543" t="s">
        <v>807</v>
      </c>
      <c r="D6543" t="s">
        <v>825</v>
      </c>
      <c r="E6543" t="s">
        <v>35</v>
      </c>
      <c r="F6543" t="s">
        <v>745</v>
      </c>
      <c r="G6543">
        <v>38.533332999999999</v>
      </c>
      <c r="H6543">
        <v>141.51666700000001</v>
      </c>
      <c r="I6543" t="s">
        <v>770</v>
      </c>
      <c r="J6543" s="2" t="s">
        <v>14</v>
      </c>
      <c r="K6543" t="s">
        <v>746</v>
      </c>
      <c r="L6543" t="s">
        <v>144</v>
      </c>
      <c r="M6543" t="s">
        <v>726</v>
      </c>
      <c r="N6543" t="s">
        <v>85</v>
      </c>
      <c r="O6543" t="s">
        <v>396</v>
      </c>
      <c r="Q6543">
        <f>2/24</f>
        <v>8.3333333333333329E-2</v>
      </c>
      <c r="R6543" s="2" t="s">
        <v>214</v>
      </c>
      <c r="S6543" t="s">
        <v>13</v>
      </c>
      <c r="T6543">
        <v>10</v>
      </c>
      <c r="U6543" t="s">
        <v>28</v>
      </c>
      <c r="V6543" t="s">
        <v>28</v>
      </c>
      <c r="W6543" s="25">
        <v>22</v>
      </c>
      <c r="X6543">
        <v>0.56810000000000005</v>
      </c>
      <c r="Y6543">
        <f>0.6279-X6543</f>
        <v>5.9799999999999964E-2</v>
      </c>
    </row>
    <row r="6544" spans="1:25" x14ac:dyDescent="0.2">
      <c r="A6544" t="s">
        <v>744</v>
      </c>
      <c r="B6544">
        <v>2021</v>
      </c>
      <c r="C6544" t="s">
        <v>807</v>
      </c>
      <c r="D6544" t="s">
        <v>825</v>
      </c>
      <c r="E6544" t="s">
        <v>35</v>
      </c>
      <c r="F6544" t="s">
        <v>745</v>
      </c>
      <c r="G6544">
        <v>38.533332999999999</v>
      </c>
      <c r="H6544">
        <v>141.51666700000001</v>
      </c>
      <c r="I6544" t="s">
        <v>770</v>
      </c>
      <c r="J6544" s="2" t="s">
        <v>14</v>
      </c>
      <c r="K6544" t="s">
        <v>746</v>
      </c>
      <c r="L6544" t="s">
        <v>144</v>
      </c>
      <c r="M6544" t="s">
        <v>726</v>
      </c>
      <c r="N6544" t="s">
        <v>85</v>
      </c>
      <c r="O6544" t="s">
        <v>396</v>
      </c>
      <c r="Q6544">
        <f>3/24</f>
        <v>0.125</v>
      </c>
      <c r="R6544" s="2" t="s">
        <v>214</v>
      </c>
      <c r="S6544" t="s">
        <v>13</v>
      </c>
      <c r="T6544">
        <v>10</v>
      </c>
      <c r="U6544" t="s">
        <v>28</v>
      </c>
      <c r="V6544" t="s">
        <v>28</v>
      </c>
      <c r="W6544" s="25">
        <v>22</v>
      </c>
      <c r="X6544">
        <v>0.57809999999999995</v>
      </c>
      <c r="Y6544">
        <f>0.6645-X6544</f>
        <v>8.6400000000000032E-2</v>
      </c>
    </row>
    <row r="6545" spans="1:26" x14ac:dyDescent="0.2">
      <c r="A6545" t="s">
        <v>744</v>
      </c>
      <c r="B6545">
        <v>2021</v>
      </c>
      <c r="C6545" t="s">
        <v>807</v>
      </c>
      <c r="D6545" t="s">
        <v>825</v>
      </c>
      <c r="E6545" t="s">
        <v>35</v>
      </c>
      <c r="F6545" t="s">
        <v>745</v>
      </c>
      <c r="G6545">
        <v>38.533332999999999</v>
      </c>
      <c r="H6545">
        <v>141.51666700000001</v>
      </c>
      <c r="I6545" t="s">
        <v>770</v>
      </c>
      <c r="J6545" s="2" t="s">
        <v>14</v>
      </c>
      <c r="K6545" t="s">
        <v>746</v>
      </c>
      <c r="L6545" t="s">
        <v>144</v>
      </c>
      <c r="M6545" t="s">
        <v>726</v>
      </c>
      <c r="N6545" t="s">
        <v>85</v>
      </c>
      <c r="O6545" t="s">
        <v>396</v>
      </c>
      <c r="Q6545">
        <f>4/24</f>
        <v>0.16666666666666666</v>
      </c>
      <c r="R6545" s="2" t="s">
        <v>214</v>
      </c>
      <c r="S6545" t="s">
        <v>13</v>
      </c>
      <c r="T6545">
        <v>10</v>
      </c>
      <c r="U6545" t="s">
        <v>28</v>
      </c>
      <c r="V6545" t="s">
        <v>28</v>
      </c>
      <c r="W6545" s="25">
        <v>22</v>
      </c>
      <c r="X6545">
        <v>0.55149999999999999</v>
      </c>
      <c r="Y6545">
        <f>0.6645-X6545</f>
        <v>0.11299999999999999</v>
      </c>
    </row>
    <row r="6546" spans="1:26" x14ac:dyDescent="0.2">
      <c r="A6546" t="s">
        <v>744</v>
      </c>
      <c r="B6546">
        <v>2021</v>
      </c>
      <c r="C6546" t="s">
        <v>807</v>
      </c>
      <c r="D6546" t="s">
        <v>825</v>
      </c>
      <c r="E6546" t="s">
        <v>35</v>
      </c>
      <c r="F6546" t="s">
        <v>745</v>
      </c>
      <c r="G6546">
        <v>38.533332999999999</v>
      </c>
      <c r="H6546">
        <v>141.51666700000001</v>
      </c>
      <c r="I6546" t="s">
        <v>770</v>
      </c>
      <c r="J6546" s="2" t="s">
        <v>14</v>
      </c>
      <c r="K6546" t="s">
        <v>746</v>
      </c>
      <c r="L6546" t="s">
        <v>144</v>
      </c>
      <c r="M6546" t="s">
        <v>726</v>
      </c>
      <c r="N6546" t="s">
        <v>85</v>
      </c>
      <c r="O6546" t="s">
        <v>396</v>
      </c>
      <c r="Q6546">
        <f>5/24</f>
        <v>0.20833333333333334</v>
      </c>
      <c r="R6546" s="2" t="s">
        <v>214</v>
      </c>
      <c r="S6546" t="s">
        <v>13</v>
      </c>
      <c r="T6546">
        <v>10</v>
      </c>
      <c r="U6546" t="s">
        <v>28</v>
      </c>
      <c r="V6546" t="s">
        <v>28</v>
      </c>
      <c r="W6546" s="25">
        <v>22</v>
      </c>
      <c r="X6546">
        <v>0.57479999999999998</v>
      </c>
      <c r="Y6546">
        <f>0.6412-X6546</f>
        <v>6.6400000000000015E-2</v>
      </c>
    </row>
    <row r="6547" spans="1:26" x14ac:dyDescent="0.2">
      <c r="A6547" t="s">
        <v>744</v>
      </c>
      <c r="B6547">
        <v>2021</v>
      </c>
      <c r="C6547" t="s">
        <v>807</v>
      </c>
      <c r="D6547" t="s">
        <v>825</v>
      </c>
      <c r="E6547" t="s">
        <v>35</v>
      </c>
      <c r="F6547" t="s">
        <v>745</v>
      </c>
      <c r="G6547">
        <v>38.533332999999999</v>
      </c>
      <c r="H6547">
        <v>141.51666700000001</v>
      </c>
      <c r="I6547" t="s">
        <v>770</v>
      </c>
      <c r="J6547" s="2" t="s">
        <v>14</v>
      </c>
      <c r="K6547" t="s">
        <v>746</v>
      </c>
      <c r="L6547" t="s">
        <v>144</v>
      </c>
      <c r="M6547" t="s">
        <v>726</v>
      </c>
      <c r="N6547" t="s">
        <v>85</v>
      </c>
      <c r="O6547" t="s">
        <v>396</v>
      </c>
      <c r="Q6547">
        <f>6/24</f>
        <v>0.25</v>
      </c>
      <c r="R6547" s="2" t="s">
        <v>213</v>
      </c>
      <c r="S6547" t="s">
        <v>13</v>
      </c>
      <c r="T6547">
        <v>10</v>
      </c>
      <c r="U6547" t="s">
        <v>28</v>
      </c>
      <c r="V6547" t="s">
        <v>28</v>
      </c>
      <c r="W6547" s="25">
        <v>22</v>
      </c>
      <c r="X6547">
        <v>0.51160000000000005</v>
      </c>
      <c r="Y6547">
        <f>0.588-X6547</f>
        <v>7.6399999999999912E-2</v>
      </c>
    </row>
    <row r="6548" spans="1:26" x14ac:dyDescent="0.2">
      <c r="A6548" t="s">
        <v>748</v>
      </c>
      <c r="B6548">
        <v>2021</v>
      </c>
      <c r="C6548" t="s">
        <v>816</v>
      </c>
      <c r="D6548" t="s">
        <v>820</v>
      </c>
      <c r="E6548" t="s">
        <v>34</v>
      </c>
      <c r="F6548" t="s">
        <v>749</v>
      </c>
      <c r="G6548">
        <v>31.902583</v>
      </c>
      <c r="H6548">
        <v>-116.748842</v>
      </c>
      <c r="I6548" t="s">
        <v>764</v>
      </c>
      <c r="J6548" s="2" t="s">
        <v>7</v>
      </c>
      <c r="K6548" t="s">
        <v>750</v>
      </c>
      <c r="L6548" t="s">
        <v>143</v>
      </c>
      <c r="M6548" t="s">
        <v>73</v>
      </c>
      <c r="N6548" t="s">
        <v>85</v>
      </c>
      <c r="O6548" t="s">
        <v>410</v>
      </c>
      <c r="P6548" t="s">
        <v>78</v>
      </c>
      <c r="Q6548">
        <v>5</v>
      </c>
      <c r="R6548" s="2" t="s">
        <v>213</v>
      </c>
      <c r="S6548" t="s">
        <v>7</v>
      </c>
      <c r="T6548">
        <v>3</v>
      </c>
      <c r="U6548" t="s">
        <v>28</v>
      </c>
      <c r="V6548" t="s">
        <v>28</v>
      </c>
      <c r="W6548">
        <v>16</v>
      </c>
      <c r="X6548">
        <v>370.9</v>
      </c>
      <c r="Y6548" s="6">
        <f t="shared" ref="Y6548:Y6605" si="110">Z6548*SQRT(T6548)</f>
        <v>31.176914536239789</v>
      </c>
      <c r="Z6548">
        <f>388.9-X6548</f>
        <v>18</v>
      </c>
    </row>
    <row r="6549" spans="1:26" x14ac:dyDescent="0.2">
      <c r="A6549" t="s">
        <v>748</v>
      </c>
      <c r="B6549">
        <v>2021</v>
      </c>
      <c r="C6549" t="s">
        <v>816</v>
      </c>
      <c r="D6549" t="s">
        <v>820</v>
      </c>
      <c r="E6549" t="s">
        <v>34</v>
      </c>
      <c r="F6549" t="s">
        <v>749</v>
      </c>
      <c r="G6549">
        <v>31.902583</v>
      </c>
      <c r="H6549">
        <v>-116.748842</v>
      </c>
      <c r="I6549" t="s">
        <v>764</v>
      </c>
      <c r="J6549" s="2" t="s">
        <v>14</v>
      </c>
      <c r="K6549" t="s">
        <v>750</v>
      </c>
      <c r="L6549" t="s">
        <v>143</v>
      </c>
      <c r="M6549" t="s">
        <v>73</v>
      </c>
      <c r="N6549" t="s">
        <v>85</v>
      </c>
      <c r="O6549" t="s">
        <v>410</v>
      </c>
      <c r="P6549" t="s">
        <v>78</v>
      </c>
      <c r="Q6549">
        <v>5</v>
      </c>
      <c r="R6549" s="2" t="s">
        <v>213</v>
      </c>
      <c r="S6549" t="s">
        <v>9</v>
      </c>
      <c r="T6549">
        <v>3</v>
      </c>
      <c r="U6549" t="s">
        <v>28</v>
      </c>
      <c r="V6549" t="s">
        <v>28</v>
      </c>
      <c r="W6549" s="25">
        <v>22</v>
      </c>
      <c r="X6549">
        <v>401.6</v>
      </c>
      <c r="Y6549" s="6">
        <f t="shared" si="110"/>
        <v>43.994090512249443</v>
      </c>
      <c r="Z6549">
        <f>427-X6549</f>
        <v>25.399999999999977</v>
      </c>
    </row>
    <row r="6550" spans="1:26" x14ac:dyDescent="0.2">
      <c r="A6550" t="s">
        <v>748</v>
      </c>
      <c r="B6550">
        <v>2021</v>
      </c>
      <c r="C6550" t="s">
        <v>816</v>
      </c>
      <c r="D6550" t="s">
        <v>820</v>
      </c>
      <c r="E6550" t="s">
        <v>34</v>
      </c>
      <c r="F6550" t="s">
        <v>749</v>
      </c>
      <c r="G6550">
        <v>31.902583</v>
      </c>
      <c r="H6550">
        <v>-116.748842</v>
      </c>
      <c r="I6550" t="s">
        <v>764</v>
      </c>
      <c r="J6550" s="2" t="s">
        <v>7</v>
      </c>
      <c r="K6550" t="s">
        <v>750</v>
      </c>
      <c r="L6550" t="s">
        <v>143</v>
      </c>
      <c r="M6550" t="s">
        <v>73</v>
      </c>
      <c r="N6550" t="s">
        <v>85</v>
      </c>
      <c r="O6550" t="s">
        <v>834</v>
      </c>
      <c r="P6550" t="s">
        <v>78</v>
      </c>
      <c r="Q6550">
        <v>5</v>
      </c>
      <c r="R6550" s="2" t="s">
        <v>213</v>
      </c>
      <c r="S6550" t="s">
        <v>7</v>
      </c>
      <c r="T6550">
        <v>3</v>
      </c>
      <c r="U6550" t="s">
        <v>28</v>
      </c>
      <c r="V6550" t="s">
        <v>28</v>
      </c>
      <c r="W6550">
        <v>16</v>
      </c>
      <c r="X6550">
        <v>340.6</v>
      </c>
      <c r="Y6550" s="6">
        <f t="shared" si="110"/>
        <v>40.356783816354756</v>
      </c>
      <c r="Z6550">
        <f>363.9-X6550</f>
        <v>23.299999999999955</v>
      </c>
    </row>
    <row r="6551" spans="1:26" x14ac:dyDescent="0.2">
      <c r="A6551" t="s">
        <v>748</v>
      </c>
      <c r="B6551">
        <v>2021</v>
      </c>
      <c r="C6551" t="s">
        <v>816</v>
      </c>
      <c r="D6551" t="s">
        <v>820</v>
      </c>
      <c r="E6551" t="s">
        <v>34</v>
      </c>
      <c r="F6551" t="s">
        <v>749</v>
      </c>
      <c r="G6551">
        <v>31.902583</v>
      </c>
      <c r="H6551">
        <v>-116.748842</v>
      </c>
      <c r="I6551" t="s">
        <v>764</v>
      </c>
      <c r="J6551" s="2" t="s">
        <v>14</v>
      </c>
      <c r="K6551" t="s">
        <v>750</v>
      </c>
      <c r="L6551" t="s">
        <v>143</v>
      </c>
      <c r="M6551" t="s">
        <v>73</v>
      </c>
      <c r="N6551" t="s">
        <v>85</v>
      </c>
      <c r="O6551" t="s">
        <v>834</v>
      </c>
      <c r="P6551" t="s">
        <v>78</v>
      </c>
      <c r="Q6551">
        <v>5</v>
      </c>
      <c r="R6551" s="2" t="s">
        <v>213</v>
      </c>
      <c r="S6551" t="s">
        <v>9</v>
      </c>
      <c r="T6551">
        <v>3</v>
      </c>
      <c r="U6551" t="s">
        <v>28</v>
      </c>
      <c r="V6551" t="s">
        <v>28</v>
      </c>
      <c r="W6551" s="25">
        <v>22</v>
      </c>
      <c r="X6551">
        <v>361.7</v>
      </c>
      <c r="Y6551" s="6">
        <f t="shared" si="110"/>
        <v>35.351156982480823</v>
      </c>
      <c r="Z6551">
        <f>382.11-X6551</f>
        <v>20.410000000000025</v>
      </c>
    </row>
    <row r="6552" spans="1:26" x14ac:dyDescent="0.2">
      <c r="A6552" t="s">
        <v>748</v>
      </c>
      <c r="B6552">
        <v>2021</v>
      </c>
      <c r="C6552" t="s">
        <v>816</v>
      </c>
      <c r="D6552" t="s">
        <v>820</v>
      </c>
      <c r="E6552" t="s">
        <v>34</v>
      </c>
      <c r="F6552" t="s">
        <v>749</v>
      </c>
      <c r="G6552">
        <v>31.902583</v>
      </c>
      <c r="H6552">
        <v>-116.748842</v>
      </c>
      <c r="I6552" t="s">
        <v>764</v>
      </c>
      <c r="J6552" s="2" t="s">
        <v>7</v>
      </c>
      <c r="K6552" t="s">
        <v>750</v>
      </c>
      <c r="L6552" t="s">
        <v>143</v>
      </c>
      <c r="M6552" t="s">
        <v>172</v>
      </c>
      <c r="N6552" t="s">
        <v>86</v>
      </c>
      <c r="O6552" t="s">
        <v>62</v>
      </c>
      <c r="P6552" t="s">
        <v>78</v>
      </c>
      <c r="Q6552">
        <v>5</v>
      </c>
      <c r="R6552" s="2" t="s">
        <v>213</v>
      </c>
      <c r="S6552" t="s">
        <v>7</v>
      </c>
      <c r="T6552">
        <v>3</v>
      </c>
      <c r="U6552" t="s">
        <v>28</v>
      </c>
      <c r="V6552" t="s">
        <v>28</v>
      </c>
      <c r="W6552">
        <v>16</v>
      </c>
      <c r="X6552">
        <v>-30.34</v>
      </c>
      <c r="Y6552" s="6">
        <f t="shared" si="110"/>
        <v>9.6475229981586406</v>
      </c>
      <c r="Z6552">
        <f>ABS(-35.91-X6552)</f>
        <v>5.5699999999999967</v>
      </c>
    </row>
    <row r="6553" spans="1:26" x14ac:dyDescent="0.2">
      <c r="A6553" t="s">
        <v>748</v>
      </c>
      <c r="B6553">
        <v>2021</v>
      </c>
      <c r="C6553" t="s">
        <v>816</v>
      </c>
      <c r="D6553" t="s">
        <v>820</v>
      </c>
      <c r="E6553" t="s">
        <v>34</v>
      </c>
      <c r="F6553" t="s">
        <v>749</v>
      </c>
      <c r="G6553">
        <v>31.902583</v>
      </c>
      <c r="H6553">
        <v>-116.748842</v>
      </c>
      <c r="I6553" t="s">
        <v>764</v>
      </c>
      <c r="J6553" s="2" t="s">
        <v>14</v>
      </c>
      <c r="K6553" t="s">
        <v>750</v>
      </c>
      <c r="L6553" t="s">
        <v>143</v>
      </c>
      <c r="M6553" t="s">
        <v>172</v>
      </c>
      <c r="N6553" t="s">
        <v>86</v>
      </c>
      <c r="O6553" t="s">
        <v>62</v>
      </c>
      <c r="P6553" t="s">
        <v>78</v>
      </c>
      <c r="Q6553">
        <v>5</v>
      </c>
      <c r="R6553" s="2" t="s">
        <v>213</v>
      </c>
      <c r="S6553" t="s">
        <v>9</v>
      </c>
      <c r="T6553">
        <v>3</v>
      </c>
      <c r="U6553" t="s">
        <v>28</v>
      </c>
      <c r="V6553" t="s">
        <v>28</v>
      </c>
      <c r="W6553" s="25">
        <v>22</v>
      </c>
      <c r="X6553">
        <v>-44.89</v>
      </c>
      <c r="Y6553" s="6">
        <f t="shared" si="110"/>
        <v>4.3301270189221928</v>
      </c>
      <c r="Z6553">
        <f>ABS(-47.39-X6553)</f>
        <v>2.5</v>
      </c>
    </row>
    <row r="6554" spans="1:26" x14ac:dyDescent="0.2">
      <c r="A6554" t="s">
        <v>748</v>
      </c>
      <c r="B6554">
        <v>2021</v>
      </c>
      <c r="C6554" t="s">
        <v>816</v>
      </c>
      <c r="D6554" t="s">
        <v>820</v>
      </c>
      <c r="E6554" t="s">
        <v>34</v>
      </c>
      <c r="F6554" t="s">
        <v>749</v>
      </c>
      <c r="G6554">
        <v>31.902583</v>
      </c>
      <c r="H6554">
        <v>-116.748842</v>
      </c>
      <c r="I6554" t="s">
        <v>764</v>
      </c>
      <c r="J6554" s="2" t="s">
        <v>7</v>
      </c>
      <c r="K6554" t="s">
        <v>750</v>
      </c>
      <c r="L6554" t="s">
        <v>143</v>
      </c>
      <c r="M6554" t="s">
        <v>73</v>
      </c>
      <c r="N6554" t="s">
        <v>85</v>
      </c>
      <c r="O6554" t="s">
        <v>751</v>
      </c>
      <c r="Q6554">
        <v>5</v>
      </c>
      <c r="R6554" s="2" t="s">
        <v>213</v>
      </c>
      <c r="S6554" t="s">
        <v>7</v>
      </c>
      <c r="T6554">
        <v>3</v>
      </c>
      <c r="U6554" t="s">
        <v>28</v>
      </c>
      <c r="V6554" t="s">
        <v>28</v>
      </c>
      <c r="W6554">
        <v>16</v>
      </c>
      <c r="X6554">
        <v>9.1999999999999993</v>
      </c>
      <c r="Y6554" s="6">
        <f t="shared" si="110"/>
        <v>3.3428580586079355</v>
      </c>
      <c r="Z6554">
        <f>11.13-X6554</f>
        <v>1.9300000000000015</v>
      </c>
    </row>
    <row r="6555" spans="1:26" x14ac:dyDescent="0.2">
      <c r="A6555" t="s">
        <v>748</v>
      </c>
      <c r="B6555">
        <v>2021</v>
      </c>
      <c r="C6555" t="s">
        <v>816</v>
      </c>
      <c r="D6555" t="s">
        <v>820</v>
      </c>
      <c r="E6555" t="s">
        <v>34</v>
      </c>
      <c r="F6555" t="s">
        <v>749</v>
      </c>
      <c r="G6555">
        <v>31.902583</v>
      </c>
      <c r="H6555">
        <v>-116.748842</v>
      </c>
      <c r="I6555" t="s">
        <v>764</v>
      </c>
      <c r="J6555" s="2" t="s">
        <v>14</v>
      </c>
      <c r="K6555" t="s">
        <v>750</v>
      </c>
      <c r="L6555" t="s">
        <v>143</v>
      </c>
      <c r="M6555" t="s">
        <v>73</v>
      </c>
      <c r="N6555" t="s">
        <v>85</v>
      </c>
      <c r="O6555" t="s">
        <v>751</v>
      </c>
      <c r="Q6555">
        <v>5</v>
      </c>
      <c r="R6555" s="2" t="s">
        <v>213</v>
      </c>
      <c r="S6555" t="s">
        <v>9</v>
      </c>
      <c r="T6555">
        <v>3</v>
      </c>
      <c r="U6555" t="s">
        <v>28</v>
      </c>
      <c r="V6555" t="s">
        <v>28</v>
      </c>
      <c r="W6555" s="25">
        <v>22</v>
      </c>
      <c r="X6555">
        <v>5.52</v>
      </c>
      <c r="Y6555" s="6">
        <f t="shared" si="110"/>
        <v>1.5761662348876786</v>
      </c>
      <c r="Z6555">
        <f>6.43-X6555</f>
        <v>0.91000000000000014</v>
      </c>
    </row>
    <row r="6556" spans="1:26" x14ac:dyDescent="0.2">
      <c r="A6556" t="s">
        <v>748</v>
      </c>
      <c r="B6556">
        <v>2021</v>
      </c>
      <c r="C6556" t="s">
        <v>816</v>
      </c>
      <c r="D6556" t="s">
        <v>820</v>
      </c>
      <c r="E6556" t="s">
        <v>34</v>
      </c>
      <c r="F6556" t="s">
        <v>749</v>
      </c>
      <c r="G6556">
        <v>31.902583</v>
      </c>
      <c r="H6556">
        <v>-116.748842</v>
      </c>
      <c r="I6556" t="s">
        <v>764</v>
      </c>
      <c r="J6556" s="2" t="s">
        <v>7</v>
      </c>
      <c r="K6556" t="s">
        <v>750</v>
      </c>
      <c r="L6556" t="s">
        <v>143</v>
      </c>
      <c r="M6556" t="s">
        <v>726</v>
      </c>
      <c r="N6556" t="s">
        <v>86</v>
      </c>
      <c r="O6556" t="s">
        <v>480</v>
      </c>
      <c r="P6556" t="s">
        <v>83</v>
      </c>
      <c r="Q6556">
        <v>5</v>
      </c>
      <c r="R6556" s="2" t="s">
        <v>213</v>
      </c>
      <c r="S6556" t="s">
        <v>7</v>
      </c>
      <c r="T6556">
        <v>3</v>
      </c>
      <c r="U6556" t="s">
        <v>28</v>
      </c>
      <c r="V6556" t="s">
        <v>28</v>
      </c>
      <c r="W6556">
        <v>16</v>
      </c>
      <c r="X6556">
        <v>13.29</v>
      </c>
      <c r="Y6556" s="6">
        <f t="shared" si="110"/>
        <v>2.0784609690826543</v>
      </c>
      <c r="Z6556">
        <f>14.49-X6556</f>
        <v>1.2000000000000011</v>
      </c>
    </row>
    <row r="6557" spans="1:26" x14ac:dyDescent="0.2">
      <c r="A6557" t="s">
        <v>748</v>
      </c>
      <c r="B6557">
        <v>2021</v>
      </c>
      <c r="C6557" t="s">
        <v>816</v>
      </c>
      <c r="D6557" t="s">
        <v>820</v>
      </c>
      <c r="E6557" t="s">
        <v>34</v>
      </c>
      <c r="F6557" t="s">
        <v>749</v>
      </c>
      <c r="G6557">
        <v>31.902583</v>
      </c>
      <c r="H6557">
        <v>-116.748842</v>
      </c>
      <c r="I6557" t="s">
        <v>764</v>
      </c>
      <c r="J6557" s="2" t="s">
        <v>14</v>
      </c>
      <c r="K6557" t="s">
        <v>750</v>
      </c>
      <c r="L6557" t="s">
        <v>143</v>
      </c>
      <c r="M6557" t="s">
        <v>726</v>
      </c>
      <c r="N6557" t="s">
        <v>86</v>
      </c>
      <c r="O6557" t="s">
        <v>480</v>
      </c>
      <c r="P6557" t="s">
        <v>83</v>
      </c>
      <c r="Q6557">
        <v>5</v>
      </c>
      <c r="R6557" s="2" t="s">
        <v>213</v>
      </c>
      <c r="S6557" t="s">
        <v>9</v>
      </c>
      <c r="T6557">
        <v>3</v>
      </c>
      <c r="U6557" t="s">
        <v>28</v>
      </c>
      <c r="V6557" t="s">
        <v>28</v>
      </c>
      <c r="W6557" s="25">
        <v>22</v>
      </c>
      <c r="X6557">
        <v>23.29</v>
      </c>
      <c r="Y6557" s="6">
        <f t="shared" si="110"/>
        <v>7.8981516825140838</v>
      </c>
      <c r="Z6557">
        <f>27.85-X6557</f>
        <v>4.5600000000000023</v>
      </c>
    </row>
    <row r="6558" spans="1:26" x14ac:dyDescent="0.2">
      <c r="A6558" t="s">
        <v>748</v>
      </c>
      <c r="B6558">
        <v>2021</v>
      </c>
      <c r="C6558" t="s">
        <v>816</v>
      </c>
      <c r="D6558" t="s">
        <v>820</v>
      </c>
      <c r="E6558" t="s">
        <v>34</v>
      </c>
      <c r="F6558" t="s">
        <v>749</v>
      </c>
      <c r="G6558">
        <v>31.902583</v>
      </c>
      <c r="H6558">
        <v>-116.748842</v>
      </c>
      <c r="I6558" t="s">
        <v>764</v>
      </c>
      <c r="J6558" s="2" t="s">
        <v>7</v>
      </c>
      <c r="K6558" t="s">
        <v>750</v>
      </c>
      <c r="L6558" t="s">
        <v>143</v>
      </c>
      <c r="M6558" t="s">
        <v>726</v>
      </c>
      <c r="N6558" t="s">
        <v>85</v>
      </c>
      <c r="O6558" t="s">
        <v>58</v>
      </c>
      <c r="Q6558">
        <v>5</v>
      </c>
      <c r="R6558" s="2" t="s">
        <v>213</v>
      </c>
      <c r="S6558" t="s">
        <v>7</v>
      </c>
      <c r="T6558">
        <v>3</v>
      </c>
      <c r="U6558" t="s">
        <v>28</v>
      </c>
      <c r="V6558" t="s">
        <v>28</v>
      </c>
      <c r="W6558">
        <v>16</v>
      </c>
      <c r="X6558">
        <v>2.3610000000000002</v>
      </c>
      <c r="Y6558" s="6">
        <f t="shared" si="110"/>
        <v>0.20784609690826467</v>
      </c>
      <c r="Z6558">
        <f>2.481-X6558</f>
        <v>0.11999999999999966</v>
      </c>
    </row>
    <row r="6559" spans="1:26" x14ac:dyDescent="0.2">
      <c r="A6559" t="s">
        <v>748</v>
      </c>
      <c r="B6559">
        <v>2021</v>
      </c>
      <c r="C6559" t="s">
        <v>816</v>
      </c>
      <c r="D6559" t="s">
        <v>820</v>
      </c>
      <c r="E6559" t="s">
        <v>34</v>
      </c>
      <c r="F6559" t="s">
        <v>749</v>
      </c>
      <c r="G6559">
        <v>31.902583</v>
      </c>
      <c r="H6559">
        <v>-116.748842</v>
      </c>
      <c r="I6559" t="s">
        <v>764</v>
      </c>
      <c r="J6559" s="2" t="s">
        <v>14</v>
      </c>
      <c r="K6559" t="s">
        <v>750</v>
      </c>
      <c r="L6559" t="s">
        <v>143</v>
      </c>
      <c r="M6559" t="s">
        <v>726</v>
      </c>
      <c r="N6559" t="s">
        <v>85</v>
      </c>
      <c r="O6559" t="s">
        <v>58</v>
      </c>
      <c r="Q6559">
        <v>5</v>
      </c>
      <c r="R6559" s="2" t="s">
        <v>213</v>
      </c>
      <c r="S6559" t="s">
        <v>9</v>
      </c>
      <c r="T6559">
        <v>3</v>
      </c>
      <c r="U6559" t="s">
        <v>28</v>
      </c>
      <c r="V6559" t="s">
        <v>28</v>
      </c>
      <c r="W6559" s="25">
        <v>22</v>
      </c>
      <c r="X6559">
        <v>2.101</v>
      </c>
      <c r="Y6559" s="6">
        <f t="shared" si="110"/>
        <v>0.51615114065552548</v>
      </c>
      <c r="Z6559">
        <f>2.399-X6559</f>
        <v>0.29800000000000004</v>
      </c>
    </row>
    <row r="6560" spans="1:26" x14ac:dyDescent="0.2">
      <c r="A6560" t="s">
        <v>748</v>
      </c>
      <c r="B6560">
        <v>2021</v>
      </c>
      <c r="C6560" t="s">
        <v>816</v>
      </c>
      <c r="D6560" t="s">
        <v>820</v>
      </c>
      <c r="E6560" t="s">
        <v>34</v>
      </c>
      <c r="F6560" t="s">
        <v>749</v>
      </c>
      <c r="G6560">
        <v>31.902583</v>
      </c>
      <c r="H6560">
        <v>-116.748842</v>
      </c>
      <c r="I6560" t="s">
        <v>764</v>
      </c>
      <c r="J6560" s="2" t="s">
        <v>7</v>
      </c>
      <c r="K6560" t="s">
        <v>750</v>
      </c>
      <c r="L6560" t="s">
        <v>143</v>
      </c>
      <c r="M6560" t="s">
        <v>553</v>
      </c>
      <c r="N6560" t="s">
        <v>85</v>
      </c>
      <c r="O6560" t="s">
        <v>61</v>
      </c>
      <c r="P6560" t="s">
        <v>67</v>
      </c>
      <c r="Q6560">
        <v>5</v>
      </c>
      <c r="R6560" s="2" t="s">
        <v>213</v>
      </c>
      <c r="S6560" t="s">
        <v>7</v>
      </c>
      <c r="T6560">
        <v>3</v>
      </c>
      <c r="U6560" t="s">
        <v>28</v>
      </c>
      <c r="V6560" t="s">
        <v>28</v>
      </c>
      <c r="W6560">
        <v>16</v>
      </c>
      <c r="X6560">
        <v>985.3</v>
      </c>
      <c r="Y6560" s="6">
        <f t="shared" si="110"/>
        <v>178.40123317959436</v>
      </c>
      <c r="Z6560">
        <f>1088.3-X6560</f>
        <v>103</v>
      </c>
    </row>
    <row r="6561" spans="1:26" x14ac:dyDescent="0.2">
      <c r="A6561" t="s">
        <v>748</v>
      </c>
      <c r="B6561">
        <v>2021</v>
      </c>
      <c r="C6561" t="s">
        <v>816</v>
      </c>
      <c r="D6561" t="s">
        <v>820</v>
      </c>
      <c r="E6561" t="s">
        <v>34</v>
      </c>
      <c r="F6561" t="s">
        <v>749</v>
      </c>
      <c r="G6561">
        <v>31.902583</v>
      </c>
      <c r="H6561">
        <v>-116.748842</v>
      </c>
      <c r="I6561" t="s">
        <v>764</v>
      </c>
      <c r="J6561" s="2" t="s">
        <v>14</v>
      </c>
      <c r="K6561" t="s">
        <v>750</v>
      </c>
      <c r="L6561" t="s">
        <v>143</v>
      </c>
      <c r="M6561" t="s">
        <v>553</v>
      </c>
      <c r="N6561" t="s">
        <v>85</v>
      </c>
      <c r="O6561" t="s">
        <v>61</v>
      </c>
      <c r="P6561" t="s">
        <v>67</v>
      </c>
      <c r="Q6561">
        <v>5</v>
      </c>
      <c r="R6561" s="2" t="s">
        <v>213</v>
      </c>
      <c r="S6561" t="s">
        <v>9</v>
      </c>
      <c r="T6561">
        <v>3</v>
      </c>
      <c r="U6561" t="s">
        <v>28</v>
      </c>
      <c r="V6561" t="s">
        <v>28</v>
      </c>
      <c r="W6561" s="25">
        <v>22</v>
      </c>
      <c r="X6561">
        <v>587.70000000000005</v>
      </c>
      <c r="Y6561" s="6">
        <f t="shared" si="110"/>
        <v>195.54853617452619</v>
      </c>
      <c r="Z6561">
        <f>700.6-X6561</f>
        <v>112.89999999999998</v>
      </c>
    </row>
    <row r="6562" spans="1:26" x14ac:dyDescent="0.2">
      <c r="A6562" t="s">
        <v>748</v>
      </c>
      <c r="B6562">
        <v>2021</v>
      </c>
      <c r="C6562" t="s">
        <v>816</v>
      </c>
      <c r="D6562" t="s">
        <v>820</v>
      </c>
      <c r="E6562" t="s">
        <v>34</v>
      </c>
      <c r="F6562" t="s">
        <v>749</v>
      </c>
      <c r="G6562">
        <v>31.902583</v>
      </c>
      <c r="H6562">
        <v>-116.748842</v>
      </c>
      <c r="I6562" t="s">
        <v>764</v>
      </c>
      <c r="J6562" s="2" t="s">
        <v>7</v>
      </c>
      <c r="K6562" t="s">
        <v>750</v>
      </c>
      <c r="L6562" t="s">
        <v>143</v>
      </c>
      <c r="M6562" t="s">
        <v>553</v>
      </c>
      <c r="N6562" t="s">
        <v>85</v>
      </c>
      <c r="O6562" t="s">
        <v>241</v>
      </c>
      <c r="P6562" t="s">
        <v>67</v>
      </c>
      <c r="Q6562">
        <v>5</v>
      </c>
      <c r="R6562" s="2" t="s">
        <v>213</v>
      </c>
      <c r="S6562" t="s">
        <v>7</v>
      </c>
      <c r="T6562">
        <v>3</v>
      </c>
      <c r="U6562" t="s">
        <v>28</v>
      </c>
      <c r="V6562" t="s">
        <v>28</v>
      </c>
      <c r="W6562">
        <v>16</v>
      </c>
      <c r="X6562">
        <v>271.3</v>
      </c>
      <c r="Y6562" s="6">
        <f t="shared" si="110"/>
        <v>112.23689233046326</v>
      </c>
      <c r="Z6562">
        <f>336.1-X6562</f>
        <v>64.800000000000011</v>
      </c>
    </row>
    <row r="6563" spans="1:26" x14ac:dyDescent="0.2">
      <c r="A6563" t="s">
        <v>748</v>
      </c>
      <c r="B6563">
        <v>2021</v>
      </c>
      <c r="C6563" t="s">
        <v>816</v>
      </c>
      <c r="D6563" t="s">
        <v>820</v>
      </c>
      <c r="E6563" t="s">
        <v>34</v>
      </c>
      <c r="F6563" t="s">
        <v>749</v>
      </c>
      <c r="G6563">
        <v>31.902583</v>
      </c>
      <c r="H6563">
        <v>-116.748842</v>
      </c>
      <c r="I6563" t="s">
        <v>764</v>
      </c>
      <c r="J6563" s="2" t="s">
        <v>14</v>
      </c>
      <c r="K6563" t="s">
        <v>750</v>
      </c>
      <c r="L6563" t="s">
        <v>143</v>
      </c>
      <c r="M6563" t="s">
        <v>553</v>
      </c>
      <c r="N6563" t="s">
        <v>85</v>
      </c>
      <c r="O6563" t="s">
        <v>241</v>
      </c>
      <c r="P6563" t="s">
        <v>67</v>
      </c>
      <c r="Q6563">
        <v>5</v>
      </c>
      <c r="R6563" s="2" t="s">
        <v>213</v>
      </c>
      <c r="S6563" t="s">
        <v>9</v>
      </c>
      <c r="T6563">
        <v>3</v>
      </c>
      <c r="U6563" t="s">
        <v>28</v>
      </c>
      <c r="V6563" t="s">
        <v>28</v>
      </c>
      <c r="W6563" s="25">
        <v>22</v>
      </c>
      <c r="X6563">
        <v>108.2</v>
      </c>
      <c r="Y6563" s="6">
        <f t="shared" si="110"/>
        <v>21.304224933097185</v>
      </c>
      <c r="Z6563">
        <f>120.5-X6563</f>
        <v>12.299999999999997</v>
      </c>
    </row>
    <row r="6564" spans="1:26" x14ac:dyDescent="0.2">
      <c r="A6564" t="s">
        <v>748</v>
      </c>
      <c r="B6564">
        <v>2021</v>
      </c>
      <c r="C6564" t="s">
        <v>816</v>
      </c>
      <c r="D6564" t="s">
        <v>820</v>
      </c>
      <c r="E6564" t="s">
        <v>34</v>
      </c>
      <c r="F6564" t="s">
        <v>749</v>
      </c>
      <c r="G6564">
        <v>31.902583</v>
      </c>
      <c r="H6564">
        <v>-116.748842</v>
      </c>
      <c r="I6564" t="s">
        <v>764</v>
      </c>
      <c r="J6564" s="2" t="s">
        <v>7</v>
      </c>
      <c r="K6564" t="s">
        <v>750</v>
      </c>
      <c r="L6564" t="s">
        <v>143</v>
      </c>
      <c r="M6564" t="s">
        <v>553</v>
      </c>
      <c r="N6564" t="s">
        <v>85</v>
      </c>
      <c r="O6564" t="s">
        <v>242</v>
      </c>
      <c r="P6564" t="s">
        <v>67</v>
      </c>
      <c r="Q6564">
        <v>5</v>
      </c>
      <c r="R6564" s="2" t="s">
        <v>213</v>
      </c>
      <c r="S6564" t="s">
        <v>7</v>
      </c>
      <c r="T6564">
        <v>3</v>
      </c>
      <c r="U6564" t="s">
        <v>28</v>
      </c>
      <c r="V6564" t="s">
        <v>28</v>
      </c>
      <c r="W6564">
        <v>16</v>
      </c>
      <c r="X6564">
        <v>318.89999999999998</v>
      </c>
      <c r="Y6564" s="6">
        <f t="shared" si="110"/>
        <v>66.683956091401768</v>
      </c>
      <c r="Z6564">
        <f>357.4-X6564</f>
        <v>38.5</v>
      </c>
    </row>
    <row r="6565" spans="1:26" x14ac:dyDescent="0.2">
      <c r="A6565" t="s">
        <v>748</v>
      </c>
      <c r="B6565">
        <v>2021</v>
      </c>
      <c r="C6565" t="s">
        <v>816</v>
      </c>
      <c r="D6565" t="s">
        <v>820</v>
      </c>
      <c r="E6565" t="s">
        <v>34</v>
      </c>
      <c r="F6565" t="s">
        <v>749</v>
      </c>
      <c r="G6565">
        <v>31.902583</v>
      </c>
      <c r="H6565">
        <v>-116.748842</v>
      </c>
      <c r="I6565" t="s">
        <v>764</v>
      </c>
      <c r="J6565" s="2" t="s">
        <v>14</v>
      </c>
      <c r="K6565" t="s">
        <v>750</v>
      </c>
      <c r="L6565" t="s">
        <v>143</v>
      </c>
      <c r="M6565" t="s">
        <v>553</v>
      </c>
      <c r="N6565" t="s">
        <v>85</v>
      </c>
      <c r="O6565" t="s">
        <v>242</v>
      </c>
      <c r="P6565" t="s">
        <v>67</v>
      </c>
      <c r="Q6565">
        <v>5</v>
      </c>
      <c r="R6565" s="2" t="s">
        <v>213</v>
      </c>
      <c r="S6565" t="s">
        <v>9</v>
      </c>
      <c r="T6565">
        <v>3</v>
      </c>
      <c r="U6565" t="s">
        <v>28</v>
      </c>
      <c r="V6565" t="s">
        <v>28</v>
      </c>
      <c r="W6565" s="25">
        <v>22</v>
      </c>
      <c r="X6565">
        <v>217.2</v>
      </c>
      <c r="Y6565" s="6">
        <f t="shared" si="110"/>
        <v>76.729850775301273</v>
      </c>
      <c r="Z6565">
        <f>261.5-X6565</f>
        <v>44.300000000000011</v>
      </c>
    </row>
    <row r="6566" spans="1:26" x14ac:dyDescent="0.2">
      <c r="A6566" t="s">
        <v>748</v>
      </c>
      <c r="B6566">
        <v>2021</v>
      </c>
      <c r="C6566" t="s">
        <v>816</v>
      </c>
      <c r="D6566" t="s">
        <v>820</v>
      </c>
      <c r="E6566" t="s">
        <v>34</v>
      </c>
      <c r="F6566" t="s">
        <v>749</v>
      </c>
      <c r="G6566">
        <v>31.902583</v>
      </c>
      <c r="H6566">
        <v>-116.748842</v>
      </c>
      <c r="I6566" t="s">
        <v>764</v>
      </c>
      <c r="J6566" s="2" t="s">
        <v>7</v>
      </c>
      <c r="K6566" t="s">
        <v>750</v>
      </c>
      <c r="L6566" t="s">
        <v>143</v>
      </c>
      <c r="M6566" t="s">
        <v>726</v>
      </c>
      <c r="N6566" t="s">
        <v>85</v>
      </c>
      <c r="O6566" t="s">
        <v>84</v>
      </c>
      <c r="Q6566">
        <v>5</v>
      </c>
      <c r="R6566" s="2" t="s">
        <v>213</v>
      </c>
      <c r="S6566" t="s">
        <v>7</v>
      </c>
      <c r="T6566">
        <v>3</v>
      </c>
      <c r="U6566" t="s">
        <v>28</v>
      </c>
      <c r="V6566" t="s">
        <v>28</v>
      </c>
      <c r="W6566">
        <v>16</v>
      </c>
      <c r="X6566">
        <v>0.73180000000000001</v>
      </c>
      <c r="Y6566" s="6">
        <f t="shared" si="110"/>
        <v>1.0045894683899536E-2</v>
      </c>
      <c r="Z6566">
        <f>0.7376-X6566</f>
        <v>5.8000000000000274E-3</v>
      </c>
    </row>
    <row r="6567" spans="1:26" x14ac:dyDescent="0.2">
      <c r="A6567" t="s">
        <v>748</v>
      </c>
      <c r="B6567">
        <v>2021</v>
      </c>
      <c r="C6567" t="s">
        <v>816</v>
      </c>
      <c r="D6567" t="s">
        <v>820</v>
      </c>
      <c r="E6567" t="s">
        <v>34</v>
      </c>
      <c r="F6567" t="s">
        <v>749</v>
      </c>
      <c r="G6567">
        <v>31.902583</v>
      </c>
      <c r="H6567">
        <v>-116.748842</v>
      </c>
      <c r="I6567" t="s">
        <v>764</v>
      </c>
      <c r="J6567" s="2" t="s">
        <v>14</v>
      </c>
      <c r="K6567" t="s">
        <v>750</v>
      </c>
      <c r="L6567" t="s">
        <v>143</v>
      </c>
      <c r="M6567" t="s">
        <v>726</v>
      </c>
      <c r="N6567" t="s">
        <v>85</v>
      </c>
      <c r="O6567" t="s">
        <v>84</v>
      </c>
      <c r="Q6567">
        <v>5</v>
      </c>
      <c r="R6567" s="2" t="s">
        <v>213</v>
      </c>
      <c r="S6567" t="s">
        <v>9</v>
      </c>
      <c r="T6567">
        <v>3</v>
      </c>
      <c r="U6567" t="s">
        <v>28</v>
      </c>
      <c r="V6567" t="s">
        <v>28</v>
      </c>
      <c r="W6567" s="25">
        <v>22</v>
      </c>
      <c r="X6567">
        <v>0.6895</v>
      </c>
      <c r="Y6567" s="6">
        <f t="shared" si="110"/>
        <v>5.5598830922960987E-2</v>
      </c>
      <c r="Z6567">
        <f>0.7216-X6567</f>
        <v>3.2100000000000017E-2</v>
      </c>
    </row>
    <row r="6568" spans="1:26" x14ac:dyDescent="0.2">
      <c r="A6568" t="s">
        <v>748</v>
      </c>
      <c r="B6568">
        <v>2021</v>
      </c>
      <c r="C6568" t="s">
        <v>816</v>
      </c>
      <c r="D6568" t="s">
        <v>820</v>
      </c>
      <c r="E6568" t="s">
        <v>34</v>
      </c>
      <c r="F6568" t="s">
        <v>749</v>
      </c>
      <c r="G6568">
        <v>31.902583</v>
      </c>
      <c r="H6568">
        <v>-116.748842</v>
      </c>
      <c r="I6568" t="s">
        <v>764</v>
      </c>
      <c r="J6568" s="2" t="s">
        <v>7</v>
      </c>
      <c r="K6568" t="s">
        <v>750</v>
      </c>
      <c r="L6568" t="s">
        <v>143</v>
      </c>
      <c r="M6568" t="s">
        <v>726</v>
      </c>
      <c r="N6568" t="s">
        <v>85</v>
      </c>
      <c r="O6568" t="s">
        <v>208</v>
      </c>
      <c r="Q6568">
        <v>5</v>
      </c>
      <c r="R6568" s="2" t="s">
        <v>213</v>
      </c>
      <c r="S6568" t="s">
        <v>7</v>
      </c>
      <c r="T6568">
        <v>3</v>
      </c>
      <c r="U6568" t="s">
        <v>28</v>
      </c>
      <c r="V6568" t="s">
        <v>28</v>
      </c>
      <c r="W6568">
        <v>16</v>
      </c>
      <c r="X6568">
        <v>9.9699999999999997E-2</v>
      </c>
      <c r="Y6568" s="6">
        <f t="shared" si="110"/>
        <v>2.0784609690826642E-3</v>
      </c>
      <c r="Z6568">
        <f>0.1009-X6568</f>
        <v>1.2000000000000066E-3</v>
      </c>
    </row>
    <row r="6569" spans="1:26" x14ac:dyDescent="0.2">
      <c r="A6569" t="s">
        <v>748</v>
      </c>
      <c r="B6569">
        <v>2021</v>
      </c>
      <c r="C6569" t="s">
        <v>816</v>
      </c>
      <c r="D6569" t="s">
        <v>820</v>
      </c>
      <c r="E6569" t="s">
        <v>34</v>
      </c>
      <c r="F6569" t="s">
        <v>749</v>
      </c>
      <c r="G6569">
        <v>31.902583</v>
      </c>
      <c r="H6569">
        <v>-116.748842</v>
      </c>
      <c r="I6569" t="s">
        <v>764</v>
      </c>
      <c r="J6569" s="2" t="s">
        <v>14</v>
      </c>
      <c r="K6569" t="s">
        <v>750</v>
      </c>
      <c r="L6569" t="s">
        <v>143</v>
      </c>
      <c r="M6569" t="s">
        <v>726</v>
      </c>
      <c r="N6569" t="s">
        <v>85</v>
      </c>
      <c r="O6569" t="s">
        <v>208</v>
      </c>
      <c r="Q6569">
        <v>5</v>
      </c>
      <c r="R6569" s="2" t="s">
        <v>213</v>
      </c>
      <c r="S6569" t="s">
        <v>9</v>
      </c>
      <c r="T6569">
        <v>3</v>
      </c>
      <c r="U6569" t="s">
        <v>28</v>
      </c>
      <c r="V6569" t="s">
        <v>28</v>
      </c>
      <c r="W6569" s="25">
        <v>22</v>
      </c>
      <c r="X6569">
        <v>6.3299999999999995E-2</v>
      </c>
      <c r="Y6569" s="6">
        <f t="shared" si="110"/>
        <v>2.8405633244129581E-2</v>
      </c>
      <c r="Z6569">
        <f>0.0797-X6569</f>
        <v>1.6399999999999998E-2</v>
      </c>
    </row>
    <row r="6570" spans="1:26" x14ac:dyDescent="0.2">
      <c r="A6570" t="s">
        <v>748</v>
      </c>
      <c r="B6570">
        <v>2021</v>
      </c>
      <c r="C6570" t="s">
        <v>816</v>
      </c>
      <c r="D6570" t="s">
        <v>820</v>
      </c>
      <c r="E6570" t="s">
        <v>34</v>
      </c>
      <c r="F6570" t="s">
        <v>749</v>
      </c>
      <c r="G6570">
        <v>31.902583</v>
      </c>
      <c r="H6570">
        <v>-116.748842</v>
      </c>
      <c r="I6570" t="s">
        <v>764</v>
      </c>
      <c r="J6570" s="2" t="s">
        <v>7</v>
      </c>
      <c r="K6570" t="s">
        <v>750</v>
      </c>
      <c r="L6570" t="s">
        <v>143</v>
      </c>
      <c r="M6570" t="s">
        <v>726</v>
      </c>
      <c r="N6570" t="s">
        <v>85</v>
      </c>
      <c r="O6570" t="s">
        <v>835</v>
      </c>
      <c r="P6570" t="s">
        <v>83</v>
      </c>
      <c r="Q6570">
        <v>5</v>
      </c>
      <c r="R6570" s="2" t="s">
        <v>213</v>
      </c>
      <c r="S6570" t="s">
        <v>7</v>
      </c>
      <c r="T6570">
        <v>3</v>
      </c>
      <c r="U6570" t="s">
        <v>28</v>
      </c>
      <c r="V6570" t="s">
        <v>28</v>
      </c>
      <c r="W6570">
        <v>16</v>
      </c>
      <c r="X6570">
        <v>21.28</v>
      </c>
      <c r="Y6570" s="6">
        <f t="shared" si="110"/>
        <v>2.2689865579152269</v>
      </c>
      <c r="Z6570">
        <f>22.59-X6570</f>
        <v>1.3099999999999987</v>
      </c>
    </row>
    <row r="6571" spans="1:26" x14ac:dyDescent="0.2">
      <c r="A6571" t="s">
        <v>748</v>
      </c>
      <c r="B6571">
        <v>2021</v>
      </c>
      <c r="C6571" t="s">
        <v>816</v>
      </c>
      <c r="D6571" t="s">
        <v>820</v>
      </c>
      <c r="E6571" t="s">
        <v>34</v>
      </c>
      <c r="F6571" t="s">
        <v>749</v>
      </c>
      <c r="G6571">
        <v>31.902583</v>
      </c>
      <c r="H6571">
        <v>-116.748842</v>
      </c>
      <c r="I6571" t="s">
        <v>764</v>
      </c>
      <c r="J6571" s="2" t="s">
        <v>14</v>
      </c>
      <c r="K6571" t="s">
        <v>750</v>
      </c>
      <c r="L6571" t="s">
        <v>143</v>
      </c>
      <c r="M6571" t="s">
        <v>726</v>
      </c>
      <c r="N6571" t="s">
        <v>85</v>
      </c>
      <c r="O6571" t="s">
        <v>835</v>
      </c>
      <c r="P6571" t="s">
        <v>83</v>
      </c>
      <c r="Q6571">
        <v>5</v>
      </c>
      <c r="R6571" s="2" t="s">
        <v>213</v>
      </c>
      <c r="S6571" t="s">
        <v>9</v>
      </c>
      <c r="T6571">
        <v>3</v>
      </c>
      <c r="U6571" t="s">
        <v>28</v>
      </c>
      <c r="V6571" t="s">
        <v>28</v>
      </c>
      <c r="W6571" s="25">
        <v>22</v>
      </c>
      <c r="X6571">
        <v>14.45</v>
      </c>
      <c r="Y6571" s="6">
        <f t="shared" si="110"/>
        <v>2.6673582436560723</v>
      </c>
      <c r="Z6571">
        <f>15.99-X6571</f>
        <v>1.5400000000000009</v>
      </c>
    </row>
    <row r="6572" spans="1:26" x14ac:dyDescent="0.2">
      <c r="A6572" t="s">
        <v>748</v>
      </c>
      <c r="B6572">
        <v>2021</v>
      </c>
      <c r="C6572" t="s">
        <v>816</v>
      </c>
      <c r="D6572" t="s">
        <v>820</v>
      </c>
      <c r="E6572" t="s">
        <v>34</v>
      </c>
      <c r="F6572" t="s">
        <v>749</v>
      </c>
      <c r="G6572">
        <v>31.902583</v>
      </c>
      <c r="H6572">
        <v>-116.748842</v>
      </c>
      <c r="I6572" t="s">
        <v>764</v>
      </c>
      <c r="J6572" s="2" t="s">
        <v>7</v>
      </c>
      <c r="K6572" t="s">
        <v>750</v>
      </c>
      <c r="L6572" t="s">
        <v>143</v>
      </c>
      <c r="M6572" t="s">
        <v>726</v>
      </c>
      <c r="N6572" t="s">
        <v>85</v>
      </c>
      <c r="O6572" t="s">
        <v>396</v>
      </c>
      <c r="Q6572">
        <v>5</v>
      </c>
      <c r="R6572" s="2" t="s">
        <v>213</v>
      </c>
      <c r="S6572" t="s">
        <v>7</v>
      </c>
      <c r="T6572">
        <v>3</v>
      </c>
      <c r="U6572" t="s">
        <v>28</v>
      </c>
      <c r="V6572" t="s">
        <v>28</v>
      </c>
      <c r="W6572">
        <v>16</v>
      </c>
      <c r="X6572">
        <v>0.1628</v>
      </c>
      <c r="Y6572" s="6">
        <f t="shared" si="110"/>
        <v>1.1604740410711497E-2</v>
      </c>
      <c r="Z6572">
        <f>0.1695-X6572</f>
        <v>6.7000000000000115E-3</v>
      </c>
    </row>
    <row r="6573" spans="1:26" x14ac:dyDescent="0.2">
      <c r="A6573" t="s">
        <v>748</v>
      </c>
      <c r="B6573">
        <v>2021</v>
      </c>
      <c r="C6573" t="s">
        <v>816</v>
      </c>
      <c r="D6573" t="s">
        <v>820</v>
      </c>
      <c r="E6573" t="s">
        <v>34</v>
      </c>
      <c r="F6573" t="s">
        <v>749</v>
      </c>
      <c r="G6573">
        <v>31.902583</v>
      </c>
      <c r="H6573">
        <v>-116.748842</v>
      </c>
      <c r="I6573" t="s">
        <v>764</v>
      </c>
      <c r="J6573" s="2" t="s">
        <v>14</v>
      </c>
      <c r="K6573" t="s">
        <v>750</v>
      </c>
      <c r="L6573" t="s">
        <v>143</v>
      </c>
      <c r="M6573" t="s">
        <v>726</v>
      </c>
      <c r="N6573" t="s">
        <v>85</v>
      </c>
      <c r="O6573" t="s">
        <v>396</v>
      </c>
      <c r="Q6573">
        <v>5</v>
      </c>
      <c r="R6573" s="2" t="s">
        <v>213</v>
      </c>
      <c r="S6573" t="s">
        <v>9</v>
      </c>
      <c r="T6573">
        <v>3</v>
      </c>
      <c r="U6573" t="s">
        <v>28</v>
      </c>
      <c r="V6573" t="s">
        <v>28</v>
      </c>
      <c r="W6573" s="25">
        <v>22</v>
      </c>
      <c r="X6573">
        <v>0.13600000000000001</v>
      </c>
      <c r="Y6573" s="6">
        <f t="shared" si="110"/>
        <v>3.1350119616996637E-2</v>
      </c>
      <c r="Z6573">
        <f>0.1541-X6573</f>
        <v>1.8099999999999977E-2</v>
      </c>
    </row>
    <row r="6574" spans="1:26" x14ac:dyDescent="0.2">
      <c r="A6574" t="s">
        <v>748</v>
      </c>
      <c r="B6574">
        <v>2021</v>
      </c>
      <c r="C6574" t="s">
        <v>816</v>
      </c>
      <c r="D6574" t="s">
        <v>820</v>
      </c>
      <c r="E6574" t="s">
        <v>34</v>
      </c>
      <c r="F6574" t="s">
        <v>749</v>
      </c>
      <c r="G6574">
        <v>31.902583</v>
      </c>
      <c r="H6574">
        <v>-116.748842</v>
      </c>
      <c r="I6574" t="s">
        <v>764</v>
      </c>
      <c r="J6574" s="2" t="s">
        <v>7</v>
      </c>
      <c r="K6574" t="s">
        <v>750</v>
      </c>
      <c r="L6574" t="s">
        <v>143</v>
      </c>
      <c r="M6574" t="s">
        <v>26</v>
      </c>
      <c r="N6574" t="s">
        <v>85</v>
      </c>
      <c r="O6574" t="s">
        <v>462</v>
      </c>
      <c r="P6574" t="s">
        <v>72</v>
      </c>
      <c r="Q6574">
        <v>5</v>
      </c>
      <c r="R6574" s="2" t="s">
        <v>213</v>
      </c>
      <c r="S6574" t="s">
        <v>7</v>
      </c>
      <c r="T6574">
        <v>3</v>
      </c>
      <c r="U6574" t="s">
        <v>28</v>
      </c>
      <c r="V6574" t="s">
        <v>28</v>
      </c>
      <c r="W6574">
        <v>16</v>
      </c>
      <c r="X6574">
        <v>7.7380000000000004</v>
      </c>
      <c r="Y6574" s="6">
        <f t="shared" si="110"/>
        <v>3.0986388947407191</v>
      </c>
      <c r="Z6574">
        <f>9.527-X6574</f>
        <v>1.7889999999999988</v>
      </c>
    </row>
    <row r="6575" spans="1:26" x14ac:dyDescent="0.2">
      <c r="A6575" t="s">
        <v>748</v>
      </c>
      <c r="B6575">
        <v>2021</v>
      </c>
      <c r="C6575" t="s">
        <v>816</v>
      </c>
      <c r="D6575" t="s">
        <v>820</v>
      </c>
      <c r="E6575" t="s">
        <v>34</v>
      </c>
      <c r="F6575" t="s">
        <v>749</v>
      </c>
      <c r="G6575">
        <v>31.902583</v>
      </c>
      <c r="H6575">
        <v>-116.748842</v>
      </c>
      <c r="I6575" t="s">
        <v>764</v>
      </c>
      <c r="J6575" s="2" t="s">
        <v>14</v>
      </c>
      <c r="K6575" t="s">
        <v>750</v>
      </c>
      <c r="L6575" t="s">
        <v>143</v>
      </c>
      <c r="M6575" t="s">
        <v>26</v>
      </c>
      <c r="N6575" t="s">
        <v>85</v>
      </c>
      <c r="O6575" t="s">
        <v>462</v>
      </c>
      <c r="P6575" t="s">
        <v>72</v>
      </c>
      <c r="Q6575">
        <v>5</v>
      </c>
      <c r="R6575" s="2" t="s">
        <v>213</v>
      </c>
      <c r="S6575" t="s">
        <v>9</v>
      </c>
      <c r="T6575">
        <v>3</v>
      </c>
      <c r="U6575" t="s">
        <v>28</v>
      </c>
      <c r="V6575" t="s">
        <v>28</v>
      </c>
      <c r="W6575" s="25">
        <v>22</v>
      </c>
      <c r="X6575">
        <v>0.76800000000000002</v>
      </c>
      <c r="Y6575" s="6">
        <f t="shared" si="110"/>
        <v>2.7764774445329099</v>
      </c>
      <c r="Z6575">
        <f>2.371-X6575</f>
        <v>1.603</v>
      </c>
    </row>
    <row r="6576" spans="1:26" x14ac:dyDescent="0.2">
      <c r="A6576" t="s">
        <v>748</v>
      </c>
      <c r="B6576">
        <v>2021</v>
      </c>
      <c r="C6576" t="s">
        <v>816</v>
      </c>
      <c r="D6576" t="s">
        <v>820</v>
      </c>
      <c r="E6576" t="s">
        <v>34</v>
      </c>
      <c r="F6576" t="s">
        <v>749</v>
      </c>
      <c r="G6576">
        <v>31.902583</v>
      </c>
      <c r="H6576">
        <v>-116.748842</v>
      </c>
      <c r="I6576" t="s">
        <v>764</v>
      </c>
      <c r="J6576" s="2" t="s">
        <v>7</v>
      </c>
      <c r="K6576" t="s">
        <v>750</v>
      </c>
      <c r="L6576" t="s">
        <v>143</v>
      </c>
      <c r="M6576" t="s">
        <v>638</v>
      </c>
      <c r="N6576" t="s">
        <v>85</v>
      </c>
      <c r="O6576" t="s">
        <v>347</v>
      </c>
      <c r="P6576" t="s">
        <v>126</v>
      </c>
      <c r="Q6576">
        <v>5</v>
      </c>
      <c r="R6576" s="2" t="s">
        <v>213</v>
      </c>
      <c r="S6576" t="s">
        <v>7</v>
      </c>
      <c r="T6576">
        <v>3</v>
      </c>
      <c r="U6576" t="s">
        <v>28</v>
      </c>
      <c r="V6576" t="s">
        <v>28</v>
      </c>
      <c r="W6576">
        <v>16</v>
      </c>
      <c r="X6576">
        <v>5.8620000000000001</v>
      </c>
      <c r="Y6576" s="6">
        <f t="shared" si="110"/>
        <v>0.35853451716675733</v>
      </c>
      <c r="Z6576">
        <f>6.069-X6576</f>
        <v>0.20699999999999985</v>
      </c>
    </row>
    <row r="6577" spans="1:26" x14ac:dyDescent="0.2">
      <c r="A6577" t="s">
        <v>748</v>
      </c>
      <c r="B6577">
        <v>2021</v>
      </c>
      <c r="C6577" t="s">
        <v>816</v>
      </c>
      <c r="D6577" t="s">
        <v>820</v>
      </c>
      <c r="E6577" t="s">
        <v>34</v>
      </c>
      <c r="F6577" t="s">
        <v>749</v>
      </c>
      <c r="G6577">
        <v>31.902583</v>
      </c>
      <c r="H6577">
        <v>-116.748842</v>
      </c>
      <c r="I6577" t="s">
        <v>764</v>
      </c>
      <c r="J6577" s="2" t="s">
        <v>14</v>
      </c>
      <c r="K6577" t="s">
        <v>750</v>
      </c>
      <c r="L6577" t="s">
        <v>143</v>
      </c>
      <c r="M6577" t="s">
        <v>638</v>
      </c>
      <c r="N6577" t="s">
        <v>85</v>
      </c>
      <c r="O6577" t="s">
        <v>347</v>
      </c>
      <c r="P6577" t="s">
        <v>126</v>
      </c>
      <c r="Q6577">
        <v>5</v>
      </c>
      <c r="R6577" s="2" t="s">
        <v>213</v>
      </c>
      <c r="S6577" t="s">
        <v>9</v>
      </c>
      <c r="T6577">
        <v>3</v>
      </c>
      <c r="U6577" t="s">
        <v>28</v>
      </c>
      <c r="V6577" t="s">
        <v>28</v>
      </c>
      <c r="W6577" s="25">
        <v>22</v>
      </c>
      <c r="X6577">
        <v>4.742</v>
      </c>
      <c r="Y6577" s="6">
        <f t="shared" si="110"/>
        <v>1.0721394498851347</v>
      </c>
      <c r="Z6577">
        <f>5.361-X6577</f>
        <v>0.61899999999999977</v>
      </c>
    </row>
    <row r="6578" spans="1:26" x14ac:dyDescent="0.2">
      <c r="A6578" t="s">
        <v>748</v>
      </c>
      <c r="B6578">
        <v>2021</v>
      </c>
      <c r="C6578" t="s">
        <v>816</v>
      </c>
      <c r="D6578" t="s">
        <v>820</v>
      </c>
      <c r="E6578" t="s">
        <v>34</v>
      </c>
      <c r="F6578" t="s">
        <v>749</v>
      </c>
      <c r="G6578">
        <v>31.902583</v>
      </c>
      <c r="H6578">
        <v>-116.748842</v>
      </c>
      <c r="I6578" t="s">
        <v>764</v>
      </c>
      <c r="J6578" s="2" t="s">
        <v>7</v>
      </c>
      <c r="K6578" t="s">
        <v>750</v>
      </c>
      <c r="L6578" t="s">
        <v>143</v>
      </c>
      <c r="M6578" s="6" t="s">
        <v>73</v>
      </c>
      <c r="N6578" t="s">
        <v>85</v>
      </c>
      <c r="O6578" t="s">
        <v>434</v>
      </c>
      <c r="P6578" t="s">
        <v>78</v>
      </c>
      <c r="Q6578">
        <v>5</v>
      </c>
      <c r="R6578" s="2" t="s">
        <v>213</v>
      </c>
      <c r="S6578" t="s">
        <v>7</v>
      </c>
      <c r="T6578">
        <v>3</v>
      </c>
      <c r="U6578" t="s">
        <v>28</v>
      </c>
      <c r="V6578" t="s">
        <v>28</v>
      </c>
      <c r="W6578">
        <v>16</v>
      </c>
      <c r="X6578">
        <v>11.78</v>
      </c>
      <c r="Y6578" s="6">
        <f t="shared" si="110"/>
        <v>0.1039230484541335</v>
      </c>
      <c r="Z6578">
        <f>11.84-X6578</f>
        <v>6.0000000000000497E-2</v>
      </c>
    </row>
    <row r="6579" spans="1:26" x14ac:dyDescent="0.2">
      <c r="A6579" t="s">
        <v>748</v>
      </c>
      <c r="B6579">
        <v>2021</v>
      </c>
      <c r="C6579" t="s">
        <v>816</v>
      </c>
      <c r="D6579" t="s">
        <v>820</v>
      </c>
      <c r="E6579" t="s">
        <v>34</v>
      </c>
      <c r="F6579" t="s">
        <v>749</v>
      </c>
      <c r="G6579">
        <v>31.902583</v>
      </c>
      <c r="H6579">
        <v>-116.748842</v>
      </c>
      <c r="I6579" t="s">
        <v>764</v>
      </c>
      <c r="J6579" s="2" t="s">
        <v>14</v>
      </c>
      <c r="K6579" t="s">
        <v>750</v>
      </c>
      <c r="L6579" t="s">
        <v>143</v>
      </c>
      <c r="M6579" s="6" t="s">
        <v>73</v>
      </c>
      <c r="N6579" t="s">
        <v>85</v>
      </c>
      <c r="O6579" t="s">
        <v>434</v>
      </c>
      <c r="P6579" t="s">
        <v>78</v>
      </c>
      <c r="Q6579">
        <v>5</v>
      </c>
      <c r="R6579" s="2" t="s">
        <v>213</v>
      </c>
      <c r="S6579" t="s">
        <v>9</v>
      </c>
      <c r="T6579">
        <v>3</v>
      </c>
      <c r="U6579" t="s">
        <v>28</v>
      </c>
      <c r="V6579" t="s">
        <v>28</v>
      </c>
      <c r="W6579" s="25">
        <v>22</v>
      </c>
      <c r="X6579">
        <v>10.73</v>
      </c>
      <c r="Y6579" s="6">
        <f t="shared" si="110"/>
        <v>3.3082170424565556</v>
      </c>
      <c r="Z6579">
        <f>12.64-X6579</f>
        <v>1.9100000000000001</v>
      </c>
    </row>
    <row r="6580" spans="1:26" x14ac:dyDescent="0.2">
      <c r="A6580" t="s">
        <v>748</v>
      </c>
      <c r="B6580">
        <v>2021</v>
      </c>
      <c r="C6580" t="s">
        <v>816</v>
      </c>
      <c r="D6580" t="s">
        <v>820</v>
      </c>
      <c r="E6580" t="s">
        <v>34</v>
      </c>
      <c r="F6580" t="s">
        <v>749</v>
      </c>
      <c r="G6580">
        <v>31.902583</v>
      </c>
      <c r="H6580">
        <v>-116.748842</v>
      </c>
      <c r="I6580" t="s">
        <v>764</v>
      </c>
      <c r="J6580" s="2" t="s">
        <v>7</v>
      </c>
      <c r="K6580" t="s">
        <v>750</v>
      </c>
      <c r="L6580" t="s">
        <v>143</v>
      </c>
      <c r="M6580" t="s">
        <v>638</v>
      </c>
      <c r="N6580" t="s">
        <v>85</v>
      </c>
      <c r="O6580" t="s">
        <v>107</v>
      </c>
      <c r="P6580" t="s">
        <v>126</v>
      </c>
      <c r="Q6580">
        <v>5</v>
      </c>
      <c r="R6580" s="2" t="s">
        <v>213</v>
      </c>
      <c r="S6580" t="s">
        <v>7</v>
      </c>
      <c r="T6580">
        <v>3</v>
      </c>
      <c r="U6580" t="s">
        <v>28</v>
      </c>
      <c r="V6580" t="s">
        <v>28</v>
      </c>
      <c r="W6580">
        <v>16</v>
      </c>
      <c r="X6580">
        <v>1.5940000000000001</v>
      </c>
      <c r="Y6580" s="6">
        <f t="shared" si="110"/>
        <v>0.27886018001858892</v>
      </c>
      <c r="Z6580">
        <f>1.755-X6580</f>
        <v>0.16099999999999981</v>
      </c>
    </row>
    <row r="6581" spans="1:26" x14ac:dyDescent="0.2">
      <c r="A6581" t="s">
        <v>748</v>
      </c>
      <c r="B6581">
        <v>2021</v>
      </c>
      <c r="C6581" t="s">
        <v>816</v>
      </c>
      <c r="D6581" t="s">
        <v>820</v>
      </c>
      <c r="E6581" t="s">
        <v>34</v>
      </c>
      <c r="F6581" t="s">
        <v>749</v>
      </c>
      <c r="G6581">
        <v>31.902583</v>
      </c>
      <c r="H6581">
        <v>-116.748842</v>
      </c>
      <c r="I6581" t="s">
        <v>764</v>
      </c>
      <c r="J6581" s="2" t="s">
        <v>14</v>
      </c>
      <c r="K6581" t="s">
        <v>750</v>
      </c>
      <c r="L6581" t="s">
        <v>143</v>
      </c>
      <c r="M6581" t="s">
        <v>638</v>
      </c>
      <c r="N6581" t="s">
        <v>85</v>
      </c>
      <c r="O6581" t="s">
        <v>107</v>
      </c>
      <c r="P6581" t="s">
        <v>126</v>
      </c>
      <c r="Q6581">
        <v>5</v>
      </c>
      <c r="R6581" s="2" t="s">
        <v>213</v>
      </c>
      <c r="S6581" t="s">
        <v>9</v>
      </c>
      <c r="T6581">
        <v>3</v>
      </c>
      <c r="U6581" t="s">
        <v>28</v>
      </c>
      <c r="V6581" t="s">
        <v>28</v>
      </c>
      <c r="W6581" s="25">
        <v>22</v>
      </c>
      <c r="X6581">
        <v>2.0099999999999998</v>
      </c>
      <c r="Y6581" s="6">
        <f t="shared" si="110"/>
        <v>0.1212435565298219</v>
      </c>
      <c r="Z6581">
        <f>2.08-X6581</f>
        <v>7.0000000000000284E-2</v>
      </c>
    </row>
    <row r="6582" spans="1:26" x14ac:dyDescent="0.2">
      <c r="A6582" t="s">
        <v>748</v>
      </c>
      <c r="B6582">
        <v>2021</v>
      </c>
      <c r="C6582" t="s">
        <v>816</v>
      </c>
      <c r="D6582" t="s">
        <v>820</v>
      </c>
      <c r="E6582" t="s">
        <v>34</v>
      </c>
      <c r="F6582" t="s">
        <v>749</v>
      </c>
      <c r="G6582">
        <v>31.902583</v>
      </c>
      <c r="H6582">
        <v>-116.748842</v>
      </c>
      <c r="I6582" t="s">
        <v>764</v>
      </c>
      <c r="J6582" s="2" t="s">
        <v>7</v>
      </c>
      <c r="K6582" t="s">
        <v>750</v>
      </c>
      <c r="L6582" t="s">
        <v>143</v>
      </c>
      <c r="M6582" t="s">
        <v>637</v>
      </c>
      <c r="N6582" t="s">
        <v>86</v>
      </c>
      <c r="O6582" t="s">
        <v>437</v>
      </c>
      <c r="P6582" t="s">
        <v>402</v>
      </c>
      <c r="Q6582">
        <v>5</v>
      </c>
      <c r="R6582" s="2" t="s">
        <v>213</v>
      </c>
      <c r="S6582" t="s">
        <v>7</v>
      </c>
      <c r="T6582">
        <v>3</v>
      </c>
      <c r="U6582" t="s">
        <v>28</v>
      </c>
      <c r="V6582" t="s">
        <v>28</v>
      </c>
      <c r="W6582">
        <v>16</v>
      </c>
      <c r="X6582">
        <v>7</v>
      </c>
      <c r="Y6582" s="6">
        <f t="shared" si="110"/>
        <v>0.46418961642845874</v>
      </c>
      <c r="Z6582">
        <f>7.268-X6582</f>
        <v>0.26799999999999979</v>
      </c>
    </row>
    <row r="6583" spans="1:26" x14ac:dyDescent="0.2">
      <c r="A6583" t="s">
        <v>748</v>
      </c>
      <c r="B6583">
        <v>2021</v>
      </c>
      <c r="C6583" t="s">
        <v>816</v>
      </c>
      <c r="D6583" t="s">
        <v>820</v>
      </c>
      <c r="E6583" t="s">
        <v>34</v>
      </c>
      <c r="F6583" t="s">
        <v>749</v>
      </c>
      <c r="G6583">
        <v>31.902583</v>
      </c>
      <c r="H6583">
        <v>-116.748842</v>
      </c>
      <c r="I6583" t="s">
        <v>764</v>
      </c>
      <c r="J6583" s="2" t="s">
        <v>14</v>
      </c>
      <c r="K6583" t="s">
        <v>750</v>
      </c>
      <c r="L6583" t="s">
        <v>143</v>
      </c>
      <c r="M6583" t="s">
        <v>637</v>
      </c>
      <c r="N6583" t="s">
        <v>86</v>
      </c>
      <c r="O6583" t="s">
        <v>437</v>
      </c>
      <c r="P6583" t="s">
        <v>402</v>
      </c>
      <c r="Q6583">
        <v>5</v>
      </c>
      <c r="R6583" s="2" t="s">
        <v>213</v>
      </c>
      <c r="S6583" t="s">
        <v>9</v>
      </c>
      <c r="T6583">
        <v>3</v>
      </c>
      <c r="U6583" t="s">
        <v>28</v>
      </c>
      <c r="V6583" t="s">
        <v>28</v>
      </c>
      <c r="W6583" s="25">
        <v>22</v>
      </c>
      <c r="X6583">
        <v>7.5359999999999996</v>
      </c>
      <c r="Y6583" s="6">
        <f t="shared" si="110"/>
        <v>0.87641770862985224</v>
      </c>
      <c r="Z6583">
        <f>8.042-X6583</f>
        <v>0.50600000000000023</v>
      </c>
    </row>
    <row r="6584" spans="1:26" x14ac:dyDescent="0.2">
      <c r="A6584" t="s">
        <v>748</v>
      </c>
      <c r="B6584">
        <v>2021</v>
      </c>
      <c r="C6584" t="s">
        <v>816</v>
      </c>
      <c r="D6584" t="s">
        <v>820</v>
      </c>
      <c r="E6584" t="s">
        <v>34</v>
      </c>
      <c r="F6584" t="s">
        <v>749</v>
      </c>
      <c r="G6584">
        <v>31.902583</v>
      </c>
      <c r="H6584">
        <v>-116.748842</v>
      </c>
      <c r="I6584" t="s">
        <v>764</v>
      </c>
      <c r="J6584" s="2" t="s">
        <v>7</v>
      </c>
      <c r="K6584" t="s">
        <v>750</v>
      </c>
      <c r="L6584" t="s">
        <v>143</v>
      </c>
      <c r="M6584" t="s">
        <v>637</v>
      </c>
      <c r="N6584" t="s">
        <v>86</v>
      </c>
      <c r="O6584" t="s">
        <v>435</v>
      </c>
      <c r="P6584" t="s">
        <v>147</v>
      </c>
      <c r="Q6584">
        <v>5</v>
      </c>
      <c r="R6584" s="2" t="s">
        <v>213</v>
      </c>
      <c r="S6584" t="s">
        <v>7</v>
      </c>
      <c r="T6584">
        <v>3</v>
      </c>
      <c r="U6584" t="s">
        <v>28</v>
      </c>
      <c r="V6584" t="s">
        <v>28</v>
      </c>
      <c r="W6584">
        <v>16</v>
      </c>
      <c r="X6584">
        <v>2.5739999999999998</v>
      </c>
      <c r="Y6584" s="6">
        <f t="shared" si="110"/>
        <v>0.97341255385370951</v>
      </c>
      <c r="Z6584">
        <f>3.136-X6584</f>
        <v>0.56200000000000028</v>
      </c>
    </row>
    <row r="6585" spans="1:26" x14ac:dyDescent="0.2">
      <c r="A6585" t="s">
        <v>748</v>
      </c>
      <c r="B6585">
        <v>2021</v>
      </c>
      <c r="C6585" t="s">
        <v>816</v>
      </c>
      <c r="D6585" t="s">
        <v>820</v>
      </c>
      <c r="E6585" t="s">
        <v>34</v>
      </c>
      <c r="F6585" t="s">
        <v>749</v>
      </c>
      <c r="G6585">
        <v>31.902583</v>
      </c>
      <c r="H6585">
        <v>-116.748842</v>
      </c>
      <c r="I6585" t="s">
        <v>764</v>
      </c>
      <c r="J6585" s="2" t="s">
        <v>14</v>
      </c>
      <c r="K6585" t="s">
        <v>750</v>
      </c>
      <c r="L6585" t="s">
        <v>143</v>
      </c>
      <c r="M6585" t="s">
        <v>637</v>
      </c>
      <c r="N6585" t="s">
        <v>86</v>
      </c>
      <c r="O6585" t="s">
        <v>435</v>
      </c>
      <c r="P6585" t="s">
        <v>147</v>
      </c>
      <c r="Q6585">
        <v>5</v>
      </c>
      <c r="R6585" s="2" t="s">
        <v>213</v>
      </c>
      <c r="S6585" t="s">
        <v>9</v>
      </c>
      <c r="T6585">
        <v>3</v>
      </c>
      <c r="U6585" t="s">
        <v>28</v>
      </c>
      <c r="V6585" t="s">
        <v>28</v>
      </c>
      <c r="W6585" s="25">
        <v>22</v>
      </c>
      <c r="X6585">
        <v>1.919</v>
      </c>
      <c r="Y6585" s="6">
        <f t="shared" si="110"/>
        <v>1.1344932789576143</v>
      </c>
      <c r="Z6585">
        <f>2.574-X6585</f>
        <v>0.6549999999999998</v>
      </c>
    </row>
    <row r="6586" spans="1:26" x14ac:dyDescent="0.2">
      <c r="A6586" t="s">
        <v>748</v>
      </c>
      <c r="B6586">
        <v>2021</v>
      </c>
      <c r="C6586" t="s">
        <v>816</v>
      </c>
      <c r="D6586" t="s">
        <v>820</v>
      </c>
      <c r="E6586" t="s">
        <v>34</v>
      </c>
      <c r="F6586" t="s">
        <v>749</v>
      </c>
      <c r="G6586">
        <v>31.902583</v>
      </c>
      <c r="H6586">
        <v>-116.748842</v>
      </c>
      <c r="I6586" t="s">
        <v>764</v>
      </c>
      <c r="J6586" s="2" t="s">
        <v>7</v>
      </c>
      <c r="K6586" t="s">
        <v>750</v>
      </c>
      <c r="L6586" t="s">
        <v>143</v>
      </c>
      <c r="M6586" t="s">
        <v>637</v>
      </c>
      <c r="N6586" t="s">
        <v>86</v>
      </c>
      <c r="O6586" t="s">
        <v>436</v>
      </c>
      <c r="P6586" t="s">
        <v>147</v>
      </c>
      <c r="Q6586">
        <v>5</v>
      </c>
      <c r="R6586" s="2" t="s">
        <v>213</v>
      </c>
      <c r="S6586" t="s">
        <v>7</v>
      </c>
      <c r="T6586">
        <v>3</v>
      </c>
      <c r="U6586" t="s">
        <v>28</v>
      </c>
      <c r="V6586" t="s">
        <v>28</v>
      </c>
      <c r="W6586">
        <v>16</v>
      </c>
      <c r="X6586">
        <v>0.54879999999999995</v>
      </c>
      <c r="Y6586" s="6">
        <f t="shared" si="110"/>
        <v>0.13908367984778092</v>
      </c>
      <c r="Z6586">
        <f>0.6291-X6586</f>
        <v>8.0300000000000038E-2</v>
      </c>
    </row>
    <row r="6587" spans="1:26" x14ac:dyDescent="0.2">
      <c r="A6587" t="s">
        <v>748</v>
      </c>
      <c r="B6587">
        <v>2021</v>
      </c>
      <c r="C6587" t="s">
        <v>816</v>
      </c>
      <c r="D6587" t="s">
        <v>820</v>
      </c>
      <c r="E6587" t="s">
        <v>34</v>
      </c>
      <c r="F6587" t="s">
        <v>749</v>
      </c>
      <c r="G6587">
        <v>31.902583</v>
      </c>
      <c r="H6587">
        <v>-116.748842</v>
      </c>
      <c r="I6587" t="s">
        <v>764</v>
      </c>
      <c r="J6587" s="2" t="s">
        <v>14</v>
      </c>
      <c r="K6587" t="s">
        <v>750</v>
      </c>
      <c r="L6587" t="s">
        <v>143</v>
      </c>
      <c r="M6587" t="s">
        <v>637</v>
      </c>
      <c r="N6587" t="s">
        <v>86</v>
      </c>
      <c r="O6587" t="s">
        <v>436</v>
      </c>
      <c r="P6587" t="s">
        <v>147</v>
      </c>
      <c r="Q6587">
        <v>5</v>
      </c>
      <c r="R6587" s="2" t="s">
        <v>213</v>
      </c>
      <c r="S6587" t="s">
        <v>9</v>
      </c>
      <c r="T6587">
        <v>3</v>
      </c>
      <c r="U6587" t="s">
        <v>28</v>
      </c>
      <c r="V6587" t="s">
        <v>28</v>
      </c>
      <c r="W6587" s="25">
        <v>22</v>
      </c>
      <c r="X6587">
        <v>0.60140000000000005</v>
      </c>
      <c r="Y6587" s="6">
        <f t="shared" si="110"/>
        <v>0.18688828213668185</v>
      </c>
      <c r="Z6587">
        <f>0.7093-X6587</f>
        <v>0.1079</v>
      </c>
    </row>
    <row r="6588" spans="1:26" x14ac:dyDescent="0.2">
      <c r="A6588" t="s">
        <v>752</v>
      </c>
      <c r="B6588">
        <v>2004</v>
      </c>
      <c r="C6588" t="s">
        <v>816</v>
      </c>
      <c r="D6588" t="s">
        <v>820</v>
      </c>
      <c r="E6588" t="s">
        <v>34</v>
      </c>
      <c r="F6588" t="s">
        <v>753</v>
      </c>
      <c r="G6588">
        <v>-40.583509999999997</v>
      </c>
      <c r="H6588">
        <v>-73.739061000000007</v>
      </c>
      <c r="I6588" t="s">
        <v>764</v>
      </c>
      <c r="J6588" s="2" t="s">
        <v>7</v>
      </c>
      <c r="K6588" t="s">
        <v>41</v>
      </c>
      <c r="L6588" t="s">
        <v>3</v>
      </c>
      <c r="M6588" t="s">
        <v>12</v>
      </c>
      <c r="N6588" t="s">
        <v>85</v>
      </c>
      <c r="O6588" t="s">
        <v>141</v>
      </c>
      <c r="P6588" t="s">
        <v>74</v>
      </c>
      <c r="Q6588">
        <v>30</v>
      </c>
      <c r="R6588" s="2" t="s">
        <v>213</v>
      </c>
      <c r="S6588" t="s">
        <v>7</v>
      </c>
      <c r="T6588">
        <v>3</v>
      </c>
      <c r="U6588" t="s">
        <v>28</v>
      </c>
      <c r="V6588" t="s">
        <v>28</v>
      </c>
      <c r="W6588">
        <v>8</v>
      </c>
      <c r="X6588">
        <v>148.9</v>
      </c>
      <c r="Y6588" s="6">
        <f t="shared" si="110"/>
        <v>61.141393507181334</v>
      </c>
      <c r="Z6588">
        <f>184.2-X6588</f>
        <v>35.299999999999983</v>
      </c>
    </row>
    <row r="6589" spans="1:26" x14ac:dyDescent="0.2">
      <c r="A6589" t="s">
        <v>752</v>
      </c>
      <c r="B6589">
        <v>2004</v>
      </c>
      <c r="C6589" t="s">
        <v>816</v>
      </c>
      <c r="D6589" t="s">
        <v>820</v>
      </c>
      <c r="E6589" t="s">
        <v>34</v>
      </c>
      <c r="F6589" t="s">
        <v>754</v>
      </c>
      <c r="G6589">
        <v>-41.593060999999999</v>
      </c>
      <c r="H6589">
        <v>-72.703359000000006</v>
      </c>
      <c r="I6589" t="s">
        <v>764</v>
      </c>
      <c r="J6589" s="2" t="s">
        <v>7</v>
      </c>
      <c r="K6589" t="s">
        <v>41</v>
      </c>
      <c r="L6589" t="s">
        <v>3</v>
      </c>
      <c r="M6589" t="s">
        <v>12</v>
      </c>
      <c r="N6589" t="s">
        <v>85</v>
      </c>
      <c r="O6589" t="s">
        <v>141</v>
      </c>
      <c r="P6589" t="s">
        <v>74</v>
      </c>
      <c r="Q6589">
        <v>30</v>
      </c>
      <c r="R6589" s="2" t="s">
        <v>213</v>
      </c>
      <c r="S6589" t="s">
        <v>7</v>
      </c>
      <c r="T6589">
        <v>3</v>
      </c>
      <c r="U6589" t="s">
        <v>28</v>
      </c>
      <c r="V6589" t="s">
        <v>28</v>
      </c>
      <c r="W6589" s="25">
        <v>8</v>
      </c>
      <c r="X6589">
        <v>224.9</v>
      </c>
      <c r="Y6589" s="6">
        <f t="shared" si="110"/>
        <v>64.259084960805339</v>
      </c>
      <c r="Z6589">
        <f>262-X6589</f>
        <v>37.099999999999994</v>
      </c>
    </row>
    <row r="6590" spans="1:26" x14ac:dyDescent="0.2">
      <c r="A6590" t="s">
        <v>752</v>
      </c>
      <c r="B6590">
        <v>2004</v>
      </c>
      <c r="C6590" t="s">
        <v>816</v>
      </c>
      <c r="D6590" t="s">
        <v>820</v>
      </c>
      <c r="E6590" t="s">
        <v>34</v>
      </c>
      <c r="F6590" t="s">
        <v>753</v>
      </c>
      <c r="G6590">
        <v>-40.583509999999997</v>
      </c>
      <c r="H6590">
        <v>-73.739061000000007</v>
      </c>
      <c r="I6590" t="s">
        <v>764</v>
      </c>
      <c r="J6590" s="2" t="s">
        <v>14</v>
      </c>
      <c r="K6590" t="s">
        <v>41</v>
      </c>
      <c r="L6590" t="s">
        <v>3</v>
      </c>
      <c r="M6590" t="s">
        <v>12</v>
      </c>
      <c r="N6590" t="s">
        <v>85</v>
      </c>
      <c r="O6590" t="s">
        <v>141</v>
      </c>
      <c r="P6590" t="s">
        <v>74</v>
      </c>
      <c r="Q6590">
        <v>30</v>
      </c>
      <c r="R6590" s="2" t="s">
        <v>213</v>
      </c>
      <c r="S6590" t="s">
        <v>9</v>
      </c>
      <c r="T6590">
        <v>3</v>
      </c>
      <c r="U6590" t="s">
        <v>28</v>
      </c>
      <c r="V6590" t="s">
        <v>28</v>
      </c>
      <c r="W6590">
        <v>15</v>
      </c>
      <c r="X6590">
        <v>46.6</v>
      </c>
      <c r="Y6590" s="6">
        <f t="shared" si="110"/>
        <v>0</v>
      </c>
      <c r="Z6590">
        <v>0</v>
      </c>
    </row>
    <row r="6591" spans="1:26" x14ac:dyDescent="0.2">
      <c r="A6591" t="s">
        <v>752</v>
      </c>
      <c r="B6591">
        <v>2004</v>
      </c>
      <c r="C6591" t="s">
        <v>816</v>
      </c>
      <c r="D6591" t="s">
        <v>820</v>
      </c>
      <c r="E6591" t="s">
        <v>34</v>
      </c>
      <c r="F6591" t="s">
        <v>754</v>
      </c>
      <c r="G6591">
        <v>-41.593060999999999</v>
      </c>
      <c r="H6591">
        <v>-72.703359000000006</v>
      </c>
      <c r="I6591" t="s">
        <v>764</v>
      </c>
      <c r="J6591" s="2" t="s">
        <v>14</v>
      </c>
      <c r="K6591" t="s">
        <v>41</v>
      </c>
      <c r="L6591" t="s">
        <v>3</v>
      </c>
      <c r="M6591" t="s">
        <v>12</v>
      </c>
      <c r="N6591" t="s">
        <v>85</v>
      </c>
      <c r="O6591" t="s">
        <v>141</v>
      </c>
      <c r="P6591" t="s">
        <v>74</v>
      </c>
      <c r="Q6591">
        <v>30</v>
      </c>
      <c r="R6591" s="2" t="s">
        <v>213</v>
      </c>
      <c r="S6591" t="s">
        <v>9</v>
      </c>
      <c r="T6591">
        <v>3</v>
      </c>
      <c r="U6591" t="s">
        <v>28</v>
      </c>
      <c r="V6591" t="s">
        <v>28</v>
      </c>
      <c r="W6591" s="25">
        <v>15</v>
      </c>
      <c r="X6591">
        <v>91.9</v>
      </c>
      <c r="Y6591" s="6">
        <f t="shared" si="110"/>
        <v>32.908965343808667</v>
      </c>
      <c r="Z6591">
        <f>110.9-X6591</f>
        <v>19</v>
      </c>
    </row>
    <row r="6592" spans="1:26" x14ac:dyDescent="0.2">
      <c r="A6592" t="s">
        <v>752</v>
      </c>
      <c r="B6592">
        <v>2004</v>
      </c>
      <c r="C6592" t="s">
        <v>816</v>
      </c>
      <c r="D6592" t="s">
        <v>820</v>
      </c>
      <c r="E6592" t="s">
        <v>34</v>
      </c>
      <c r="F6592" t="s">
        <v>753</v>
      </c>
      <c r="G6592">
        <v>-40.583509999999997</v>
      </c>
      <c r="H6592">
        <v>-73.739061000000007</v>
      </c>
      <c r="I6592" t="s">
        <v>764</v>
      </c>
      <c r="J6592" t="s">
        <v>14</v>
      </c>
      <c r="K6592" t="s">
        <v>41</v>
      </c>
      <c r="L6592" t="s">
        <v>3</v>
      </c>
      <c r="M6592" t="s">
        <v>12</v>
      </c>
      <c r="N6592" t="s">
        <v>85</v>
      </c>
      <c r="O6592" t="s">
        <v>141</v>
      </c>
      <c r="P6592" t="s">
        <v>74</v>
      </c>
      <c r="Q6592">
        <v>30</v>
      </c>
      <c r="R6592" s="2" t="s">
        <v>213</v>
      </c>
      <c r="S6592" t="s">
        <v>27</v>
      </c>
      <c r="T6592">
        <v>3</v>
      </c>
      <c r="U6592" t="s">
        <v>28</v>
      </c>
      <c r="V6592" t="s">
        <v>28</v>
      </c>
      <c r="W6592">
        <v>18</v>
      </c>
      <c r="X6592">
        <v>128.80000000000001</v>
      </c>
      <c r="Y6592" s="6">
        <f t="shared" si="110"/>
        <v>115.18137870333034</v>
      </c>
      <c r="Z6592">
        <f>195.3-X6592</f>
        <v>66.5</v>
      </c>
    </row>
    <row r="6593" spans="1:26" x14ac:dyDescent="0.2">
      <c r="A6593" t="s">
        <v>752</v>
      </c>
      <c r="B6593">
        <v>2004</v>
      </c>
      <c r="C6593" t="s">
        <v>816</v>
      </c>
      <c r="D6593" t="s">
        <v>820</v>
      </c>
      <c r="E6593" t="s">
        <v>34</v>
      </c>
      <c r="F6593" t="s">
        <v>754</v>
      </c>
      <c r="G6593">
        <v>-41.593060999999999</v>
      </c>
      <c r="H6593">
        <v>-72.703359000000006</v>
      </c>
      <c r="I6593" t="s">
        <v>764</v>
      </c>
      <c r="J6593" s="2" t="s">
        <v>14</v>
      </c>
      <c r="K6593" t="s">
        <v>41</v>
      </c>
      <c r="L6593" t="s">
        <v>3</v>
      </c>
      <c r="M6593" t="s">
        <v>12</v>
      </c>
      <c r="N6593" t="s">
        <v>85</v>
      </c>
      <c r="O6593" t="s">
        <v>141</v>
      </c>
      <c r="P6593" t="s">
        <v>74</v>
      </c>
      <c r="Q6593">
        <v>30</v>
      </c>
      <c r="R6593" s="2" t="s">
        <v>213</v>
      </c>
      <c r="S6593" t="s">
        <v>27</v>
      </c>
      <c r="T6593">
        <v>3</v>
      </c>
      <c r="U6593" t="s">
        <v>28</v>
      </c>
      <c r="V6593" t="s">
        <v>28</v>
      </c>
      <c r="W6593" s="25">
        <v>18</v>
      </c>
      <c r="X6593">
        <v>78</v>
      </c>
      <c r="Y6593" s="6">
        <f t="shared" si="110"/>
        <v>0</v>
      </c>
      <c r="Z6593">
        <v>0</v>
      </c>
    </row>
    <row r="6594" spans="1:26" x14ac:dyDescent="0.2">
      <c r="A6594" t="s">
        <v>752</v>
      </c>
      <c r="B6594">
        <v>2004</v>
      </c>
      <c r="C6594" t="s">
        <v>816</v>
      </c>
      <c r="D6594" t="s">
        <v>820</v>
      </c>
      <c r="E6594" t="s">
        <v>34</v>
      </c>
      <c r="F6594" t="s">
        <v>753</v>
      </c>
      <c r="G6594">
        <v>-40.583509999999997</v>
      </c>
      <c r="H6594">
        <v>-73.739061000000007</v>
      </c>
      <c r="I6594" t="s">
        <v>764</v>
      </c>
      <c r="J6594" s="2" t="s">
        <v>7</v>
      </c>
      <c r="K6594" t="s">
        <v>41</v>
      </c>
      <c r="L6594" t="s">
        <v>3</v>
      </c>
      <c r="M6594" t="s">
        <v>26</v>
      </c>
      <c r="N6594" t="s">
        <v>85</v>
      </c>
      <c r="O6594" t="s">
        <v>66</v>
      </c>
      <c r="P6594" t="s">
        <v>755</v>
      </c>
      <c r="Q6594">
        <v>30</v>
      </c>
      <c r="R6594" s="2" t="s">
        <v>213</v>
      </c>
      <c r="S6594" t="s">
        <v>7</v>
      </c>
      <c r="T6594">
        <v>12</v>
      </c>
      <c r="U6594" t="s">
        <v>28</v>
      </c>
      <c r="V6594" t="s">
        <v>28</v>
      </c>
      <c r="W6594">
        <v>8</v>
      </c>
      <c r="X6594">
        <v>0.22689999999999999</v>
      </c>
      <c r="Y6594" s="6">
        <f t="shared" si="110"/>
        <v>5.2307934388580099E-2</v>
      </c>
      <c r="Z6594">
        <f>0.242-X6594</f>
        <v>1.5100000000000002E-2</v>
      </c>
    </row>
    <row r="6595" spans="1:26" x14ac:dyDescent="0.2">
      <c r="A6595" t="s">
        <v>752</v>
      </c>
      <c r="B6595">
        <v>2004</v>
      </c>
      <c r="C6595" t="s">
        <v>816</v>
      </c>
      <c r="D6595" t="s">
        <v>820</v>
      </c>
      <c r="E6595" t="s">
        <v>34</v>
      </c>
      <c r="F6595" t="s">
        <v>754</v>
      </c>
      <c r="G6595">
        <v>-41.593060999999999</v>
      </c>
      <c r="H6595">
        <v>-72.703359000000006</v>
      </c>
      <c r="I6595" t="s">
        <v>764</v>
      </c>
      <c r="J6595" s="2" t="s">
        <v>7</v>
      </c>
      <c r="K6595" t="s">
        <v>41</v>
      </c>
      <c r="L6595" t="s">
        <v>3</v>
      </c>
      <c r="M6595" t="s">
        <v>26</v>
      </c>
      <c r="N6595" t="s">
        <v>85</v>
      </c>
      <c r="O6595" t="s">
        <v>66</v>
      </c>
      <c r="P6595" t="s">
        <v>755</v>
      </c>
      <c r="Q6595">
        <v>30</v>
      </c>
      <c r="R6595" s="2" t="s">
        <v>213</v>
      </c>
      <c r="S6595" t="s">
        <v>7</v>
      </c>
      <c r="T6595">
        <v>12</v>
      </c>
      <c r="U6595" t="s">
        <v>28</v>
      </c>
      <c r="V6595" t="s">
        <v>28</v>
      </c>
      <c r="W6595" s="25">
        <v>8</v>
      </c>
      <c r="X6595">
        <v>0.1002</v>
      </c>
      <c r="Y6595" s="6">
        <f t="shared" si="110"/>
        <v>0</v>
      </c>
      <c r="Z6595">
        <v>0</v>
      </c>
    </row>
    <row r="6596" spans="1:26" x14ac:dyDescent="0.2">
      <c r="A6596" t="s">
        <v>752</v>
      </c>
      <c r="B6596">
        <v>2004</v>
      </c>
      <c r="C6596" t="s">
        <v>816</v>
      </c>
      <c r="D6596" t="s">
        <v>820</v>
      </c>
      <c r="E6596" t="s">
        <v>34</v>
      </c>
      <c r="F6596" t="s">
        <v>753</v>
      </c>
      <c r="G6596">
        <v>-40.583509999999997</v>
      </c>
      <c r="H6596">
        <v>-73.739061000000007</v>
      </c>
      <c r="I6596" t="s">
        <v>764</v>
      </c>
      <c r="J6596" s="2" t="s">
        <v>14</v>
      </c>
      <c r="K6596" t="s">
        <v>41</v>
      </c>
      <c r="L6596" t="s">
        <v>3</v>
      </c>
      <c r="M6596" t="s">
        <v>26</v>
      </c>
      <c r="N6596" t="s">
        <v>85</v>
      </c>
      <c r="O6596" t="s">
        <v>66</v>
      </c>
      <c r="P6596" t="s">
        <v>755</v>
      </c>
      <c r="Q6596">
        <v>30</v>
      </c>
      <c r="R6596" s="2" t="s">
        <v>213</v>
      </c>
      <c r="S6596" t="s">
        <v>9</v>
      </c>
      <c r="T6596">
        <v>12</v>
      </c>
      <c r="U6596" t="s">
        <v>28</v>
      </c>
      <c r="V6596" t="s">
        <v>28</v>
      </c>
      <c r="W6596">
        <v>15</v>
      </c>
      <c r="X6596">
        <v>0.2203</v>
      </c>
      <c r="Y6596" s="6">
        <f t="shared" si="110"/>
        <v>3.256255518229486E-2</v>
      </c>
      <c r="Z6596">
        <f>0.2297-X6596</f>
        <v>9.3999999999999917E-3</v>
      </c>
    </row>
    <row r="6597" spans="1:26" x14ac:dyDescent="0.2">
      <c r="A6597" t="s">
        <v>752</v>
      </c>
      <c r="B6597">
        <v>2004</v>
      </c>
      <c r="C6597" t="s">
        <v>816</v>
      </c>
      <c r="D6597" t="s">
        <v>820</v>
      </c>
      <c r="E6597" t="s">
        <v>34</v>
      </c>
      <c r="F6597" t="s">
        <v>754</v>
      </c>
      <c r="G6597">
        <v>-41.593060999999999</v>
      </c>
      <c r="H6597">
        <v>-72.703359000000006</v>
      </c>
      <c r="I6597" t="s">
        <v>764</v>
      </c>
      <c r="J6597" s="2" t="s">
        <v>14</v>
      </c>
      <c r="K6597" t="s">
        <v>41</v>
      </c>
      <c r="L6597" t="s">
        <v>3</v>
      </c>
      <c r="M6597" t="s">
        <v>26</v>
      </c>
      <c r="N6597" t="s">
        <v>85</v>
      </c>
      <c r="O6597" t="s">
        <v>66</v>
      </c>
      <c r="P6597" t="s">
        <v>755</v>
      </c>
      <c r="Q6597">
        <v>30</v>
      </c>
      <c r="R6597" s="2" t="s">
        <v>213</v>
      </c>
      <c r="S6597" t="s">
        <v>9</v>
      </c>
      <c r="T6597">
        <v>12</v>
      </c>
      <c r="U6597" t="s">
        <v>28</v>
      </c>
      <c r="V6597" t="s">
        <v>28</v>
      </c>
      <c r="W6597" s="25">
        <v>15</v>
      </c>
      <c r="X6597">
        <v>0.1016</v>
      </c>
      <c r="Y6597" s="6">
        <f t="shared" si="110"/>
        <v>0</v>
      </c>
      <c r="Z6597">
        <v>0</v>
      </c>
    </row>
    <row r="6598" spans="1:26" x14ac:dyDescent="0.2">
      <c r="A6598" t="s">
        <v>752</v>
      </c>
      <c r="B6598">
        <v>2004</v>
      </c>
      <c r="C6598" t="s">
        <v>816</v>
      </c>
      <c r="D6598" t="s">
        <v>820</v>
      </c>
      <c r="E6598" t="s">
        <v>34</v>
      </c>
      <c r="F6598" t="s">
        <v>753</v>
      </c>
      <c r="G6598">
        <v>-40.583509999999997</v>
      </c>
      <c r="H6598">
        <v>-73.739061000000007</v>
      </c>
      <c r="I6598" t="s">
        <v>764</v>
      </c>
      <c r="J6598" t="s">
        <v>14</v>
      </c>
      <c r="K6598" t="s">
        <v>41</v>
      </c>
      <c r="L6598" t="s">
        <v>3</v>
      </c>
      <c r="M6598" t="s">
        <v>26</v>
      </c>
      <c r="N6598" t="s">
        <v>85</v>
      </c>
      <c r="O6598" t="s">
        <v>66</v>
      </c>
      <c r="P6598" t="s">
        <v>755</v>
      </c>
      <c r="Q6598">
        <v>30</v>
      </c>
      <c r="R6598" s="2" t="s">
        <v>213</v>
      </c>
      <c r="S6598" t="s">
        <v>27</v>
      </c>
      <c r="T6598">
        <v>12</v>
      </c>
      <c r="U6598" t="s">
        <v>28</v>
      </c>
      <c r="V6598" t="s">
        <v>28</v>
      </c>
      <c r="W6598">
        <v>18</v>
      </c>
      <c r="X6598">
        <v>0.1149</v>
      </c>
      <c r="Y6598" s="6">
        <f t="shared" si="110"/>
        <v>3.9144348251056643E-2</v>
      </c>
      <c r="Z6598">
        <f>0.1262-X6598</f>
        <v>1.1300000000000004E-2</v>
      </c>
    </row>
    <row r="6599" spans="1:26" x14ac:dyDescent="0.2">
      <c r="A6599" t="s">
        <v>752</v>
      </c>
      <c r="B6599">
        <v>2004</v>
      </c>
      <c r="C6599" t="s">
        <v>816</v>
      </c>
      <c r="D6599" t="s">
        <v>820</v>
      </c>
      <c r="E6599" t="s">
        <v>34</v>
      </c>
      <c r="F6599" t="s">
        <v>754</v>
      </c>
      <c r="G6599">
        <v>-41.593060999999999</v>
      </c>
      <c r="H6599">
        <v>-72.703359000000006</v>
      </c>
      <c r="I6599" t="s">
        <v>764</v>
      </c>
      <c r="J6599" s="2" t="s">
        <v>14</v>
      </c>
      <c r="K6599" t="s">
        <v>41</v>
      </c>
      <c r="L6599" t="s">
        <v>3</v>
      </c>
      <c r="M6599" t="s">
        <v>26</v>
      </c>
      <c r="N6599" t="s">
        <v>85</v>
      </c>
      <c r="O6599" t="s">
        <v>66</v>
      </c>
      <c r="P6599" t="s">
        <v>755</v>
      </c>
      <c r="Q6599">
        <v>30</v>
      </c>
      <c r="R6599" s="2" t="s">
        <v>213</v>
      </c>
      <c r="S6599" t="s">
        <v>27</v>
      </c>
      <c r="T6599">
        <v>12</v>
      </c>
      <c r="U6599" t="s">
        <v>28</v>
      </c>
      <c r="V6599" t="s">
        <v>28</v>
      </c>
      <c r="W6599" s="25">
        <v>18</v>
      </c>
      <c r="X6599">
        <v>9.7500000000000003E-2</v>
      </c>
      <c r="Y6599" s="6">
        <f t="shared" si="110"/>
        <v>0</v>
      </c>
      <c r="Z6599">
        <v>0</v>
      </c>
    </row>
    <row r="6600" spans="1:26" x14ac:dyDescent="0.2">
      <c r="A6600" t="s">
        <v>752</v>
      </c>
      <c r="B6600">
        <v>2004</v>
      </c>
      <c r="C6600" t="s">
        <v>816</v>
      </c>
      <c r="D6600" t="s">
        <v>820</v>
      </c>
      <c r="E6600" t="s">
        <v>34</v>
      </c>
      <c r="F6600" t="s">
        <v>753</v>
      </c>
      <c r="G6600">
        <v>-40.583509999999997</v>
      </c>
      <c r="H6600">
        <v>-73.739061000000007</v>
      </c>
      <c r="I6600" t="s">
        <v>764</v>
      </c>
      <c r="J6600" s="2" t="s">
        <v>7</v>
      </c>
      <c r="K6600" t="s">
        <v>41</v>
      </c>
      <c r="L6600" t="s">
        <v>3</v>
      </c>
      <c r="M6600" t="s">
        <v>727</v>
      </c>
      <c r="N6600" t="s">
        <v>85</v>
      </c>
      <c r="O6600" t="s">
        <v>394</v>
      </c>
      <c r="P6600" t="s">
        <v>69</v>
      </c>
      <c r="Q6600">
        <v>75</v>
      </c>
      <c r="R6600" s="2" t="s">
        <v>213</v>
      </c>
      <c r="S6600" t="s">
        <v>7</v>
      </c>
      <c r="T6600">
        <v>5</v>
      </c>
      <c r="U6600" t="s">
        <v>28</v>
      </c>
      <c r="V6600" t="s">
        <v>28</v>
      </c>
      <c r="W6600">
        <v>8</v>
      </c>
      <c r="X6600">
        <v>5.4160000000000004</v>
      </c>
      <c r="Y6600" s="6">
        <f t="shared" si="110"/>
        <v>1.151575008412391</v>
      </c>
      <c r="Z6600">
        <f>5.931-X6600</f>
        <v>0.51499999999999968</v>
      </c>
    </row>
    <row r="6601" spans="1:26" x14ac:dyDescent="0.2">
      <c r="A6601" t="s">
        <v>752</v>
      </c>
      <c r="B6601">
        <v>2004</v>
      </c>
      <c r="C6601" t="s">
        <v>816</v>
      </c>
      <c r="D6601" t="s">
        <v>820</v>
      </c>
      <c r="E6601" t="s">
        <v>34</v>
      </c>
      <c r="F6601" t="s">
        <v>754</v>
      </c>
      <c r="G6601">
        <v>-41.593060999999999</v>
      </c>
      <c r="H6601">
        <v>-72.703359000000006</v>
      </c>
      <c r="I6601" t="s">
        <v>764</v>
      </c>
      <c r="J6601" s="2" t="s">
        <v>7</v>
      </c>
      <c r="K6601" t="s">
        <v>41</v>
      </c>
      <c r="L6601" t="s">
        <v>3</v>
      </c>
      <c r="M6601" t="s">
        <v>727</v>
      </c>
      <c r="N6601" t="s">
        <v>85</v>
      </c>
      <c r="O6601" t="s">
        <v>394</v>
      </c>
      <c r="P6601" t="s">
        <v>69</v>
      </c>
      <c r="Q6601">
        <v>75</v>
      </c>
      <c r="R6601" s="2" t="s">
        <v>213</v>
      </c>
      <c r="S6601" t="s">
        <v>7</v>
      </c>
      <c r="T6601">
        <v>5</v>
      </c>
      <c r="U6601" t="s">
        <v>28</v>
      </c>
      <c r="V6601" t="s">
        <v>28</v>
      </c>
      <c r="W6601" s="25">
        <v>8</v>
      </c>
      <c r="X6601">
        <v>2.6629999999999998</v>
      </c>
      <c r="Y6601" s="6">
        <f t="shared" si="110"/>
        <v>0.75355490841742956</v>
      </c>
      <c r="Z6601">
        <f>3-X6601</f>
        <v>0.33700000000000019</v>
      </c>
    </row>
    <row r="6602" spans="1:26" x14ac:dyDescent="0.2">
      <c r="A6602" t="s">
        <v>752</v>
      </c>
      <c r="B6602">
        <v>2004</v>
      </c>
      <c r="C6602" t="s">
        <v>816</v>
      </c>
      <c r="D6602" t="s">
        <v>820</v>
      </c>
      <c r="E6602" t="s">
        <v>34</v>
      </c>
      <c r="F6602" t="s">
        <v>753</v>
      </c>
      <c r="G6602">
        <v>-40.583509999999997</v>
      </c>
      <c r="H6602">
        <v>-73.739061000000007</v>
      </c>
      <c r="I6602" t="s">
        <v>764</v>
      </c>
      <c r="J6602" s="2" t="s">
        <v>14</v>
      </c>
      <c r="K6602" t="s">
        <v>41</v>
      </c>
      <c r="L6602" t="s">
        <v>3</v>
      </c>
      <c r="M6602" t="s">
        <v>727</v>
      </c>
      <c r="N6602" t="s">
        <v>85</v>
      </c>
      <c r="O6602" t="s">
        <v>394</v>
      </c>
      <c r="P6602" t="s">
        <v>69</v>
      </c>
      <c r="Q6602">
        <v>75</v>
      </c>
      <c r="R6602" s="2" t="s">
        <v>213</v>
      </c>
      <c r="S6602" t="s">
        <v>9</v>
      </c>
      <c r="T6602">
        <v>5</v>
      </c>
      <c r="U6602" t="s">
        <v>28</v>
      </c>
      <c r="V6602" t="s">
        <v>28</v>
      </c>
      <c r="W6602">
        <v>15</v>
      </c>
      <c r="X6602">
        <v>4.8419999999999996</v>
      </c>
      <c r="Y6602" s="6">
        <f t="shared" si="110"/>
        <v>0.70659748088993524</v>
      </c>
      <c r="Z6602">
        <f>5.158-X6602</f>
        <v>0.31600000000000072</v>
      </c>
    </row>
    <row r="6603" spans="1:26" x14ac:dyDescent="0.2">
      <c r="A6603" t="s">
        <v>752</v>
      </c>
      <c r="B6603">
        <v>2004</v>
      </c>
      <c r="C6603" t="s">
        <v>816</v>
      </c>
      <c r="D6603" t="s">
        <v>820</v>
      </c>
      <c r="E6603" t="s">
        <v>34</v>
      </c>
      <c r="F6603" t="s">
        <v>754</v>
      </c>
      <c r="G6603">
        <v>-41.593060999999999</v>
      </c>
      <c r="H6603">
        <v>-72.703359000000006</v>
      </c>
      <c r="I6603" t="s">
        <v>764</v>
      </c>
      <c r="J6603" s="2" t="s">
        <v>14</v>
      </c>
      <c r="K6603" t="s">
        <v>41</v>
      </c>
      <c r="L6603" t="s">
        <v>3</v>
      </c>
      <c r="M6603" t="s">
        <v>727</v>
      </c>
      <c r="N6603" t="s">
        <v>85</v>
      </c>
      <c r="O6603" t="s">
        <v>394</v>
      </c>
      <c r="P6603" t="s">
        <v>69</v>
      </c>
      <c r="Q6603">
        <v>75</v>
      </c>
      <c r="R6603" s="2" t="s">
        <v>213</v>
      </c>
      <c r="S6603" t="s">
        <v>9</v>
      </c>
      <c r="T6603">
        <v>5</v>
      </c>
      <c r="U6603" t="s">
        <v>28</v>
      </c>
      <c r="V6603" t="s">
        <v>28</v>
      </c>
      <c r="W6603" s="25">
        <v>15</v>
      </c>
      <c r="X6603">
        <v>3.3250000000000002</v>
      </c>
      <c r="Y6603" s="6">
        <f t="shared" si="110"/>
        <v>0.57243340223994565</v>
      </c>
      <c r="Z6603">
        <f>3.581-X6603</f>
        <v>0.25599999999999978</v>
      </c>
    </row>
    <row r="6604" spans="1:26" x14ac:dyDescent="0.2">
      <c r="A6604" t="s">
        <v>752</v>
      </c>
      <c r="B6604">
        <v>2004</v>
      </c>
      <c r="C6604" t="s">
        <v>816</v>
      </c>
      <c r="D6604" t="s">
        <v>820</v>
      </c>
      <c r="E6604" t="s">
        <v>34</v>
      </c>
      <c r="F6604" t="s">
        <v>753</v>
      </c>
      <c r="G6604">
        <v>-40.583509999999997</v>
      </c>
      <c r="H6604">
        <v>-73.739061000000007</v>
      </c>
      <c r="I6604" t="s">
        <v>764</v>
      </c>
      <c r="J6604" t="s">
        <v>14</v>
      </c>
      <c r="K6604" t="s">
        <v>41</v>
      </c>
      <c r="L6604" t="s">
        <v>3</v>
      </c>
      <c r="M6604" t="s">
        <v>727</v>
      </c>
      <c r="N6604" t="s">
        <v>85</v>
      </c>
      <c r="O6604" t="s">
        <v>394</v>
      </c>
      <c r="P6604" t="s">
        <v>69</v>
      </c>
      <c r="Q6604">
        <v>75</v>
      </c>
      <c r="R6604" s="2" t="s">
        <v>213</v>
      </c>
      <c r="S6604" t="s">
        <v>27</v>
      </c>
      <c r="T6604">
        <v>5</v>
      </c>
      <c r="U6604" t="s">
        <v>28</v>
      </c>
      <c r="V6604" t="s">
        <v>28</v>
      </c>
      <c r="W6604">
        <v>18</v>
      </c>
      <c r="X6604">
        <v>2</v>
      </c>
      <c r="Y6604" s="6">
        <f t="shared" si="110"/>
        <v>0</v>
      </c>
      <c r="Z6604">
        <v>0</v>
      </c>
    </row>
    <row r="6605" spans="1:26" x14ac:dyDescent="0.2">
      <c r="A6605" t="s">
        <v>752</v>
      </c>
      <c r="B6605">
        <v>2004</v>
      </c>
      <c r="C6605" t="s">
        <v>816</v>
      </c>
      <c r="D6605" t="s">
        <v>820</v>
      </c>
      <c r="E6605" t="s">
        <v>34</v>
      </c>
      <c r="F6605" t="s">
        <v>754</v>
      </c>
      <c r="G6605">
        <v>-41.593060999999999</v>
      </c>
      <c r="H6605">
        <v>-72.703359000000006</v>
      </c>
      <c r="I6605" t="s">
        <v>764</v>
      </c>
      <c r="J6605" s="2" t="s">
        <v>14</v>
      </c>
      <c r="K6605" t="s">
        <v>41</v>
      </c>
      <c r="L6605" t="s">
        <v>3</v>
      </c>
      <c r="M6605" t="s">
        <v>727</v>
      </c>
      <c r="N6605" t="s">
        <v>85</v>
      </c>
      <c r="O6605" t="s">
        <v>394</v>
      </c>
      <c r="P6605" t="s">
        <v>69</v>
      </c>
      <c r="Q6605">
        <v>75</v>
      </c>
      <c r="R6605" s="2" t="s">
        <v>213</v>
      </c>
      <c r="S6605" t="s">
        <v>27</v>
      </c>
      <c r="T6605">
        <v>5</v>
      </c>
      <c r="U6605" t="s">
        <v>28</v>
      </c>
      <c r="V6605" t="s">
        <v>28</v>
      </c>
      <c r="W6605" s="25">
        <v>18</v>
      </c>
      <c r="X6605">
        <v>2.1960000000000002</v>
      </c>
      <c r="Y6605" s="6">
        <f t="shared" si="110"/>
        <v>0.87653864717991736</v>
      </c>
      <c r="Z6605">
        <f>2.588-X6605</f>
        <v>0.3919999999999999</v>
      </c>
    </row>
    <row r="6606" spans="1:26" x14ac:dyDescent="0.2">
      <c r="A6606" t="s">
        <v>756</v>
      </c>
      <c r="B6606">
        <v>2021</v>
      </c>
      <c r="C6606" t="s">
        <v>816</v>
      </c>
      <c r="D6606" t="s">
        <v>820</v>
      </c>
      <c r="E6606" t="s">
        <v>34</v>
      </c>
      <c r="F6606" t="s">
        <v>757</v>
      </c>
      <c r="G6606">
        <v>-41.471561000000001</v>
      </c>
      <c r="H6606">
        <v>-72.942486000000002</v>
      </c>
      <c r="J6606" s="2" t="s">
        <v>7</v>
      </c>
      <c r="K6606" t="s">
        <v>41</v>
      </c>
      <c r="L6606" t="s">
        <v>3</v>
      </c>
      <c r="M6606" t="s">
        <v>727</v>
      </c>
      <c r="N6606" t="s">
        <v>85</v>
      </c>
      <c r="O6606" t="s">
        <v>374</v>
      </c>
      <c r="P6606" t="s">
        <v>70</v>
      </c>
      <c r="Q6606">
        <v>14</v>
      </c>
      <c r="R6606" s="2" t="s">
        <v>213</v>
      </c>
      <c r="S6606" t="s">
        <v>7</v>
      </c>
      <c r="T6606">
        <v>12</v>
      </c>
      <c r="U6606" t="s">
        <v>28</v>
      </c>
      <c r="V6606" t="s">
        <v>28</v>
      </c>
      <c r="W6606">
        <v>14</v>
      </c>
      <c r="X6606">
        <v>55.841666666666669</v>
      </c>
      <c r="Y6606">
        <v>23.328791558491435</v>
      </c>
    </row>
    <row r="6607" spans="1:26" x14ac:dyDescent="0.2">
      <c r="A6607" t="s">
        <v>756</v>
      </c>
      <c r="B6607">
        <v>2021</v>
      </c>
      <c r="C6607" t="s">
        <v>816</v>
      </c>
      <c r="D6607" t="s">
        <v>820</v>
      </c>
      <c r="E6607" t="s">
        <v>34</v>
      </c>
      <c r="F6607" t="s">
        <v>757</v>
      </c>
      <c r="G6607">
        <v>-41.471561000000001</v>
      </c>
      <c r="H6607">
        <v>-72.942486000000002</v>
      </c>
      <c r="J6607" s="2" t="s">
        <v>14</v>
      </c>
      <c r="K6607" t="s">
        <v>41</v>
      </c>
      <c r="L6607" t="s">
        <v>3</v>
      </c>
      <c r="M6607" t="s">
        <v>727</v>
      </c>
      <c r="N6607" t="s">
        <v>85</v>
      </c>
      <c r="O6607" t="s">
        <v>374</v>
      </c>
      <c r="P6607" t="s">
        <v>70</v>
      </c>
      <c r="Q6607">
        <v>14</v>
      </c>
      <c r="R6607" s="2" t="s">
        <v>213</v>
      </c>
      <c r="S6607" t="s">
        <v>9</v>
      </c>
      <c r="T6607">
        <v>12</v>
      </c>
      <c r="U6607" t="s">
        <v>28</v>
      </c>
      <c r="V6607" t="s">
        <v>28</v>
      </c>
      <c r="W6607" s="25">
        <v>15</v>
      </c>
      <c r="X6607">
        <v>48.904166666666661</v>
      </c>
      <c r="Y6607">
        <v>15.700054498529743</v>
      </c>
    </row>
    <row r="6608" spans="1:26" x14ac:dyDescent="0.2">
      <c r="A6608" t="s">
        <v>756</v>
      </c>
      <c r="B6608">
        <v>2021</v>
      </c>
      <c r="C6608" t="s">
        <v>816</v>
      </c>
      <c r="D6608" t="s">
        <v>820</v>
      </c>
      <c r="E6608" t="s">
        <v>34</v>
      </c>
      <c r="F6608" t="s">
        <v>757</v>
      </c>
      <c r="G6608">
        <v>-41.471561000000001</v>
      </c>
      <c r="H6608">
        <v>-72.942486000000002</v>
      </c>
      <c r="J6608" s="2" t="s">
        <v>14</v>
      </c>
      <c r="K6608" t="s">
        <v>41</v>
      </c>
      <c r="L6608" t="s">
        <v>3</v>
      </c>
      <c r="M6608" t="s">
        <v>727</v>
      </c>
      <c r="N6608" t="s">
        <v>85</v>
      </c>
      <c r="O6608" t="s">
        <v>374</v>
      </c>
      <c r="P6608" t="s">
        <v>70</v>
      </c>
      <c r="Q6608">
        <v>14</v>
      </c>
      <c r="R6608" s="2" t="s">
        <v>213</v>
      </c>
      <c r="S6608" t="s">
        <v>27</v>
      </c>
      <c r="T6608">
        <v>12</v>
      </c>
      <c r="U6608" t="s">
        <v>28</v>
      </c>
      <c r="V6608" t="s">
        <v>28</v>
      </c>
      <c r="W6608">
        <v>16</v>
      </c>
      <c r="X6608">
        <v>41.105533333333334</v>
      </c>
      <c r="Y6608">
        <v>13.186417813403116</v>
      </c>
    </row>
    <row r="6609" spans="1:25" x14ac:dyDescent="0.2">
      <c r="A6609" t="s">
        <v>756</v>
      </c>
      <c r="B6609">
        <v>2021</v>
      </c>
      <c r="C6609" t="s">
        <v>816</v>
      </c>
      <c r="D6609" t="s">
        <v>820</v>
      </c>
      <c r="E6609" t="s">
        <v>34</v>
      </c>
      <c r="F6609" t="s">
        <v>757</v>
      </c>
      <c r="G6609">
        <v>-41.471561000000001</v>
      </c>
      <c r="H6609">
        <v>-72.942486000000002</v>
      </c>
      <c r="J6609" s="2" t="s">
        <v>14</v>
      </c>
      <c r="K6609" t="s">
        <v>41</v>
      </c>
      <c r="L6609" t="s">
        <v>3</v>
      </c>
      <c r="M6609" t="s">
        <v>727</v>
      </c>
      <c r="N6609" t="s">
        <v>85</v>
      </c>
      <c r="O6609" t="s">
        <v>374</v>
      </c>
      <c r="P6609" t="s">
        <v>70</v>
      </c>
      <c r="Q6609">
        <v>14</v>
      </c>
      <c r="R6609" s="2" t="s">
        <v>213</v>
      </c>
      <c r="S6609" t="s">
        <v>13</v>
      </c>
      <c r="T6609">
        <v>12</v>
      </c>
      <c r="U6609" t="s">
        <v>28</v>
      </c>
      <c r="V6609" t="s">
        <v>28</v>
      </c>
      <c r="W6609" s="25">
        <v>17</v>
      </c>
      <c r="X6609">
        <v>16.862500000000001</v>
      </c>
      <c r="Y6609">
        <v>4.1344585808452887</v>
      </c>
    </row>
    <row r="6610" spans="1:25" x14ac:dyDescent="0.2">
      <c r="A6610" t="s">
        <v>756</v>
      </c>
      <c r="B6610">
        <v>2021</v>
      </c>
      <c r="C6610" t="s">
        <v>816</v>
      </c>
      <c r="D6610" t="s">
        <v>820</v>
      </c>
      <c r="E6610" t="s">
        <v>34</v>
      </c>
      <c r="F6610" t="s">
        <v>757</v>
      </c>
      <c r="G6610">
        <v>-41.471561000000001</v>
      </c>
      <c r="H6610">
        <v>-72.942486000000002</v>
      </c>
      <c r="J6610" s="2" t="s">
        <v>14</v>
      </c>
      <c r="K6610" t="s">
        <v>41</v>
      </c>
      <c r="L6610" t="s">
        <v>3</v>
      </c>
      <c r="M6610" t="s">
        <v>727</v>
      </c>
      <c r="N6610" t="s">
        <v>85</v>
      </c>
      <c r="O6610" t="s">
        <v>374</v>
      </c>
      <c r="P6610" t="s">
        <v>70</v>
      </c>
      <c r="Q6610">
        <v>14</v>
      </c>
      <c r="R6610" s="2" t="s">
        <v>213</v>
      </c>
      <c r="S6610" t="s">
        <v>15</v>
      </c>
      <c r="T6610">
        <v>12</v>
      </c>
      <c r="U6610" t="s">
        <v>28</v>
      </c>
      <c r="V6610" t="s">
        <v>28</v>
      </c>
      <c r="W6610">
        <v>18</v>
      </c>
      <c r="X6610">
        <v>11.317776666666667</v>
      </c>
      <c r="Y6610">
        <v>4.4776025241831627</v>
      </c>
    </row>
    <row r="6611" spans="1:25" x14ac:dyDescent="0.2">
      <c r="A6611" t="s">
        <v>756</v>
      </c>
      <c r="B6611">
        <v>2021</v>
      </c>
      <c r="C6611" t="s">
        <v>816</v>
      </c>
      <c r="D6611" t="s">
        <v>820</v>
      </c>
      <c r="E6611" t="s">
        <v>34</v>
      </c>
      <c r="F6611" t="s">
        <v>759</v>
      </c>
      <c r="G6611">
        <v>-27.104771</v>
      </c>
      <c r="H6611">
        <v>-70.857371000000001</v>
      </c>
      <c r="J6611" s="2" t="s">
        <v>7</v>
      </c>
      <c r="K6611" t="s">
        <v>41</v>
      </c>
      <c r="L6611" t="s">
        <v>3</v>
      </c>
      <c r="M6611" t="s">
        <v>727</v>
      </c>
      <c r="N6611" t="s">
        <v>85</v>
      </c>
      <c r="O6611" t="s">
        <v>374</v>
      </c>
      <c r="P6611" t="s">
        <v>70</v>
      </c>
      <c r="Q6611">
        <v>14</v>
      </c>
      <c r="R6611" s="2" t="s">
        <v>213</v>
      </c>
      <c r="S6611" t="s">
        <v>7</v>
      </c>
      <c r="T6611">
        <v>12</v>
      </c>
      <c r="U6611" t="s">
        <v>28</v>
      </c>
      <c r="V6611" t="s">
        <v>28</v>
      </c>
      <c r="W6611">
        <v>14</v>
      </c>
      <c r="X6611">
        <v>22.666666666666671</v>
      </c>
      <c r="Y6611">
        <v>11.055305826787263</v>
      </c>
    </row>
    <row r="6612" spans="1:25" x14ac:dyDescent="0.2">
      <c r="A6612" t="s">
        <v>756</v>
      </c>
      <c r="B6612">
        <v>2021</v>
      </c>
      <c r="C6612" t="s">
        <v>816</v>
      </c>
      <c r="D6612" t="s">
        <v>820</v>
      </c>
      <c r="E6612" t="s">
        <v>34</v>
      </c>
      <c r="F6612" t="s">
        <v>759</v>
      </c>
      <c r="G6612">
        <v>-27.104771</v>
      </c>
      <c r="H6612">
        <v>-70.857371000000001</v>
      </c>
      <c r="J6612" s="2" t="s">
        <v>14</v>
      </c>
      <c r="K6612" t="s">
        <v>41</v>
      </c>
      <c r="L6612" t="s">
        <v>3</v>
      </c>
      <c r="M6612" t="s">
        <v>727</v>
      </c>
      <c r="N6612" t="s">
        <v>85</v>
      </c>
      <c r="O6612" t="s">
        <v>374</v>
      </c>
      <c r="P6612" t="s">
        <v>70</v>
      </c>
      <c r="Q6612">
        <v>14</v>
      </c>
      <c r="R6612" s="2" t="s">
        <v>213</v>
      </c>
      <c r="S6612" t="s">
        <v>9</v>
      </c>
      <c r="T6612">
        <v>12</v>
      </c>
      <c r="U6612" t="s">
        <v>28</v>
      </c>
      <c r="V6612" t="s">
        <v>28</v>
      </c>
      <c r="W6612" s="25">
        <v>15</v>
      </c>
      <c r="X6612">
        <v>20.166666666666668</v>
      </c>
      <c r="Y6612">
        <v>6.9581531064901547</v>
      </c>
    </row>
    <row r="6613" spans="1:25" x14ac:dyDescent="0.2">
      <c r="A6613" t="s">
        <v>756</v>
      </c>
      <c r="B6613">
        <v>2021</v>
      </c>
      <c r="C6613" t="s">
        <v>816</v>
      </c>
      <c r="D6613" t="s">
        <v>820</v>
      </c>
      <c r="E6613" t="s">
        <v>34</v>
      </c>
      <c r="F6613" t="s">
        <v>759</v>
      </c>
      <c r="G6613">
        <v>-27.104771</v>
      </c>
      <c r="H6613">
        <v>-70.857371000000001</v>
      </c>
      <c r="J6613" s="2" t="s">
        <v>14</v>
      </c>
      <c r="K6613" t="s">
        <v>41</v>
      </c>
      <c r="L6613" t="s">
        <v>3</v>
      </c>
      <c r="M6613" t="s">
        <v>727</v>
      </c>
      <c r="N6613" t="s">
        <v>85</v>
      </c>
      <c r="O6613" t="s">
        <v>374</v>
      </c>
      <c r="P6613" t="s">
        <v>70</v>
      </c>
      <c r="Q6613">
        <v>14</v>
      </c>
      <c r="R6613" s="2" t="s">
        <v>213</v>
      </c>
      <c r="S6613" t="s">
        <v>27</v>
      </c>
      <c r="T6613">
        <v>12</v>
      </c>
      <c r="U6613" t="s">
        <v>28</v>
      </c>
      <c r="V6613" t="s">
        <v>28</v>
      </c>
      <c r="W6613">
        <v>16</v>
      </c>
      <c r="X6613">
        <v>12.333333333333334</v>
      </c>
      <c r="Y6613">
        <v>6.181926033713256</v>
      </c>
    </row>
    <row r="6614" spans="1:25" x14ac:dyDescent="0.2">
      <c r="A6614" t="s">
        <v>756</v>
      </c>
      <c r="B6614">
        <v>2021</v>
      </c>
      <c r="C6614" t="s">
        <v>816</v>
      </c>
      <c r="D6614" t="s">
        <v>820</v>
      </c>
      <c r="E6614" t="s">
        <v>34</v>
      </c>
      <c r="F6614" t="s">
        <v>759</v>
      </c>
      <c r="G6614">
        <v>-27.104771</v>
      </c>
      <c r="H6614">
        <v>-70.857371000000001</v>
      </c>
      <c r="J6614" s="2" t="s">
        <v>14</v>
      </c>
      <c r="K6614" t="s">
        <v>41</v>
      </c>
      <c r="L6614" t="s">
        <v>3</v>
      </c>
      <c r="M6614" t="s">
        <v>727</v>
      </c>
      <c r="N6614" t="s">
        <v>85</v>
      </c>
      <c r="O6614" t="s">
        <v>374</v>
      </c>
      <c r="P6614" t="s">
        <v>70</v>
      </c>
      <c r="Q6614">
        <v>14</v>
      </c>
      <c r="R6614" s="2" t="s">
        <v>213</v>
      </c>
      <c r="S6614" t="s">
        <v>13</v>
      </c>
      <c r="T6614">
        <v>12</v>
      </c>
      <c r="U6614" t="s">
        <v>28</v>
      </c>
      <c r="V6614" t="s">
        <v>28</v>
      </c>
      <c r="W6614" s="25">
        <v>17</v>
      </c>
      <c r="X6614">
        <v>3.5000033333333334</v>
      </c>
      <c r="Y6614">
        <v>3.0183905369684365</v>
      </c>
    </row>
    <row r="6615" spans="1:25" x14ac:dyDescent="0.2">
      <c r="A6615" t="s">
        <v>756</v>
      </c>
      <c r="B6615">
        <v>2021</v>
      </c>
      <c r="C6615" t="s">
        <v>816</v>
      </c>
      <c r="D6615" t="s">
        <v>820</v>
      </c>
      <c r="E6615" t="s">
        <v>34</v>
      </c>
      <c r="F6615" t="s">
        <v>759</v>
      </c>
      <c r="G6615">
        <v>-27.104771</v>
      </c>
      <c r="H6615">
        <v>-70.857371000000001</v>
      </c>
      <c r="J6615" s="2" t="s">
        <v>14</v>
      </c>
      <c r="K6615" t="s">
        <v>41</v>
      </c>
      <c r="L6615" t="s">
        <v>3</v>
      </c>
      <c r="M6615" t="s">
        <v>727</v>
      </c>
      <c r="N6615" t="s">
        <v>85</v>
      </c>
      <c r="O6615" t="s">
        <v>374</v>
      </c>
      <c r="P6615" t="s">
        <v>70</v>
      </c>
      <c r="Q6615">
        <v>14</v>
      </c>
      <c r="R6615" s="2" t="s">
        <v>213</v>
      </c>
      <c r="S6615" t="s">
        <v>15</v>
      </c>
      <c r="T6615">
        <v>12</v>
      </c>
      <c r="U6615" t="s">
        <v>28</v>
      </c>
      <c r="V6615" t="s">
        <v>28</v>
      </c>
      <c r="W6615">
        <v>18</v>
      </c>
      <c r="X6615">
        <v>1.0000000000000001E-5</v>
      </c>
      <c r="Y6615">
        <v>2.3748405868313671E-13</v>
      </c>
    </row>
    <row r="6616" spans="1:25" x14ac:dyDescent="0.2">
      <c r="A6616" t="s">
        <v>756</v>
      </c>
      <c r="B6616">
        <v>2021</v>
      </c>
      <c r="C6616" t="s">
        <v>816</v>
      </c>
      <c r="D6616" t="s">
        <v>820</v>
      </c>
      <c r="E6616" t="s">
        <v>34</v>
      </c>
      <c r="F6616" t="s">
        <v>757</v>
      </c>
      <c r="G6616">
        <v>-41.471561000000001</v>
      </c>
      <c r="H6616">
        <v>-72.942486000000002</v>
      </c>
      <c r="J6616" s="2" t="s">
        <v>7</v>
      </c>
      <c r="K6616" t="s">
        <v>41</v>
      </c>
      <c r="L6616" t="s">
        <v>3</v>
      </c>
      <c r="M6616" t="s">
        <v>727</v>
      </c>
      <c r="N6616" t="s">
        <v>86</v>
      </c>
      <c r="O6616" t="s">
        <v>42</v>
      </c>
      <c r="P6616" t="s">
        <v>758</v>
      </c>
      <c r="Q6616">
        <v>14</v>
      </c>
      <c r="R6616" s="2" t="s">
        <v>213</v>
      </c>
      <c r="S6616" t="s">
        <v>7</v>
      </c>
      <c r="T6616">
        <v>12</v>
      </c>
      <c r="U6616" t="s">
        <v>28</v>
      </c>
      <c r="V6616" t="s">
        <v>28</v>
      </c>
      <c r="W6616">
        <v>14</v>
      </c>
      <c r="X6616">
        <v>0.58063333333333322</v>
      </c>
      <c r="Y6616">
        <v>0.12028306290730835</v>
      </c>
    </row>
    <row r="6617" spans="1:25" x14ac:dyDescent="0.2">
      <c r="A6617" t="s">
        <v>756</v>
      </c>
      <c r="B6617">
        <v>2021</v>
      </c>
      <c r="C6617" t="s">
        <v>816</v>
      </c>
      <c r="D6617" t="s">
        <v>820</v>
      </c>
      <c r="E6617" t="s">
        <v>34</v>
      </c>
      <c r="F6617" t="s">
        <v>757</v>
      </c>
      <c r="G6617">
        <v>-41.471561000000001</v>
      </c>
      <c r="H6617">
        <v>-72.942486000000002</v>
      </c>
      <c r="J6617" s="2" t="s">
        <v>14</v>
      </c>
      <c r="K6617" t="s">
        <v>41</v>
      </c>
      <c r="L6617" t="s">
        <v>3</v>
      </c>
      <c r="M6617" t="s">
        <v>727</v>
      </c>
      <c r="N6617" t="s">
        <v>86</v>
      </c>
      <c r="O6617" t="s">
        <v>42</v>
      </c>
      <c r="P6617" t="s">
        <v>758</v>
      </c>
      <c r="Q6617">
        <v>14</v>
      </c>
      <c r="R6617" s="2" t="s">
        <v>213</v>
      </c>
      <c r="S6617" t="s">
        <v>9</v>
      </c>
      <c r="T6617">
        <v>12</v>
      </c>
      <c r="U6617" t="s">
        <v>28</v>
      </c>
      <c r="V6617" t="s">
        <v>28</v>
      </c>
      <c r="W6617" s="25">
        <v>15</v>
      </c>
      <c r="X6617">
        <v>0.50346666666666662</v>
      </c>
      <c r="Y6617">
        <v>0.1809762733387463</v>
      </c>
    </row>
    <row r="6618" spans="1:25" x14ac:dyDescent="0.2">
      <c r="A6618" t="s">
        <v>756</v>
      </c>
      <c r="B6618">
        <v>2021</v>
      </c>
      <c r="C6618" t="s">
        <v>816</v>
      </c>
      <c r="D6618" t="s">
        <v>820</v>
      </c>
      <c r="E6618" t="s">
        <v>34</v>
      </c>
      <c r="F6618" t="s">
        <v>757</v>
      </c>
      <c r="G6618">
        <v>-41.471561000000001</v>
      </c>
      <c r="H6618">
        <v>-72.942486000000002</v>
      </c>
      <c r="J6618" s="2" t="s">
        <v>14</v>
      </c>
      <c r="K6618" t="s">
        <v>41</v>
      </c>
      <c r="L6618" t="s">
        <v>3</v>
      </c>
      <c r="M6618" t="s">
        <v>727</v>
      </c>
      <c r="N6618" t="s">
        <v>86</v>
      </c>
      <c r="O6618" t="s">
        <v>42</v>
      </c>
      <c r="P6618" t="s">
        <v>758</v>
      </c>
      <c r="Q6618">
        <v>14</v>
      </c>
      <c r="R6618" s="2" t="s">
        <v>213</v>
      </c>
      <c r="S6618" t="s">
        <v>27</v>
      </c>
      <c r="T6618">
        <v>12</v>
      </c>
      <c r="U6618" t="s">
        <v>28</v>
      </c>
      <c r="V6618" t="s">
        <v>28</v>
      </c>
      <c r="W6618">
        <v>16</v>
      </c>
      <c r="X6618">
        <v>0.49288000000000004</v>
      </c>
      <c r="Y6618">
        <v>0.1652102094517979</v>
      </c>
    </row>
    <row r="6619" spans="1:25" x14ac:dyDescent="0.2">
      <c r="A6619" t="s">
        <v>756</v>
      </c>
      <c r="B6619">
        <v>2021</v>
      </c>
      <c r="C6619" t="s">
        <v>816</v>
      </c>
      <c r="D6619" t="s">
        <v>820</v>
      </c>
      <c r="E6619" t="s">
        <v>34</v>
      </c>
      <c r="F6619" t="s">
        <v>757</v>
      </c>
      <c r="G6619">
        <v>-41.471561000000001</v>
      </c>
      <c r="H6619">
        <v>-72.942486000000002</v>
      </c>
      <c r="J6619" s="2" t="s">
        <v>14</v>
      </c>
      <c r="K6619" t="s">
        <v>41</v>
      </c>
      <c r="L6619" t="s">
        <v>3</v>
      </c>
      <c r="M6619" t="s">
        <v>727</v>
      </c>
      <c r="N6619" t="s">
        <v>86</v>
      </c>
      <c r="O6619" t="s">
        <v>42</v>
      </c>
      <c r="P6619" t="s">
        <v>758</v>
      </c>
      <c r="Q6619">
        <v>14</v>
      </c>
      <c r="R6619" s="2" t="s">
        <v>213</v>
      </c>
      <c r="S6619" t="s">
        <v>13</v>
      </c>
      <c r="T6619">
        <v>12</v>
      </c>
      <c r="U6619" t="s">
        <v>28</v>
      </c>
      <c r="V6619" t="s">
        <v>28</v>
      </c>
      <c r="W6619" s="25">
        <v>17</v>
      </c>
      <c r="X6619">
        <v>0.36799999999999994</v>
      </c>
      <c r="Y6619">
        <v>0.22357712326247031</v>
      </c>
    </row>
    <row r="6620" spans="1:25" x14ac:dyDescent="0.2">
      <c r="A6620" t="s">
        <v>756</v>
      </c>
      <c r="B6620">
        <v>2021</v>
      </c>
      <c r="C6620" t="s">
        <v>816</v>
      </c>
      <c r="D6620" t="s">
        <v>820</v>
      </c>
      <c r="E6620" t="s">
        <v>34</v>
      </c>
      <c r="F6620" t="s">
        <v>757</v>
      </c>
      <c r="G6620">
        <v>-41.471561000000001</v>
      </c>
      <c r="H6620">
        <v>-72.942486000000002</v>
      </c>
      <c r="J6620" s="2" t="s">
        <v>14</v>
      </c>
      <c r="K6620" t="s">
        <v>41</v>
      </c>
      <c r="L6620" t="s">
        <v>3</v>
      </c>
      <c r="M6620" t="s">
        <v>727</v>
      </c>
      <c r="N6620" t="s">
        <v>86</v>
      </c>
      <c r="O6620" t="s">
        <v>42</v>
      </c>
      <c r="P6620" t="s">
        <v>758</v>
      </c>
      <c r="Q6620">
        <v>14</v>
      </c>
      <c r="R6620" s="2" t="s">
        <v>213</v>
      </c>
      <c r="S6620" t="s">
        <v>15</v>
      </c>
      <c r="T6620">
        <v>12</v>
      </c>
      <c r="U6620" t="s">
        <v>28</v>
      </c>
      <c r="V6620" t="s">
        <v>28</v>
      </c>
      <c r="W6620">
        <v>18</v>
      </c>
      <c r="X6620">
        <v>0.28643333333333337</v>
      </c>
      <c r="Y6620">
        <v>0.18258422270745639</v>
      </c>
    </row>
    <row r="6621" spans="1:25" x14ac:dyDescent="0.2">
      <c r="A6621" t="s">
        <v>676</v>
      </c>
      <c r="B6621">
        <v>1989</v>
      </c>
      <c r="C6621" t="s">
        <v>826</v>
      </c>
      <c r="D6621" t="s">
        <v>812</v>
      </c>
      <c r="E6621" t="s">
        <v>103</v>
      </c>
      <c r="F6621" t="s">
        <v>656</v>
      </c>
      <c r="G6621">
        <v>34.664872000000003</v>
      </c>
      <c r="H6621">
        <v>138.94002900000001</v>
      </c>
      <c r="I6621" t="s">
        <v>761</v>
      </c>
      <c r="J6621" s="2" t="s">
        <v>7</v>
      </c>
      <c r="K6621" t="s">
        <v>144</v>
      </c>
      <c r="L6621" t="s">
        <v>144</v>
      </c>
      <c r="M6621" t="s">
        <v>73</v>
      </c>
      <c r="N6621" t="s">
        <v>85</v>
      </c>
      <c r="O6621" t="s">
        <v>146</v>
      </c>
      <c r="P6621" t="s">
        <v>677</v>
      </c>
      <c r="R6621" s="2" t="s">
        <v>213</v>
      </c>
      <c r="S6621" t="s">
        <v>7</v>
      </c>
      <c r="T6621">
        <v>4</v>
      </c>
      <c r="U6621" s="2" t="s">
        <v>28</v>
      </c>
      <c r="V6621" s="2" t="s">
        <v>28</v>
      </c>
      <c r="W6621" s="2">
        <v>20</v>
      </c>
      <c r="X6621">
        <v>33</v>
      </c>
      <c r="Y6621">
        <f>37.3-X6621</f>
        <v>4.2999999999999972</v>
      </c>
    </row>
    <row r="6622" spans="1:25" x14ac:dyDescent="0.2">
      <c r="A6622" t="s">
        <v>676</v>
      </c>
      <c r="B6622">
        <v>1989</v>
      </c>
      <c r="C6622" t="s">
        <v>826</v>
      </c>
      <c r="D6622" t="s">
        <v>812</v>
      </c>
      <c r="E6622" t="s">
        <v>103</v>
      </c>
      <c r="F6622" t="s">
        <v>656</v>
      </c>
      <c r="G6622">
        <v>34.664872000000003</v>
      </c>
      <c r="H6622">
        <v>138.94002900000001</v>
      </c>
      <c r="I6622" t="s">
        <v>761</v>
      </c>
      <c r="J6622" s="2" t="s">
        <v>14</v>
      </c>
      <c r="K6622" t="s">
        <v>144</v>
      </c>
      <c r="L6622" t="s">
        <v>144</v>
      </c>
      <c r="M6622" t="s">
        <v>73</v>
      </c>
      <c r="N6622" t="s">
        <v>85</v>
      </c>
      <c r="O6622" t="s">
        <v>146</v>
      </c>
      <c r="P6622" t="s">
        <v>677</v>
      </c>
      <c r="R6622" s="2" t="s">
        <v>213</v>
      </c>
      <c r="S6622" t="s">
        <v>27</v>
      </c>
      <c r="T6622">
        <v>4</v>
      </c>
      <c r="U6622" s="2" t="s">
        <v>28</v>
      </c>
      <c r="V6622" s="2" t="s">
        <v>28</v>
      </c>
      <c r="W6622" s="2">
        <v>25</v>
      </c>
      <c r="X6622">
        <v>42.2</v>
      </c>
      <c r="Y6622">
        <f>44.1-X6622</f>
        <v>1.8999999999999986</v>
      </c>
    </row>
    <row r="6623" spans="1:25" x14ac:dyDescent="0.2">
      <c r="A6623" t="s">
        <v>676</v>
      </c>
      <c r="B6623">
        <v>1989</v>
      </c>
      <c r="C6623" t="s">
        <v>826</v>
      </c>
      <c r="D6623" t="s">
        <v>812</v>
      </c>
      <c r="E6623" t="s">
        <v>103</v>
      </c>
      <c r="F6623" t="s">
        <v>656</v>
      </c>
      <c r="G6623">
        <v>34.664872000000003</v>
      </c>
      <c r="H6623">
        <v>138.94002900000001</v>
      </c>
      <c r="I6623" t="s">
        <v>761</v>
      </c>
      <c r="J6623" s="2" t="s">
        <v>14</v>
      </c>
      <c r="K6623" t="s">
        <v>144</v>
      </c>
      <c r="L6623" t="s">
        <v>144</v>
      </c>
      <c r="M6623" t="s">
        <v>73</v>
      </c>
      <c r="N6623" t="s">
        <v>85</v>
      </c>
      <c r="O6623" t="s">
        <v>146</v>
      </c>
      <c r="P6623" t="s">
        <v>677</v>
      </c>
      <c r="R6623" s="2" t="s">
        <v>213</v>
      </c>
      <c r="S6623" t="s">
        <v>13</v>
      </c>
      <c r="T6623">
        <v>4</v>
      </c>
      <c r="U6623" s="2" t="s">
        <v>28</v>
      </c>
      <c r="V6623" s="2" t="s">
        <v>28</v>
      </c>
      <c r="W6623" s="2">
        <v>30</v>
      </c>
      <c r="X6623">
        <v>38.9</v>
      </c>
      <c r="Y6623">
        <f>40.2-X6623</f>
        <v>1.3000000000000043</v>
      </c>
    </row>
    <row r="6624" spans="1:25" x14ac:dyDescent="0.2">
      <c r="A6624" t="s">
        <v>676</v>
      </c>
      <c r="B6624">
        <v>1989</v>
      </c>
      <c r="C6624" t="s">
        <v>826</v>
      </c>
      <c r="D6624" t="s">
        <v>812</v>
      </c>
      <c r="E6624" t="s">
        <v>103</v>
      </c>
      <c r="F6624" t="s">
        <v>656</v>
      </c>
      <c r="G6624">
        <v>34.664872000000003</v>
      </c>
      <c r="H6624">
        <v>138.94002900000001</v>
      </c>
      <c r="I6624" t="s">
        <v>761</v>
      </c>
      <c r="J6624" s="2" t="s">
        <v>7</v>
      </c>
      <c r="K6624" t="s">
        <v>144</v>
      </c>
      <c r="L6624" t="s">
        <v>144</v>
      </c>
      <c r="M6624" t="s">
        <v>172</v>
      </c>
      <c r="N6624" t="s">
        <v>86</v>
      </c>
      <c r="O6624" t="s">
        <v>62</v>
      </c>
      <c r="P6624" t="s">
        <v>677</v>
      </c>
      <c r="R6624" s="2" t="s">
        <v>213</v>
      </c>
      <c r="S6624" t="s">
        <v>7</v>
      </c>
      <c r="T6624">
        <v>2</v>
      </c>
      <c r="U6624" s="2" t="s">
        <v>28</v>
      </c>
      <c r="V6624" s="2" t="s">
        <v>28</v>
      </c>
      <c r="W6624" s="2">
        <v>20</v>
      </c>
      <c r="X6624">
        <v>4.5999999999999996</v>
      </c>
      <c r="Y6624">
        <f>X6624-3.3</f>
        <v>1.2999999999999998</v>
      </c>
    </row>
    <row r="6625" spans="1:25" x14ac:dyDescent="0.2">
      <c r="A6625" t="s">
        <v>676</v>
      </c>
      <c r="B6625">
        <v>1989</v>
      </c>
      <c r="C6625" t="s">
        <v>826</v>
      </c>
      <c r="D6625" t="s">
        <v>812</v>
      </c>
      <c r="E6625" t="s">
        <v>103</v>
      </c>
      <c r="F6625" t="s">
        <v>656</v>
      </c>
      <c r="G6625">
        <v>34.664872000000003</v>
      </c>
      <c r="H6625">
        <v>138.94002900000001</v>
      </c>
      <c r="I6625" t="s">
        <v>761</v>
      </c>
      <c r="J6625" s="2" t="s">
        <v>14</v>
      </c>
      <c r="K6625" t="s">
        <v>144</v>
      </c>
      <c r="L6625" t="s">
        <v>144</v>
      </c>
      <c r="M6625" t="s">
        <v>172</v>
      </c>
      <c r="N6625" t="s">
        <v>86</v>
      </c>
      <c r="O6625" t="s">
        <v>62</v>
      </c>
      <c r="P6625" t="s">
        <v>677</v>
      </c>
      <c r="R6625" s="2" t="s">
        <v>213</v>
      </c>
      <c r="S6625" t="s">
        <v>27</v>
      </c>
      <c r="T6625">
        <v>2</v>
      </c>
      <c r="U6625" s="2" t="s">
        <v>28</v>
      </c>
      <c r="V6625" s="2" t="s">
        <v>28</v>
      </c>
      <c r="W6625" s="2">
        <v>25</v>
      </c>
      <c r="X6625">
        <v>3.7</v>
      </c>
      <c r="Y6625">
        <f>X6625-2.6</f>
        <v>1.1000000000000001</v>
      </c>
    </row>
    <row r="6626" spans="1:25" x14ac:dyDescent="0.2">
      <c r="A6626" t="s">
        <v>676</v>
      </c>
      <c r="B6626">
        <v>1989</v>
      </c>
      <c r="C6626" t="s">
        <v>826</v>
      </c>
      <c r="D6626" t="s">
        <v>812</v>
      </c>
      <c r="E6626" t="s">
        <v>103</v>
      </c>
      <c r="F6626" t="s">
        <v>656</v>
      </c>
      <c r="G6626">
        <v>34.664872000000003</v>
      </c>
      <c r="H6626">
        <v>138.94002900000001</v>
      </c>
      <c r="I6626" t="s">
        <v>761</v>
      </c>
      <c r="J6626" s="2" t="s">
        <v>14</v>
      </c>
      <c r="K6626" t="s">
        <v>144</v>
      </c>
      <c r="L6626" t="s">
        <v>144</v>
      </c>
      <c r="M6626" t="s">
        <v>172</v>
      </c>
      <c r="N6626" t="s">
        <v>86</v>
      </c>
      <c r="O6626" t="s">
        <v>62</v>
      </c>
      <c r="P6626" t="s">
        <v>677</v>
      </c>
      <c r="R6626" s="2" t="s">
        <v>213</v>
      </c>
      <c r="S6626" t="s">
        <v>13</v>
      </c>
      <c r="T6626">
        <v>2</v>
      </c>
      <c r="U6626" s="2" t="s">
        <v>28</v>
      </c>
      <c r="V6626" s="2" t="s">
        <v>28</v>
      </c>
      <c r="W6626" s="2">
        <v>30</v>
      </c>
      <c r="X6626">
        <v>6.1</v>
      </c>
      <c r="Y6626">
        <f>X6626-5</f>
        <v>1.0999999999999996</v>
      </c>
    </row>
    <row r="6627" spans="1:25" x14ac:dyDescent="0.2">
      <c r="A6627" t="s">
        <v>676</v>
      </c>
      <c r="B6627">
        <v>1989</v>
      </c>
      <c r="C6627" t="s">
        <v>826</v>
      </c>
      <c r="D6627" t="s">
        <v>812</v>
      </c>
      <c r="E6627" t="s">
        <v>103</v>
      </c>
      <c r="F6627" t="s">
        <v>656</v>
      </c>
      <c r="G6627">
        <v>34.664872000000003</v>
      </c>
      <c r="H6627">
        <v>138.94002900000001</v>
      </c>
      <c r="I6627" t="s">
        <v>763</v>
      </c>
      <c r="J6627" s="2" t="s">
        <v>7</v>
      </c>
      <c r="K6627" t="s">
        <v>144</v>
      </c>
      <c r="L6627" t="s">
        <v>144</v>
      </c>
      <c r="M6627" t="s">
        <v>73</v>
      </c>
      <c r="N6627" t="s">
        <v>85</v>
      </c>
      <c r="O6627" t="s">
        <v>146</v>
      </c>
      <c r="P6627" t="s">
        <v>677</v>
      </c>
      <c r="R6627" s="2" t="s">
        <v>213</v>
      </c>
      <c r="S6627" t="s">
        <v>7</v>
      </c>
      <c r="T6627">
        <v>4</v>
      </c>
      <c r="U6627" s="2" t="s">
        <v>28</v>
      </c>
      <c r="V6627" s="2" t="s">
        <v>28</v>
      </c>
      <c r="W6627" s="2">
        <v>20</v>
      </c>
      <c r="X6627">
        <v>53.73</v>
      </c>
      <c r="Y6627">
        <f>56.01-X6627</f>
        <v>2.2800000000000011</v>
      </c>
    </row>
    <row r="6628" spans="1:25" x14ac:dyDescent="0.2">
      <c r="A6628" t="s">
        <v>676</v>
      </c>
      <c r="B6628">
        <v>1989</v>
      </c>
      <c r="C6628" t="s">
        <v>826</v>
      </c>
      <c r="D6628" t="s">
        <v>812</v>
      </c>
      <c r="E6628" t="s">
        <v>103</v>
      </c>
      <c r="F6628" t="s">
        <v>656</v>
      </c>
      <c r="G6628">
        <v>34.664872000000003</v>
      </c>
      <c r="H6628">
        <v>138.94002900000001</v>
      </c>
      <c r="I6628" t="s">
        <v>763</v>
      </c>
      <c r="J6628" s="2" t="s">
        <v>14</v>
      </c>
      <c r="K6628" t="s">
        <v>144</v>
      </c>
      <c r="L6628" t="s">
        <v>144</v>
      </c>
      <c r="M6628" t="s">
        <v>73</v>
      </c>
      <c r="N6628" t="s">
        <v>85</v>
      </c>
      <c r="O6628" t="s">
        <v>146</v>
      </c>
      <c r="P6628" t="s">
        <v>677</v>
      </c>
      <c r="R6628" s="2" t="s">
        <v>213</v>
      </c>
      <c r="S6628" t="s">
        <v>27</v>
      </c>
      <c r="T6628">
        <v>4</v>
      </c>
      <c r="U6628" s="2" t="s">
        <v>28</v>
      </c>
      <c r="V6628" s="2" t="s">
        <v>28</v>
      </c>
      <c r="W6628" s="2">
        <v>25</v>
      </c>
      <c r="X6628">
        <v>59.05</v>
      </c>
      <c r="Y6628">
        <f>65.13-X6628</f>
        <v>6.0799999999999983</v>
      </c>
    </row>
    <row r="6629" spans="1:25" x14ac:dyDescent="0.2">
      <c r="A6629" t="s">
        <v>676</v>
      </c>
      <c r="B6629">
        <v>1989</v>
      </c>
      <c r="C6629" t="s">
        <v>826</v>
      </c>
      <c r="D6629" t="s">
        <v>812</v>
      </c>
      <c r="E6629" t="s">
        <v>103</v>
      </c>
      <c r="F6629" t="s">
        <v>656</v>
      </c>
      <c r="G6629">
        <v>34.664872000000003</v>
      </c>
      <c r="H6629">
        <v>138.94002900000001</v>
      </c>
      <c r="I6629" t="s">
        <v>763</v>
      </c>
      <c r="J6629" s="2" t="s">
        <v>14</v>
      </c>
      <c r="K6629" t="s">
        <v>144</v>
      </c>
      <c r="L6629" t="s">
        <v>144</v>
      </c>
      <c r="M6629" t="s">
        <v>73</v>
      </c>
      <c r="N6629" t="s">
        <v>85</v>
      </c>
      <c r="O6629" t="s">
        <v>146</v>
      </c>
      <c r="P6629" t="s">
        <v>677</v>
      </c>
      <c r="R6629" s="2" t="s">
        <v>213</v>
      </c>
      <c r="S6629" t="s">
        <v>13</v>
      </c>
      <c r="T6629">
        <v>4</v>
      </c>
      <c r="U6629" s="2" t="s">
        <v>28</v>
      </c>
      <c r="V6629" s="2" t="s">
        <v>28</v>
      </c>
      <c r="W6629" s="2">
        <v>30</v>
      </c>
      <c r="X6629">
        <v>27.91</v>
      </c>
      <c r="Y6629">
        <f>X6629-22.59</f>
        <v>5.32</v>
      </c>
    </row>
    <row r="6630" spans="1:25" x14ac:dyDescent="0.2">
      <c r="A6630" t="s">
        <v>676</v>
      </c>
      <c r="B6630">
        <v>1989</v>
      </c>
      <c r="C6630" t="s">
        <v>826</v>
      </c>
      <c r="D6630" t="s">
        <v>812</v>
      </c>
      <c r="E6630" t="s">
        <v>103</v>
      </c>
      <c r="F6630" t="s">
        <v>656</v>
      </c>
      <c r="G6630">
        <v>34.664872000000003</v>
      </c>
      <c r="H6630">
        <v>138.94002900000001</v>
      </c>
      <c r="I6630" t="s">
        <v>763</v>
      </c>
      <c r="J6630" s="2" t="s">
        <v>7</v>
      </c>
      <c r="K6630" t="s">
        <v>144</v>
      </c>
      <c r="L6630" t="s">
        <v>144</v>
      </c>
      <c r="M6630" t="s">
        <v>172</v>
      </c>
      <c r="N6630" t="s">
        <v>86</v>
      </c>
      <c r="O6630" t="s">
        <v>62</v>
      </c>
      <c r="P6630" t="s">
        <v>677</v>
      </c>
      <c r="R6630" s="2" t="s">
        <v>213</v>
      </c>
      <c r="S6630" t="s">
        <v>7</v>
      </c>
      <c r="T6630">
        <v>2</v>
      </c>
      <c r="U6630" s="2" t="s">
        <v>28</v>
      </c>
      <c r="V6630" s="2" t="s">
        <v>28</v>
      </c>
      <c r="W6630" s="2">
        <v>20</v>
      </c>
      <c r="X6630">
        <v>4.18</v>
      </c>
      <c r="Y6630">
        <f>X6630-2.85</f>
        <v>1.3299999999999996</v>
      </c>
    </row>
    <row r="6631" spans="1:25" x14ac:dyDescent="0.2">
      <c r="A6631" t="s">
        <v>676</v>
      </c>
      <c r="B6631">
        <v>1989</v>
      </c>
      <c r="C6631" t="s">
        <v>826</v>
      </c>
      <c r="D6631" t="s">
        <v>812</v>
      </c>
      <c r="E6631" t="s">
        <v>103</v>
      </c>
      <c r="F6631" t="s">
        <v>656</v>
      </c>
      <c r="G6631">
        <v>34.664872000000003</v>
      </c>
      <c r="H6631">
        <v>138.94002900000001</v>
      </c>
      <c r="I6631" t="s">
        <v>763</v>
      </c>
      <c r="J6631" s="2" t="s">
        <v>14</v>
      </c>
      <c r="K6631" t="s">
        <v>144</v>
      </c>
      <c r="L6631" t="s">
        <v>144</v>
      </c>
      <c r="M6631" t="s">
        <v>172</v>
      </c>
      <c r="N6631" t="s">
        <v>86</v>
      </c>
      <c r="O6631" t="s">
        <v>62</v>
      </c>
      <c r="P6631" t="s">
        <v>677</v>
      </c>
      <c r="R6631" s="2" t="s">
        <v>213</v>
      </c>
      <c r="S6631" t="s">
        <v>27</v>
      </c>
      <c r="T6631">
        <v>2</v>
      </c>
      <c r="U6631" s="2" t="s">
        <v>28</v>
      </c>
      <c r="V6631" s="2" t="s">
        <v>28</v>
      </c>
      <c r="W6631" s="2">
        <v>25</v>
      </c>
      <c r="X6631">
        <v>5.32</v>
      </c>
      <c r="Y6631">
        <f>X6631-4.18</f>
        <v>1.1400000000000006</v>
      </c>
    </row>
    <row r="6632" spans="1:25" x14ac:dyDescent="0.2">
      <c r="A6632" t="s">
        <v>676</v>
      </c>
      <c r="B6632">
        <v>1989</v>
      </c>
      <c r="C6632" t="s">
        <v>826</v>
      </c>
      <c r="D6632" t="s">
        <v>812</v>
      </c>
      <c r="E6632" t="s">
        <v>103</v>
      </c>
      <c r="F6632" t="s">
        <v>656</v>
      </c>
      <c r="G6632">
        <v>34.664872000000003</v>
      </c>
      <c r="H6632">
        <v>138.94002900000001</v>
      </c>
      <c r="I6632" t="s">
        <v>763</v>
      </c>
      <c r="J6632" s="2" t="s">
        <v>14</v>
      </c>
      <c r="K6632" t="s">
        <v>144</v>
      </c>
      <c r="L6632" t="s">
        <v>144</v>
      </c>
      <c r="M6632" t="s">
        <v>172</v>
      </c>
      <c r="N6632" t="s">
        <v>86</v>
      </c>
      <c r="O6632" t="s">
        <v>62</v>
      </c>
      <c r="P6632" t="s">
        <v>677</v>
      </c>
      <c r="R6632" s="2" t="s">
        <v>213</v>
      </c>
      <c r="S6632" t="s">
        <v>13</v>
      </c>
      <c r="T6632">
        <v>2</v>
      </c>
      <c r="U6632" s="2" t="s">
        <v>28</v>
      </c>
      <c r="V6632" s="2" t="s">
        <v>28</v>
      </c>
      <c r="W6632" s="2">
        <v>30</v>
      </c>
      <c r="X6632">
        <v>8.5399999999999991</v>
      </c>
      <c r="Y6632">
        <f>X6632-7.41</f>
        <v>1.129999999999999</v>
      </c>
    </row>
    <row r="6633" spans="1:25" x14ac:dyDescent="0.2">
      <c r="A6633" t="s">
        <v>676</v>
      </c>
      <c r="B6633">
        <v>1989</v>
      </c>
      <c r="C6633" t="s">
        <v>826</v>
      </c>
      <c r="D6633" t="s">
        <v>812</v>
      </c>
      <c r="E6633" t="s">
        <v>103</v>
      </c>
      <c r="F6633" t="s">
        <v>656</v>
      </c>
      <c r="G6633">
        <v>34.664872000000003</v>
      </c>
      <c r="H6633">
        <v>138.94002900000001</v>
      </c>
      <c r="I6633" t="s">
        <v>769</v>
      </c>
      <c r="J6633" s="2" t="s">
        <v>7</v>
      </c>
      <c r="K6633" t="s">
        <v>144</v>
      </c>
      <c r="L6633" t="s">
        <v>144</v>
      </c>
      <c r="M6633" t="s">
        <v>73</v>
      </c>
      <c r="N6633" t="s">
        <v>85</v>
      </c>
      <c r="O6633" t="s">
        <v>146</v>
      </c>
      <c r="P6633" t="s">
        <v>677</v>
      </c>
      <c r="R6633" s="2" t="s">
        <v>213</v>
      </c>
      <c r="S6633" t="s">
        <v>7</v>
      </c>
      <c r="T6633">
        <v>4</v>
      </c>
      <c r="U6633" s="2" t="s">
        <v>28</v>
      </c>
      <c r="V6633" s="2" t="s">
        <v>28</v>
      </c>
      <c r="W6633" s="2">
        <v>15</v>
      </c>
      <c r="X6633">
        <v>40.19</v>
      </c>
      <c r="Y6633">
        <f>43.75-X6633</f>
        <v>3.5600000000000023</v>
      </c>
    </row>
    <row r="6634" spans="1:25" x14ac:dyDescent="0.2">
      <c r="A6634" t="s">
        <v>676</v>
      </c>
      <c r="B6634">
        <v>1989</v>
      </c>
      <c r="C6634" t="s">
        <v>826</v>
      </c>
      <c r="D6634" t="s">
        <v>812</v>
      </c>
      <c r="E6634" t="s">
        <v>103</v>
      </c>
      <c r="F6634" t="s">
        <v>656</v>
      </c>
      <c r="G6634">
        <v>34.664872000000003</v>
      </c>
      <c r="H6634">
        <v>138.94002900000001</v>
      </c>
      <c r="I6634" t="s">
        <v>769</v>
      </c>
      <c r="J6634" s="2" t="s">
        <v>14</v>
      </c>
      <c r="K6634" t="s">
        <v>144</v>
      </c>
      <c r="L6634" t="s">
        <v>144</v>
      </c>
      <c r="M6634" t="s">
        <v>73</v>
      </c>
      <c r="N6634" t="s">
        <v>85</v>
      </c>
      <c r="O6634" t="s">
        <v>146</v>
      </c>
      <c r="P6634" t="s">
        <v>677</v>
      </c>
      <c r="R6634" s="2" t="s">
        <v>213</v>
      </c>
      <c r="S6634" t="s">
        <v>9</v>
      </c>
      <c r="T6634">
        <v>4</v>
      </c>
      <c r="U6634" s="2" t="s">
        <v>28</v>
      </c>
      <c r="V6634" s="2" t="s">
        <v>28</v>
      </c>
      <c r="W6634" s="2">
        <v>20</v>
      </c>
      <c r="X6634">
        <v>45.97</v>
      </c>
      <c r="Y6634">
        <f>X6634-38.98</f>
        <v>6.990000000000002</v>
      </c>
    </row>
    <row r="6635" spans="1:25" x14ac:dyDescent="0.2">
      <c r="A6635" t="s">
        <v>676</v>
      </c>
      <c r="B6635">
        <v>1989</v>
      </c>
      <c r="C6635" t="s">
        <v>826</v>
      </c>
      <c r="D6635" t="s">
        <v>812</v>
      </c>
      <c r="E6635" t="s">
        <v>103</v>
      </c>
      <c r="F6635" t="s">
        <v>656</v>
      </c>
      <c r="G6635">
        <v>34.664872000000003</v>
      </c>
      <c r="H6635">
        <v>138.94002900000001</v>
      </c>
      <c r="I6635" t="s">
        <v>769</v>
      </c>
      <c r="J6635" s="2" t="s">
        <v>14</v>
      </c>
      <c r="K6635" t="s">
        <v>144</v>
      </c>
      <c r="L6635" t="s">
        <v>144</v>
      </c>
      <c r="M6635" t="s">
        <v>73</v>
      </c>
      <c r="N6635" t="s">
        <v>85</v>
      </c>
      <c r="O6635" t="s">
        <v>146</v>
      </c>
      <c r="P6635" t="s">
        <v>677</v>
      </c>
      <c r="R6635" s="2" t="s">
        <v>213</v>
      </c>
      <c r="S6635" t="s">
        <v>27</v>
      </c>
      <c r="T6635">
        <v>4</v>
      </c>
      <c r="U6635" s="2" t="s">
        <v>28</v>
      </c>
      <c r="V6635" s="2" t="s">
        <v>28</v>
      </c>
      <c r="W6635" s="2">
        <v>25</v>
      </c>
      <c r="X6635">
        <v>57.42</v>
      </c>
      <c r="Y6635">
        <f>65.7-X6635</f>
        <v>8.2800000000000011</v>
      </c>
    </row>
    <row r="6636" spans="1:25" x14ac:dyDescent="0.2">
      <c r="A6636" t="s">
        <v>676</v>
      </c>
      <c r="B6636">
        <v>1989</v>
      </c>
      <c r="C6636" t="s">
        <v>826</v>
      </c>
      <c r="D6636" t="s">
        <v>812</v>
      </c>
      <c r="E6636" t="s">
        <v>103</v>
      </c>
      <c r="F6636" t="s">
        <v>656</v>
      </c>
      <c r="G6636">
        <v>34.664872000000003</v>
      </c>
      <c r="H6636">
        <v>138.94002900000001</v>
      </c>
      <c r="I6636" t="s">
        <v>769</v>
      </c>
      <c r="J6636" s="2" t="s">
        <v>14</v>
      </c>
      <c r="K6636" t="s">
        <v>144</v>
      </c>
      <c r="L6636" t="s">
        <v>144</v>
      </c>
      <c r="M6636" t="s">
        <v>73</v>
      </c>
      <c r="N6636" t="s">
        <v>85</v>
      </c>
      <c r="O6636" t="s">
        <v>146</v>
      </c>
      <c r="P6636" t="s">
        <v>677</v>
      </c>
      <c r="R6636" s="2" t="s">
        <v>213</v>
      </c>
      <c r="S6636" t="s">
        <v>13</v>
      </c>
      <c r="T6636">
        <v>4</v>
      </c>
      <c r="U6636" s="2" t="s">
        <v>28</v>
      </c>
      <c r="V6636" s="2" t="s">
        <v>28</v>
      </c>
      <c r="W6636" s="2">
        <v>30</v>
      </c>
      <c r="X6636">
        <v>32.270000000000003</v>
      </c>
      <c r="Y6636">
        <f>45.82-X6636</f>
        <v>13.549999999999997</v>
      </c>
    </row>
    <row r="6637" spans="1:25" x14ac:dyDescent="0.2">
      <c r="A6637" t="s">
        <v>676</v>
      </c>
      <c r="B6637">
        <v>1989</v>
      </c>
      <c r="C6637" t="s">
        <v>826</v>
      </c>
      <c r="D6637" t="s">
        <v>812</v>
      </c>
      <c r="E6637" t="s">
        <v>103</v>
      </c>
      <c r="F6637" t="s">
        <v>656</v>
      </c>
      <c r="G6637">
        <v>34.664872000000003</v>
      </c>
      <c r="H6637">
        <v>138.94002900000001</v>
      </c>
      <c r="I6637" t="s">
        <v>769</v>
      </c>
      <c r="J6637" s="2" t="s">
        <v>7</v>
      </c>
      <c r="K6637" t="s">
        <v>144</v>
      </c>
      <c r="L6637" t="s">
        <v>144</v>
      </c>
      <c r="M6637" t="s">
        <v>172</v>
      </c>
      <c r="N6637" t="s">
        <v>86</v>
      </c>
      <c r="O6637" t="s">
        <v>62</v>
      </c>
      <c r="P6637" t="s">
        <v>677</v>
      </c>
      <c r="R6637" s="2" t="s">
        <v>213</v>
      </c>
      <c r="S6637" t="s">
        <v>7</v>
      </c>
      <c r="T6637">
        <v>2</v>
      </c>
      <c r="U6637" s="2" t="s">
        <v>28</v>
      </c>
      <c r="V6637" s="2" t="s">
        <v>28</v>
      </c>
      <c r="W6637" s="2">
        <v>15</v>
      </c>
      <c r="X6637">
        <v>3.58</v>
      </c>
      <c r="Y6637">
        <f>X6637-2.09</f>
        <v>1.4900000000000002</v>
      </c>
    </row>
    <row r="6638" spans="1:25" x14ac:dyDescent="0.2">
      <c r="A6638" t="s">
        <v>676</v>
      </c>
      <c r="B6638">
        <v>1989</v>
      </c>
      <c r="C6638" t="s">
        <v>826</v>
      </c>
      <c r="D6638" t="s">
        <v>812</v>
      </c>
      <c r="E6638" t="s">
        <v>103</v>
      </c>
      <c r="F6638" t="s">
        <v>656</v>
      </c>
      <c r="G6638">
        <v>34.664872000000003</v>
      </c>
      <c r="H6638">
        <v>138.94002900000001</v>
      </c>
      <c r="I6638" t="s">
        <v>769</v>
      </c>
      <c r="J6638" s="2" t="s">
        <v>14</v>
      </c>
      <c r="K6638" t="s">
        <v>144</v>
      </c>
      <c r="L6638" t="s">
        <v>144</v>
      </c>
      <c r="M6638" t="s">
        <v>172</v>
      </c>
      <c r="N6638" t="s">
        <v>86</v>
      </c>
      <c r="O6638" t="s">
        <v>62</v>
      </c>
      <c r="P6638" t="s">
        <v>677</v>
      </c>
      <c r="R6638" s="2" t="s">
        <v>213</v>
      </c>
      <c r="S6638" t="s">
        <v>9</v>
      </c>
      <c r="T6638">
        <v>2</v>
      </c>
      <c r="U6638" s="2" t="s">
        <v>28</v>
      </c>
      <c r="V6638" s="2" t="s">
        <v>28</v>
      </c>
      <c r="W6638" s="2">
        <v>20</v>
      </c>
      <c r="X6638">
        <v>4.22</v>
      </c>
      <c r="Y6638">
        <f>X6638-2.9</f>
        <v>1.3199999999999998</v>
      </c>
    </row>
    <row r="6639" spans="1:25" x14ac:dyDescent="0.2">
      <c r="A6639" t="s">
        <v>676</v>
      </c>
      <c r="B6639">
        <v>1989</v>
      </c>
      <c r="C6639" t="s">
        <v>826</v>
      </c>
      <c r="D6639" t="s">
        <v>812</v>
      </c>
      <c r="E6639" t="s">
        <v>103</v>
      </c>
      <c r="F6639" t="s">
        <v>656</v>
      </c>
      <c r="G6639">
        <v>34.664872000000003</v>
      </c>
      <c r="H6639">
        <v>138.94002900000001</v>
      </c>
      <c r="I6639" t="s">
        <v>769</v>
      </c>
      <c r="J6639" s="2" t="s">
        <v>14</v>
      </c>
      <c r="K6639" t="s">
        <v>144</v>
      </c>
      <c r="L6639" t="s">
        <v>144</v>
      </c>
      <c r="M6639" t="s">
        <v>172</v>
      </c>
      <c r="N6639" t="s">
        <v>86</v>
      </c>
      <c r="O6639" t="s">
        <v>62</v>
      </c>
      <c r="P6639" t="s">
        <v>677</v>
      </c>
      <c r="R6639" s="2" t="s">
        <v>213</v>
      </c>
      <c r="S6639" t="s">
        <v>27</v>
      </c>
      <c r="T6639">
        <v>2</v>
      </c>
      <c r="U6639" s="2" t="s">
        <v>28</v>
      </c>
      <c r="V6639" s="2" t="s">
        <v>28</v>
      </c>
      <c r="W6639" s="2">
        <v>25</v>
      </c>
      <c r="X6639">
        <v>5.78</v>
      </c>
      <c r="Y6639">
        <f>X6639-4.48</f>
        <v>1.2999999999999998</v>
      </c>
    </row>
    <row r="6640" spans="1:25" x14ac:dyDescent="0.2">
      <c r="A6640" t="s">
        <v>676</v>
      </c>
      <c r="B6640">
        <v>1989</v>
      </c>
      <c r="C6640" t="s">
        <v>826</v>
      </c>
      <c r="D6640" t="s">
        <v>812</v>
      </c>
      <c r="E6640" t="s">
        <v>103</v>
      </c>
      <c r="F6640" t="s">
        <v>656</v>
      </c>
      <c r="G6640">
        <v>34.664872000000003</v>
      </c>
      <c r="H6640">
        <v>138.94002900000001</v>
      </c>
      <c r="I6640" t="s">
        <v>769</v>
      </c>
      <c r="J6640" s="2" t="s">
        <v>14</v>
      </c>
      <c r="K6640" t="s">
        <v>144</v>
      </c>
      <c r="L6640" t="s">
        <v>144</v>
      </c>
      <c r="M6640" t="s">
        <v>172</v>
      </c>
      <c r="N6640" t="s">
        <v>86</v>
      </c>
      <c r="O6640" t="s">
        <v>62</v>
      </c>
      <c r="P6640" t="s">
        <v>677</v>
      </c>
      <c r="R6640" s="2" t="s">
        <v>213</v>
      </c>
      <c r="S6640" t="s">
        <v>13</v>
      </c>
      <c r="T6640">
        <v>2</v>
      </c>
      <c r="U6640" s="2" t="s">
        <v>28</v>
      </c>
      <c r="V6640" s="2" t="s">
        <v>28</v>
      </c>
      <c r="W6640" s="2">
        <v>30</v>
      </c>
      <c r="X6640">
        <v>8.11</v>
      </c>
      <c r="Y6640">
        <f>X6640-6.98</f>
        <v>1.129999999999999</v>
      </c>
    </row>
    <row r="6641" spans="1:25" x14ac:dyDescent="0.2">
      <c r="A6641" t="s">
        <v>676</v>
      </c>
      <c r="B6641">
        <v>1989</v>
      </c>
      <c r="C6641" t="s">
        <v>826</v>
      </c>
      <c r="D6641" t="s">
        <v>812</v>
      </c>
      <c r="E6641" t="s">
        <v>103</v>
      </c>
      <c r="F6641" t="s">
        <v>656</v>
      </c>
      <c r="G6641">
        <v>34.664872000000003</v>
      </c>
      <c r="H6641">
        <v>138.94002900000001</v>
      </c>
      <c r="I6641" t="s">
        <v>768</v>
      </c>
      <c r="J6641" s="2" t="s">
        <v>7</v>
      </c>
      <c r="K6641" t="s">
        <v>144</v>
      </c>
      <c r="L6641" t="s">
        <v>144</v>
      </c>
      <c r="M6641" t="s">
        <v>73</v>
      </c>
      <c r="N6641" t="s">
        <v>85</v>
      </c>
      <c r="O6641" t="s">
        <v>146</v>
      </c>
      <c r="P6641" t="s">
        <v>677</v>
      </c>
      <c r="R6641" s="2" t="s">
        <v>213</v>
      </c>
      <c r="S6641" t="s">
        <v>7</v>
      </c>
      <c r="T6641">
        <v>4</v>
      </c>
      <c r="U6641" s="2" t="s">
        <v>28</v>
      </c>
      <c r="V6641" s="2" t="s">
        <v>28</v>
      </c>
      <c r="W6641" s="2">
        <v>15</v>
      </c>
      <c r="X6641">
        <v>40</v>
      </c>
      <c r="Y6641">
        <f>43.62-X6641</f>
        <v>3.6199999999999974</v>
      </c>
    </row>
    <row r="6642" spans="1:25" x14ac:dyDescent="0.2">
      <c r="A6642" t="s">
        <v>676</v>
      </c>
      <c r="B6642">
        <v>1989</v>
      </c>
      <c r="C6642" t="s">
        <v>826</v>
      </c>
      <c r="D6642" t="s">
        <v>812</v>
      </c>
      <c r="E6642" t="s">
        <v>103</v>
      </c>
      <c r="F6642" t="s">
        <v>656</v>
      </c>
      <c r="G6642">
        <v>34.664872000000003</v>
      </c>
      <c r="H6642">
        <v>138.94002900000001</v>
      </c>
      <c r="I6642" t="s">
        <v>768</v>
      </c>
      <c r="J6642" s="2" t="s">
        <v>14</v>
      </c>
      <c r="K6642" t="s">
        <v>144</v>
      </c>
      <c r="L6642" t="s">
        <v>144</v>
      </c>
      <c r="M6642" t="s">
        <v>73</v>
      </c>
      <c r="N6642" t="s">
        <v>85</v>
      </c>
      <c r="O6642" t="s">
        <v>146</v>
      </c>
      <c r="P6642" t="s">
        <v>677</v>
      </c>
      <c r="R6642" s="2" t="s">
        <v>213</v>
      </c>
      <c r="S6642" t="s">
        <v>9</v>
      </c>
      <c r="T6642">
        <v>4</v>
      </c>
      <c r="U6642" s="2" t="s">
        <v>28</v>
      </c>
      <c r="V6642" s="2" t="s">
        <v>28</v>
      </c>
      <c r="W6642" s="2">
        <v>20</v>
      </c>
      <c r="X6642">
        <v>49.03</v>
      </c>
      <c r="Y6642">
        <f>55.96-X6642</f>
        <v>6.93</v>
      </c>
    </row>
    <row r="6643" spans="1:25" x14ac:dyDescent="0.2">
      <c r="A6643" t="s">
        <v>676</v>
      </c>
      <c r="B6643">
        <v>1989</v>
      </c>
      <c r="C6643" t="s">
        <v>826</v>
      </c>
      <c r="D6643" t="s">
        <v>812</v>
      </c>
      <c r="E6643" t="s">
        <v>103</v>
      </c>
      <c r="F6643" t="s">
        <v>656</v>
      </c>
      <c r="G6643">
        <v>34.664872000000003</v>
      </c>
      <c r="H6643">
        <v>138.94002900000001</v>
      </c>
      <c r="I6643" t="s">
        <v>768</v>
      </c>
      <c r="J6643" s="2" t="s">
        <v>14</v>
      </c>
      <c r="K6643" t="s">
        <v>144</v>
      </c>
      <c r="L6643" t="s">
        <v>144</v>
      </c>
      <c r="M6643" t="s">
        <v>73</v>
      </c>
      <c r="N6643" t="s">
        <v>85</v>
      </c>
      <c r="O6643" t="s">
        <v>146</v>
      </c>
      <c r="P6643" t="s">
        <v>677</v>
      </c>
      <c r="R6643" s="2" t="s">
        <v>213</v>
      </c>
      <c r="S6643" t="s">
        <v>27</v>
      </c>
      <c r="T6643">
        <v>4</v>
      </c>
      <c r="U6643" s="2" t="s">
        <v>28</v>
      </c>
      <c r="V6643" s="2" t="s">
        <v>28</v>
      </c>
      <c r="W6643" s="2">
        <v>25</v>
      </c>
      <c r="X6643">
        <v>55.38</v>
      </c>
      <c r="Y6643">
        <f>63.1-X6643</f>
        <v>7.7199999999999989</v>
      </c>
    </row>
    <row r="6644" spans="1:25" x14ac:dyDescent="0.2">
      <c r="A6644" t="s">
        <v>676</v>
      </c>
      <c r="B6644">
        <v>1989</v>
      </c>
      <c r="C6644" t="s">
        <v>826</v>
      </c>
      <c r="D6644" t="s">
        <v>812</v>
      </c>
      <c r="E6644" t="s">
        <v>103</v>
      </c>
      <c r="F6644" t="s">
        <v>656</v>
      </c>
      <c r="G6644">
        <v>34.664872000000003</v>
      </c>
      <c r="H6644">
        <v>138.94002900000001</v>
      </c>
      <c r="I6644" t="s">
        <v>768</v>
      </c>
      <c r="J6644" s="2" t="s">
        <v>14</v>
      </c>
      <c r="K6644" t="s">
        <v>144</v>
      </c>
      <c r="L6644" t="s">
        <v>144</v>
      </c>
      <c r="M6644" t="s">
        <v>73</v>
      </c>
      <c r="N6644" t="s">
        <v>85</v>
      </c>
      <c r="O6644" t="s">
        <v>146</v>
      </c>
      <c r="P6644" t="s">
        <v>677</v>
      </c>
      <c r="R6644" s="2" t="s">
        <v>213</v>
      </c>
      <c r="S6644" t="s">
        <v>13</v>
      </c>
      <c r="T6644">
        <v>4</v>
      </c>
      <c r="U6644" s="2" t="s">
        <v>28</v>
      </c>
      <c r="V6644" s="2" t="s">
        <v>28</v>
      </c>
      <c r="W6644" s="2">
        <v>30</v>
      </c>
      <c r="X6644">
        <v>30.71</v>
      </c>
      <c r="Y6644">
        <f>X6644-26.77</f>
        <v>3.9400000000000013</v>
      </c>
    </row>
    <row r="6645" spans="1:25" x14ac:dyDescent="0.2">
      <c r="A6645" t="s">
        <v>676</v>
      </c>
      <c r="B6645">
        <v>1989</v>
      </c>
      <c r="C6645" t="s">
        <v>826</v>
      </c>
      <c r="D6645" t="s">
        <v>812</v>
      </c>
      <c r="E6645" t="s">
        <v>103</v>
      </c>
      <c r="F6645" t="s">
        <v>656</v>
      </c>
      <c r="G6645">
        <v>34.664872000000003</v>
      </c>
      <c r="H6645">
        <v>138.94002900000001</v>
      </c>
      <c r="I6645" t="s">
        <v>768</v>
      </c>
      <c r="J6645" s="2" t="s">
        <v>7</v>
      </c>
      <c r="K6645" t="s">
        <v>144</v>
      </c>
      <c r="L6645" t="s">
        <v>144</v>
      </c>
      <c r="M6645" t="s">
        <v>172</v>
      </c>
      <c r="N6645" t="s">
        <v>86</v>
      </c>
      <c r="O6645" t="s">
        <v>62</v>
      </c>
      <c r="P6645" t="s">
        <v>677</v>
      </c>
      <c r="R6645" s="2" t="s">
        <v>213</v>
      </c>
      <c r="S6645" t="s">
        <v>7</v>
      </c>
      <c r="T6645">
        <v>2</v>
      </c>
      <c r="U6645" s="2" t="s">
        <v>28</v>
      </c>
      <c r="V6645" s="2" t="s">
        <v>28</v>
      </c>
      <c r="W6645" s="2">
        <v>15</v>
      </c>
      <c r="X6645">
        <v>3.46</v>
      </c>
      <c r="Y6645">
        <f>X6645-2.36</f>
        <v>1.1000000000000001</v>
      </c>
    </row>
    <row r="6646" spans="1:25" x14ac:dyDescent="0.2">
      <c r="A6646" t="s">
        <v>676</v>
      </c>
      <c r="B6646">
        <v>1989</v>
      </c>
      <c r="C6646" t="s">
        <v>826</v>
      </c>
      <c r="D6646" t="s">
        <v>812</v>
      </c>
      <c r="E6646" t="s">
        <v>103</v>
      </c>
      <c r="F6646" t="s">
        <v>656</v>
      </c>
      <c r="G6646">
        <v>34.664872000000003</v>
      </c>
      <c r="H6646">
        <v>138.94002900000001</v>
      </c>
      <c r="I6646" t="s">
        <v>768</v>
      </c>
      <c r="J6646" s="2" t="s">
        <v>14</v>
      </c>
      <c r="K6646" t="s">
        <v>144</v>
      </c>
      <c r="L6646" t="s">
        <v>144</v>
      </c>
      <c r="M6646" t="s">
        <v>172</v>
      </c>
      <c r="N6646" t="s">
        <v>86</v>
      </c>
      <c r="O6646" t="s">
        <v>62</v>
      </c>
      <c r="P6646" t="s">
        <v>677</v>
      </c>
      <c r="R6646" s="2" t="s">
        <v>213</v>
      </c>
      <c r="S6646" t="s">
        <v>9</v>
      </c>
      <c r="T6646">
        <v>2</v>
      </c>
      <c r="U6646" s="2" t="s">
        <v>28</v>
      </c>
      <c r="V6646" s="2" t="s">
        <v>28</v>
      </c>
      <c r="W6646" s="2">
        <v>20</v>
      </c>
      <c r="X6646">
        <v>5.14</v>
      </c>
      <c r="Y6646">
        <f>X6646-4.2</f>
        <v>0.9399999999999995</v>
      </c>
    </row>
    <row r="6647" spans="1:25" x14ac:dyDescent="0.2">
      <c r="A6647" t="s">
        <v>676</v>
      </c>
      <c r="B6647">
        <v>1989</v>
      </c>
      <c r="C6647" t="s">
        <v>826</v>
      </c>
      <c r="D6647" t="s">
        <v>812</v>
      </c>
      <c r="E6647" t="s">
        <v>103</v>
      </c>
      <c r="F6647" t="s">
        <v>656</v>
      </c>
      <c r="G6647">
        <v>34.664872000000003</v>
      </c>
      <c r="H6647">
        <v>138.94002900000001</v>
      </c>
      <c r="I6647" t="s">
        <v>768</v>
      </c>
      <c r="J6647" s="2" t="s">
        <v>14</v>
      </c>
      <c r="K6647" t="s">
        <v>144</v>
      </c>
      <c r="L6647" t="s">
        <v>144</v>
      </c>
      <c r="M6647" t="s">
        <v>172</v>
      </c>
      <c r="N6647" t="s">
        <v>86</v>
      </c>
      <c r="O6647" t="s">
        <v>62</v>
      </c>
      <c r="P6647" t="s">
        <v>677</v>
      </c>
      <c r="R6647" s="2" t="s">
        <v>213</v>
      </c>
      <c r="S6647" t="s">
        <v>27</v>
      </c>
      <c r="T6647">
        <v>2</v>
      </c>
      <c r="U6647" s="2" t="s">
        <v>28</v>
      </c>
      <c r="V6647" s="2" t="s">
        <v>28</v>
      </c>
      <c r="W6647" s="2">
        <v>25</v>
      </c>
      <c r="X6647">
        <v>8.24</v>
      </c>
      <c r="Y6647">
        <f>X6647-7.14</f>
        <v>1.1000000000000005</v>
      </c>
    </row>
    <row r="6648" spans="1:25" x14ac:dyDescent="0.2">
      <c r="A6648" t="s">
        <v>676</v>
      </c>
      <c r="B6648">
        <v>1989</v>
      </c>
      <c r="C6648" t="s">
        <v>826</v>
      </c>
      <c r="D6648" t="s">
        <v>812</v>
      </c>
      <c r="E6648" t="s">
        <v>103</v>
      </c>
      <c r="F6648" t="s">
        <v>656</v>
      </c>
      <c r="G6648">
        <v>34.664872000000003</v>
      </c>
      <c r="H6648">
        <v>138.94002900000001</v>
      </c>
      <c r="I6648" t="s">
        <v>768</v>
      </c>
      <c r="J6648" s="2" t="s">
        <v>14</v>
      </c>
      <c r="K6648" t="s">
        <v>144</v>
      </c>
      <c r="L6648" t="s">
        <v>144</v>
      </c>
      <c r="M6648" t="s">
        <v>172</v>
      </c>
      <c r="N6648" t="s">
        <v>86</v>
      </c>
      <c r="O6648" t="s">
        <v>62</v>
      </c>
      <c r="P6648" t="s">
        <v>677</v>
      </c>
      <c r="R6648" s="2" t="s">
        <v>213</v>
      </c>
      <c r="S6648" t="s">
        <v>13</v>
      </c>
      <c r="T6648">
        <v>2</v>
      </c>
      <c r="U6648" s="2" t="s">
        <v>28</v>
      </c>
      <c r="V6648" s="2" t="s">
        <v>28</v>
      </c>
      <c r="W6648" s="2">
        <v>30</v>
      </c>
      <c r="X6648">
        <v>7.08</v>
      </c>
      <c r="Y6648">
        <f>X6648-5.98</f>
        <v>1.0999999999999996</v>
      </c>
    </row>
    <row r="6649" spans="1:25" x14ac:dyDescent="0.2">
      <c r="A6649" t="s">
        <v>676</v>
      </c>
      <c r="B6649">
        <v>1989</v>
      </c>
      <c r="C6649" t="s">
        <v>826</v>
      </c>
      <c r="D6649" t="s">
        <v>812</v>
      </c>
      <c r="E6649" t="s">
        <v>103</v>
      </c>
      <c r="F6649" t="s">
        <v>656</v>
      </c>
      <c r="G6649">
        <v>34.664872000000003</v>
      </c>
      <c r="H6649">
        <v>138.94002900000001</v>
      </c>
      <c r="I6649" t="s">
        <v>770</v>
      </c>
      <c r="J6649" s="2" t="s">
        <v>7</v>
      </c>
      <c r="K6649" t="s">
        <v>144</v>
      </c>
      <c r="L6649" t="s">
        <v>144</v>
      </c>
      <c r="M6649" t="s">
        <v>73</v>
      </c>
      <c r="N6649" t="s">
        <v>85</v>
      </c>
      <c r="O6649" t="s">
        <v>146</v>
      </c>
      <c r="P6649" t="s">
        <v>677</v>
      </c>
      <c r="R6649" s="2" t="s">
        <v>213</v>
      </c>
      <c r="S6649" t="s">
        <v>7</v>
      </c>
      <c r="T6649">
        <v>4</v>
      </c>
      <c r="U6649" s="2" t="s">
        <v>28</v>
      </c>
      <c r="V6649" s="2" t="s">
        <v>28</v>
      </c>
      <c r="W6649" s="2">
        <v>15</v>
      </c>
      <c r="X6649">
        <v>37.659999999999997</v>
      </c>
      <c r="Y6649">
        <f>40.61-X6649</f>
        <v>2.9500000000000028</v>
      </c>
    </row>
    <row r="6650" spans="1:25" x14ac:dyDescent="0.2">
      <c r="A6650" t="s">
        <v>676</v>
      </c>
      <c r="B6650">
        <v>1989</v>
      </c>
      <c r="C6650" t="s">
        <v>826</v>
      </c>
      <c r="D6650" t="s">
        <v>812</v>
      </c>
      <c r="E6650" t="s">
        <v>103</v>
      </c>
      <c r="F6650" t="s">
        <v>656</v>
      </c>
      <c r="G6650">
        <v>34.664872000000003</v>
      </c>
      <c r="H6650">
        <v>138.94002900000001</v>
      </c>
      <c r="I6650" t="s">
        <v>770</v>
      </c>
      <c r="J6650" s="2" t="s">
        <v>14</v>
      </c>
      <c r="K6650" t="s">
        <v>144</v>
      </c>
      <c r="L6650" t="s">
        <v>144</v>
      </c>
      <c r="M6650" t="s">
        <v>73</v>
      </c>
      <c r="N6650" t="s">
        <v>85</v>
      </c>
      <c r="O6650" t="s">
        <v>146</v>
      </c>
      <c r="P6650" t="s">
        <v>677</v>
      </c>
      <c r="R6650" s="2" t="s">
        <v>213</v>
      </c>
      <c r="S6650" t="s">
        <v>9</v>
      </c>
      <c r="T6650">
        <v>4</v>
      </c>
      <c r="U6650" s="2" t="s">
        <v>28</v>
      </c>
      <c r="V6650" s="2" t="s">
        <v>28</v>
      </c>
      <c r="W6650" s="2">
        <v>20</v>
      </c>
      <c r="X6650">
        <v>43.08</v>
      </c>
      <c r="Y6650">
        <f>48.24-X6650</f>
        <v>5.1600000000000037</v>
      </c>
    </row>
    <row r="6651" spans="1:25" x14ac:dyDescent="0.2">
      <c r="A6651" t="s">
        <v>676</v>
      </c>
      <c r="B6651">
        <v>1989</v>
      </c>
      <c r="C6651" t="s">
        <v>826</v>
      </c>
      <c r="D6651" t="s">
        <v>812</v>
      </c>
      <c r="E6651" t="s">
        <v>103</v>
      </c>
      <c r="F6651" t="s">
        <v>656</v>
      </c>
      <c r="G6651">
        <v>34.664872000000003</v>
      </c>
      <c r="H6651">
        <v>138.94002900000001</v>
      </c>
      <c r="I6651" t="s">
        <v>770</v>
      </c>
      <c r="J6651" s="2" t="s">
        <v>14</v>
      </c>
      <c r="K6651" t="s">
        <v>144</v>
      </c>
      <c r="L6651" t="s">
        <v>144</v>
      </c>
      <c r="M6651" t="s">
        <v>73</v>
      </c>
      <c r="N6651" t="s">
        <v>85</v>
      </c>
      <c r="O6651" t="s">
        <v>146</v>
      </c>
      <c r="P6651" t="s">
        <v>677</v>
      </c>
      <c r="R6651" s="2" t="s">
        <v>213</v>
      </c>
      <c r="S6651" t="s">
        <v>27</v>
      </c>
      <c r="T6651">
        <v>4</v>
      </c>
      <c r="U6651" s="2" t="s">
        <v>28</v>
      </c>
      <c r="V6651" s="2" t="s">
        <v>28</v>
      </c>
      <c r="W6651" s="2">
        <v>25</v>
      </c>
      <c r="X6651">
        <v>48.67</v>
      </c>
      <c r="Y6651">
        <f>56.8-X6651</f>
        <v>8.1299999999999955</v>
      </c>
    </row>
    <row r="6652" spans="1:25" x14ac:dyDescent="0.2">
      <c r="A6652" t="s">
        <v>676</v>
      </c>
      <c r="B6652">
        <v>1989</v>
      </c>
      <c r="C6652" t="s">
        <v>826</v>
      </c>
      <c r="D6652" t="s">
        <v>812</v>
      </c>
      <c r="E6652" t="s">
        <v>103</v>
      </c>
      <c r="F6652" t="s">
        <v>656</v>
      </c>
      <c r="G6652">
        <v>34.664872000000003</v>
      </c>
      <c r="H6652">
        <v>138.94002900000001</v>
      </c>
      <c r="I6652" t="s">
        <v>770</v>
      </c>
      <c r="J6652" s="2" t="s">
        <v>14</v>
      </c>
      <c r="K6652" t="s">
        <v>144</v>
      </c>
      <c r="L6652" t="s">
        <v>144</v>
      </c>
      <c r="M6652" t="s">
        <v>73</v>
      </c>
      <c r="N6652" t="s">
        <v>85</v>
      </c>
      <c r="O6652" t="s">
        <v>146</v>
      </c>
      <c r="P6652" t="s">
        <v>677</v>
      </c>
      <c r="R6652" s="2" t="s">
        <v>213</v>
      </c>
      <c r="S6652" t="s">
        <v>13</v>
      </c>
      <c r="T6652">
        <v>4</v>
      </c>
      <c r="U6652" s="2" t="s">
        <v>28</v>
      </c>
      <c r="V6652" s="2" t="s">
        <v>28</v>
      </c>
      <c r="W6652" s="2">
        <v>30</v>
      </c>
      <c r="X6652">
        <v>25.48</v>
      </c>
      <c r="Y6652">
        <f>X6652-19.57</f>
        <v>5.91</v>
      </c>
    </row>
    <row r="6653" spans="1:25" x14ac:dyDescent="0.2">
      <c r="A6653" t="s">
        <v>676</v>
      </c>
      <c r="B6653">
        <v>1989</v>
      </c>
      <c r="C6653" t="s">
        <v>826</v>
      </c>
      <c r="D6653" t="s">
        <v>812</v>
      </c>
      <c r="E6653" t="s">
        <v>103</v>
      </c>
      <c r="F6653" t="s">
        <v>656</v>
      </c>
      <c r="G6653">
        <v>34.664872000000003</v>
      </c>
      <c r="H6653">
        <v>138.94002900000001</v>
      </c>
      <c r="I6653" t="s">
        <v>770</v>
      </c>
      <c r="J6653" s="2" t="s">
        <v>7</v>
      </c>
      <c r="K6653" t="s">
        <v>144</v>
      </c>
      <c r="L6653" t="s">
        <v>144</v>
      </c>
      <c r="M6653" t="s">
        <v>172</v>
      </c>
      <c r="N6653" t="s">
        <v>86</v>
      </c>
      <c r="O6653" t="s">
        <v>62</v>
      </c>
      <c r="P6653" t="s">
        <v>677</v>
      </c>
      <c r="R6653" s="2" t="s">
        <v>213</v>
      </c>
      <c r="S6653" t="s">
        <v>7</v>
      </c>
      <c r="T6653">
        <v>2</v>
      </c>
      <c r="U6653" s="2" t="s">
        <v>28</v>
      </c>
      <c r="V6653" s="2" t="s">
        <v>28</v>
      </c>
      <c r="W6653" s="2">
        <v>15</v>
      </c>
      <c r="X6653">
        <v>3.69</v>
      </c>
      <c r="Y6653">
        <f>X6653-2.4</f>
        <v>1.29</v>
      </c>
    </row>
    <row r="6654" spans="1:25" x14ac:dyDescent="0.2">
      <c r="A6654" t="s">
        <v>676</v>
      </c>
      <c r="B6654">
        <v>1989</v>
      </c>
      <c r="C6654" t="s">
        <v>826</v>
      </c>
      <c r="D6654" t="s">
        <v>812</v>
      </c>
      <c r="E6654" t="s">
        <v>103</v>
      </c>
      <c r="F6654" t="s">
        <v>656</v>
      </c>
      <c r="G6654">
        <v>34.664872000000003</v>
      </c>
      <c r="H6654">
        <v>138.94002900000001</v>
      </c>
      <c r="I6654" t="s">
        <v>770</v>
      </c>
      <c r="J6654" s="2" t="s">
        <v>14</v>
      </c>
      <c r="K6654" t="s">
        <v>144</v>
      </c>
      <c r="L6654" t="s">
        <v>144</v>
      </c>
      <c r="M6654" t="s">
        <v>172</v>
      </c>
      <c r="N6654" t="s">
        <v>86</v>
      </c>
      <c r="O6654" t="s">
        <v>62</v>
      </c>
      <c r="P6654" t="s">
        <v>677</v>
      </c>
      <c r="R6654" s="2" t="s">
        <v>213</v>
      </c>
      <c r="S6654" t="s">
        <v>9</v>
      </c>
      <c r="T6654">
        <v>2</v>
      </c>
      <c r="U6654" s="2" t="s">
        <v>28</v>
      </c>
      <c r="V6654" s="2" t="s">
        <v>28</v>
      </c>
      <c r="W6654" s="2">
        <v>20</v>
      </c>
      <c r="X6654">
        <v>3.82</v>
      </c>
      <c r="Y6654">
        <f>X6654-2.71</f>
        <v>1.1099999999999999</v>
      </c>
    </row>
    <row r="6655" spans="1:25" x14ac:dyDescent="0.2">
      <c r="A6655" t="s">
        <v>676</v>
      </c>
      <c r="B6655">
        <v>1989</v>
      </c>
      <c r="C6655" t="s">
        <v>826</v>
      </c>
      <c r="D6655" t="s">
        <v>812</v>
      </c>
      <c r="E6655" t="s">
        <v>103</v>
      </c>
      <c r="F6655" t="s">
        <v>656</v>
      </c>
      <c r="G6655">
        <v>34.664872000000003</v>
      </c>
      <c r="H6655">
        <v>138.94002900000001</v>
      </c>
      <c r="I6655" t="s">
        <v>770</v>
      </c>
      <c r="J6655" s="2" t="s">
        <v>14</v>
      </c>
      <c r="K6655" t="s">
        <v>144</v>
      </c>
      <c r="L6655" t="s">
        <v>144</v>
      </c>
      <c r="M6655" t="s">
        <v>172</v>
      </c>
      <c r="N6655" t="s">
        <v>86</v>
      </c>
      <c r="O6655" t="s">
        <v>62</v>
      </c>
      <c r="P6655" t="s">
        <v>677</v>
      </c>
      <c r="R6655" s="2" t="s">
        <v>213</v>
      </c>
      <c r="S6655" t="s">
        <v>27</v>
      </c>
      <c r="T6655">
        <v>2</v>
      </c>
      <c r="U6655" s="2" t="s">
        <v>28</v>
      </c>
      <c r="V6655" s="2" t="s">
        <v>28</v>
      </c>
      <c r="W6655" s="2">
        <v>25</v>
      </c>
      <c r="X6655">
        <v>8.92</v>
      </c>
      <c r="Y6655">
        <f>X6655-7.81</f>
        <v>1.1100000000000003</v>
      </c>
    </row>
    <row r="6656" spans="1:25" x14ac:dyDescent="0.2">
      <c r="A6656" t="s">
        <v>676</v>
      </c>
      <c r="B6656">
        <v>1989</v>
      </c>
      <c r="C6656" t="s">
        <v>826</v>
      </c>
      <c r="D6656" t="s">
        <v>812</v>
      </c>
      <c r="E6656" t="s">
        <v>103</v>
      </c>
      <c r="F6656" t="s">
        <v>656</v>
      </c>
      <c r="G6656">
        <v>34.664872000000003</v>
      </c>
      <c r="H6656">
        <v>138.94002900000001</v>
      </c>
      <c r="I6656" t="s">
        <v>770</v>
      </c>
      <c r="J6656" s="2" t="s">
        <v>14</v>
      </c>
      <c r="K6656" t="s">
        <v>144</v>
      </c>
      <c r="L6656" t="s">
        <v>144</v>
      </c>
      <c r="M6656" t="s">
        <v>172</v>
      </c>
      <c r="N6656" t="s">
        <v>86</v>
      </c>
      <c r="O6656" t="s">
        <v>62</v>
      </c>
      <c r="P6656" t="s">
        <v>677</v>
      </c>
      <c r="R6656" s="2" t="s">
        <v>213</v>
      </c>
      <c r="S6656" t="s">
        <v>13</v>
      </c>
      <c r="T6656">
        <v>2</v>
      </c>
      <c r="U6656" s="2" t="s">
        <v>28</v>
      </c>
      <c r="V6656" s="2" t="s">
        <v>28</v>
      </c>
      <c r="W6656" s="2">
        <v>30</v>
      </c>
      <c r="X6656">
        <v>7.76</v>
      </c>
      <c r="Y6656">
        <f>X6656-6.65</f>
        <v>1.1099999999999994</v>
      </c>
    </row>
    <row r="6657" spans="1:25" x14ac:dyDescent="0.2">
      <c r="A6657" t="s">
        <v>676</v>
      </c>
      <c r="B6657">
        <v>1989</v>
      </c>
      <c r="C6657" t="s">
        <v>826</v>
      </c>
      <c r="D6657" t="s">
        <v>812</v>
      </c>
      <c r="E6657" t="s">
        <v>103</v>
      </c>
      <c r="F6657" t="s">
        <v>656</v>
      </c>
      <c r="G6657">
        <v>34.664872000000003</v>
      </c>
      <c r="H6657">
        <v>138.94002900000001</v>
      </c>
      <c r="I6657" t="s">
        <v>762</v>
      </c>
      <c r="J6657" s="2" t="s">
        <v>7</v>
      </c>
      <c r="K6657" t="s">
        <v>144</v>
      </c>
      <c r="L6657" t="s">
        <v>144</v>
      </c>
      <c r="M6657" t="s">
        <v>73</v>
      </c>
      <c r="N6657" t="s">
        <v>85</v>
      </c>
      <c r="O6657" t="s">
        <v>146</v>
      </c>
      <c r="P6657" t="s">
        <v>677</v>
      </c>
      <c r="R6657" s="2" t="s">
        <v>213</v>
      </c>
      <c r="S6657" t="s">
        <v>7</v>
      </c>
      <c r="T6657">
        <v>4</v>
      </c>
      <c r="U6657" s="2" t="s">
        <v>28</v>
      </c>
      <c r="V6657" s="2" t="s">
        <v>28</v>
      </c>
      <c r="W6657" s="2">
        <v>15</v>
      </c>
      <c r="X6657">
        <v>40.18</v>
      </c>
      <c r="Y6657">
        <f>43.45-X6657</f>
        <v>3.2700000000000031</v>
      </c>
    </row>
    <row r="6658" spans="1:25" x14ac:dyDescent="0.2">
      <c r="A6658" t="s">
        <v>676</v>
      </c>
      <c r="B6658">
        <v>1989</v>
      </c>
      <c r="C6658" t="s">
        <v>826</v>
      </c>
      <c r="D6658" t="s">
        <v>812</v>
      </c>
      <c r="E6658" t="s">
        <v>103</v>
      </c>
      <c r="F6658" t="s">
        <v>656</v>
      </c>
      <c r="G6658">
        <v>34.664872000000003</v>
      </c>
      <c r="H6658">
        <v>138.94002900000001</v>
      </c>
      <c r="I6658" t="s">
        <v>762</v>
      </c>
      <c r="J6658" s="2" t="s">
        <v>14</v>
      </c>
      <c r="K6658" t="s">
        <v>144</v>
      </c>
      <c r="L6658" t="s">
        <v>144</v>
      </c>
      <c r="M6658" t="s">
        <v>73</v>
      </c>
      <c r="N6658" t="s">
        <v>85</v>
      </c>
      <c r="O6658" t="s">
        <v>146</v>
      </c>
      <c r="P6658" t="s">
        <v>677</v>
      </c>
      <c r="R6658" s="2" t="s">
        <v>213</v>
      </c>
      <c r="S6658" t="s">
        <v>9</v>
      </c>
      <c r="T6658">
        <v>4</v>
      </c>
      <c r="U6658" s="2" t="s">
        <v>28</v>
      </c>
      <c r="V6658" s="2" t="s">
        <v>28</v>
      </c>
      <c r="W6658" s="2">
        <v>20</v>
      </c>
      <c r="X6658">
        <v>47.15</v>
      </c>
      <c r="Y6658">
        <f>55.69-X6658</f>
        <v>8.5399999999999991</v>
      </c>
    </row>
    <row r="6659" spans="1:25" x14ac:dyDescent="0.2">
      <c r="A6659" t="s">
        <v>676</v>
      </c>
      <c r="B6659">
        <v>1989</v>
      </c>
      <c r="C6659" t="s">
        <v>826</v>
      </c>
      <c r="D6659" t="s">
        <v>812</v>
      </c>
      <c r="E6659" t="s">
        <v>103</v>
      </c>
      <c r="F6659" t="s">
        <v>656</v>
      </c>
      <c r="G6659">
        <v>34.664872000000003</v>
      </c>
      <c r="H6659">
        <v>138.94002900000001</v>
      </c>
      <c r="I6659" t="s">
        <v>762</v>
      </c>
      <c r="J6659" s="2" t="s">
        <v>14</v>
      </c>
      <c r="K6659" t="s">
        <v>144</v>
      </c>
      <c r="L6659" t="s">
        <v>144</v>
      </c>
      <c r="M6659" t="s">
        <v>73</v>
      </c>
      <c r="N6659" t="s">
        <v>85</v>
      </c>
      <c r="O6659" t="s">
        <v>146</v>
      </c>
      <c r="P6659" t="s">
        <v>677</v>
      </c>
      <c r="R6659" s="2" t="s">
        <v>213</v>
      </c>
      <c r="S6659" t="s">
        <v>27</v>
      </c>
      <c r="T6659">
        <v>4</v>
      </c>
      <c r="U6659" s="2" t="s">
        <v>28</v>
      </c>
      <c r="V6659" s="2" t="s">
        <v>28</v>
      </c>
      <c r="W6659" s="2">
        <v>25</v>
      </c>
      <c r="X6659">
        <v>51.57</v>
      </c>
      <c r="Y6659">
        <f>57.21-X6659</f>
        <v>5.6400000000000006</v>
      </c>
    </row>
    <row r="6660" spans="1:25" x14ac:dyDescent="0.2">
      <c r="A6660" t="s">
        <v>676</v>
      </c>
      <c r="B6660">
        <v>1989</v>
      </c>
      <c r="C6660" t="s">
        <v>826</v>
      </c>
      <c r="D6660" t="s">
        <v>812</v>
      </c>
      <c r="E6660" t="s">
        <v>103</v>
      </c>
      <c r="F6660" t="s">
        <v>656</v>
      </c>
      <c r="G6660">
        <v>34.664872000000003</v>
      </c>
      <c r="H6660">
        <v>138.94002900000001</v>
      </c>
      <c r="I6660" t="s">
        <v>762</v>
      </c>
      <c r="J6660" s="2" t="s">
        <v>14</v>
      </c>
      <c r="K6660" t="s">
        <v>144</v>
      </c>
      <c r="L6660" t="s">
        <v>144</v>
      </c>
      <c r="M6660" t="s">
        <v>73</v>
      </c>
      <c r="N6660" t="s">
        <v>85</v>
      </c>
      <c r="O6660" t="s">
        <v>146</v>
      </c>
      <c r="P6660" t="s">
        <v>677</v>
      </c>
      <c r="R6660" s="2" t="s">
        <v>213</v>
      </c>
      <c r="S6660" t="s">
        <v>13</v>
      </c>
      <c r="T6660">
        <v>4</v>
      </c>
      <c r="U6660" s="2" t="s">
        <v>28</v>
      </c>
      <c r="V6660" s="2" t="s">
        <v>28</v>
      </c>
      <c r="W6660" s="2">
        <v>30</v>
      </c>
      <c r="X6660">
        <v>25.82</v>
      </c>
      <c r="Y6660">
        <f>X6660-21.82</f>
        <v>4</v>
      </c>
    </row>
    <row r="6661" spans="1:25" x14ac:dyDescent="0.2">
      <c r="A6661" t="s">
        <v>676</v>
      </c>
      <c r="B6661">
        <v>1989</v>
      </c>
      <c r="C6661" t="s">
        <v>826</v>
      </c>
      <c r="D6661" t="s">
        <v>812</v>
      </c>
      <c r="E6661" t="s">
        <v>103</v>
      </c>
      <c r="F6661" t="s">
        <v>656</v>
      </c>
      <c r="G6661">
        <v>34.664872000000003</v>
      </c>
      <c r="H6661">
        <v>138.94002900000001</v>
      </c>
      <c r="I6661" t="s">
        <v>762</v>
      </c>
      <c r="J6661" s="2" t="s">
        <v>7</v>
      </c>
      <c r="K6661" t="s">
        <v>144</v>
      </c>
      <c r="L6661" t="s">
        <v>144</v>
      </c>
      <c r="M6661" t="s">
        <v>172</v>
      </c>
      <c r="N6661" t="s">
        <v>86</v>
      </c>
      <c r="O6661" t="s">
        <v>62</v>
      </c>
      <c r="P6661" t="s">
        <v>677</v>
      </c>
      <c r="R6661" s="2" t="s">
        <v>213</v>
      </c>
      <c r="S6661" t="s">
        <v>7</v>
      </c>
      <c r="T6661">
        <v>2</v>
      </c>
      <c r="U6661" s="2" t="s">
        <v>28</v>
      </c>
      <c r="V6661" s="2" t="s">
        <v>28</v>
      </c>
      <c r="W6661" s="2">
        <v>15</v>
      </c>
      <c r="X6661">
        <v>7.09</v>
      </c>
      <c r="Y6661">
        <f>X6661-6</f>
        <v>1.0899999999999999</v>
      </c>
    </row>
    <row r="6662" spans="1:25" x14ac:dyDescent="0.2">
      <c r="A6662" t="s">
        <v>676</v>
      </c>
      <c r="B6662">
        <v>1989</v>
      </c>
      <c r="C6662" t="s">
        <v>826</v>
      </c>
      <c r="D6662" t="s">
        <v>812</v>
      </c>
      <c r="E6662" t="s">
        <v>103</v>
      </c>
      <c r="F6662" t="s">
        <v>656</v>
      </c>
      <c r="G6662">
        <v>34.664872000000003</v>
      </c>
      <c r="H6662">
        <v>138.94002900000001</v>
      </c>
      <c r="I6662" t="s">
        <v>762</v>
      </c>
      <c r="J6662" s="2" t="s">
        <v>14</v>
      </c>
      <c r="K6662" t="s">
        <v>144</v>
      </c>
      <c r="L6662" t="s">
        <v>144</v>
      </c>
      <c r="M6662" t="s">
        <v>172</v>
      </c>
      <c r="N6662" t="s">
        <v>86</v>
      </c>
      <c r="O6662" t="s">
        <v>62</v>
      </c>
      <c r="P6662" t="s">
        <v>677</v>
      </c>
      <c r="R6662" s="2" t="s">
        <v>213</v>
      </c>
      <c r="S6662" t="s">
        <v>9</v>
      </c>
      <c r="T6662">
        <v>2</v>
      </c>
      <c r="U6662" s="2" t="s">
        <v>28</v>
      </c>
      <c r="V6662" s="2" t="s">
        <v>28</v>
      </c>
      <c r="W6662" s="2">
        <v>20</v>
      </c>
      <c r="X6662">
        <v>6.85</v>
      </c>
      <c r="Y6662">
        <f>X6662-5.76</f>
        <v>1.0899999999999999</v>
      </c>
    </row>
    <row r="6663" spans="1:25" x14ac:dyDescent="0.2">
      <c r="A6663" t="s">
        <v>676</v>
      </c>
      <c r="B6663">
        <v>1989</v>
      </c>
      <c r="C6663" t="s">
        <v>826</v>
      </c>
      <c r="D6663" t="s">
        <v>812</v>
      </c>
      <c r="E6663" t="s">
        <v>103</v>
      </c>
      <c r="F6663" t="s">
        <v>656</v>
      </c>
      <c r="G6663">
        <v>34.664872000000003</v>
      </c>
      <c r="H6663">
        <v>138.94002900000001</v>
      </c>
      <c r="I6663" t="s">
        <v>762</v>
      </c>
      <c r="J6663" s="2" t="s">
        <v>14</v>
      </c>
      <c r="K6663" t="s">
        <v>144</v>
      </c>
      <c r="L6663" t="s">
        <v>144</v>
      </c>
      <c r="M6663" t="s">
        <v>172</v>
      </c>
      <c r="N6663" t="s">
        <v>86</v>
      </c>
      <c r="O6663" t="s">
        <v>62</v>
      </c>
      <c r="P6663" t="s">
        <v>677</v>
      </c>
      <c r="R6663" s="2" t="s">
        <v>213</v>
      </c>
      <c r="S6663" t="s">
        <v>27</v>
      </c>
      <c r="T6663">
        <v>2</v>
      </c>
      <c r="U6663" s="2" t="s">
        <v>28</v>
      </c>
      <c r="V6663" s="2" t="s">
        <v>28</v>
      </c>
      <c r="W6663" s="2">
        <v>25</v>
      </c>
      <c r="X6663">
        <v>8.06</v>
      </c>
      <c r="Y6663">
        <f>X6663-6.79</f>
        <v>1.2700000000000005</v>
      </c>
    </row>
    <row r="6664" spans="1:25" x14ac:dyDescent="0.2">
      <c r="A6664" t="s">
        <v>676</v>
      </c>
      <c r="B6664">
        <v>1989</v>
      </c>
      <c r="C6664" t="s">
        <v>826</v>
      </c>
      <c r="D6664" t="s">
        <v>812</v>
      </c>
      <c r="E6664" t="s">
        <v>103</v>
      </c>
      <c r="F6664" t="s">
        <v>656</v>
      </c>
      <c r="G6664">
        <v>34.664872000000003</v>
      </c>
      <c r="H6664">
        <v>138.94002900000001</v>
      </c>
      <c r="I6664" t="s">
        <v>762</v>
      </c>
      <c r="J6664" s="2" t="s">
        <v>14</v>
      </c>
      <c r="K6664" t="s">
        <v>144</v>
      </c>
      <c r="L6664" t="s">
        <v>144</v>
      </c>
      <c r="M6664" t="s">
        <v>172</v>
      </c>
      <c r="N6664" t="s">
        <v>86</v>
      </c>
      <c r="O6664" t="s">
        <v>62</v>
      </c>
      <c r="P6664" t="s">
        <v>677</v>
      </c>
      <c r="R6664" s="2" t="s">
        <v>213</v>
      </c>
      <c r="S6664" t="s">
        <v>13</v>
      </c>
      <c r="T6664">
        <v>2</v>
      </c>
      <c r="U6664" s="2" t="s">
        <v>28</v>
      </c>
      <c r="V6664" s="2" t="s">
        <v>28</v>
      </c>
      <c r="W6664" s="2">
        <v>30</v>
      </c>
      <c r="X6664">
        <v>10</v>
      </c>
      <c r="Y6664">
        <f>X6664-8.73</f>
        <v>1.2699999999999996</v>
      </c>
    </row>
    <row r="6665" spans="1:25" x14ac:dyDescent="0.2">
      <c r="A6665" t="s">
        <v>676</v>
      </c>
      <c r="B6665">
        <v>1989</v>
      </c>
      <c r="C6665" t="s">
        <v>826</v>
      </c>
      <c r="D6665" t="s">
        <v>812</v>
      </c>
      <c r="E6665" t="s">
        <v>103</v>
      </c>
      <c r="F6665" t="s">
        <v>656</v>
      </c>
      <c r="G6665">
        <v>34.664872000000003</v>
      </c>
      <c r="H6665">
        <v>138.94002900000001</v>
      </c>
      <c r="I6665" t="s">
        <v>772</v>
      </c>
      <c r="J6665" s="2" t="s">
        <v>7</v>
      </c>
      <c r="K6665" t="s">
        <v>144</v>
      </c>
      <c r="L6665" t="s">
        <v>144</v>
      </c>
      <c r="M6665" t="s">
        <v>73</v>
      </c>
      <c r="N6665" t="s">
        <v>85</v>
      </c>
      <c r="O6665" t="s">
        <v>146</v>
      </c>
      <c r="P6665" t="s">
        <v>677</v>
      </c>
      <c r="R6665" s="2" t="s">
        <v>213</v>
      </c>
      <c r="S6665" t="s">
        <v>7</v>
      </c>
      <c r="T6665">
        <v>4</v>
      </c>
      <c r="U6665" s="2" t="s">
        <v>28</v>
      </c>
      <c r="V6665" s="2" t="s">
        <v>28</v>
      </c>
      <c r="W6665" s="2">
        <v>15</v>
      </c>
      <c r="X6665">
        <v>29.21</v>
      </c>
      <c r="Y6665">
        <f>33.93-X6665</f>
        <v>4.7199999999999989</v>
      </c>
    </row>
    <row r="6666" spans="1:25" x14ac:dyDescent="0.2">
      <c r="A6666" t="s">
        <v>676</v>
      </c>
      <c r="B6666">
        <v>1989</v>
      </c>
      <c r="C6666" t="s">
        <v>826</v>
      </c>
      <c r="D6666" t="s">
        <v>812</v>
      </c>
      <c r="E6666" t="s">
        <v>103</v>
      </c>
      <c r="F6666" t="s">
        <v>656</v>
      </c>
      <c r="G6666">
        <v>34.664872000000003</v>
      </c>
      <c r="H6666">
        <v>138.94002900000001</v>
      </c>
      <c r="I6666" t="s">
        <v>772</v>
      </c>
      <c r="J6666" s="2" t="s">
        <v>14</v>
      </c>
      <c r="K6666" t="s">
        <v>144</v>
      </c>
      <c r="L6666" t="s">
        <v>144</v>
      </c>
      <c r="M6666" t="s">
        <v>73</v>
      </c>
      <c r="N6666" t="s">
        <v>85</v>
      </c>
      <c r="O6666" t="s">
        <v>146</v>
      </c>
      <c r="P6666" t="s">
        <v>677</v>
      </c>
      <c r="R6666" s="2" t="s">
        <v>213</v>
      </c>
      <c r="S6666" t="s">
        <v>9</v>
      </c>
      <c r="T6666">
        <v>4</v>
      </c>
      <c r="U6666" s="2" t="s">
        <v>28</v>
      </c>
      <c r="V6666" s="2" t="s">
        <v>28</v>
      </c>
      <c r="W6666" s="2">
        <v>20</v>
      </c>
      <c r="X6666">
        <v>35.65</v>
      </c>
      <c r="Y6666">
        <f>40.05-X6666</f>
        <v>4.3999999999999986</v>
      </c>
    </row>
    <row r="6667" spans="1:25" x14ac:dyDescent="0.2">
      <c r="A6667" t="s">
        <v>676</v>
      </c>
      <c r="B6667">
        <v>1989</v>
      </c>
      <c r="C6667" t="s">
        <v>826</v>
      </c>
      <c r="D6667" t="s">
        <v>812</v>
      </c>
      <c r="E6667" t="s">
        <v>103</v>
      </c>
      <c r="F6667" t="s">
        <v>656</v>
      </c>
      <c r="G6667">
        <v>34.664872000000003</v>
      </c>
      <c r="H6667">
        <v>138.94002900000001</v>
      </c>
      <c r="I6667" t="s">
        <v>772</v>
      </c>
      <c r="J6667" s="2" t="s">
        <v>14</v>
      </c>
      <c r="K6667" t="s">
        <v>144</v>
      </c>
      <c r="L6667" t="s">
        <v>144</v>
      </c>
      <c r="M6667" t="s">
        <v>73</v>
      </c>
      <c r="N6667" t="s">
        <v>85</v>
      </c>
      <c r="O6667" t="s">
        <v>146</v>
      </c>
      <c r="P6667" t="s">
        <v>677</v>
      </c>
      <c r="R6667" s="2" t="s">
        <v>213</v>
      </c>
      <c r="S6667" t="s">
        <v>27</v>
      </c>
      <c r="T6667">
        <v>4</v>
      </c>
      <c r="U6667" s="2" t="s">
        <v>28</v>
      </c>
      <c r="V6667" s="2" t="s">
        <v>28</v>
      </c>
      <c r="W6667" s="2">
        <v>25</v>
      </c>
      <c r="X6667">
        <v>36.130000000000003</v>
      </c>
      <c r="Y6667">
        <f>39.42-X6667</f>
        <v>3.2899999999999991</v>
      </c>
    </row>
    <row r="6668" spans="1:25" x14ac:dyDescent="0.2">
      <c r="A6668" t="s">
        <v>676</v>
      </c>
      <c r="B6668">
        <v>1989</v>
      </c>
      <c r="C6668" t="s">
        <v>826</v>
      </c>
      <c r="D6668" t="s">
        <v>812</v>
      </c>
      <c r="E6668" t="s">
        <v>103</v>
      </c>
      <c r="F6668" t="s">
        <v>656</v>
      </c>
      <c r="G6668">
        <v>34.664872000000003</v>
      </c>
      <c r="H6668">
        <v>138.94002900000001</v>
      </c>
      <c r="I6668" t="s">
        <v>772</v>
      </c>
      <c r="J6668" s="2" t="s">
        <v>14</v>
      </c>
      <c r="K6668" t="s">
        <v>144</v>
      </c>
      <c r="L6668" t="s">
        <v>144</v>
      </c>
      <c r="M6668" t="s">
        <v>73</v>
      </c>
      <c r="N6668" t="s">
        <v>85</v>
      </c>
      <c r="O6668" t="s">
        <v>146</v>
      </c>
      <c r="P6668" t="s">
        <v>677</v>
      </c>
      <c r="R6668" s="2" t="s">
        <v>213</v>
      </c>
      <c r="S6668" t="s">
        <v>13</v>
      </c>
      <c r="T6668">
        <v>4</v>
      </c>
      <c r="U6668" s="2" t="s">
        <v>28</v>
      </c>
      <c r="V6668" s="2" t="s">
        <v>28</v>
      </c>
      <c r="W6668" s="2">
        <v>30</v>
      </c>
      <c r="X6668">
        <v>27.17</v>
      </c>
      <c r="Y6668">
        <f>32.98-X6668</f>
        <v>5.8099999999999952</v>
      </c>
    </row>
    <row r="6669" spans="1:25" x14ac:dyDescent="0.2">
      <c r="A6669" t="s">
        <v>676</v>
      </c>
      <c r="B6669">
        <v>1989</v>
      </c>
      <c r="C6669" t="s">
        <v>826</v>
      </c>
      <c r="D6669" t="s">
        <v>812</v>
      </c>
      <c r="E6669" t="s">
        <v>103</v>
      </c>
      <c r="F6669" t="s">
        <v>656</v>
      </c>
      <c r="G6669">
        <v>34.664872000000003</v>
      </c>
      <c r="H6669">
        <v>138.94002900000001</v>
      </c>
      <c r="I6669" t="s">
        <v>772</v>
      </c>
      <c r="J6669" s="2" t="s">
        <v>7</v>
      </c>
      <c r="K6669" t="s">
        <v>144</v>
      </c>
      <c r="L6669" t="s">
        <v>144</v>
      </c>
      <c r="M6669" t="s">
        <v>172</v>
      </c>
      <c r="N6669" t="s">
        <v>86</v>
      </c>
      <c r="O6669" t="s">
        <v>62</v>
      </c>
      <c r="P6669" t="s">
        <v>677</v>
      </c>
      <c r="R6669" s="2" t="s">
        <v>213</v>
      </c>
      <c r="S6669" t="s">
        <v>7</v>
      </c>
      <c r="T6669">
        <v>2</v>
      </c>
      <c r="U6669" s="2" t="s">
        <v>28</v>
      </c>
      <c r="V6669" s="2" t="s">
        <v>28</v>
      </c>
      <c r="W6669" s="2">
        <v>15</v>
      </c>
      <c r="X6669">
        <v>3.93</v>
      </c>
      <c r="Y6669">
        <f>X6669-2.83</f>
        <v>1.1000000000000001</v>
      </c>
    </row>
    <row r="6670" spans="1:25" x14ac:dyDescent="0.2">
      <c r="A6670" t="s">
        <v>676</v>
      </c>
      <c r="B6670">
        <v>1989</v>
      </c>
      <c r="C6670" t="s">
        <v>826</v>
      </c>
      <c r="D6670" t="s">
        <v>812</v>
      </c>
      <c r="E6670" t="s">
        <v>103</v>
      </c>
      <c r="F6670" t="s">
        <v>656</v>
      </c>
      <c r="G6670">
        <v>34.664872000000003</v>
      </c>
      <c r="H6670">
        <v>138.94002900000001</v>
      </c>
      <c r="I6670" t="s">
        <v>772</v>
      </c>
      <c r="J6670" s="2" t="s">
        <v>14</v>
      </c>
      <c r="K6670" t="s">
        <v>144</v>
      </c>
      <c r="L6670" t="s">
        <v>144</v>
      </c>
      <c r="M6670" t="s">
        <v>172</v>
      </c>
      <c r="N6670" t="s">
        <v>86</v>
      </c>
      <c r="O6670" t="s">
        <v>62</v>
      </c>
      <c r="P6670" t="s">
        <v>677</v>
      </c>
      <c r="R6670" s="2" t="s">
        <v>213</v>
      </c>
      <c r="S6670" t="s">
        <v>9</v>
      </c>
      <c r="T6670">
        <v>2</v>
      </c>
      <c r="U6670" s="2" t="s">
        <v>28</v>
      </c>
      <c r="V6670" s="2" t="s">
        <v>28</v>
      </c>
      <c r="W6670" s="2">
        <v>20</v>
      </c>
      <c r="X6670">
        <v>4.87</v>
      </c>
      <c r="Y6670">
        <f>X6670-3.77</f>
        <v>1.1000000000000001</v>
      </c>
    </row>
    <row r="6671" spans="1:25" x14ac:dyDescent="0.2">
      <c r="A6671" t="s">
        <v>676</v>
      </c>
      <c r="B6671">
        <v>1989</v>
      </c>
      <c r="C6671" t="s">
        <v>826</v>
      </c>
      <c r="D6671" t="s">
        <v>812</v>
      </c>
      <c r="E6671" t="s">
        <v>103</v>
      </c>
      <c r="F6671" t="s">
        <v>656</v>
      </c>
      <c r="G6671">
        <v>34.664872000000003</v>
      </c>
      <c r="H6671">
        <v>138.94002900000001</v>
      </c>
      <c r="I6671" t="s">
        <v>772</v>
      </c>
      <c r="J6671" s="2" t="s">
        <v>14</v>
      </c>
      <c r="K6671" t="s">
        <v>144</v>
      </c>
      <c r="L6671" t="s">
        <v>144</v>
      </c>
      <c r="M6671" t="s">
        <v>172</v>
      </c>
      <c r="N6671" t="s">
        <v>86</v>
      </c>
      <c r="O6671" t="s">
        <v>62</v>
      </c>
      <c r="P6671" t="s">
        <v>677</v>
      </c>
      <c r="R6671" s="2" t="s">
        <v>213</v>
      </c>
      <c r="S6671" t="s">
        <v>27</v>
      </c>
      <c r="T6671">
        <v>2</v>
      </c>
      <c r="U6671" s="2" t="s">
        <v>28</v>
      </c>
      <c r="V6671" s="2" t="s">
        <v>28</v>
      </c>
      <c r="W6671" s="2">
        <v>25</v>
      </c>
      <c r="X6671">
        <v>8.17</v>
      </c>
      <c r="Y6671">
        <f>X6671-7.07</f>
        <v>1.0999999999999996</v>
      </c>
    </row>
    <row r="6672" spans="1:25" x14ac:dyDescent="0.2">
      <c r="A6672" t="s">
        <v>676</v>
      </c>
      <c r="B6672">
        <v>1989</v>
      </c>
      <c r="C6672" t="s">
        <v>826</v>
      </c>
      <c r="D6672" t="s">
        <v>812</v>
      </c>
      <c r="E6672" t="s">
        <v>103</v>
      </c>
      <c r="F6672" t="s">
        <v>656</v>
      </c>
      <c r="G6672">
        <v>34.664872000000003</v>
      </c>
      <c r="H6672">
        <v>138.94002900000001</v>
      </c>
      <c r="I6672" t="s">
        <v>772</v>
      </c>
      <c r="J6672" s="2" t="s">
        <v>14</v>
      </c>
      <c r="K6672" t="s">
        <v>144</v>
      </c>
      <c r="L6672" t="s">
        <v>144</v>
      </c>
      <c r="M6672" t="s">
        <v>172</v>
      </c>
      <c r="N6672" t="s">
        <v>86</v>
      </c>
      <c r="O6672" t="s">
        <v>62</v>
      </c>
      <c r="P6672" t="s">
        <v>677</v>
      </c>
      <c r="R6672" s="2" t="s">
        <v>213</v>
      </c>
      <c r="S6672" t="s">
        <v>13</v>
      </c>
      <c r="T6672">
        <v>2</v>
      </c>
      <c r="U6672" s="2" t="s">
        <v>28</v>
      </c>
      <c r="V6672" s="2" t="s">
        <v>28</v>
      </c>
      <c r="W6672" s="2">
        <v>30</v>
      </c>
      <c r="X6672">
        <v>8.48</v>
      </c>
      <c r="Y6672">
        <f>X6672-7.38</f>
        <v>1.1000000000000005</v>
      </c>
    </row>
    <row r="6673" spans="1:25" x14ac:dyDescent="0.2">
      <c r="A6673" t="s">
        <v>676</v>
      </c>
      <c r="B6673">
        <v>1989</v>
      </c>
      <c r="C6673" t="s">
        <v>826</v>
      </c>
      <c r="D6673" t="s">
        <v>812</v>
      </c>
      <c r="E6673" t="s">
        <v>103</v>
      </c>
      <c r="F6673" t="s">
        <v>656</v>
      </c>
      <c r="G6673">
        <v>34.664872000000003</v>
      </c>
      <c r="H6673">
        <v>138.94002900000001</v>
      </c>
      <c r="I6673" t="s">
        <v>767</v>
      </c>
      <c r="J6673" s="2" t="s">
        <v>7</v>
      </c>
      <c r="K6673" t="s">
        <v>144</v>
      </c>
      <c r="L6673" t="s">
        <v>144</v>
      </c>
      <c r="M6673" t="s">
        <v>73</v>
      </c>
      <c r="N6673" t="s">
        <v>85</v>
      </c>
      <c r="O6673" t="s">
        <v>146</v>
      </c>
      <c r="P6673" t="s">
        <v>677</v>
      </c>
      <c r="R6673" s="2" t="s">
        <v>213</v>
      </c>
      <c r="S6673" t="s">
        <v>7</v>
      </c>
      <c r="T6673">
        <v>4</v>
      </c>
      <c r="U6673" s="2" t="s">
        <v>28</v>
      </c>
      <c r="V6673" s="2" t="s">
        <v>28</v>
      </c>
      <c r="W6673" s="2">
        <v>20</v>
      </c>
      <c r="X6673">
        <v>25.69</v>
      </c>
      <c r="Y6673">
        <f>28.44-X6673</f>
        <v>2.75</v>
      </c>
    </row>
    <row r="6674" spans="1:25" x14ac:dyDescent="0.2">
      <c r="A6674" t="s">
        <v>676</v>
      </c>
      <c r="B6674">
        <v>1989</v>
      </c>
      <c r="C6674" t="s">
        <v>826</v>
      </c>
      <c r="D6674" t="s">
        <v>812</v>
      </c>
      <c r="E6674" t="s">
        <v>103</v>
      </c>
      <c r="F6674" t="s">
        <v>656</v>
      </c>
      <c r="G6674">
        <v>34.664872000000003</v>
      </c>
      <c r="H6674">
        <v>138.94002900000001</v>
      </c>
      <c r="I6674" t="s">
        <v>767</v>
      </c>
      <c r="J6674" s="2" t="s">
        <v>14</v>
      </c>
      <c r="K6674" t="s">
        <v>144</v>
      </c>
      <c r="L6674" t="s">
        <v>144</v>
      </c>
      <c r="M6674" t="s">
        <v>73</v>
      </c>
      <c r="N6674" t="s">
        <v>85</v>
      </c>
      <c r="O6674" t="s">
        <v>146</v>
      </c>
      <c r="P6674" t="s">
        <v>677</v>
      </c>
      <c r="R6674" s="2" t="s">
        <v>213</v>
      </c>
      <c r="S6674" t="s">
        <v>27</v>
      </c>
      <c r="T6674">
        <v>4</v>
      </c>
      <c r="U6674" s="2" t="s">
        <v>28</v>
      </c>
      <c r="V6674" s="2" t="s">
        <v>28</v>
      </c>
      <c r="W6674" s="2">
        <v>25</v>
      </c>
      <c r="X6674">
        <v>29.27</v>
      </c>
      <c r="Y6674">
        <f>35.32-X6674</f>
        <v>6.0500000000000007</v>
      </c>
    </row>
    <row r="6675" spans="1:25" x14ac:dyDescent="0.2">
      <c r="A6675" t="s">
        <v>676</v>
      </c>
      <c r="B6675">
        <v>1989</v>
      </c>
      <c r="C6675" t="s">
        <v>826</v>
      </c>
      <c r="D6675" t="s">
        <v>812</v>
      </c>
      <c r="E6675" t="s">
        <v>103</v>
      </c>
      <c r="F6675" t="s">
        <v>656</v>
      </c>
      <c r="G6675">
        <v>34.664872000000003</v>
      </c>
      <c r="H6675">
        <v>138.94002900000001</v>
      </c>
      <c r="I6675" t="s">
        <v>767</v>
      </c>
      <c r="J6675" s="2" t="s">
        <v>14</v>
      </c>
      <c r="K6675" t="s">
        <v>144</v>
      </c>
      <c r="L6675" t="s">
        <v>144</v>
      </c>
      <c r="M6675" t="s">
        <v>73</v>
      </c>
      <c r="N6675" t="s">
        <v>85</v>
      </c>
      <c r="O6675" t="s">
        <v>146</v>
      </c>
      <c r="P6675" t="s">
        <v>677</v>
      </c>
      <c r="R6675" s="2" t="s">
        <v>213</v>
      </c>
      <c r="S6675" t="s">
        <v>13</v>
      </c>
      <c r="T6675">
        <v>4</v>
      </c>
      <c r="U6675" s="2" t="s">
        <v>28</v>
      </c>
      <c r="V6675" s="2" t="s">
        <v>28</v>
      </c>
      <c r="W6675" s="2">
        <v>30</v>
      </c>
      <c r="X6675">
        <v>13.21</v>
      </c>
      <c r="Y6675">
        <f>X6675-10.64</f>
        <v>2.5700000000000003</v>
      </c>
    </row>
    <row r="6676" spans="1:25" x14ac:dyDescent="0.2">
      <c r="A6676" t="s">
        <v>676</v>
      </c>
      <c r="B6676">
        <v>1989</v>
      </c>
      <c r="C6676" t="s">
        <v>826</v>
      </c>
      <c r="D6676" t="s">
        <v>812</v>
      </c>
      <c r="E6676" t="s">
        <v>103</v>
      </c>
      <c r="F6676" t="s">
        <v>656</v>
      </c>
      <c r="G6676">
        <v>34.664872000000003</v>
      </c>
      <c r="H6676">
        <v>138.94002900000001</v>
      </c>
      <c r="I6676" t="s">
        <v>767</v>
      </c>
      <c r="J6676" s="2" t="s">
        <v>7</v>
      </c>
      <c r="K6676" t="s">
        <v>144</v>
      </c>
      <c r="L6676" t="s">
        <v>144</v>
      </c>
      <c r="M6676" t="s">
        <v>172</v>
      </c>
      <c r="N6676" t="s">
        <v>86</v>
      </c>
      <c r="O6676" t="s">
        <v>62</v>
      </c>
      <c r="P6676" t="s">
        <v>677</v>
      </c>
      <c r="R6676" s="2" t="s">
        <v>213</v>
      </c>
      <c r="S6676" t="s">
        <v>7</v>
      </c>
      <c r="T6676">
        <v>2</v>
      </c>
      <c r="U6676" s="2" t="s">
        <v>28</v>
      </c>
      <c r="V6676" s="2" t="s">
        <v>28</v>
      </c>
      <c r="W6676" s="2">
        <v>20</v>
      </c>
      <c r="X6676">
        <v>5.69</v>
      </c>
      <c r="Y6676">
        <f>X6676-4.41</f>
        <v>1.2800000000000002</v>
      </c>
    </row>
    <row r="6677" spans="1:25" x14ac:dyDescent="0.2">
      <c r="A6677" t="s">
        <v>676</v>
      </c>
      <c r="B6677">
        <v>1989</v>
      </c>
      <c r="C6677" t="s">
        <v>826</v>
      </c>
      <c r="D6677" t="s">
        <v>812</v>
      </c>
      <c r="E6677" t="s">
        <v>103</v>
      </c>
      <c r="F6677" t="s">
        <v>656</v>
      </c>
      <c r="G6677">
        <v>34.664872000000003</v>
      </c>
      <c r="H6677">
        <v>138.94002900000001</v>
      </c>
      <c r="I6677" t="s">
        <v>767</v>
      </c>
      <c r="J6677" s="2" t="s">
        <v>14</v>
      </c>
      <c r="K6677" t="s">
        <v>144</v>
      </c>
      <c r="L6677" t="s">
        <v>144</v>
      </c>
      <c r="M6677" t="s">
        <v>172</v>
      </c>
      <c r="N6677" t="s">
        <v>86</v>
      </c>
      <c r="O6677" t="s">
        <v>62</v>
      </c>
      <c r="P6677" t="s">
        <v>677</v>
      </c>
      <c r="R6677" s="2" t="s">
        <v>213</v>
      </c>
      <c r="S6677" t="s">
        <v>27</v>
      </c>
      <c r="T6677">
        <v>2</v>
      </c>
      <c r="U6677" s="2" t="s">
        <v>28</v>
      </c>
      <c r="V6677" s="2" t="s">
        <v>28</v>
      </c>
      <c r="W6677" s="2">
        <v>25</v>
      </c>
      <c r="X6677">
        <v>8.17</v>
      </c>
      <c r="Y6677">
        <f>X6677-6.88</f>
        <v>1.29</v>
      </c>
    </row>
    <row r="6678" spans="1:25" x14ac:dyDescent="0.2">
      <c r="A6678" t="s">
        <v>676</v>
      </c>
      <c r="B6678">
        <v>1989</v>
      </c>
      <c r="C6678" t="s">
        <v>826</v>
      </c>
      <c r="D6678" t="s">
        <v>812</v>
      </c>
      <c r="E6678" t="s">
        <v>103</v>
      </c>
      <c r="F6678" t="s">
        <v>656</v>
      </c>
      <c r="G6678">
        <v>34.664872000000003</v>
      </c>
      <c r="H6678">
        <v>138.94002900000001</v>
      </c>
      <c r="I6678" t="s">
        <v>767</v>
      </c>
      <c r="J6678" s="2" t="s">
        <v>14</v>
      </c>
      <c r="K6678" t="s">
        <v>144</v>
      </c>
      <c r="L6678" t="s">
        <v>144</v>
      </c>
      <c r="M6678" t="s">
        <v>172</v>
      </c>
      <c r="N6678" t="s">
        <v>86</v>
      </c>
      <c r="O6678" t="s">
        <v>62</v>
      </c>
      <c r="P6678" t="s">
        <v>677</v>
      </c>
      <c r="R6678" s="2" t="s">
        <v>213</v>
      </c>
      <c r="S6678" t="s">
        <v>13</v>
      </c>
      <c r="T6678">
        <v>2</v>
      </c>
      <c r="U6678" s="2" t="s">
        <v>28</v>
      </c>
      <c r="V6678" s="2" t="s">
        <v>28</v>
      </c>
      <c r="W6678" s="2">
        <v>30</v>
      </c>
      <c r="X6678">
        <v>8.81</v>
      </c>
      <c r="Y6678">
        <f>X6678-7.34</f>
        <v>1.4700000000000006</v>
      </c>
    </row>
    <row r="6679" spans="1:25" x14ac:dyDescent="0.2">
      <c r="A6679" t="s">
        <v>676</v>
      </c>
      <c r="B6679">
        <v>1989</v>
      </c>
      <c r="C6679" t="s">
        <v>826</v>
      </c>
      <c r="D6679" t="s">
        <v>812</v>
      </c>
      <c r="E6679" t="s">
        <v>103</v>
      </c>
      <c r="F6679" t="s">
        <v>656</v>
      </c>
      <c r="G6679">
        <v>34.664872000000003</v>
      </c>
      <c r="H6679">
        <v>138.94002900000001</v>
      </c>
      <c r="I6679" t="s">
        <v>771</v>
      </c>
      <c r="J6679" s="2" t="s">
        <v>7</v>
      </c>
      <c r="K6679" t="s">
        <v>144</v>
      </c>
      <c r="L6679" t="s">
        <v>144</v>
      </c>
      <c r="M6679" t="s">
        <v>73</v>
      </c>
      <c r="N6679" t="s">
        <v>85</v>
      </c>
      <c r="O6679" t="s">
        <v>146</v>
      </c>
      <c r="P6679" t="s">
        <v>677</v>
      </c>
      <c r="R6679" s="2" t="s">
        <v>213</v>
      </c>
      <c r="S6679" t="s">
        <v>7</v>
      </c>
      <c r="T6679">
        <v>4</v>
      </c>
      <c r="U6679" s="2" t="s">
        <v>28</v>
      </c>
      <c r="V6679" s="2" t="s">
        <v>28</v>
      </c>
      <c r="W6679" s="2">
        <v>20</v>
      </c>
      <c r="X6679">
        <v>32.729999999999997</v>
      </c>
      <c r="Y6679">
        <f>37.09-X6679</f>
        <v>4.3600000000000065</v>
      </c>
    </row>
    <row r="6680" spans="1:25" x14ac:dyDescent="0.2">
      <c r="A6680" t="s">
        <v>676</v>
      </c>
      <c r="B6680">
        <v>1989</v>
      </c>
      <c r="C6680" t="s">
        <v>826</v>
      </c>
      <c r="D6680" t="s">
        <v>812</v>
      </c>
      <c r="E6680" t="s">
        <v>103</v>
      </c>
      <c r="F6680" t="s">
        <v>656</v>
      </c>
      <c r="G6680">
        <v>34.664872000000003</v>
      </c>
      <c r="H6680">
        <v>138.94002900000001</v>
      </c>
      <c r="I6680" t="s">
        <v>771</v>
      </c>
      <c r="J6680" s="2" t="s">
        <v>14</v>
      </c>
      <c r="K6680" t="s">
        <v>144</v>
      </c>
      <c r="L6680" t="s">
        <v>144</v>
      </c>
      <c r="M6680" t="s">
        <v>73</v>
      </c>
      <c r="N6680" t="s">
        <v>85</v>
      </c>
      <c r="O6680" t="s">
        <v>146</v>
      </c>
      <c r="P6680" t="s">
        <v>677</v>
      </c>
      <c r="R6680" s="2" t="s">
        <v>213</v>
      </c>
      <c r="S6680" t="s">
        <v>27</v>
      </c>
      <c r="T6680">
        <v>4</v>
      </c>
      <c r="U6680" s="2" t="s">
        <v>28</v>
      </c>
      <c r="V6680" s="2" t="s">
        <v>28</v>
      </c>
      <c r="W6680" s="2">
        <v>25</v>
      </c>
      <c r="X6680">
        <v>41.64</v>
      </c>
      <c r="Y6680">
        <f>45.64-X6680</f>
        <v>4</v>
      </c>
    </row>
    <row r="6681" spans="1:25" x14ac:dyDescent="0.2">
      <c r="A6681" t="s">
        <v>676</v>
      </c>
      <c r="B6681">
        <v>1989</v>
      </c>
      <c r="C6681" t="s">
        <v>826</v>
      </c>
      <c r="D6681" t="s">
        <v>812</v>
      </c>
      <c r="E6681" t="s">
        <v>103</v>
      </c>
      <c r="F6681" t="s">
        <v>656</v>
      </c>
      <c r="G6681">
        <v>34.664872000000003</v>
      </c>
      <c r="H6681">
        <v>138.94002900000001</v>
      </c>
      <c r="I6681" t="s">
        <v>771</v>
      </c>
      <c r="J6681" s="2" t="s">
        <v>14</v>
      </c>
      <c r="K6681" t="s">
        <v>144</v>
      </c>
      <c r="L6681" t="s">
        <v>144</v>
      </c>
      <c r="M6681" t="s">
        <v>73</v>
      </c>
      <c r="N6681" t="s">
        <v>85</v>
      </c>
      <c r="O6681" t="s">
        <v>146</v>
      </c>
      <c r="P6681" t="s">
        <v>677</v>
      </c>
      <c r="R6681" s="2" t="s">
        <v>213</v>
      </c>
      <c r="S6681" t="s">
        <v>13</v>
      </c>
      <c r="T6681">
        <v>4</v>
      </c>
      <c r="U6681" s="2" t="s">
        <v>28</v>
      </c>
      <c r="V6681" s="2" t="s">
        <v>28</v>
      </c>
      <c r="W6681" s="2">
        <v>30</v>
      </c>
      <c r="X6681">
        <v>35.270000000000003</v>
      </c>
      <c r="Y6681">
        <f>38.18-X6681</f>
        <v>2.9099999999999966</v>
      </c>
    </row>
    <row r="6682" spans="1:25" x14ac:dyDescent="0.2">
      <c r="A6682" t="s">
        <v>676</v>
      </c>
      <c r="B6682">
        <v>1989</v>
      </c>
      <c r="C6682" t="s">
        <v>826</v>
      </c>
      <c r="D6682" t="s">
        <v>812</v>
      </c>
      <c r="E6682" t="s">
        <v>103</v>
      </c>
      <c r="F6682" t="s">
        <v>656</v>
      </c>
      <c r="G6682">
        <v>34.664872000000003</v>
      </c>
      <c r="H6682">
        <v>138.94002900000001</v>
      </c>
      <c r="I6682" t="s">
        <v>771</v>
      </c>
      <c r="J6682" s="2" t="s">
        <v>7</v>
      </c>
      <c r="K6682" t="s">
        <v>144</v>
      </c>
      <c r="L6682" t="s">
        <v>144</v>
      </c>
      <c r="M6682" t="s">
        <v>172</v>
      </c>
      <c r="N6682" t="s">
        <v>86</v>
      </c>
      <c r="O6682" t="s">
        <v>62</v>
      </c>
      <c r="P6682" t="s">
        <v>677</v>
      </c>
      <c r="R6682" s="2" t="s">
        <v>213</v>
      </c>
      <c r="S6682" t="s">
        <v>7</v>
      </c>
      <c r="T6682">
        <v>2</v>
      </c>
      <c r="U6682" s="2" t="s">
        <v>28</v>
      </c>
      <c r="V6682" s="2" t="s">
        <v>28</v>
      </c>
      <c r="W6682" s="2">
        <v>20</v>
      </c>
      <c r="X6682">
        <v>4.91</v>
      </c>
      <c r="Y6682">
        <f>X6682-3.82</f>
        <v>1.0900000000000003</v>
      </c>
    </row>
    <row r="6683" spans="1:25" x14ac:dyDescent="0.2">
      <c r="A6683" t="s">
        <v>676</v>
      </c>
      <c r="B6683">
        <v>1989</v>
      </c>
      <c r="C6683" t="s">
        <v>826</v>
      </c>
      <c r="D6683" t="s">
        <v>812</v>
      </c>
      <c r="E6683" t="s">
        <v>103</v>
      </c>
      <c r="F6683" t="s">
        <v>656</v>
      </c>
      <c r="G6683">
        <v>34.664872000000003</v>
      </c>
      <c r="H6683">
        <v>138.94002900000001</v>
      </c>
      <c r="I6683" t="s">
        <v>771</v>
      </c>
      <c r="J6683" s="2" t="s">
        <v>14</v>
      </c>
      <c r="K6683" t="s">
        <v>144</v>
      </c>
      <c r="L6683" t="s">
        <v>144</v>
      </c>
      <c r="M6683" t="s">
        <v>172</v>
      </c>
      <c r="N6683" t="s">
        <v>86</v>
      </c>
      <c r="O6683" t="s">
        <v>62</v>
      </c>
      <c r="P6683" t="s">
        <v>677</v>
      </c>
      <c r="R6683" s="2" t="s">
        <v>213</v>
      </c>
      <c r="S6683" t="s">
        <v>27</v>
      </c>
      <c r="T6683">
        <v>2</v>
      </c>
      <c r="U6683" s="2" t="s">
        <v>28</v>
      </c>
      <c r="V6683" s="2" t="s">
        <v>28</v>
      </c>
      <c r="W6683" s="2">
        <v>25</v>
      </c>
      <c r="X6683">
        <v>6.36</v>
      </c>
      <c r="Y6683">
        <f>X6683-5.27</f>
        <v>1.0900000000000007</v>
      </c>
    </row>
    <row r="6684" spans="1:25" x14ac:dyDescent="0.2">
      <c r="A6684" t="s">
        <v>676</v>
      </c>
      <c r="B6684">
        <v>1989</v>
      </c>
      <c r="C6684" t="s">
        <v>826</v>
      </c>
      <c r="D6684" t="s">
        <v>812</v>
      </c>
      <c r="E6684" t="s">
        <v>103</v>
      </c>
      <c r="F6684" t="s">
        <v>656</v>
      </c>
      <c r="G6684">
        <v>34.664872000000003</v>
      </c>
      <c r="H6684">
        <v>138.94002900000001</v>
      </c>
      <c r="I6684" t="s">
        <v>771</v>
      </c>
      <c r="J6684" s="2" t="s">
        <v>14</v>
      </c>
      <c r="K6684" t="s">
        <v>144</v>
      </c>
      <c r="L6684" t="s">
        <v>144</v>
      </c>
      <c r="M6684" t="s">
        <v>172</v>
      </c>
      <c r="N6684" t="s">
        <v>86</v>
      </c>
      <c r="O6684" t="s">
        <v>62</v>
      </c>
      <c r="P6684" t="s">
        <v>677</v>
      </c>
      <c r="R6684" s="2" t="s">
        <v>213</v>
      </c>
      <c r="S6684" t="s">
        <v>13</v>
      </c>
      <c r="T6684">
        <v>2</v>
      </c>
      <c r="U6684" s="2" t="s">
        <v>28</v>
      </c>
      <c r="V6684" s="2" t="s">
        <v>28</v>
      </c>
      <c r="W6684" s="2">
        <v>30</v>
      </c>
      <c r="X6684">
        <v>11.09</v>
      </c>
      <c r="Y6684">
        <f>X6684-10</f>
        <v>1.0899999999999999</v>
      </c>
    </row>
    <row r="6685" spans="1:25" x14ac:dyDescent="0.2">
      <c r="A6685" t="s">
        <v>676</v>
      </c>
      <c r="B6685">
        <v>1989</v>
      </c>
      <c r="C6685" t="s">
        <v>826</v>
      </c>
      <c r="D6685" t="s">
        <v>812</v>
      </c>
      <c r="E6685" t="s">
        <v>103</v>
      </c>
      <c r="F6685" t="s">
        <v>656</v>
      </c>
      <c r="G6685">
        <v>34.664872000000003</v>
      </c>
      <c r="H6685">
        <v>138.94002900000001</v>
      </c>
      <c r="I6685" t="s">
        <v>764</v>
      </c>
      <c r="J6685" s="2" t="s">
        <v>7</v>
      </c>
      <c r="K6685" t="s">
        <v>144</v>
      </c>
      <c r="L6685" t="s">
        <v>144</v>
      </c>
      <c r="M6685" t="s">
        <v>73</v>
      </c>
      <c r="N6685" t="s">
        <v>85</v>
      </c>
      <c r="O6685" t="s">
        <v>146</v>
      </c>
      <c r="P6685" t="s">
        <v>677</v>
      </c>
      <c r="R6685" s="2" t="s">
        <v>213</v>
      </c>
      <c r="S6685" t="s">
        <v>7</v>
      </c>
      <c r="T6685">
        <v>4</v>
      </c>
      <c r="U6685" s="2" t="s">
        <v>28</v>
      </c>
      <c r="V6685" s="2" t="s">
        <v>28</v>
      </c>
      <c r="W6685" s="2">
        <v>20</v>
      </c>
      <c r="X6685">
        <v>25.38</v>
      </c>
      <c r="Y6685">
        <f>26.32-X6685</f>
        <v>0.94000000000000128</v>
      </c>
    </row>
    <row r="6686" spans="1:25" x14ac:dyDescent="0.2">
      <c r="A6686" t="s">
        <v>676</v>
      </c>
      <c r="B6686">
        <v>1989</v>
      </c>
      <c r="C6686" t="s">
        <v>826</v>
      </c>
      <c r="D6686" t="s">
        <v>812</v>
      </c>
      <c r="E6686" t="s">
        <v>103</v>
      </c>
      <c r="F6686" t="s">
        <v>656</v>
      </c>
      <c r="G6686">
        <v>34.664872000000003</v>
      </c>
      <c r="H6686">
        <v>138.94002900000001</v>
      </c>
      <c r="I6686" t="s">
        <v>764</v>
      </c>
      <c r="J6686" s="2" t="s">
        <v>14</v>
      </c>
      <c r="K6686" t="s">
        <v>144</v>
      </c>
      <c r="L6686" t="s">
        <v>144</v>
      </c>
      <c r="M6686" t="s">
        <v>73</v>
      </c>
      <c r="N6686" t="s">
        <v>85</v>
      </c>
      <c r="O6686" t="s">
        <v>146</v>
      </c>
      <c r="P6686" t="s">
        <v>677</v>
      </c>
      <c r="R6686" s="2" t="s">
        <v>213</v>
      </c>
      <c r="S6686" t="s">
        <v>27</v>
      </c>
      <c r="T6686">
        <v>4</v>
      </c>
      <c r="U6686" s="2" t="s">
        <v>28</v>
      </c>
      <c r="V6686" s="2" t="s">
        <v>28</v>
      </c>
      <c r="W6686" s="2">
        <v>25</v>
      </c>
      <c r="X6686">
        <v>35.72</v>
      </c>
      <c r="Y6686">
        <f>41.51-X6686</f>
        <v>5.7899999999999991</v>
      </c>
    </row>
    <row r="6687" spans="1:25" x14ac:dyDescent="0.2">
      <c r="A6687" t="s">
        <v>676</v>
      </c>
      <c r="B6687">
        <v>1989</v>
      </c>
      <c r="C6687" t="s">
        <v>826</v>
      </c>
      <c r="D6687" t="s">
        <v>812</v>
      </c>
      <c r="E6687" t="s">
        <v>103</v>
      </c>
      <c r="F6687" t="s">
        <v>656</v>
      </c>
      <c r="G6687">
        <v>34.664872000000003</v>
      </c>
      <c r="H6687">
        <v>138.94002900000001</v>
      </c>
      <c r="I6687" t="s">
        <v>764</v>
      </c>
      <c r="J6687" s="2" t="s">
        <v>14</v>
      </c>
      <c r="K6687" t="s">
        <v>144</v>
      </c>
      <c r="L6687" t="s">
        <v>144</v>
      </c>
      <c r="M6687" t="s">
        <v>73</v>
      </c>
      <c r="N6687" t="s">
        <v>85</v>
      </c>
      <c r="O6687" t="s">
        <v>146</v>
      </c>
      <c r="P6687" t="s">
        <v>677</v>
      </c>
      <c r="R6687" s="2" t="s">
        <v>213</v>
      </c>
      <c r="S6687" t="s">
        <v>13</v>
      </c>
      <c r="T6687">
        <v>4</v>
      </c>
      <c r="U6687" s="2" t="s">
        <v>28</v>
      </c>
      <c r="V6687" s="2" t="s">
        <v>28</v>
      </c>
      <c r="W6687" s="2">
        <v>30</v>
      </c>
      <c r="X6687">
        <v>32.270000000000003</v>
      </c>
      <c r="Y6687">
        <f>38.54-X6687</f>
        <v>6.269999999999996</v>
      </c>
    </row>
    <row r="6688" spans="1:25" x14ac:dyDescent="0.2">
      <c r="A6688" t="s">
        <v>676</v>
      </c>
      <c r="B6688">
        <v>1989</v>
      </c>
      <c r="C6688" t="s">
        <v>826</v>
      </c>
      <c r="D6688" t="s">
        <v>812</v>
      </c>
      <c r="E6688" t="s">
        <v>103</v>
      </c>
      <c r="F6688" t="s">
        <v>656</v>
      </c>
      <c r="G6688">
        <v>34.664872000000003</v>
      </c>
      <c r="H6688">
        <v>138.94002900000001</v>
      </c>
      <c r="I6688" t="s">
        <v>764</v>
      </c>
      <c r="J6688" s="2" t="s">
        <v>7</v>
      </c>
      <c r="K6688" t="s">
        <v>144</v>
      </c>
      <c r="L6688" t="s">
        <v>144</v>
      </c>
      <c r="M6688" t="s">
        <v>172</v>
      </c>
      <c r="N6688" t="s">
        <v>86</v>
      </c>
      <c r="O6688" t="s">
        <v>62</v>
      </c>
      <c r="P6688" t="s">
        <v>677</v>
      </c>
      <c r="R6688" s="2" t="s">
        <v>213</v>
      </c>
      <c r="S6688" t="s">
        <v>7</v>
      </c>
      <c r="T6688">
        <v>2</v>
      </c>
      <c r="U6688" s="2" t="s">
        <v>28</v>
      </c>
      <c r="V6688" s="2" t="s">
        <v>28</v>
      </c>
      <c r="W6688" s="2">
        <v>20</v>
      </c>
      <c r="X6688">
        <v>4.2300000000000004</v>
      </c>
      <c r="Y6688">
        <f>X6688-2.98</f>
        <v>1.2500000000000004</v>
      </c>
    </row>
    <row r="6689" spans="1:26" x14ac:dyDescent="0.2">
      <c r="A6689" t="s">
        <v>676</v>
      </c>
      <c r="B6689">
        <v>1989</v>
      </c>
      <c r="C6689" t="s">
        <v>826</v>
      </c>
      <c r="D6689" t="s">
        <v>812</v>
      </c>
      <c r="E6689" t="s">
        <v>103</v>
      </c>
      <c r="F6689" t="s">
        <v>656</v>
      </c>
      <c r="G6689">
        <v>34.664872000000003</v>
      </c>
      <c r="H6689">
        <v>138.94002900000001</v>
      </c>
      <c r="I6689" t="s">
        <v>764</v>
      </c>
      <c r="J6689" s="2" t="s">
        <v>14</v>
      </c>
      <c r="K6689" t="s">
        <v>144</v>
      </c>
      <c r="L6689" t="s">
        <v>144</v>
      </c>
      <c r="M6689" t="s">
        <v>172</v>
      </c>
      <c r="N6689" t="s">
        <v>86</v>
      </c>
      <c r="O6689" t="s">
        <v>62</v>
      </c>
      <c r="P6689" t="s">
        <v>677</v>
      </c>
      <c r="R6689" s="2" t="s">
        <v>213</v>
      </c>
      <c r="S6689" t="s">
        <v>27</v>
      </c>
      <c r="T6689">
        <v>2</v>
      </c>
      <c r="U6689" s="2" t="s">
        <v>28</v>
      </c>
      <c r="V6689" s="2" t="s">
        <v>28</v>
      </c>
      <c r="W6689" s="2">
        <v>25</v>
      </c>
      <c r="X6689">
        <v>4.54</v>
      </c>
      <c r="Y6689">
        <f>X6689-3.45</f>
        <v>1.0899999999999999</v>
      </c>
    </row>
    <row r="6690" spans="1:26" x14ac:dyDescent="0.2">
      <c r="A6690" t="s">
        <v>676</v>
      </c>
      <c r="B6690">
        <v>1989</v>
      </c>
      <c r="C6690" t="s">
        <v>826</v>
      </c>
      <c r="D6690" t="s">
        <v>812</v>
      </c>
      <c r="E6690" t="s">
        <v>103</v>
      </c>
      <c r="F6690" t="s">
        <v>656</v>
      </c>
      <c r="G6690">
        <v>34.664872000000003</v>
      </c>
      <c r="H6690">
        <v>138.94002900000001</v>
      </c>
      <c r="I6690" t="s">
        <v>764</v>
      </c>
      <c r="J6690" s="2" t="s">
        <v>14</v>
      </c>
      <c r="K6690" t="s">
        <v>144</v>
      </c>
      <c r="L6690" t="s">
        <v>144</v>
      </c>
      <c r="M6690" t="s">
        <v>172</v>
      </c>
      <c r="N6690" t="s">
        <v>86</v>
      </c>
      <c r="O6690" t="s">
        <v>62</v>
      </c>
      <c r="P6690" t="s">
        <v>677</v>
      </c>
      <c r="R6690" s="2" t="s">
        <v>213</v>
      </c>
      <c r="S6690" t="s">
        <v>13</v>
      </c>
      <c r="T6690">
        <v>2</v>
      </c>
      <c r="U6690" s="2" t="s">
        <v>28</v>
      </c>
      <c r="V6690" s="2" t="s">
        <v>28</v>
      </c>
      <c r="W6690" s="2">
        <v>30</v>
      </c>
      <c r="X6690">
        <v>6.27</v>
      </c>
      <c r="Y6690">
        <f>X6690-5.33</f>
        <v>0.9399999999999995</v>
      </c>
    </row>
    <row r="6691" spans="1:26" x14ac:dyDescent="0.2">
      <c r="A6691" t="s">
        <v>676</v>
      </c>
      <c r="B6691">
        <v>1989</v>
      </c>
      <c r="C6691" t="s">
        <v>826</v>
      </c>
      <c r="D6691" t="s">
        <v>812</v>
      </c>
      <c r="E6691" t="s">
        <v>103</v>
      </c>
      <c r="F6691" t="s">
        <v>656</v>
      </c>
      <c r="G6691">
        <v>34.664872000000003</v>
      </c>
      <c r="H6691">
        <v>138.94002900000001</v>
      </c>
      <c r="I6691" t="s">
        <v>766</v>
      </c>
      <c r="J6691" s="2" t="s">
        <v>7</v>
      </c>
      <c r="K6691" t="s">
        <v>144</v>
      </c>
      <c r="L6691" t="s">
        <v>144</v>
      </c>
      <c r="M6691" t="s">
        <v>73</v>
      </c>
      <c r="N6691" t="s">
        <v>85</v>
      </c>
      <c r="O6691" t="s">
        <v>146</v>
      </c>
      <c r="P6691" t="s">
        <v>677</v>
      </c>
      <c r="R6691" s="2" t="s">
        <v>213</v>
      </c>
      <c r="S6691" t="s">
        <v>7</v>
      </c>
      <c r="T6691">
        <v>4</v>
      </c>
      <c r="U6691" s="2" t="s">
        <v>28</v>
      </c>
      <c r="V6691" s="2" t="s">
        <v>28</v>
      </c>
      <c r="W6691" s="2">
        <v>25</v>
      </c>
      <c r="X6691">
        <v>38.299999999999997</v>
      </c>
      <c r="Y6691">
        <f>41.58-X6691</f>
        <v>3.2800000000000011</v>
      </c>
    </row>
    <row r="6692" spans="1:26" x14ac:dyDescent="0.2">
      <c r="A6692" t="s">
        <v>676</v>
      </c>
      <c r="B6692">
        <v>1989</v>
      </c>
      <c r="C6692" t="s">
        <v>826</v>
      </c>
      <c r="D6692" t="s">
        <v>812</v>
      </c>
      <c r="E6692" t="s">
        <v>103</v>
      </c>
      <c r="F6692" t="s">
        <v>656</v>
      </c>
      <c r="G6692">
        <v>34.664872000000003</v>
      </c>
      <c r="H6692">
        <v>138.94002900000001</v>
      </c>
      <c r="I6692" t="s">
        <v>766</v>
      </c>
      <c r="J6692" s="2" t="s">
        <v>14</v>
      </c>
      <c r="K6692" t="s">
        <v>144</v>
      </c>
      <c r="L6692" t="s">
        <v>144</v>
      </c>
      <c r="M6692" t="s">
        <v>73</v>
      </c>
      <c r="N6692" t="s">
        <v>85</v>
      </c>
      <c r="O6692" t="s">
        <v>146</v>
      </c>
      <c r="P6692" t="s">
        <v>677</v>
      </c>
      <c r="R6692" s="2" t="s">
        <v>213</v>
      </c>
      <c r="S6692" t="s">
        <v>13</v>
      </c>
      <c r="T6692">
        <v>4</v>
      </c>
      <c r="U6692" s="2" t="s">
        <v>28</v>
      </c>
      <c r="V6692" s="2" t="s">
        <v>28</v>
      </c>
      <c r="W6692" s="2">
        <v>30</v>
      </c>
      <c r="X6692">
        <v>35.380000000000003</v>
      </c>
      <c r="Y6692">
        <f>41.22-X6692</f>
        <v>5.8399999999999963</v>
      </c>
    </row>
    <row r="6693" spans="1:26" x14ac:dyDescent="0.2">
      <c r="A6693" t="s">
        <v>676</v>
      </c>
      <c r="B6693">
        <v>1989</v>
      </c>
      <c r="C6693" t="s">
        <v>826</v>
      </c>
      <c r="D6693" t="s">
        <v>812</v>
      </c>
      <c r="E6693" t="s">
        <v>103</v>
      </c>
      <c r="F6693" t="s">
        <v>656</v>
      </c>
      <c r="G6693">
        <v>34.664872000000003</v>
      </c>
      <c r="H6693">
        <v>138.94002900000001</v>
      </c>
      <c r="I6693" t="s">
        <v>766</v>
      </c>
      <c r="J6693" s="2" t="s">
        <v>7</v>
      </c>
      <c r="K6693" t="s">
        <v>144</v>
      </c>
      <c r="L6693" t="s">
        <v>144</v>
      </c>
      <c r="M6693" t="s">
        <v>172</v>
      </c>
      <c r="N6693" t="s">
        <v>86</v>
      </c>
      <c r="O6693" t="s">
        <v>62</v>
      </c>
      <c r="P6693" t="s">
        <v>677</v>
      </c>
      <c r="R6693" s="2" t="s">
        <v>213</v>
      </c>
      <c r="S6693" t="s">
        <v>7</v>
      </c>
      <c r="T6693">
        <v>2</v>
      </c>
      <c r="U6693" s="2" t="s">
        <v>28</v>
      </c>
      <c r="V6693" s="2" t="s">
        <v>28</v>
      </c>
      <c r="W6693" s="2">
        <v>25</v>
      </c>
      <c r="X6693">
        <v>4.38</v>
      </c>
      <c r="Y6693">
        <f>X6693-3.1</f>
        <v>1.2799999999999998</v>
      </c>
    </row>
    <row r="6694" spans="1:26" x14ac:dyDescent="0.2">
      <c r="A6694" t="s">
        <v>676</v>
      </c>
      <c r="B6694">
        <v>1989</v>
      </c>
      <c r="C6694" t="s">
        <v>826</v>
      </c>
      <c r="D6694" t="s">
        <v>812</v>
      </c>
      <c r="E6694" t="s">
        <v>103</v>
      </c>
      <c r="F6694" t="s">
        <v>656</v>
      </c>
      <c r="G6694">
        <v>34.664872000000003</v>
      </c>
      <c r="H6694">
        <v>138.94002900000001</v>
      </c>
      <c r="I6694" t="s">
        <v>766</v>
      </c>
      <c r="J6694" s="2" t="s">
        <v>14</v>
      </c>
      <c r="K6694" t="s">
        <v>144</v>
      </c>
      <c r="L6694" t="s">
        <v>144</v>
      </c>
      <c r="M6694" t="s">
        <v>172</v>
      </c>
      <c r="N6694" t="s">
        <v>86</v>
      </c>
      <c r="O6694" t="s">
        <v>62</v>
      </c>
      <c r="P6694" t="s">
        <v>677</v>
      </c>
      <c r="R6694" s="2" t="s">
        <v>213</v>
      </c>
      <c r="S6694" t="s">
        <v>13</v>
      </c>
      <c r="T6694">
        <v>2</v>
      </c>
      <c r="U6694" s="2" t="s">
        <v>28</v>
      </c>
      <c r="V6694" s="2" t="s">
        <v>28</v>
      </c>
      <c r="W6694" s="2">
        <v>30</v>
      </c>
      <c r="X6694">
        <v>7.11</v>
      </c>
      <c r="Y6694">
        <f>X6694-6.02</f>
        <v>1.0900000000000007</v>
      </c>
    </row>
    <row r="6695" spans="1:26" x14ac:dyDescent="0.2">
      <c r="A6695" t="s">
        <v>676</v>
      </c>
      <c r="B6695">
        <v>1989</v>
      </c>
      <c r="C6695" t="s">
        <v>826</v>
      </c>
      <c r="D6695" t="s">
        <v>812</v>
      </c>
      <c r="E6695" t="s">
        <v>103</v>
      </c>
      <c r="F6695" t="s">
        <v>656</v>
      </c>
      <c r="G6695">
        <v>34.664872000000003</v>
      </c>
      <c r="H6695">
        <v>138.94002900000001</v>
      </c>
      <c r="I6695" t="s">
        <v>765</v>
      </c>
      <c r="J6695" s="2" t="s">
        <v>7</v>
      </c>
      <c r="K6695" t="s">
        <v>144</v>
      </c>
      <c r="L6695" t="s">
        <v>144</v>
      </c>
      <c r="M6695" t="s">
        <v>73</v>
      </c>
      <c r="N6695" t="s">
        <v>85</v>
      </c>
      <c r="O6695" t="s">
        <v>146</v>
      </c>
      <c r="P6695" t="s">
        <v>677</v>
      </c>
      <c r="R6695" s="2" t="s">
        <v>213</v>
      </c>
      <c r="S6695" t="s">
        <v>7</v>
      </c>
      <c r="T6695">
        <v>4</v>
      </c>
      <c r="U6695" s="2" t="s">
        <v>28</v>
      </c>
      <c r="V6695" s="2" t="s">
        <v>28</v>
      </c>
      <c r="W6695" s="2">
        <v>25</v>
      </c>
      <c r="X6695">
        <v>37.58</v>
      </c>
      <c r="Y6695">
        <f>41.04-X6695</f>
        <v>3.4600000000000009</v>
      </c>
    </row>
    <row r="6696" spans="1:26" x14ac:dyDescent="0.2">
      <c r="A6696" t="s">
        <v>676</v>
      </c>
      <c r="B6696">
        <v>1989</v>
      </c>
      <c r="C6696" t="s">
        <v>826</v>
      </c>
      <c r="D6696" t="s">
        <v>812</v>
      </c>
      <c r="E6696" t="s">
        <v>103</v>
      </c>
      <c r="F6696" t="s">
        <v>656</v>
      </c>
      <c r="G6696">
        <v>34.664872000000003</v>
      </c>
      <c r="H6696">
        <v>138.94002900000001</v>
      </c>
      <c r="I6696" t="s">
        <v>765</v>
      </c>
      <c r="J6696" s="2" t="s">
        <v>14</v>
      </c>
      <c r="K6696" t="s">
        <v>144</v>
      </c>
      <c r="L6696" t="s">
        <v>144</v>
      </c>
      <c r="M6696" t="s">
        <v>73</v>
      </c>
      <c r="N6696" t="s">
        <v>85</v>
      </c>
      <c r="O6696" t="s">
        <v>146</v>
      </c>
      <c r="P6696" t="s">
        <v>677</v>
      </c>
      <c r="R6696" s="2" t="s">
        <v>213</v>
      </c>
      <c r="S6696" t="s">
        <v>13</v>
      </c>
      <c r="T6696">
        <v>4</v>
      </c>
      <c r="U6696" s="2" t="s">
        <v>28</v>
      </c>
      <c r="V6696" s="2" t="s">
        <v>28</v>
      </c>
      <c r="W6696" s="2">
        <v>30</v>
      </c>
      <c r="X6696">
        <v>32.479999999999997</v>
      </c>
      <c r="Y6696">
        <f>37.75-X6696</f>
        <v>5.2700000000000031</v>
      </c>
    </row>
    <row r="6697" spans="1:26" x14ac:dyDescent="0.2">
      <c r="A6697" t="s">
        <v>676</v>
      </c>
      <c r="B6697">
        <v>1989</v>
      </c>
      <c r="C6697" t="s">
        <v>826</v>
      </c>
      <c r="D6697" t="s">
        <v>812</v>
      </c>
      <c r="E6697" t="s">
        <v>103</v>
      </c>
      <c r="F6697" t="s">
        <v>656</v>
      </c>
      <c r="G6697">
        <v>34.664872000000003</v>
      </c>
      <c r="H6697">
        <v>138.94002900000001</v>
      </c>
      <c r="I6697" t="s">
        <v>765</v>
      </c>
      <c r="J6697" s="2" t="s">
        <v>7</v>
      </c>
      <c r="K6697" t="s">
        <v>144</v>
      </c>
      <c r="L6697" t="s">
        <v>144</v>
      </c>
      <c r="M6697" t="s">
        <v>172</v>
      </c>
      <c r="N6697" t="s">
        <v>86</v>
      </c>
      <c r="O6697" t="s">
        <v>62</v>
      </c>
      <c r="P6697" t="s">
        <v>677</v>
      </c>
      <c r="R6697" s="2" t="s">
        <v>213</v>
      </c>
      <c r="S6697" t="s">
        <v>7</v>
      </c>
      <c r="T6697">
        <v>2</v>
      </c>
      <c r="U6697" s="2" t="s">
        <v>28</v>
      </c>
      <c r="V6697" s="2" t="s">
        <v>28</v>
      </c>
      <c r="W6697" s="2">
        <v>25</v>
      </c>
      <c r="X6697">
        <v>4.78</v>
      </c>
      <c r="Y6697">
        <f>X6697-3.69</f>
        <v>1.0900000000000003</v>
      </c>
    </row>
    <row r="6698" spans="1:26" x14ac:dyDescent="0.2">
      <c r="A6698" t="s">
        <v>676</v>
      </c>
      <c r="B6698">
        <v>1989</v>
      </c>
      <c r="C6698" t="s">
        <v>826</v>
      </c>
      <c r="D6698" t="s">
        <v>812</v>
      </c>
      <c r="E6698" t="s">
        <v>103</v>
      </c>
      <c r="F6698" t="s">
        <v>656</v>
      </c>
      <c r="G6698">
        <v>34.664872000000003</v>
      </c>
      <c r="H6698">
        <v>138.94002900000001</v>
      </c>
      <c r="I6698" t="s">
        <v>765</v>
      </c>
      <c r="J6698" s="2" t="s">
        <v>14</v>
      </c>
      <c r="K6698" t="s">
        <v>144</v>
      </c>
      <c r="L6698" t="s">
        <v>144</v>
      </c>
      <c r="M6698" t="s">
        <v>172</v>
      </c>
      <c r="N6698" t="s">
        <v>86</v>
      </c>
      <c r="O6698" t="s">
        <v>62</v>
      </c>
      <c r="P6698" t="s">
        <v>677</v>
      </c>
      <c r="R6698" s="2" t="s">
        <v>213</v>
      </c>
      <c r="S6698" t="s">
        <v>13</v>
      </c>
      <c r="T6698">
        <v>2</v>
      </c>
      <c r="U6698" s="2" t="s">
        <v>28</v>
      </c>
      <c r="V6698" s="2" t="s">
        <v>28</v>
      </c>
      <c r="W6698" s="2">
        <v>30</v>
      </c>
      <c r="X6698">
        <v>4.24</v>
      </c>
      <c r="Y6698">
        <f>X6698-3.16</f>
        <v>1.08</v>
      </c>
    </row>
    <row r="6699" spans="1:26" x14ac:dyDescent="0.2">
      <c r="A6699" t="s">
        <v>777</v>
      </c>
      <c r="B6699">
        <v>2013</v>
      </c>
      <c r="C6699" t="s">
        <v>826</v>
      </c>
      <c r="D6699" t="s">
        <v>812</v>
      </c>
      <c r="E6699" t="s">
        <v>175</v>
      </c>
      <c r="F6699" t="s">
        <v>778</v>
      </c>
      <c r="G6699">
        <v>-32.298475000000003</v>
      </c>
      <c r="H6699">
        <v>115.701581</v>
      </c>
      <c r="I6699" t="s">
        <v>769</v>
      </c>
      <c r="J6699" s="2" t="s">
        <v>7</v>
      </c>
      <c r="K6699" t="s">
        <v>3</v>
      </c>
      <c r="L6699" t="s">
        <v>3</v>
      </c>
      <c r="M6699" t="s">
        <v>12</v>
      </c>
      <c r="N6699" t="s">
        <v>85</v>
      </c>
      <c r="O6699" t="s">
        <v>141</v>
      </c>
      <c r="P6699" t="s">
        <v>70</v>
      </c>
      <c r="Q6699">
        <v>1</v>
      </c>
      <c r="R6699" s="2" t="s">
        <v>214</v>
      </c>
      <c r="S6699" t="s">
        <v>7</v>
      </c>
      <c r="T6699">
        <v>5</v>
      </c>
      <c r="U6699" s="2" t="s">
        <v>28</v>
      </c>
      <c r="V6699" s="2" t="s">
        <v>28</v>
      </c>
      <c r="W6699" s="2">
        <v>16</v>
      </c>
      <c r="X6699">
        <v>100</v>
      </c>
      <c r="Y6699" s="6">
        <f>Z6699*SQRT(T6699)</f>
        <v>3.2646592471496789</v>
      </c>
      <c r="Z6699">
        <f>101.46-X6699</f>
        <v>1.4599999999999937</v>
      </c>
    </row>
    <row r="6700" spans="1:26" x14ac:dyDescent="0.2">
      <c r="A6700" t="s">
        <v>777</v>
      </c>
      <c r="B6700">
        <v>2013</v>
      </c>
      <c r="C6700" t="s">
        <v>826</v>
      </c>
      <c r="D6700" t="s">
        <v>812</v>
      </c>
      <c r="E6700" t="s">
        <v>175</v>
      </c>
      <c r="F6700" t="s">
        <v>778</v>
      </c>
      <c r="G6700">
        <v>-32.298475000000003</v>
      </c>
      <c r="H6700">
        <v>115.701581</v>
      </c>
      <c r="I6700" t="s">
        <v>769</v>
      </c>
      <c r="J6700" s="2" t="s">
        <v>7</v>
      </c>
      <c r="K6700" t="s">
        <v>3</v>
      </c>
      <c r="L6700" t="s">
        <v>3</v>
      </c>
      <c r="M6700" t="s">
        <v>12</v>
      </c>
      <c r="N6700" t="s">
        <v>85</v>
      </c>
      <c r="O6700" t="s">
        <v>141</v>
      </c>
      <c r="P6700" t="s">
        <v>70</v>
      </c>
      <c r="Q6700">
        <v>3</v>
      </c>
      <c r="R6700" s="2" t="s">
        <v>214</v>
      </c>
      <c r="S6700" t="s">
        <v>7</v>
      </c>
      <c r="T6700">
        <v>5</v>
      </c>
      <c r="U6700" s="2" t="s">
        <v>28</v>
      </c>
      <c r="V6700" s="2" t="s">
        <v>28</v>
      </c>
      <c r="W6700" s="2">
        <v>16</v>
      </c>
      <c r="X6700">
        <v>69.78</v>
      </c>
      <c r="Y6700" s="6">
        <f t="shared" ref="Y6700:Y6763" si="111">Z6700*SQRT(T6700)</f>
        <v>6.2833510167744144</v>
      </c>
      <c r="Z6700">
        <f>X6700-66.97</f>
        <v>2.8100000000000023</v>
      </c>
    </row>
    <row r="6701" spans="1:26" x14ac:dyDescent="0.2">
      <c r="A6701" t="s">
        <v>777</v>
      </c>
      <c r="B6701">
        <v>2013</v>
      </c>
      <c r="C6701" t="s">
        <v>826</v>
      </c>
      <c r="D6701" t="s">
        <v>812</v>
      </c>
      <c r="E6701" t="s">
        <v>175</v>
      </c>
      <c r="F6701" t="s">
        <v>778</v>
      </c>
      <c r="G6701">
        <v>-32.298475000000003</v>
      </c>
      <c r="H6701">
        <v>115.701581</v>
      </c>
      <c r="I6701" t="s">
        <v>769</v>
      </c>
      <c r="J6701" s="2" t="s">
        <v>7</v>
      </c>
      <c r="K6701" t="s">
        <v>3</v>
      </c>
      <c r="L6701" t="s">
        <v>3</v>
      </c>
      <c r="M6701" t="s">
        <v>12</v>
      </c>
      <c r="N6701" t="s">
        <v>85</v>
      </c>
      <c r="O6701" t="s">
        <v>141</v>
      </c>
      <c r="P6701" t="s">
        <v>70</v>
      </c>
      <c r="Q6701">
        <v>7</v>
      </c>
      <c r="R6701" s="2" t="s">
        <v>214</v>
      </c>
      <c r="S6701" t="s">
        <v>7</v>
      </c>
      <c r="T6701">
        <v>5</v>
      </c>
      <c r="U6701" s="2" t="s">
        <v>28</v>
      </c>
      <c r="V6701" s="2" t="s">
        <v>28</v>
      </c>
      <c r="W6701" s="2">
        <v>16</v>
      </c>
      <c r="X6701">
        <v>70</v>
      </c>
      <c r="Y6701" s="6">
        <f t="shared" si="111"/>
        <v>5.7690553819494541</v>
      </c>
      <c r="Z6701">
        <f>X6701-67.42</f>
        <v>2.5799999999999983</v>
      </c>
    </row>
    <row r="6702" spans="1:26" x14ac:dyDescent="0.2">
      <c r="A6702" t="s">
        <v>777</v>
      </c>
      <c r="B6702">
        <v>2013</v>
      </c>
      <c r="C6702" t="s">
        <v>826</v>
      </c>
      <c r="D6702" t="s">
        <v>812</v>
      </c>
      <c r="E6702" t="s">
        <v>175</v>
      </c>
      <c r="F6702" t="s">
        <v>778</v>
      </c>
      <c r="G6702">
        <v>-32.298475000000003</v>
      </c>
      <c r="H6702">
        <v>115.701581</v>
      </c>
      <c r="I6702" t="s">
        <v>769</v>
      </c>
      <c r="J6702" s="2" t="s">
        <v>7</v>
      </c>
      <c r="K6702" t="s">
        <v>3</v>
      </c>
      <c r="L6702" t="s">
        <v>3</v>
      </c>
      <c r="M6702" t="s">
        <v>12</v>
      </c>
      <c r="N6702" t="s">
        <v>85</v>
      </c>
      <c r="O6702" t="s">
        <v>141</v>
      </c>
      <c r="P6702" t="s">
        <v>70</v>
      </c>
      <c r="Q6702">
        <v>11</v>
      </c>
      <c r="R6702" s="2" t="s">
        <v>214</v>
      </c>
      <c r="S6702" t="s">
        <v>7</v>
      </c>
      <c r="T6702">
        <v>5</v>
      </c>
      <c r="U6702" s="2" t="s">
        <v>28</v>
      </c>
      <c r="V6702" s="2" t="s">
        <v>28</v>
      </c>
      <c r="W6702" s="2">
        <v>16</v>
      </c>
      <c r="X6702">
        <v>42.36</v>
      </c>
      <c r="Y6702" s="6">
        <f t="shared" si="111"/>
        <v>11.314503966148942</v>
      </c>
      <c r="Z6702">
        <f>47.42-X6702</f>
        <v>5.0600000000000023</v>
      </c>
    </row>
    <row r="6703" spans="1:26" x14ac:dyDescent="0.2">
      <c r="A6703" t="s">
        <v>777</v>
      </c>
      <c r="B6703">
        <v>2013</v>
      </c>
      <c r="C6703" t="s">
        <v>826</v>
      </c>
      <c r="D6703" t="s">
        <v>812</v>
      </c>
      <c r="E6703" t="s">
        <v>175</v>
      </c>
      <c r="F6703" t="s">
        <v>778</v>
      </c>
      <c r="G6703">
        <v>-32.298475000000003</v>
      </c>
      <c r="H6703">
        <v>115.701581</v>
      </c>
      <c r="I6703" t="s">
        <v>769</v>
      </c>
      <c r="J6703" s="2" t="s">
        <v>7</v>
      </c>
      <c r="K6703" t="s">
        <v>3</v>
      </c>
      <c r="L6703" t="s">
        <v>3</v>
      </c>
      <c r="M6703" t="s">
        <v>12</v>
      </c>
      <c r="N6703" t="s">
        <v>85</v>
      </c>
      <c r="O6703" t="s">
        <v>141</v>
      </c>
      <c r="P6703" t="s">
        <v>70</v>
      </c>
      <c r="Q6703">
        <v>18</v>
      </c>
      <c r="R6703" s="2" t="s">
        <v>213</v>
      </c>
      <c r="S6703" t="s">
        <v>7</v>
      </c>
      <c r="T6703">
        <v>5</v>
      </c>
      <c r="U6703" s="2" t="s">
        <v>28</v>
      </c>
      <c r="V6703" s="2" t="s">
        <v>28</v>
      </c>
      <c r="W6703" s="2">
        <v>16</v>
      </c>
      <c r="X6703">
        <v>18.88</v>
      </c>
      <c r="Y6703" s="6">
        <f t="shared" si="111"/>
        <v>4.7628247920745581</v>
      </c>
      <c r="Z6703">
        <f>21.01-X6703</f>
        <v>2.1300000000000026</v>
      </c>
    </row>
    <row r="6704" spans="1:26" x14ac:dyDescent="0.2">
      <c r="A6704" t="s">
        <v>777</v>
      </c>
      <c r="B6704">
        <v>2013</v>
      </c>
      <c r="C6704" t="s">
        <v>826</v>
      </c>
      <c r="D6704" t="s">
        <v>812</v>
      </c>
      <c r="E6704" t="s">
        <v>175</v>
      </c>
      <c r="F6704" t="s">
        <v>778</v>
      </c>
      <c r="G6704">
        <v>-32.298475000000003</v>
      </c>
      <c r="H6704">
        <v>115.701581</v>
      </c>
      <c r="I6704" t="s">
        <v>769</v>
      </c>
      <c r="J6704" s="2" t="s">
        <v>14</v>
      </c>
      <c r="K6704" t="s">
        <v>3</v>
      </c>
      <c r="L6704" t="s">
        <v>3</v>
      </c>
      <c r="M6704" t="s">
        <v>12</v>
      </c>
      <c r="N6704" t="s">
        <v>85</v>
      </c>
      <c r="O6704" t="s">
        <v>141</v>
      </c>
      <c r="P6704" t="s">
        <v>70</v>
      </c>
      <c r="Q6704">
        <v>1</v>
      </c>
      <c r="R6704" s="2" t="s">
        <v>214</v>
      </c>
      <c r="S6704" t="s">
        <v>9</v>
      </c>
      <c r="T6704">
        <v>5</v>
      </c>
      <c r="U6704" s="2" t="s">
        <v>28</v>
      </c>
      <c r="V6704" s="2" t="s">
        <v>28</v>
      </c>
      <c r="W6704" s="2">
        <v>18</v>
      </c>
      <c r="X6704">
        <v>100</v>
      </c>
      <c r="Y6704" s="6">
        <f t="shared" si="111"/>
        <v>3.2646592471496789</v>
      </c>
      <c r="Z6704">
        <f>101.46-X6704</f>
        <v>1.4599999999999937</v>
      </c>
    </row>
    <row r="6705" spans="1:26" x14ac:dyDescent="0.2">
      <c r="A6705" t="s">
        <v>777</v>
      </c>
      <c r="B6705">
        <v>2013</v>
      </c>
      <c r="C6705" t="s">
        <v>826</v>
      </c>
      <c r="D6705" t="s">
        <v>812</v>
      </c>
      <c r="E6705" t="s">
        <v>175</v>
      </c>
      <c r="F6705" t="s">
        <v>778</v>
      </c>
      <c r="G6705">
        <v>-32.298475000000003</v>
      </c>
      <c r="H6705">
        <v>115.701581</v>
      </c>
      <c r="I6705" t="s">
        <v>769</v>
      </c>
      <c r="J6705" s="2" t="s">
        <v>14</v>
      </c>
      <c r="K6705" t="s">
        <v>3</v>
      </c>
      <c r="L6705" t="s">
        <v>3</v>
      </c>
      <c r="M6705" t="s">
        <v>12</v>
      </c>
      <c r="N6705" t="s">
        <v>85</v>
      </c>
      <c r="O6705" t="s">
        <v>141</v>
      </c>
      <c r="P6705" t="s">
        <v>70</v>
      </c>
      <c r="Q6705">
        <v>3</v>
      </c>
      <c r="R6705" s="2" t="s">
        <v>214</v>
      </c>
      <c r="S6705" t="s">
        <v>9</v>
      </c>
      <c r="T6705">
        <v>5</v>
      </c>
      <c r="U6705" s="2" t="s">
        <v>28</v>
      </c>
      <c r="V6705" s="2" t="s">
        <v>28</v>
      </c>
      <c r="W6705" s="2">
        <v>18</v>
      </c>
      <c r="X6705">
        <v>70.900000000000006</v>
      </c>
      <c r="Y6705" s="6">
        <f t="shared" si="111"/>
        <v>10.554240853799005</v>
      </c>
      <c r="Z6705">
        <f>75.62-X6705</f>
        <v>4.7199999999999989</v>
      </c>
    </row>
    <row r="6706" spans="1:26" x14ac:dyDescent="0.2">
      <c r="A6706" t="s">
        <v>777</v>
      </c>
      <c r="B6706">
        <v>2013</v>
      </c>
      <c r="C6706" t="s">
        <v>826</v>
      </c>
      <c r="D6706" t="s">
        <v>812</v>
      </c>
      <c r="E6706" t="s">
        <v>175</v>
      </c>
      <c r="F6706" t="s">
        <v>778</v>
      </c>
      <c r="G6706">
        <v>-32.298475000000003</v>
      </c>
      <c r="H6706">
        <v>115.701581</v>
      </c>
      <c r="I6706" t="s">
        <v>769</v>
      </c>
      <c r="J6706" s="2" t="s">
        <v>14</v>
      </c>
      <c r="K6706" t="s">
        <v>3</v>
      </c>
      <c r="L6706" t="s">
        <v>3</v>
      </c>
      <c r="M6706" t="s">
        <v>12</v>
      </c>
      <c r="N6706" t="s">
        <v>85</v>
      </c>
      <c r="O6706" t="s">
        <v>141</v>
      </c>
      <c r="P6706" t="s">
        <v>70</v>
      </c>
      <c r="Q6706">
        <v>7</v>
      </c>
      <c r="R6706" s="2" t="s">
        <v>214</v>
      </c>
      <c r="S6706" t="s">
        <v>9</v>
      </c>
      <c r="T6706">
        <v>5</v>
      </c>
      <c r="U6706" s="2" t="s">
        <v>28</v>
      </c>
      <c r="V6706" s="2" t="s">
        <v>28</v>
      </c>
      <c r="W6706" s="2">
        <v>18</v>
      </c>
      <c r="X6706">
        <v>51.8</v>
      </c>
      <c r="Y6706" s="6">
        <f t="shared" si="111"/>
        <v>11.046175808848972</v>
      </c>
      <c r="Z6706">
        <f>56.74-X6706</f>
        <v>4.9400000000000048</v>
      </c>
    </row>
    <row r="6707" spans="1:26" x14ac:dyDescent="0.2">
      <c r="A6707" t="s">
        <v>777</v>
      </c>
      <c r="B6707">
        <v>2013</v>
      </c>
      <c r="C6707" t="s">
        <v>826</v>
      </c>
      <c r="D6707" t="s">
        <v>812</v>
      </c>
      <c r="E6707" t="s">
        <v>175</v>
      </c>
      <c r="F6707" t="s">
        <v>778</v>
      </c>
      <c r="G6707">
        <v>-32.298475000000003</v>
      </c>
      <c r="H6707">
        <v>115.701581</v>
      </c>
      <c r="I6707" t="s">
        <v>769</v>
      </c>
      <c r="J6707" s="2" t="s">
        <v>14</v>
      </c>
      <c r="K6707" t="s">
        <v>3</v>
      </c>
      <c r="L6707" t="s">
        <v>3</v>
      </c>
      <c r="M6707" t="s">
        <v>12</v>
      </c>
      <c r="N6707" t="s">
        <v>85</v>
      </c>
      <c r="O6707" t="s">
        <v>141</v>
      </c>
      <c r="P6707" t="s">
        <v>70</v>
      </c>
      <c r="Q6707">
        <v>11</v>
      </c>
      <c r="R6707" s="2" t="s">
        <v>214</v>
      </c>
      <c r="S6707" t="s">
        <v>9</v>
      </c>
      <c r="T6707">
        <v>5</v>
      </c>
      <c r="U6707" s="2" t="s">
        <v>28</v>
      </c>
      <c r="V6707" s="2" t="s">
        <v>28</v>
      </c>
      <c r="W6707" s="2">
        <v>18</v>
      </c>
      <c r="X6707">
        <v>46.63</v>
      </c>
      <c r="Y6707" s="6">
        <f t="shared" si="111"/>
        <v>12.298373876248844</v>
      </c>
      <c r="Z6707">
        <f>52.13-X6707</f>
        <v>5.5</v>
      </c>
    </row>
    <row r="6708" spans="1:26" x14ac:dyDescent="0.2">
      <c r="A6708" t="s">
        <v>777</v>
      </c>
      <c r="B6708">
        <v>2013</v>
      </c>
      <c r="C6708" t="s">
        <v>826</v>
      </c>
      <c r="D6708" t="s">
        <v>812</v>
      </c>
      <c r="E6708" t="s">
        <v>175</v>
      </c>
      <c r="F6708" t="s">
        <v>778</v>
      </c>
      <c r="G6708">
        <v>-32.298475000000003</v>
      </c>
      <c r="H6708">
        <v>115.701581</v>
      </c>
      <c r="I6708" t="s">
        <v>769</v>
      </c>
      <c r="J6708" s="2" t="s">
        <v>14</v>
      </c>
      <c r="K6708" t="s">
        <v>3</v>
      </c>
      <c r="L6708" t="s">
        <v>3</v>
      </c>
      <c r="M6708" t="s">
        <v>12</v>
      </c>
      <c r="N6708" t="s">
        <v>85</v>
      </c>
      <c r="O6708" t="s">
        <v>141</v>
      </c>
      <c r="P6708" t="s">
        <v>70</v>
      </c>
      <c r="Q6708">
        <v>18</v>
      </c>
      <c r="R6708" s="2" t="s">
        <v>213</v>
      </c>
      <c r="S6708" t="s">
        <v>9</v>
      </c>
      <c r="T6708">
        <v>5</v>
      </c>
      <c r="U6708" s="2" t="s">
        <v>28</v>
      </c>
      <c r="V6708" s="2" t="s">
        <v>28</v>
      </c>
      <c r="W6708" s="2">
        <v>18</v>
      </c>
      <c r="X6708">
        <v>13.26</v>
      </c>
      <c r="Y6708" s="6">
        <f t="shared" si="111"/>
        <v>7.021253449349337</v>
      </c>
      <c r="Z6708">
        <f>16.4-X6708</f>
        <v>3.1399999999999988</v>
      </c>
    </row>
    <row r="6709" spans="1:26" x14ac:dyDescent="0.2">
      <c r="A6709" t="s">
        <v>777</v>
      </c>
      <c r="B6709">
        <v>2013</v>
      </c>
      <c r="C6709" t="s">
        <v>826</v>
      </c>
      <c r="D6709" t="s">
        <v>812</v>
      </c>
      <c r="E6709" t="s">
        <v>175</v>
      </c>
      <c r="F6709" t="s">
        <v>778</v>
      </c>
      <c r="G6709">
        <v>-32.298475000000003</v>
      </c>
      <c r="H6709">
        <v>115.701581</v>
      </c>
      <c r="I6709" t="s">
        <v>769</v>
      </c>
      <c r="J6709" s="2" t="s">
        <v>14</v>
      </c>
      <c r="K6709" t="s">
        <v>3</v>
      </c>
      <c r="L6709" t="s">
        <v>3</v>
      </c>
      <c r="M6709" t="s">
        <v>12</v>
      </c>
      <c r="N6709" t="s">
        <v>85</v>
      </c>
      <c r="O6709" t="s">
        <v>141</v>
      </c>
      <c r="P6709" t="s">
        <v>70</v>
      </c>
      <c r="Q6709">
        <v>1</v>
      </c>
      <c r="R6709" s="2" t="s">
        <v>214</v>
      </c>
      <c r="S6709" t="s">
        <v>27</v>
      </c>
      <c r="T6709">
        <v>5</v>
      </c>
      <c r="U6709" s="2" t="s">
        <v>28</v>
      </c>
      <c r="V6709" s="2" t="s">
        <v>28</v>
      </c>
      <c r="W6709" s="2">
        <v>20</v>
      </c>
      <c r="X6709">
        <v>100</v>
      </c>
      <c r="Y6709" s="6">
        <f t="shared" si="111"/>
        <v>3.2646592471496789</v>
      </c>
      <c r="Z6709">
        <f>101.46-X6709</f>
        <v>1.4599999999999937</v>
      </c>
    </row>
    <row r="6710" spans="1:26" x14ac:dyDescent="0.2">
      <c r="A6710" t="s">
        <v>777</v>
      </c>
      <c r="B6710">
        <v>2013</v>
      </c>
      <c r="C6710" t="s">
        <v>826</v>
      </c>
      <c r="D6710" t="s">
        <v>812</v>
      </c>
      <c r="E6710" t="s">
        <v>175</v>
      </c>
      <c r="F6710" t="s">
        <v>778</v>
      </c>
      <c r="G6710">
        <v>-32.298475000000003</v>
      </c>
      <c r="H6710">
        <v>115.701581</v>
      </c>
      <c r="I6710" t="s">
        <v>769</v>
      </c>
      <c r="J6710" s="2" t="s">
        <v>14</v>
      </c>
      <c r="K6710" t="s">
        <v>3</v>
      </c>
      <c r="L6710" t="s">
        <v>3</v>
      </c>
      <c r="M6710" t="s">
        <v>12</v>
      </c>
      <c r="N6710" t="s">
        <v>85</v>
      </c>
      <c r="O6710" t="s">
        <v>141</v>
      </c>
      <c r="P6710" t="s">
        <v>70</v>
      </c>
      <c r="Q6710">
        <v>3</v>
      </c>
      <c r="R6710" s="2" t="s">
        <v>214</v>
      </c>
      <c r="S6710" t="s">
        <v>27</v>
      </c>
      <c r="T6710">
        <v>5</v>
      </c>
      <c r="U6710" s="2" t="s">
        <v>28</v>
      </c>
      <c r="V6710" s="2" t="s">
        <v>28</v>
      </c>
      <c r="W6710" s="2">
        <v>20</v>
      </c>
      <c r="X6710">
        <v>71.239999999999995</v>
      </c>
      <c r="Y6710" s="6">
        <f t="shared" si="111"/>
        <v>4.0025616797246375</v>
      </c>
      <c r="Z6710">
        <f>73.03-X6710</f>
        <v>1.7900000000000063</v>
      </c>
    </row>
    <row r="6711" spans="1:26" x14ac:dyDescent="0.2">
      <c r="A6711" t="s">
        <v>777</v>
      </c>
      <c r="B6711">
        <v>2013</v>
      </c>
      <c r="C6711" t="s">
        <v>826</v>
      </c>
      <c r="D6711" t="s">
        <v>812</v>
      </c>
      <c r="E6711" t="s">
        <v>175</v>
      </c>
      <c r="F6711" t="s">
        <v>778</v>
      </c>
      <c r="G6711">
        <v>-32.298475000000003</v>
      </c>
      <c r="H6711">
        <v>115.701581</v>
      </c>
      <c r="I6711" t="s">
        <v>769</v>
      </c>
      <c r="J6711" s="2" t="s">
        <v>14</v>
      </c>
      <c r="K6711" t="s">
        <v>3</v>
      </c>
      <c r="L6711" t="s">
        <v>3</v>
      </c>
      <c r="M6711" t="s">
        <v>12</v>
      </c>
      <c r="N6711" t="s">
        <v>85</v>
      </c>
      <c r="O6711" t="s">
        <v>141</v>
      </c>
      <c r="P6711" t="s">
        <v>70</v>
      </c>
      <c r="Q6711">
        <v>7</v>
      </c>
      <c r="R6711" s="2" t="s">
        <v>214</v>
      </c>
      <c r="S6711" t="s">
        <v>27</v>
      </c>
      <c r="T6711">
        <v>5</v>
      </c>
      <c r="U6711" s="2" t="s">
        <v>28</v>
      </c>
      <c r="V6711" s="2" t="s">
        <v>28</v>
      </c>
      <c r="W6711" s="2">
        <v>20</v>
      </c>
      <c r="X6711">
        <v>54.04</v>
      </c>
      <c r="Y6711" s="6">
        <f t="shared" si="111"/>
        <v>8.5641403538241914</v>
      </c>
      <c r="Z6711">
        <f>57.87-X6711</f>
        <v>3.8299999999999983</v>
      </c>
    </row>
    <row r="6712" spans="1:26" x14ac:dyDescent="0.2">
      <c r="A6712" t="s">
        <v>777</v>
      </c>
      <c r="B6712">
        <v>2013</v>
      </c>
      <c r="C6712" t="s">
        <v>826</v>
      </c>
      <c r="D6712" t="s">
        <v>812</v>
      </c>
      <c r="E6712" t="s">
        <v>175</v>
      </c>
      <c r="F6712" t="s">
        <v>778</v>
      </c>
      <c r="G6712">
        <v>-32.298475000000003</v>
      </c>
      <c r="H6712">
        <v>115.701581</v>
      </c>
      <c r="I6712" t="s">
        <v>769</v>
      </c>
      <c r="J6712" s="2" t="s">
        <v>14</v>
      </c>
      <c r="K6712" t="s">
        <v>3</v>
      </c>
      <c r="L6712" t="s">
        <v>3</v>
      </c>
      <c r="M6712" t="s">
        <v>12</v>
      </c>
      <c r="N6712" t="s">
        <v>85</v>
      </c>
      <c r="O6712" t="s">
        <v>141</v>
      </c>
      <c r="P6712" t="s">
        <v>70</v>
      </c>
      <c r="Q6712">
        <v>11</v>
      </c>
      <c r="R6712" s="2" t="s">
        <v>214</v>
      </c>
      <c r="S6712" t="s">
        <v>27</v>
      </c>
      <c r="T6712">
        <v>5</v>
      </c>
      <c r="U6712" s="2" t="s">
        <v>28</v>
      </c>
      <c r="V6712" s="2" t="s">
        <v>28</v>
      </c>
      <c r="W6712" s="2">
        <v>20</v>
      </c>
      <c r="X6712">
        <v>36.97</v>
      </c>
      <c r="Y6712" s="6">
        <f t="shared" si="111"/>
        <v>6.5293184942993898</v>
      </c>
      <c r="Z6712">
        <f>39.89-X6712</f>
        <v>2.9200000000000017</v>
      </c>
    </row>
    <row r="6713" spans="1:26" x14ac:dyDescent="0.2">
      <c r="A6713" t="s">
        <v>777</v>
      </c>
      <c r="B6713">
        <v>2013</v>
      </c>
      <c r="C6713" t="s">
        <v>826</v>
      </c>
      <c r="D6713" t="s">
        <v>812</v>
      </c>
      <c r="E6713" t="s">
        <v>175</v>
      </c>
      <c r="F6713" t="s">
        <v>778</v>
      </c>
      <c r="G6713">
        <v>-32.298475000000003</v>
      </c>
      <c r="H6713">
        <v>115.701581</v>
      </c>
      <c r="I6713" t="s">
        <v>769</v>
      </c>
      <c r="J6713" s="2" t="s">
        <v>14</v>
      </c>
      <c r="K6713" t="s">
        <v>3</v>
      </c>
      <c r="L6713" t="s">
        <v>3</v>
      </c>
      <c r="M6713" t="s">
        <v>12</v>
      </c>
      <c r="N6713" t="s">
        <v>85</v>
      </c>
      <c r="O6713" t="s">
        <v>141</v>
      </c>
      <c r="P6713" t="s">
        <v>70</v>
      </c>
      <c r="Q6713">
        <v>18</v>
      </c>
      <c r="R6713" s="2" t="s">
        <v>213</v>
      </c>
      <c r="S6713" t="s">
        <v>27</v>
      </c>
      <c r="T6713">
        <v>5</v>
      </c>
      <c r="U6713" s="2" t="s">
        <v>28</v>
      </c>
      <c r="V6713" s="2" t="s">
        <v>28</v>
      </c>
      <c r="W6713" s="2">
        <v>20</v>
      </c>
      <c r="X6713">
        <v>3.48</v>
      </c>
      <c r="Y6713" s="6">
        <f t="shared" si="111"/>
        <v>2.0124611797498106</v>
      </c>
      <c r="Z6713">
        <f>4.38-X6713</f>
        <v>0.89999999999999991</v>
      </c>
    </row>
    <row r="6714" spans="1:26" x14ac:dyDescent="0.2">
      <c r="A6714" t="s">
        <v>777</v>
      </c>
      <c r="B6714">
        <v>2013</v>
      </c>
      <c r="C6714" t="s">
        <v>826</v>
      </c>
      <c r="D6714" t="s">
        <v>812</v>
      </c>
      <c r="E6714" t="s">
        <v>175</v>
      </c>
      <c r="F6714" t="s">
        <v>778</v>
      </c>
      <c r="G6714">
        <v>-32.298475000000003</v>
      </c>
      <c r="H6714">
        <v>115.701581</v>
      </c>
      <c r="I6714" t="s">
        <v>769</v>
      </c>
      <c r="J6714" s="2" t="s">
        <v>14</v>
      </c>
      <c r="K6714" t="s">
        <v>3</v>
      </c>
      <c r="L6714" t="s">
        <v>3</v>
      </c>
      <c r="M6714" t="s">
        <v>12</v>
      </c>
      <c r="N6714" t="s">
        <v>85</v>
      </c>
      <c r="O6714" t="s">
        <v>141</v>
      </c>
      <c r="P6714" t="s">
        <v>70</v>
      </c>
      <c r="Q6714">
        <v>1</v>
      </c>
      <c r="R6714" s="2" t="s">
        <v>214</v>
      </c>
      <c r="S6714" t="s">
        <v>13</v>
      </c>
      <c r="T6714">
        <v>5</v>
      </c>
      <c r="U6714" s="2" t="s">
        <v>28</v>
      </c>
      <c r="V6714" s="2" t="s">
        <v>28</v>
      </c>
      <c r="W6714" s="2">
        <v>22</v>
      </c>
      <c r="X6714">
        <v>100</v>
      </c>
      <c r="Y6714" s="6">
        <f t="shared" si="111"/>
        <v>3.2646592471496789</v>
      </c>
      <c r="Z6714">
        <f>101.46-X6714</f>
        <v>1.4599999999999937</v>
      </c>
    </row>
    <row r="6715" spans="1:26" x14ac:dyDescent="0.2">
      <c r="A6715" t="s">
        <v>777</v>
      </c>
      <c r="B6715">
        <v>2013</v>
      </c>
      <c r="C6715" t="s">
        <v>826</v>
      </c>
      <c r="D6715" t="s">
        <v>812</v>
      </c>
      <c r="E6715" t="s">
        <v>175</v>
      </c>
      <c r="F6715" t="s">
        <v>778</v>
      </c>
      <c r="G6715">
        <v>-32.298475000000003</v>
      </c>
      <c r="H6715">
        <v>115.701581</v>
      </c>
      <c r="I6715" t="s">
        <v>769</v>
      </c>
      <c r="J6715" s="2" t="s">
        <v>14</v>
      </c>
      <c r="K6715" t="s">
        <v>3</v>
      </c>
      <c r="L6715" t="s">
        <v>3</v>
      </c>
      <c r="M6715" t="s">
        <v>12</v>
      </c>
      <c r="N6715" t="s">
        <v>85</v>
      </c>
      <c r="O6715" t="s">
        <v>141</v>
      </c>
      <c r="P6715" t="s">
        <v>70</v>
      </c>
      <c r="Q6715">
        <v>3</v>
      </c>
      <c r="R6715" s="2" t="s">
        <v>214</v>
      </c>
      <c r="S6715" t="s">
        <v>13</v>
      </c>
      <c r="T6715">
        <v>5</v>
      </c>
      <c r="U6715" s="2" t="s">
        <v>28</v>
      </c>
      <c r="V6715" s="2" t="s">
        <v>28</v>
      </c>
      <c r="W6715" s="2">
        <v>22</v>
      </c>
      <c r="X6715">
        <v>72.36</v>
      </c>
      <c r="Y6715" s="6">
        <f t="shared" si="111"/>
        <v>7.7815165616992772</v>
      </c>
      <c r="Z6715">
        <f>75.84-X6715</f>
        <v>3.480000000000004</v>
      </c>
    </row>
    <row r="6716" spans="1:26" x14ac:dyDescent="0.2">
      <c r="A6716" t="s">
        <v>777</v>
      </c>
      <c r="B6716">
        <v>2013</v>
      </c>
      <c r="C6716" t="s">
        <v>826</v>
      </c>
      <c r="D6716" t="s">
        <v>812</v>
      </c>
      <c r="E6716" t="s">
        <v>175</v>
      </c>
      <c r="F6716" t="s">
        <v>778</v>
      </c>
      <c r="G6716">
        <v>-32.298475000000003</v>
      </c>
      <c r="H6716">
        <v>115.701581</v>
      </c>
      <c r="I6716" t="s">
        <v>769</v>
      </c>
      <c r="J6716" s="2" t="s">
        <v>14</v>
      </c>
      <c r="K6716" t="s">
        <v>3</v>
      </c>
      <c r="L6716" t="s">
        <v>3</v>
      </c>
      <c r="M6716" t="s">
        <v>12</v>
      </c>
      <c r="N6716" t="s">
        <v>85</v>
      </c>
      <c r="O6716" t="s">
        <v>141</v>
      </c>
      <c r="P6716" t="s">
        <v>70</v>
      </c>
      <c r="Q6716">
        <v>7</v>
      </c>
      <c r="R6716" s="2" t="s">
        <v>214</v>
      </c>
      <c r="S6716" t="s">
        <v>13</v>
      </c>
      <c r="T6716">
        <v>5</v>
      </c>
      <c r="U6716" s="2" t="s">
        <v>28</v>
      </c>
      <c r="V6716" s="2" t="s">
        <v>28</v>
      </c>
      <c r="W6716" s="2">
        <v>22</v>
      </c>
      <c r="X6716">
        <v>42.47</v>
      </c>
      <c r="Y6716" s="6">
        <f t="shared" si="111"/>
        <v>8.0498447189992461</v>
      </c>
      <c r="Z6716">
        <f>46.07-X6716</f>
        <v>3.6000000000000014</v>
      </c>
    </row>
    <row r="6717" spans="1:26" x14ac:dyDescent="0.2">
      <c r="A6717" t="s">
        <v>777</v>
      </c>
      <c r="B6717">
        <v>2013</v>
      </c>
      <c r="C6717" t="s">
        <v>826</v>
      </c>
      <c r="D6717" t="s">
        <v>812</v>
      </c>
      <c r="E6717" t="s">
        <v>175</v>
      </c>
      <c r="F6717" t="s">
        <v>778</v>
      </c>
      <c r="G6717">
        <v>-32.298475000000003</v>
      </c>
      <c r="H6717">
        <v>115.701581</v>
      </c>
      <c r="I6717" t="s">
        <v>769</v>
      </c>
      <c r="J6717" s="2" t="s">
        <v>14</v>
      </c>
      <c r="K6717" t="s">
        <v>3</v>
      </c>
      <c r="L6717" t="s">
        <v>3</v>
      </c>
      <c r="M6717" t="s">
        <v>12</v>
      </c>
      <c r="N6717" t="s">
        <v>85</v>
      </c>
      <c r="O6717" t="s">
        <v>141</v>
      </c>
      <c r="P6717" t="s">
        <v>70</v>
      </c>
      <c r="Q6717">
        <v>11</v>
      </c>
      <c r="R6717" s="2" t="s">
        <v>214</v>
      </c>
      <c r="S6717" t="s">
        <v>13</v>
      </c>
      <c r="T6717">
        <v>5</v>
      </c>
      <c r="U6717" s="2" t="s">
        <v>28</v>
      </c>
      <c r="V6717" s="2" t="s">
        <v>28</v>
      </c>
      <c r="W6717" s="2">
        <v>22</v>
      </c>
      <c r="X6717">
        <v>6.63</v>
      </c>
      <c r="Y6717" s="6">
        <f t="shared" si="111"/>
        <v>5.0311529493745288</v>
      </c>
      <c r="Z6717">
        <f>8.88-X6717</f>
        <v>2.2500000000000009</v>
      </c>
    </row>
    <row r="6718" spans="1:26" x14ac:dyDescent="0.2">
      <c r="A6718" t="s">
        <v>777</v>
      </c>
      <c r="B6718">
        <v>2013</v>
      </c>
      <c r="C6718" t="s">
        <v>826</v>
      </c>
      <c r="D6718" t="s">
        <v>812</v>
      </c>
      <c r="E6718" t="s">
        <v>175</v>
      </c>
      <c r="F6718" t="s">
        <v>778</v>
      </c>
      <c r="G6718">
        <v>-32.298475000000003</v>
      </c>
      <c r="H6718">
        <v>115.701581</v>
      </c>
      <c r="I6718" t="s">
        <v>769</v>
      </c>
      <c r="J6718" s="2" t="s">
        <v>14</v>
      </c>
      <c r="K6718" t="s">
        <v>3</v>
      </c>
      <c r="L6718" t="s">
        <v>3</v>
      </c>
      <c r="M6718" t="s">
        <v>12</v>
      </c>
      <c r="N6718" t="s">
        <v>85</v>
      </c>
      <c r="O6718" t="s">
        <v>141</v>
      </c>
      <c r="P6718" t="s">
        <v>70</v>
      </c>
      <c r="Q6718">
        <v>18</v>
      </c>
      <c r="R6718" s="2" t="s">
        <v>213</v>
      </c>
      <c r="S6718" t="s">
        <v>13</v>
      </c>
      <c r="T6718">
        <v>5</v>
      </c>
      <c r="U6718" s="2" t="s">
        <v>28</v>
      </c>
      <c r="V6718" s="2" t="s">
        <v>28</v>
      </c>
      <c r="W6718" s="2">
        <v>22</v>
      </c>
      <c r="X6718">
        <v>1.57</v>
      </c>
      <c r="Y6718" s="6">
        <f t="shared" si="111"/>
        <v>1.2521980673998818</v>
      </c>
      <c r="Z6718">
        <f>2.13-X6718</f>
        <v>0.55999999999999983</v>
      </c>
    </row>
    <row r="6719" spans="1:26" x14ac:dyDescent="0.2">
      <c r="A6719" t="s">
        <v>777</v>
      </c>
      <c r="B6719">
        <v>2013</v>
      </c>
      <c r="C6719" t="s">
        <v>826</v>
      </c>
      <c r="D6719" t="s">
        <v>812</v>
      </c>
      <c r="E6719" t="s">
        <v>175</v>
      </c>
      <c r="F6719" t="s">
        <v>778</v>
      </c>
      <c r="G6719">
        <v>-32.298475000000003</v>
      </c>
      <c r="H6719">
        <v>115.701581</v>
      </c>
      <c r="I6719" t="s">
        <v>768</v>
      </c>
      <c r="J6719" s="2" t="s">
        <v>7</v>
      </c>
      <c r="K6719" t="s">
        <v>3</v>
      </c>
      <c r="L6719" t="s">
        <v>3</v>
      </c>
      <c r="M6719" t="s">
        <v>12</v>
      </c>
      <c r="N6719" t="s">
        <v>85</v>
      </c>
      <c r="O6719" t="s">
        <v>141</v>
      </c>
      <c r="P6719" t="s">
        <v>70</v>
      </c>
      <c r="Q6719">
        <v>3</v>
      </c>
      <c r="R6719" s="2" t="s">
        <v>214</v>
      </c>
      <c r="S6719" t="s">
        <v>7</v>
      </c>
      <c r="T6719">
        <v>5</v>
      </c>
      <c r="U6719" s="2" t="s">
        <v>28</v>
      </c>
      <c r="V6719" s="2" t="s">
        <v>28</v>
      </c>
      <c r="W6719" s="2">
        <v>16</v>
      </c>
      <c r="X6719">
        <v>69.430000000000007</v>
      </c>
      <c r="Y6719" s="6">
        <f t="shared" si="111"/>
        <v>5.724334022399467</v>
      </c>
      <c r="Z6719">
        <f>X6719-66.87</f>
        <v>2.5600000000000023</v>
      </c>
    </row>
    <row r="6720" spans="1:26" x14ac:dyDescent="0.2">
      <c r="A6720" t="s">
        <v>777</v>
      </c>
      <c r="B6720">
        <v>2013</v>
      </c>
      <c r="C6720" t="s">
        <v>826</v>
      </c>
      <c r="D6720" t="s">
        <v>812</v>
      </c>
      <c r="E6720" t="s">
        <v>175</v>
      </c>
      <c r="F6720" t="s">
        <v>778</v>
      </c>
      <c r="G6720">
        <v>-32.298475000000003</v>
      </c>
      <c r="H6720">
        <v>115.701581</v>
      </c>
      <c r="I6720" t="s">
        <v>770</v>
      </c>
      <c r="J6720" s="2" t="s">
        <v>7</v>
      </c>
      <c r="K6720" t="s">
        <v>3</v>
      </c>
      <c r="L6720" t="s">
        <v>3</v>
      </c>
      <c r="M6720" t="s">
        <v>12</v>
      </c>
      <c r="N6720" t="s">
        <v>85</v>
      </c>
      <c r="O6720" t="s">
        <v>141</v>
      </c>
      <c r="P6720" t="s">
        <v>70</v>
      </c>
      <c r="Q6720">
        <v>3</v>
      </c>
      <c r="R6720" s="2" t="s">
        <v>214</v>
      </c>
      <c r="S6720" t="s">
        <v>7</v>
      </c>
      <c r="T6720">
        <v>5</v>
      </c>
      <c r="U6720" s="2" t="s">
        <v>28</v>
      </c>
      <c r="V6720" s="2" t="s">
        <v>28</v>
      </c>
      <c r="W6720" s="2">
        <v>16</v>
      </c>
      <c r="X6720">
        <v>100.73</v>
      </c>
      <c r="Y6720" s="6">
        <f t="shared" si="111"/>
        <v>7.468467044849274</v>
      </c>
      <c r="Z6720">
        <f>104.07-X6720</f>
        <v>3.3399999999999892</v>
      </c>
    </row>
    <row r="6721" spans="1:26" x14ac:dyDescent="0.2">
      <c r="A6721" t="s">
        <v>777</v>
      </c>
      <c r="B6721">
        <v>2013</v>
      </c>
      <c r="C6721" t="s">
        <v>826</v>
      </c>
      <c r="D6721" t="s">
        <v>812</v>
      </c>
      <c r="E6721" t="s">
        <v>175</v>
      </c>
      <c r="F6721" t="s">
        <v>778</v>
      </c>
      <c r="G6721">
        <v>-32.298475000000003</v>
      </c>
      <c r="H6721">
        <v>115.701581</v>
      </c>
      <c r="I6721" s="26" t="s">
        <v>782</v>
      </c>
      <c r="J6721" s="2" t="s">
        <v>7</v>
      </c>
      <c r="K6721" t="s">
        <v>3</v>
      </c>
      <c r="L6721" t="s">
        <v>3</v>
      </c>
      <c r="M6721" t="s">
        <v>12</v>
      </c>
      <c r="N6721" t="s">
        <v>85</v>
      </c>
      <c r="O6721" t="s">
        <v>141</v>
      </c>
      <c r="P6721" t="s">
        <v>70</v>
      </c>
      <c r="Q6721">
        <v>3</v>
      </c>
      <c r="R6721" s="2" t="s">
        <v>214</v>
      </c>
      <c r="S6721" t="s">
        <v>779</v>
      </c>
      <c r="T6721">
        <v>5</v>
      </c>
      <c r="U6721" s="2" t="s">
        <v>28</v>
      </c>
      <c r="V6721" s="2" t="s">
        <v>28</v>
      </c>
      <c r="W6721" s="2">
        <v>16</v>
      </c>
      <c r="X6721">
        <v>64.790000000000006</v>
      </c>
      <c r="Y6721" s="6">
        <f t="shared" si="111"/>
        <v>16.256214196423478</v>
      </c>
      <c r="Z6721">
        <f>X6721-57.52</f>
        <v>7.2700000000000031</v>
      </c>
    </row>
    <row r="6722" spans="1:26" x14ac:dyDescent="0.2">
      <c r="A6722" t="s">
        <v>777</v>
      </c>
      <c r="B6722">
        <v>2013</v>
      </c>
      <c r="C6722" t="s">
        <v>826</v>
      </c>
      <c r="D6722" t="s">
        <v>812</v>
      </c>
      <c r="E6722" t="s">
        <v>175</v>
      </c>
      <c r="F6722" t="s">
        <v>778</v>
      </c>
      <c r="G6722">
        <v>-32.298475000000003</v>
      </c>
      <c r="H6722">
        <v>115.701581</v>
      </c>
      <c r="I6722" t="s">
        <v>762</v>
      </c>
      <c r="J6722" s="2" t="s">
        <v>7</v>
      </c>
      <c r="K6722" t="s">
        <v>3</v>
      </c>
      <c r="L6722" t="s">
        <v>3</v>
      </c>
      <c r="M6722" t="s">
        <v>12</v>
      </c>
      <c r="N6722" t="s">
        <v>85</v>
      </c>
      <c r="O6722" t="s">
        <v>141</v>
      </c>
      <c r="P6722" t="s">
        <v>70</v>
      </c>
      <c r="Q6722">
        <v>3</v>
      </c>
      <c r="R6722" s="2" t="s">
        <v>214</v>
      </c>
      <c r="S6722" t="s">
        <v>7</v>
      </c>
      <c r="T6722">
        <v>5</v>
      </c>
      <c r="U6722" s="2" t="s">
        <v>28</v>
      </c>
      <c r="V6722" s="2" t="s">
        <v>28</v>
      </c>
      <c r="W6722" s="2">
        <v>16</v>
      </c>
      <c r="X6722">
        <v>39.29</v>
      </c>
      <c r="Y6722" s="6">
        <f t="shared" si="111"/>
        <v>14.512081173973641</v>
      </c>
      <c r="Z6722">
        <f>X6722-32.8</f>
        <v>6.490000000000002</v>
      </c>
    </row>
    <row r="6723" spans="1:26" x14ac:dyDescent="0.2">
      <c r="A6723" t="s">
        <v>777</v>
      </c>
      <c r="B6723">
        <v>2013</v>
      </c>
      <c r="C6723" t="s">
        <v>826</v>
      </c>
      <c r="D6723" t="s">
        <v>812</v>
      </c>
      <c r="E6723" t="s">
        <v>175</v>
      </c>
      <c r="F6723" t="s">
        <v>778</v>
      </c>
      <c r="G6723">
        <v>-32.298475000000003</v>
      </c>
      <c r="H6723">
        <v>115.701581</v>
      </c>
      <c r="I6723" s="26" t="s">
        <v>783</v>
      </c>
      <c r="J6723" s="2" t="s">
        <v>7</v>
      </c>
      <c r="K6723" t="s">
        <v>3</v>
      </c>
      <c r="L6723" t="s">
        <v>3</v>
      </c>
      <c r="M6723" t="s">
        <v>12</v>
      </c>
      <c r="N6723" t="s">
        <v>85</v>
      </c>
      <c r="O6723" t="s">
        <v>141</v>
      </c>
      <c r="P6723" t="s">
        <v>70</v>
      </c>
      <c r="Q6723">
        <v>3</v>
      </c>
      <c r="R6723" s="2" t="s">
        <v>214</v>
      </c>
      <c r="S6723" t="s">
        <v>779</v>
      </c>
      <c r="T6723">
        <v>5</v>
      </c>
      <c r="U6723" s="2" t="s">
        <v>28</v>
      </c>
      <c r="V6723" s="2" t="s">
        <v>28</v>
      </c>
      <c r="W6723" s="2">
        <v>16</v>
      </c>
      <c r="X6723">
        <v>86.51</v>
      </c>
      <c r="Y6723" s="6">
        <f t="shared" si="111"/>
        <v>20.929596269398033</v>
      </c>
      <c r="Z6723">
        <f>95.87-X6723</f>
        <v>9.36</v>
      </c>
    </row>
    <row r="6724" spans="1:26" x14ac:dyDescent="0.2">
      <c r="A6724" t="s">
        <v>777</v>
      </c>
      <c r="B6724">
        <v>2013</v>
      </c>
      <c r="C6724" t="s">
        <v>826</v>
      </c>
      <c r="D6724" t="s">
        <v>812</v>
      </c>
      <c r="E6724" t="s">
        <v>175</v>
      </c>
      <c r="F6724" t="s">
        <v>778</v>
      </c>
      <c r="G6724">
        <v>-32.298475000000003</v>
      </c>
      <c r="H6724">
        <v>115.701581</v>
      </c>
      <c r="I6724" t="s">
        <v>772</v>
      </c>
      <c r="J6724" s="2" t="s">
        <v>7</v>
      </c>
      <c r="K6724" t="s">
        <v>3</v>
      </c>
      <c r="L6724" t="s">
        <v>3</v>
      </c>
      <c r="M6724" t="s">
        <v>12</v>
      </c>
      <c r="N6724" t="s">
        <v>85</v>
      </c>
      <c r="O6724" t="s">
        <v>141</v>
      </c>
      <c r="P6724" t="s">
        <v>70</v>
      </c>
      <c r="Q6724">
        <v>3</v>
      </c>
      <c r="R6724" s="2" t="s">
        <v>214</v>
      </c>
      <c r="S6724" t="s">
        <v>7</v>
      </c>
      <c r="T6724">
        <v>5</v>
      </c>
      <c r="U6724" s="2" t="s">
        <v>28</v>
      </c>
      <c r="V6724" s="2" t="s">
        <v>28</v>
      </c>
      <c r="W6724" s="2">
        <v>16</v>
      </c>
      <c r="X6724">
        <v>79.88</v>
      </c>
      <c r="Y6724" s="6">
        <f t="shared" si="111"/>
        <v>10.554240853799005</v>
      </c>
      <c r="Z6724">
        <f>84.6-X6724</f>
        <v>4.7199999999999989</v>
      </c>
    </row>
    <row r="6725" spans="1:26" x14ac:dyDescent="0.2">
      <c r="A6725" t="s">
        <v>777</v>
      </c>
      <c r="B6725">
        <v>2013</v>
      </c>
      <c r="C6725" t="s">
        <v>826</v>
      </c>
      <c r="D6725" t="s">
        <v>812</v>
      </c>
      <c r="E6725" t="s">
        <v>175</v>
      </c>
      <c r="F6725" t="s">
        <v>778</v>
      </c>
      <c r="G6725">
        <v>-32.298475000000003</v>
      </c>
      <c r="H6725">
        <v>115.701581</v>
      </c>
      <c r="I6725" s="26" t="s">
        <v>784</v>
      </c>
      <c r="J6725" s="2" t="s">
        <v>7</v>
      </c>
      <c r="K6725" t="s">
        <v>3</v>
      </c>
      <c r="L6725" t="s">
        <v>3</v>
      </c>
      <c r="M6725" t="s">
        <v>12</v>
      </c>
      <c r="N6725" t="s">
        <v>85</v>
      </c>
      <c r="O6725" t="s">
        <v>141</v>
      </c>
      <c r="P6725" t="s">
        <v>70</v>
      </c>
      <c r="Q6725">
        <v>3</v>
      </c>
      <c r="R6725" s="2" t="s">
        <v>214</v>
      </c>
      <c r="S6725" t="s">
        <v>779</v>
      </c>
      <c r="T6725">
        <v>5</v>
      </c>
      <c r="U6725" s="2" t="s">
        <v>28</v>
      </c>
      <c r="V6725" s="2" t="s">
        <v>28</v>
      </c>
      <c r="W6725" s="2">
        <v>16</v>
      </c>
      <c r="X6725">
        <v>59.69</v>
      </c>
      <c r="Y6725" s="6">
        <f t="shared" si="111"/>
        <v>13.170440387473763</v>
      </c>
      <c r="Z6725">
        <f>65.58-X6725</f>
        <v>5.8900000000000006</v>
      </c>
    </row>
    <row r="6726" spans="1:26" x14ac:dyDescent="0.2">
      <c r="A6726" t="s">
        <v>777</v>
      </c>
      <c r="B6726">
        <v>2013</v>
      </c>
      <c r="C6726" t="s">
        <v>826</v>
      </c>
      <c r="D6726" t="s">
        <v>812</v>
      </c>
      <c r="E6726" t="s">
        <v>175</v>
      </c>
      <c r="F6726" t="s">
        <v>778</v>
      </c>
      <c r="G6726">
        <v>-32.298475000000003</v>
      </c>
      <c r="H6726">
        <v>115.701581</v>
      </c>
      <c r="I6726" t="s">
        <v>768</v>
      </c>
      <c r="J6726" s="2" t="s">
        <v>14</v>
      </c>
      <c r="K6726" t="s">
        <v>3</v>
      </c>
      <c r="L6726" t="s">
        <v>3</v>
      </c>
      <c r="M6726" t="s">
        <v>12</v>
      </c>
      <c r="N6726" t="s">
        <v>85</v>
      </c>
      <c r="O6726" t="s">
        <v>141</v>
      </c>
      <c r="P6726" t="s">
        <v>70</v>
      </c>
      <c r="Q6726">
        <v>3</v>
      </c>
      <c r="R6726" s="2" t="s">
        <v>214</v>
      </c>
      <c r="S6726" t="s">
        <v>9</v>
      </c>
      <c r="T6726">
        <v>5</v>
      </c>
      <c r="U6726" s="2" t="s">
        <v>28</v>
      </c>
      <c r="V6726" s="2" t="s">
        <v>28</v>
      </c>
      <c r="W6726" s="2">
        <v>18</v>
      </c>
      <c r="X6726">
        <v>70.53</v>
      </c>
      <c r="Y6726" s="6">
        <f t="shared" si="111"/>
        <v>157.70987445306017</v>
      </c>
      <c r="Z6726">
        <f>X6726-AA6726</f>
        <v>70.53</v>
      </c>
    </row>
    <row r="6727" spans="1:26" x14ac:dyDescent="0.2">
      <c r="A6727" t="s">
        <v>777</v>
      </c>
      <c r="B6727">
        <v>2013</v>
      </c>
      <c r="C6727" t="s">
        <v>826</v>
      </c>
      <c r="D6727" t="s">
        <v>812</v>
      </c>
      <c r="E6727" t="s">
        <v>175</v>
      </c>
      <c r="F6727" t="s">
        <v>778</v>
      </c>
      <c r="G6727">
        <v>-32.298475000000003</v>
      </c>
      <c r="H6727">
        <v>115.701581</v>
      </c>
      <c r="I6727" t="s">
        <v>770</v>
      </c>
      <c r="J6727" s="2" t="s">
        <v>14</v>
      </c>
      <c r="K6727" t="s">
        <v>3</v>
      </c>
      <c r="L6727" t="s">
        <v>3</v>
      </c>
      <c r="M6727" t="s">
        <v>12</v>
      </c>
      <c r="N6727" t="s">
        <v>85</v>
      </c>
      <c r="O6727" t="s">
        <v>141</v>
      </c>
      <c r="P6727" t="s">
        <v>70</v>
      </c>
      <c r="Q6727">
        <v>3</v>
      </c>
      <c r="R6727" s="2" t="s">
        <v>214</v>
      </c>
      <c r="S6727" t="s">
        <v>9</v>
      </c>
      <c r="T6727">
        <v>5</v>
      </c>
      <c r="U6727" s="2" t="s">
        <v>28</v>
      </c>
      <c r="V6727" s="2" t="s">
        <v>28</v>
      </c>
      <c r="W6727" s="2">
        <v>18</v>
      </c>
      <c r="X6727">
        <v>82.12</v>
      </c>
      <c r="Y6727" s="6">
        <f t="shared" si="111"/>
        <v>8.7877471515741572</v>
      </c>
      <c r="Z6727">
        <f>86.05-X6727</f>
        <v>3.9299999999999926</v>
      </c>
    </row>
    <row r="6728" spans="1:26" x14ac:dyDescent="0.2">
      <c r="A6728" t="s">
        <v>777</v>
      </c>
      <c r="B6728">
        <v>2013</v>
      </c>
      <c r="C6728" t="s">
        <v>826</v>
      </c>
      <c r="D6728" t="s">
        <v>812</v>
      </c>
      <c r="E6728" t="s">
        <v>175</v>
      </c>
      <c r="F6728" t="s">
        <v>778</v>
      </c>
      <c r="G6728">
        <v>-32.298475000000003</v>
      </c>
      <c r="H6728">
        <v>115.701581</v>
      </c>
      <c r="I6728" s="26" t="s">
        <v>782</v>
      </c>
      <c r="J6728" s="2" t="s">
        <v>14</v>
      </c>
      <c r="K6728" t="s">
        <v>3</v>
      </c>
      <c r="L6728" t="s">
        <v>3</v>
      </c>
      <c r="M6728" t="s">
        <v>12</v>
      </c>
      <c r="N6728" t="s">
        <v>85</v>
      </c>
      <c r="O6728" t="s">
        <v>141</v>
      </c>
      <c r="P6728" t="s">
        <v>70</v>
      </c>
      <c r="Q6728">
        <v>3</v>
      </c>
      <c r="R6728" s="2" t="s">
        <v>214</v>
      </c>
      <c r="S6728" t="s">
        <v>15</v>
      </c>
      <c r="T6728">
        <v>5</v>
      </c>
      <c r="U6728" s="2" t="s">
        <v>28</v>
      </c>
      <c r="V6728" s="2" t="s">
        <v>28</v>
      </c>
      <c r="W6728" s="2">
        <v>18</v>
      </c>
      <c r="X6728">
        <v>33.200000000000003</v>
      </c>
      <c r="Y6728" s="6">
        <f t="shared" si="111"/>
        <v>6.5964005336243705</v>
      </c>
      <c r="Z6728">
        <f>36.15-X6728</f>
        <v>2.9499999999999957</v>
      </c>
    </row>
    <row r="6729" spans="1:26" x14ac:dyDescent="0.2">
      <c r="A6729" t="s">
        <v>777</v>
      </c>
      <c r="B6729">
        <v>2013</v>
      </c>
      <c r="C6729" t="s">
        <v>826</v>
      </c>
      <c r="D6729" t="s">
        <v>812</v>
      </c>
      <c r="E6729" t="s">
        <v>175</v>
      </c>
      <c r="F6729" t="s">
        <v>778</v>
      </c>
      <c r="G6729">
        <v>-32.298475000000003</v>
      </c>
      <c r="H6729">
        <v>115.701581</v>
      </c>
      <c r="I6729" t="s">
        <v>762</v>
      </c>
      <c r="J6729" s="2" t="s">
        <v>14</v>
      </c>
      <c r="K6729" t="s">
        <v>3</v>
      </c>
      <c r="L6729" t="s">
        <v>3</v>
      </c>
      <c r="M6729" t="s">
        <v>12</v>
      </c>
      <c r="N6729" t="s">
        <v>85</v>
      </c>
      <c r="O6729" t="s">
        <v>141</v>
      </c>
      <c r="P6729" t="s">
        <v>70</v>
      </c>
      <c r="Q6729">
        <v>3</v>
      </c>
      <c r="R6729" s="2" t="s">
        <v>214</v>
      </c>
      <c r="S6729" t="s">
        <v>9</v>
      </c>
      <c r="T6729">
        <v>5</v>
      </c>
      <c r="U6729" s="2" t="s">
        <v>28</v>
      </c>
      <c r="V6729" s="2" t="s">
        <v>28</v>
      </c>
      <c r="W6729" s="2">
        <v>18</v>
      </c>
      <c r="X6729">
        <v>45.97</v>
      </c>
      <c r="Y6729" s="6">
        <f t="shared" si="111"/>
        <v>21.086121027823019</v>
      </c>
      <c r="Z6729">
        <f>55.4-X6729</f>
        <v>9.43</v>
      </c>
    </row>
    <row r="6730" spans="1:26" x14ac:dyDescent="0.2">
      <c r="A6730" t="s">
        <v>777</v>
      </c>
      <c r="B6730">
        <v>2013</v>
      </c>
      <c r="C6730" t="s">
        <v>826</v>
      </c>
      <c r="D6730" t="s">
        <v>812</v>
      </c>
      <c r="E6730" t="s">
        <v>175</v>
      </c>
      <c r="F6730" t="s">
        <v>778</v>
      </c>
      <c r="G6730">
        <v>-32.298475000000003</v>
      </c>
      <c r="H6730">
        <v>115.701581</v>
      </c>
      <c r="I6730" s="26" t="s">
        <v>783</v>
      </c>
      <c r="J6730" s="2" t="s">
        <v>14</v>
      </c>
      <c r="K6730" t="s">
        <v>3</v>
      </c>
      <c r="L6730" t="s">
        <v>3</v>
      </c>
      <c r="M6730" t="s">
        <v>12</v>
      </c>
      <c r="N6730" t="s">
        <v>85</v>
      </c>
      <c r="O6730" t="s">
        <v>141</v>
      </c>
      <c r="P6730" t="s">
        <v>70</v>
      </c>
      <c r="Q6730">
        <v>3</v>
      </c>
      <c r="R6730" s="2" t="s">
        <v>214</v>
      </c>
      <c r="S6730" t="s">
        <v>15</v>
      </c>
      <c r="T6730">
        <v>5</v>
      </c>
      <c r="U6730" s="2" t="s">
        <v>28</v>
      </c>
      <c r="V6730" s="2" t="s">
        <v>28</v>
      </c>
      <c r="W6730" s="2">
        <v>18</v>
      </c>
      <c r="X6730">
        <v>81.93</v>
      </c>
      <c r="Y6730" s="6">
        <f t="shared" si="111"/>
        <v>15.809000600923499</v>
      </c>
      <c r="Z6730">
        <f>89-X6730</f>
        <v>7.0699999999999932</v>
      </c>
    </row>
    <row r="6731" spans="1:26" x14ac:dyDescent="0.2">
      <c r="A6731" t="s">
        <v>777</v>
      </c>
      <c r="B6731">
        <v>2013</v>
      </c>
      <c r="C6731" t="s">
        <v>826</v>
      </c>
      <c r="D6731" t="s">
        <v>812</v>
      </c>
      <c r="E6731" t="s">
        <v>175</v>
      </c>
      <c r="F6731" t="s">
        <v>778</v>
      </c>
      <c r="G6731">
        <v>-32.298475000000003</v>
      </c>
      <c r="H6731">
        <v>115.701581</v>
      </c>
      <c r="I6731" t="s">
        <v>772</v>
      </c>
      <c r="J6731" s="2" t="s">
        <v>14</v>
      </c>
      <c r="K6731" t="s">
        <v>3</v>
      </c>
      <c r="L6731" t="s">
        <v>3</v>
      </c>
      <c r="M6731" t="s">
        <v>12</v>
      </c>
      <c r="N6731" t="s">
        <v>85</v>
      </c>
      <c r="O6731" t="s">
        <v>141</v>
      </c>
      <c r="P6731" t="s">
        <v>70</v>
      </c>
      <c r="Q6731">
        <v>3</v>
      </c>
      <c r="R6731" s="2" t="s">
        <v>214</v>
      </c>
      <c r="S6731" t="s">
        <v>9</v>
      </c>
      <c r="T6731">
        <v>5</v>
      </c>
      <c r="U6731" s="2" t="s">
        <v>28</v>
      </c>
      <c r="V6731" s="2" t="s">
        <v>28</v>
      </c>
      <c r="W6731" s="2">
        <v>18</v>
      </c>
      <c r="X6731">
        <v>62.87</v>
      </c>
      <c r="Y6731" s="6">
        <f t="shared" si="111"/>
        <v>7.8933199605742761</v>
      </c>
      <c r="Z6731">
        <f>66.4-X6731</f>
        <v>3.5300000000000082</v>
      </c>
    </row>
    <row r="6732" spans="1:26" x14ac:dyDescent="0.2">
      <c r="A6732" t="s">
        <v>777</v>
      </c>
      <c r="B6732">
        <v>2013</v>
      </c>
      <c r="C6732" t="s">
        <v>826</v>
      </c>
      <c r="D6732" t="s">
        <v>812</v>
      </c>
      <c r="E6732" t="s">
        <v>175</v>
      </c>
      <c r="F6732" t="s">
        <v>778</v>
      </c>
      <c r="G6732">
        <v>-32.298475000000003</v>
      </c>
      <c r="H6732">
        <v>115.701581</v>
      </c>
      <c r="I6732" s="26" t="s">
        <v>784</v>
      </c>
      <c r="J6732" s="2" t="s">
        <v>14</v>
      </c>
      <c r="K6732" t="s">
        <v>3</v>
      </c>
      <c r="L6732" t="s">
        <v>3</v>
      </c>
      <c r="M6732" t="s">
        <v>12</v>
      </c>
      <c r="N6732" t="s">
        <v>85</v>
      </c>
      <c r="O6732" t="s">
        <v>141</v>
      </c>
      <c r="P6732" t="s">
        <v>70</v>
      </c>
      <c r="Q6732">
        <v>3</v>
      </c>
      <c r="R6732" s="2" t="s">
        <v>214</v>
      </c>
      <c r="S6732" t="s">
        <v>15</v>
      </c>
      <c r="T6732">
        <v>5</v>
      </c>
      <c r="U6732" s="2" t="s">
        <v>28</v>
      </c>
      <c r="V6732" s="2" t="s">
        <v>28</v>
      </c>
      <c r="W6732" s="2">
        <v>18</v>
      </c>
      <c r="X6732">
        <v>49.9</v>
      </c>
      <c r="Y6732" s="6">
        <f t="shared" si="111"/>
        <v>7.043614129124335</v>
      </c>
      <c r="Z6732">
        <f>53.05-X6732</f>
        <v>3.1499999999999986</v>
      </c>
    </row>
    <row r="6733" spans="1:26" x14ac:dyDescent="0.2">
      <c r="A6733" t="s">
        <v>777</v>
      </c>
      <c r="B6733">
        <v>2013</v>
      </c>
      <c r="C6733" t="s">
        <v>826</v>
      </c>
      <c r="D6733" t="s">
        <v>812</v>
      </c>
      <c r="E6733" t="s">
        <v>175</v>
      </c>
      <c r="F6733" t="s">
        <v>778</v>
      </c>
      <c r="G6733">
        <v>-32.298475000000003</v>
      </c>
      <c r="H6733">
        <v>115.701581</v>
      </c>
      <c r="I6733" t="s">
        <v>768</v>
      </c>
      <c r="J6733" s="2" t="s">
        <v>14</v>
      </c>
      <c r="K6733" t="s">
        <v>3</v>
      </c>
      <c r="L6733" t="s">
        <v>3</v>
      </c>
      <c r="M6733" t="s">
        <v>12</v>
      </c>
      <c r="N6733" t="s">
        <v>85</v>
      </c>
      <c r="O6733" t="s">
        <v>141</v>
      </c>
      <c r="P6733" t="s">
        <v>70</v>
      </c>
      <c r="Q6733">
        <v>3</v>
      </c>
      <c r="R6733" s="2" t="s">
        <v>214</v>
      </c>
      <c r="S6733" t="s">
        <v>27</v>
      </c>
      <c r="T6733">
        <v>5</v>
      </c>
      <c r="U6733" s="2" t="s">
        <v>28</v>
      </c>
      <c r="V6733" s="2" t="s">
        <v>28</v>
      </c>
      <c r="W6733" s="2">
        <v>20</v>
      </c>
      <c r="X6733">
        <v>71.12</v>
      </c>
      <c r="Y6733" s="6">
        <f t="shared" si="111"/>
        <v>9.2349607470741208</v>
      </c>
      <c r="Z6733">
        <f>75.25-X6733</f>
        <v>4.1299999999999955</v>
      </c>
    </row>
    <row r="6734" spans="1:26" x14ac:dyDescent="0.2">
      <c r="A6734" t="s">
        <v>777</v>
      </c>
      <c r="B6734">
        <v>2013</v>
      </c>
      <c r="C6734" t="s">
        <v>826</v>
      </c>
      <c r="D6734" t="s">
        <v>812</v>
      </c>
      <c r="E6734" t="s">
        <v>175</v>
      </c>
      <c r="F6734" t="s">
        <v>778</v>
      </c>
      <c r="G6734">
        <v>-32.298475000000003</v>
      </c>
      <c r="H6734">
        <v>115.701581</v>
      </c>
      <c r="I6734" t="s">
        <v>770</v>
      </c>
      <c r="J6734" s="2" t="s">
        <v>14</v>
      </c>
      <c r="K6734" t="s">
        <v>3</v>
      </c>
      <c r="L6734" t="s">
        <v>3</v>
      </c>
      <c r="M6734" t="s">
        <v>12</v>
      </c>
      <c r="N6734" t="s">
        <v>85</v>
      </c>
      <c r="O6734" t="s">
        <v>141</v>
      </c>
      <c r="P6734" t="s">
        <v>70</v>
      </c>
      <c r="Q6734">
        <v>3</v>
      </c>
      <c r="R6734" s="2" t="s">
        <v>214</v>
      </c>
      <c r="S6734" t="s">
        <v>27</v>
      </c>
      <c r="T6734">
        <v>5</v>
      </c>
      <c r="U6734" s="2" t="s">
        <v>28</v>
      </c>
      <c r="V6734" s="2" t="s">
        <v>28</v>
      </c>
      <c r="W6734" s="2">
        <v>20</v>
      </c>
      <c r="X6734">
        <v>72.5</v>
      </c>
      <c r="Y6734" s="6">
        <f t="shared" si="111"/>
        <v>10.107027258299041</v>
      </c>
      <c r="Z6734">
        <f>X6734-67.98</f>
        <v>4.519999999999996</v>
      </c>
    </row>
    <row r="6735" spans="1:26" x14ac:dyDescent="0.2">
      <c r="A6735" t="s">
        <v>777</v>
      </c>
      <c r="B6735">
        <v>2013</v>
      </c>
      <c r="C6735" t="s">
        <v>826</v>
      </c>
      <c r="D6735" t="s">
        <v>812</v>
      </c>
      <c r="E6735" t="s">
        <v>175</v>
      </c>
      <c r="F6735" t="s">
        <v>778</v>
      </c>
      <c r="G6735">
        <v>-32.298475000000003</v>
      </c>
      <c r="H6735">
        <v>115.701581</v>
      </c>
      <c r="I6735" s="26" t="s">
        <v>782</v>
      </c>
      <c r="J6735" s="2" t="s">
        <v>14</v>
      </c>
      <c r="K6735" t="s">
        <v>3</v>
      </c>
      <c r="L6735" t="s">
        <v>3</v>
      </c>
      <c r="M6735" t="s">
        <v>12</v>
      </c>
      <c r="N6735" t="s">
        <v>85</v>
      </c>
      <c r="O6735" t="s">
        <v>141</v>
      </c>
      <c r="P6735" t="s">
        <v>70</v>
      </c>
      <c r="Q6735">
        <v>3</v>
      </c>
      <c r="R6735" s="2" t="s">
        <v>214</v>
      </c>
      <c r="S6735" t="s">
        <v>37</v>
      </c>
      <c r="T6735">
        <v>5</v>
      </c>
      <c r="U6735" s="2" t="s">
        <v>28</v>
      </c>
      <c r="V6735" s="2" t="s">
        <v>28</v>
      </c>
      <c r="W6735" s="2">
        <v>20</v>
      </c>
      <c r="X6735">
        <v>69.94</v>
      </c>
      <c r="Y6735" s="6">
        <f t="shared" si="111"/>
        <v>27.682521561447388</v>
      </c>
      <c r="Z6735">
        <f>82.32-X6735</f>
        <v>12.379999999999995</v>
      </c>
    </row>
    <row r="6736" spans="1:26" x14ac:dyDescent="0.2">
      <c r="A6736" t="s">
        <v>777</v>
      </c>
      <c r="B6736">
        <v>2013</v>
      </c>
      <c r="C6736" t="s">
        <v>826</v>
      </c>
      <c r="D6736" t="s">
        <v>812</v>
      </c>
      <c r="E6736" t="s">
        <v>175</v>
      </c>
      <c r="F6736" t="s">
        <v>778</v>
      </c>
      <c r="G6736">
        <v>-32.298475000000003</v>
      </c>
      <c r="H6736">
        <v>115.701581</v>
      </c>
      <c r="I6736" t="s">
        <v>762</v>
      </c>
      <c r="J6736" s="2" t="s">
        <v>14</v>
      </c>
      <c r="K6736" t="s">
        <v>3</v>
      </c>
      <c r="L6736" t="s">
        <v>3</v>
      </c>
      <c r="M6736" t="s">
        <v>12</v>
      </c>
      <c r="N6736" t="s">
        <v>85</v>
      </c>
      <c r="O6736" t="s">
        <v>141</v>
      </c>
      <c r="P6736" t="s">
        <v>70</v>
      </c>
      <c r="Q6736">
        <v>3</v>
      </c>
      <c r="R6736" s="2" t="s">
        <v>214</v>
      </c>
      <c r="S6736" t="s">
        <v>27</v>
      </c>
      <c r="T6736">
        <v>5</v>
      </c>
      <c r="U6736" s="2" t="s">
        <v>28</v>
      </c>
      <c r="V6736" s="2" t="s">
        <v>28</v>
      </c>
      <c r="W6736" s="2">
        <v>20</v>
      </c>
      <c r="X6736">
        <v>60.12</v>
      </c>
      <c r="Y6736" s="6">
        <f t="shared" si="111"/>
        <v>28.554588072672324</v>
      </c>
      <c r="Z6736">
        <f>72.89-X6736</f>
        <v>12.770000000000003</v>
      </c>
    </row>
    <row r="6737" spans="1:26" x14ac:dyDescent="0.2">
      <c r="A6737" t="s">
        <v>777</v>
      </c>
      <c r="B6737">
        <v>2013</v>
      </c>
      <c r="C6737" t="s">
        <v>826</v>
      </c>
      <c r="D6737" t="s">
        <v>812</v>
      </c>
      <c r="E6737" t="s">
        <v>175</v>
      </c>
      <c r="F6737" t="s">
        <v>778</v>
      </c>
      <c r="G6737">
        <v>-32.298475000000003</v>
      </c>
      <c r="H6737">
        <v>115.701581</v>
      </c>
      <c r="I6737" s="26" t="s">
        <v>783</v>
      </c>
      <c r="J6737" s="2" t="s">
        <v>14</v>
      </c>
      <c r="K6737" t="s">
        <v>3</v>
      </c>
      <c r="L6737" t="s">
        <v>3</v>
      </c>
      <c r="M6737" t="s">
        <v>12</v>
      </c>
      <c r="N6737" t="s">
        <v>85</v>
      </c>
      <c r="O6737" t="s">
        <v>141</v>
      </c>
      <c r="P6737" t="s">
        <v>70</v>
      </c>
      <c r="Q6737">
        <v>3</v>
      </c>
      <c r="R6737" s="2" t="s">
        <v>214</v>
      </c>
      <c r="S6737" t="s">
        <v>37</v>
      </c>
      <c r="T6737">
        <v>5</v>
      </c>
      <c r="U6737" s="2" t="s">
        <v>28</v>
      </c>
      <c r="V6737" s="2" t="s">
        <v>28</v>
      </c>
      <c r="W6737" s="2">
        <v>20</v>
      </c>
      <c r="X6737">
        <v>63.85</v>
      </c>
      <c r="Y6737" s="6">
        <f t="shared" si="111"/>
        <v>16.70342779192341</v>
      </c>
      <c r="Z6737">
        <f>71.32-X6737</f>
        <v>7.4699999999999918</v>
      </c>
    </row>
    <row r="6738" spans="1:26" x14ac:dyDescent="0.2">
      <c r="A6738" t="s">
        <v>777</v>
      </c>
      <c r="B6738">
        <v>2013</v>
      </c>
      <c r="C6738" t="s">
        <v>826</v>
      </c>
      <c r="D6738" t="s">
        <v>812</v>
      </c>
      <c r="E6738" t="s">
        <v>175</v>
      </c>
      <c r="F6738" t="s">
        <v>778</v>
      </c>
      <c r="G6738">
        <v>-32.298475000000003</v>
      </c>
      <c r="H6738">
        <v>115.701581</v>
      </c>
      <c r="I6738" t="s">
        <v>772</v>
      </c>
      <c r="J6738" s="2" t="s">
        <v>14</v>
      </c>
      <c r="K6738" t="s">
        <v>3</v>
      </c>
      <c r="L6738" t="s">
        <v>3</v>
      </c>
      <c r="M6738" t="s">
        <v>12</v>
      </c>
      <c r="N6738" t="s">
        <v>85</v>
      </c>
      <c r="O6738" t="s">
        <v>141</v>
      </c>
      <c r="P6738" t="s">
        <v>70</v>
      </c>
      <c r="Q6738">
        <v>3</v>
      </c>
      <c r="R6738" s="2" t="s">
        <v>214</v>
      </c>
      <c r="S6738" t="s">
        <v>27</v>
      </c>
      <c r="T6738">
        <v>5</v>
      </c>
      <c r="U6738" s="2" t="s">
        <v>28</v>
      </c>
      <c r="V6738" s="2" t="s">
        <v>28</v>
      </c>
      <c r="W6738" s="2">
        <v>20</v>
      </c>
      <c r="X6738">
        <v>51.47</v>
      </c>
      <c r="Y6738" s="6">
        <f t="shared" si="111"/>
        <v>16.681067112148433</v>
      </c>
      <c r="Z6738">
        <f>X6738-44.01</f>
        <v>7.4600000000000009</v>
      </c>
    </row>
    <row r="6739" spans="1:26" x14ac:dyDescent="0.2">
      <c r="A6739" t="s">
        <v>777</v>
      </c>
      <c r="B6739">
        <v>2013</v>
      </c>
      <c r="C6739" t="s">
        <v>826</v>
      </c>
      <c r="D6739" t="s">
        <v>812</v>
      </c>
      <c r="E6739" t="s">
        <v>175</v>
      </c>
      <c r="F6739" t="s">
        <v>778</v>
      </c>
      <c r="G6739">
        <v>-32.298475000000003</v>
      </c>
      <c r="H6739">
        <v>115.701581</v>
      </c>
      <c r="I6739" s="26" t="s">
        <v>784</v>
      </c>
      <c r="J6739" s="2" t="s">
        <v>14</v>
      </c>
      <c r="K6739" t="s">
        <v>3</v>
      </c>
      <c r="L6739" t="s">
        <v>3</v>
      </c>
      <c r="M6739" t="s">
        <v>12</v>
      </c>
      <c r="N6739" t="s">
        <v>85</v>
      </c>
      <c r="O6739" t="s">
        <v>141</v>
      </c>
      <c r="P6739" t="s">
        <v>70</v>
      </c>
      <c r="Q6739">
        <v>3</v>
      </c>
      <c r="R6739" s="2" t="s">
        <v>214</v>
      </c>
      <c r="S6739" t="s">
        <v>37</v>
      </c>
      <c r="T6739">
        <v>5</v>
      </c>
      <c r="U6739" s="2" t="s">
        <v>28</v>
      </c>
      <c r="V6739" s="2" t="s">
        <v>28</v>
      </c>
      <c r="W6739" s="2">
        <v>20</v>
      </c>
      <c r="X6739">
        <v>37.92</v>
      </c>
      <c r="Y6739" s="6">
        <f t="shared" si="111"/>
        <v>16.256214196423478</v>
      </c>
      <c r="Z6739">
        <f>X6739-30.65</f>
        <v>7.2700000000000031</v>
      </c>
    </row>
    <row r="6740" spans="1:26" x14ac:dyDescent="0.2">
      <c r="A6740" t="s">
        <v>777</v>
      </c>
      <c r="B6740">
        <v>2013</v>
      </c>
      <c r="C6740" t="s">
        <v>826</v>
      </c>
      <c r="D6740" t="s">
        <v>812</v>
      </c>
      <c r="E6740" t="s">
        <v>175</v>
      </c>
      <c r="F6740" t="s">
        <v>778</v>
      </c>
      <c r="G6740">
        <v>-32.298475000000003</v>
      </c>
      <c r="H6740">
        <v>115.701581</v>
      </c>
      <c r="I6740" t="s">
        <v>768</v>
      </c>
      <c r="J6740" s="2" t="s">
        <v>14</v>
      </c>
      <c r="K6740" t="s">
        <v>3</v>
      </c>
      <c r="L6740" t="s">
        <v>3</v>
      </c>
      <c r="M6740" t="s">
        <v>12</v>
      </c>
      <c r="N6740" t="s">
        <v>85</v>
      </c>
      <c r="O6740" t="s">
        <v>141</v>
      </c>
      <c r="P6740" t="s">
        <v>70</v>
      </c>
      <c r="Q6740">
        <v>3</v>
      </c>
      <c r="R6740" s="2" t="s">
        <v>214</v>
      </c>
      <c r="S6740" t="s">
        <v>13</v>
      </c>
      <c r="T6740">
        <v>5</v>
      </c>
      <c r="U6740" s="2" t="s">
        <v>28</v>
      </c>
      <c r="V6740" s="2" t="s">
        <v>28</v>
      </c>
      <c r="W6740" s="2">
        <v>22</v>
      </c>
      <c r="X6740">
        <v>71.91</v>
      </c>
      <c r="Y6740" s="6">
        <f t="shared" si="111"/>
        <v>7.893319960574261</v>
      </c>
      <c r="Z6740">
        <f>75.44-X6740</f>
        <v>3.5300000000000011</v>
      </c>
    </row>
    <row r="6741" spans="1:26" x14ac:dyDescent="0.2">
      <c r="A6741" t="s">
        <v>777</v>
      </c>
      <c r="B6741">
        <v>2013</v>
      </c>
      <c r="C6741" t="s">
        <v>826</v>
      </c>
      <c r="D6741" t="s">
        <v>812</v>
      </c>
      <c r="E6741" t="s">
        <v>175</v>
      </c>
      <c r="F6741" t="s">
        <v>778</v>
      </c>
      <c r="G6741">
        <v>-32.298475000000003</v>
      </c>
      <c r="H6741">
        <v>115.701581</v>
      </c>
      <c r="I6741" t="s">
        <v>770</v>
      </c>
      <c r="J6741" s="2" t="s">
        <v>14</v>
      </c>
      <c r="K6741" t="s">
        <v>3</v>
      </c>
      <c r="L6741" t="s">
        <v>3</v>
      </c>
      <c r="M6741" t="s">
        <v>12</v>
      </c>
      <c r="N6741" t="s">
        <v>85</v>
      </c>
      <c r="O6741" t="s">
        <v>141</v>
      </c>
      <c r="P6741" t="s">
        <v>70</v>
      </c>
      <c r="Q6741">
        <v>3</v>
      </c>
      <c r="R6741" s="2" t="s">
        <v>214</v>
      </c>
      <c r="S6741" t="s">
        <v>13</v>
      </c>
      <c r="T6741">
        <v>5</v>
      </c>
      <c r="U6741" s="2" t="s">
        <v>28</v>
      </c>
      <c r="V6741" s="2" t="s">
        <v>28</v>
      </c>
      <c r="W6741" s="2">
        <v>22</v>
      </c>
      <c r="X6741">
        <v>79.17</v>
      </c>
      <c r="Y6741" s="6">
        <f t="shared" si="111"/>
        <v>7.468467044849306</v>
      </c>
      <c r="Z6741">
        <f>82.51-X6741</f>
        <v>3.3400000000000034</v>
      </c>
    </row>
    <row r="6742" spans="1:26" x14ac:dyDescent="0.2">
      <c r="A6742" t="s">
        <v>777</v>
      </c>
      <c r="B6742">
        <v>2013</v>
      </c>
      <c r="C6742" t="s">
        <v>826</v>
      </c>
      <c r="D6742" t="s">
        <v>812</v>
      </c>
      <c r="E6742" t="s">
        <v>175</v>
      </c>
      <c r="F6742" t="s">
        <v>778</v>
      </c>
      <c r="G6742">
        <v>-32.298475000000003</v>
      </c>
      <c r="H6742">
        <v>115.701581</v>
      </c>
      <c r="I6742" s="26" t="s">
        <v>782</v>
      </c>
      <c r="J6742" s="2" t="s">
        <v>14</v>
      </c>
      <c r="K6742" t="s">
        <v>3</v>
      </c>
      <c r="L6742" t="s">
        <v>3</v>
      </c>
      <c r="M6742" t="s">
        <v>12</v>
      </c>
      <c r="N6742" t="s">
        <v>85</v>
      </c>
      <c r="O6742" t="s">
        <v>141</v>
      </c>
      <c r="P6742" t="s">
        <v>70</v>
      </c>
      <c r="Q6742">
        <v>3</v>
      </c>
      <c r="R6742" s="2" t="s">
        <v>214</v>
      </c>
      <c r="S6742" t="s">
        <v>116</v>
      </c>
      <c r="T6742">
        <v>5</v>
      </c>
      <c r="U6742" s="2" t="s">
        <v>28</v>
      </c>
      <c r="V6742" s="2" t="s">
        <v>28</v>
      </c>
      <c r="W6742" s="2">
        <v>22</v>
      </c>
      <c r="X6742">
        <v>42.44</v>
      </c>
      <c r="Y6742" s="6">
        <f t="shared" si="111"/>
        <v>9.2126000672991442</v>
      </c>
      <c r="Z6742">
        <f>46.56-X6742</f>
        <v>4.1200000000000045</v>
      </c>
    </row>
    <row r="6743" spans="1:26" x14ac:dyDescent="0.2">
      <c r="A6743" t="s">
        <v>777</v>
      </c>
      <c r="B6743">
        <v>2013</v>
      </c>
      <c r="C6743" t="s">
        <v>826</v>
      </c>
      <c r="D6743" t="s">
        <v>812</v>
      </c>
      <c r="E6743" t="s">
        <v>175</v>
      </c>
      <c r="F6743" t="s">
        <v>778</v>
      </c>
      <c r="G6743">
        <v>-32.298475000000003</v>
      </c>
      <c r="H6743">
        <v>115.701581</v>
      </c>
      <c r="I6743" t="s">
        <v>762</v>
      </c>
      <c r="J6743" s="2" t="s">
        <v>14</v>
      </c>
      <c r="K6743" t="s">
        <v>3</v>
      </c>
      <c r="L6743" t="s">
        <v>3</v>
      </c>
      <c r="M6743" t="s">
        <v>12</v>
      </c>
      <c r="N6743" t="s">
        <v>85</v>
      </c>
      <c r="O6743" t="s">
        <v>141</v>
      </c>
      <c r="P6743" t="s">
        <v>70</v>
      </c>
      <c r="Q6743">
        <v>3</v>
      </c>
      <c r="R6743" s="2" t="s">
        <v>214</v>
      </c>
      <c r="S6743" t="s">
        <v>13</v>
      </c>
      <c r="T6743">
        <v>5</v>
      </c>
      <c r="U6743" s="2" t="s">
        <v>28</v>
      </c>
      <c r="V6743" s="2" t="s">
        <v>28</v>
      </c>
      <c r="W6743" s="2">
        <v>22</v>
      </c>
      <c r="X6743">
        <v>40.67</v>
      </c>
      <c r="Y6743" s="6">
        <f t="shared" si="111"/>
        <v>17.575494303148346</v>
      </c>
      <c r="Z6743">
        <f>48.53-X6743</f>
        <v>7.8599999999999994</v>
      </c>
    </row>
    <row r="6744" spans="1:26" x14ac:dyDescent="0.2">
      <c r="A6744" t="s">
        <v>777</v>
      </c>
      <c r="B6744">
        <v>2013</v>
      </c>
      <c r="C6744" t="s">
        <v>826</v>
      </c>
      <c r="D6744" t="s">
        <v>812</v>
      </c>
      <c r="E6744" t="s">
        <v>175</v>
      </c>
      <c r="F6744" t="s">
        <v>778</v>
      </c>
      <c r="G6744">
        <v>-32.298475000000003</v>
      </c>
      <c r="H6744">
        <v>115.701581</v>
      </c>
      <c r="I6744" s="26" t="s">
        <v>783</v>
      </c>
      <c r="J6744" s="2" t="s">
        <v>14</v>
      </c>
      <c r="K6744" t="s">
        <v>3</v>
      </c>
      <c r="L6744" t="s">
        <v>3</v>
      </c>
      <c r="M6744" t="s">
        <v>12</v>
      </c>
      <c r="N6744" t="s">
        <v>85</v>
      </c>
      <c r="O6744" t="s">
        <v>141</v>
      </c>
      <c r="P6744" t="s">
        <v>70</v>
      </c>
      <c r="Q6744">
        <v>3</v>
      </c>
      <c r="R6744" s="2" t="s">
        <v>214</v>
      </c>
      <c r="S6744" t="s">
        <v>116</v>
      </c>
      <c r="T6744">
        <v>5</v>
      </c>
      <c r="U6744" s="2" t="s">
        <v>28</v>
      </c>
      <c r="V6744" s="2" t="s">
        <v>28</v>
      </c>
      <c r="W6744" s="2">
        <v>22</v>
      </c>
      <c r="X6744">
        <v>78.78</v>
      </c>
      <c r="Y6744" s="6">
        <f t="shared" si="111"/>
        <v>13.170440387473763</v>
      </c>
      <c r="Z6744">
        <f>X6744-72.89</f>
        <v>5.8900000000000006</v>
      </c>
    </row>
    <row r="6745" spans="1:26" x14ac:dyDescent="0.2">
      <c r="A6745" t="s">
        <v>777</v>
      </c>
      <c r="B6745">
        <v>2013</v>
      </c>
      <c r="C6745" t="s">
        <v>826</v>
      </c>
      <c r="D6745" t="s">
        <v>812</v>
      </c>
      <c r="E6745" t="s">
        <v>175</v>
      </c>
      <c r="F6745" t="s">
        <v>778</v>
      </c>
      <c r="G6745">
        <v>-32.298475000000003</v>
      </c>
      <c r="H6745">
        <v>115.701581</v>
      </c>
      <c r="I6745" t="s">
        <v>772</v>
      </c>
      <c r="J6745" s="2" t="s">
        <v>14</v>
      </c>
      <c r="K6745" t="s">
        <v>3</v>
      </c>
      <c r="L6745" t="s">
        <v>3</v>
      </c>
      <c r="M6745" t="s">
        <v>12</v>
      </c>
      <c r="N6745" t="s">
        <v>85</v>
      </c>
      <c r="O6745" t="s">
        <v>141</v>
      </c>
      <c r="P6745" t="s">
        <v>70</v>
      </c>
      <c r="Q6745">
        <v>3</v>
      </c>
      <c r="R6745" s="2" t="s">
        <v>214</v>
      </c>
      <c r="S6745" t="s">
        <v>13</v>
      </c>
      <c r="T6745">
        <v>5</v>
      </c>
      <c r="U6745" s="2" t="s">
        <v>28</v>
      </c>
      <c r="V6745" s="2" t="s">
        <v>28</v>
      </c>
      <c r="W6745" s="2">
        <v>22</v>
      </c>
      <c r="X6745">
        <v>56.39</v>
      </c>
      <c r="Y6745" s="6">
        <f t="shared" si="111"/>
        <v>15.831361280698507</v>
      </c>
      <c r="Z6745">
        <f>X6745-49.31</f>
        <v>7.0799999999999983</v>
      </c>
    </row>
    <row r="6746" spans="1:26" x14ac:dyDescent="0.2">
      <c r="A6746" t="s">
        <v>777</v>
      </c>
      <c r="B6746">
        <v>2013</v>
      </c>
      <c r="C6746" t="s">
        <v>826</v>
      </c>
      <c r="D6746" t="s">
        <v>812</v>
      </c>
      <c r="E6746" t="s">
        <v>175</v>
      </c>
      <c r="F6746" t="s">
        <v>778</v>
      </c>
      <c r="G6746">
        <v>-32.298475000000003</v>
      </c>
      <c r="H6746">
        <v>115.701581</v>
      </c>
      <c r="I6746" s="26" t="s">
        <v>784</v>
      </c>
      <c r="J6746" s="2" t="s">
        <v>14</v>
      </c>
      <c r="K6746" t="s">
        <v>3</v>
      </c>
      <c r="L6746" t="s">
        <v>3</v>
      </c>
      <c r="M6746" t="s">
        <v>12</v>
      </c>
      <c r="N6746" t="s">
        <v>85</v>
      </c>
      <c r="O6746" t="s">
        <v>141</v>
      </c>
      <c r="P6746" t="s">
        <v>70</v>
      </c>
      <c r="Q6746">
        <v>3</v>
      </c>
      <c r="R6746" s="2" t="s">
        <v>214</v>
      </c>
      <c r="S6746" t="s">
        <v>116</v>
      </c>
      <c r="T6746">
        <v>5</v>
      </c>
      <c r="U6746" s="2" t="s">
        <v>28</v>
      </c>
      <c r="V6746" s="2" t="s">
        <v>28</v>
      </c>
      <c r="W6746" s="2">
        <v>22</v>
      </c>
      <c r="X6746">
        <v>51.87</v>
      </c>
      <c r="Y6746" s="6">
        <f t="shared" si="111"/>
        <v>11.403946685248931</v>
      </c>
      <c r="Z6746">
        <f>56.97-X6746</f>
        <v>5.1000000000000014</v>
      </c>
    </row>
    <row r="6747" spans="1:26" x14ac:dyDescent="0.2">
      <c r="A6747" t="s">
        <v>777</v>
      </c>
      <c r="B6747">
        <v>2013</v>
      </c>
      <c r="C6747" t="s">
        <v>826</v>
      </c>
      <c r="D6747" t="s">
        <v>812</v>
      </c>
      <c r="E6747" t="s">
        <v>175</v>
      </c>
      <c r="F6747" t="s">
        <v>778</v>
      </c>
      <c r="G6747">
        <v>-32.298475000000003</v>
      </c>
      <c r="H6747">
        <v>115.701581</v>
      </c>
      <c r="I6747" t="s">
        <v>768</v>
      </c>
      <c r="J6747" s="2" t="s">
        <v>7</v>
      </c>
      <c r="K6747" t="s">
        <v>3</v>
      </c>
      <c r="L6747" t="s">
        <v>3</v>
      </c>
      <c r="M6747" t="s">
        <v>12</v>
      </c>
      <c r="N6747" t="s">
        <v>85</v>
      </c>
      <c r="O6747" t="s">
        <v>141</v>
      </c>
      <c r="P6747" t="s">
        <v>70</v>
      </c>
      <c r="Q6747">
        <v>6</v>
      </c>
      <c r="R6747" s="2" t="s">
        <v>213</v>
      </c>
      <c r="S6747" t="s">
        <v>7</v>
      </c>
      <c r="T6747">
        <v>5</v>
      </c>
      <c r="U6747" s="2" t="s">
        <v>28</v>
      </c>
      <c r="V6747" s="2" t="s">
        <v>28</v>
      </c>
      <c r="W6747" s="2">
        <v>16</v>
      </c>
      <c r="X6747">
        <v>69.569999999999993</v>
      </c>
      <c r="Y6747" s="6">
        <f t="shared" si="111"/>
        <v>5.2771204268995344</v>
      </c>
      <c r="Z6747">
        <f>71.93-X6747</f>
        <v>2.3600000000000136</v>
      </c>
    </row>
    <row r="6748" spans="1:26" x14ac:dyDescent="0.2">
      <c r="A6748" t="s">
        <v>777</v>
      </c>
      <c r="B6748">
        <v>2013</v>
      </c>
      <c r="C6748" t="s">
        <v>826</v>
      </c>
      <c r="D6748" t="s">
        <v>812</v>
      </c>
      <c r="E6748" t="s">
        <v>175</v>
      </c>
      <c r="F6748" t="s">
        <v>778</v>
      </c>
      <c r="G6748">
        <v>-32.298475000000003</v>
      </c>
      <c r="H6748">
        <v>115.701581</v>
      </c>
      <c r="I6748" t="s">
        <v>770</v>
      </c>
      <c r="J6748" s="2" t="s">
        <v>7</v>
      </c>
      <c r="K6748" t="s">
        <v>3</v>
      </c>
      <c r="L6748" t="s">
        <v>3</v>
      </c>
      <c r="M6748" t="s">
        <v>12</v>
      </c>
      <c r="N6748" t="s">
        <v>85</v>
      </c>
      <c r="O6748" t="s">
        <v>141</v>
      </c>
      <c r="P6748" t="s">
        <v>70</v>
      </c>
      <c r="Q6748">
        <v>6</v>
      </c>
      <c r="R6748" s="2" t="s">
        <v>213</v>
      </c>
      <c r="S6748" t="s">
        <v>7</v>
      </c>
      <c r="T6748">
        <v>5</v>
      </c>
      <c r="U6748" s="2" t="s">
        <v>28</v>
      </c>
      <c r="V6748" s="2" t="s">
        <v>28</v>
      </c>
      <c r="W6748" s="2">
        <v>16</v>
      </c>
      <c r="X6748">
        <v>50.16</v>
      </c>
      <c r="Y6748" s="6">
        <f t="shared" si="111"/>
        <v>13.617653982973728</v>
      </c>
      <c r="Z6748">
        <f>56.25-X6748</f>
        <v>6.0900000000000034</v>
      </c>
    </row>
    <row r="6749" spans="1:26" x14ac:dyDescent="0.2">
      <c r="A6749" t="s">
        <v>777</v>
      </c>
      <c r="B6749">
        <v>2013</v>
      </c>
      <c r="C6749" t="s">
        <v>826</v>
      </c>
      <c r="D6749" t="s">
        <v>812</v>
      </c>
      <c r="E6749" t="s">
        <v>175</v>
      </c>
      <c r="F6749" t="s">
        <v>778</v>
      </c>
      <c r="G6749">
        <v>-32.298475000000003</v>
      </c>
      <c r="H6749">
        <v>115.701581</v>
      </c>
      <c r="I6749" s="26" t="s">
        <v>782</v>
      </c>
      <c r="J6749" s="2" t="s">
        <v>7</v>
      </c>
      <c r="K6749" t="s">
        <v>3</v>
      </c>
      <c r="L6749" t="s">
        <v>3</v>
      </c>
      <c r="M6749" t="s">
        <v>12</v>
      </c>
      <c r="N6749" t="s">
        <v>85</v>
      </c>
      <c r="O6749" t="s">
        <v>141</v>
      </c>
      <c r="P6749" t="s">
        <v>70</v>
      </c>
      <c r="Q6749">
        <v>6</v>
      </c>
      <c r="R6749" s="2" t="s">
        <v>213</v>
      </c>
      <c r="S6749" t="s">
        <v>779</v>
      </c>
      <c r="T6749">
        <v>5</v>
      </c>
      <c r="U6749" s="2" t="s">
        <v>28</v>
      </c>
      <c r="V6749" s="2" t="s">
        <v>28</v>
      </c>
      <c r="W6749" s="2">
        <v>16</v>
      </c>
      <c r="X6749">
        <v>48.41</v>
      </c>
      <c r="Y6749" s="6">
        <f t="shared" si="111"/>
        <v>29.873868179397206</v>
      </c>
      <c r="Z6749">
        <f>61.77-X6749</f>
        <v>13.360000000000007</v>
      </c>
    </row>
    <row r="6750" spans="1:26" x14ac:dyDescent="0.2">
      <c r="A6750" t="s">
        <v>777</v>
      </c>
      <c r="B6750">
        <v>2013</v>
      </c>
      <c r="C6750" t="s">
        <v>826</v>
      </c>
      <c r="D6750" t="s">
        <v>812</v>
      </c>
      <c r="E6750" t="s">
        <v>175</v>
      </c>
      <c r="F6750" t="s">
        <v>778</v>
      </c>
      <c r="G6750">
        <v>-32.298475000000003</v>
      </c>
      <c r="H6750">
        <v>115.701581</v>
      </c>
      <c r="I6750" t="s">
        <v>762</v>
      </c>
      <c r="J6750" s="2" t="s">
        <v>7</v>
      </c>
      <c r="K6750" t="s">
        <v>3</v>
      </c>
      <c r="L6750" t="s">
        <v>3</v>
      </c>
      <c r="M6750" t="s">
        <v>12</v>
      </c>
      <c r="N6750" t="s">
        <v>85</v>
      </c>
      <c r="O6750" t="s">
        <v>141</v>
      </c>
      <c r="P6750" t="s">
        <v>70</v>
      </c>
      <c r="Q6750">
        <v>6</v>
      </c>
      <c r="R6750" s="2" t="s">
        <v>213</v>
      </c>
      <c r="S6750" t="s">
        <v>7</v>
      </c>
      <c r="T6750">
        <v>5</v>
      </c>
      <c r="U6750" s="2" t="s">
        <v>28</v>
      </c>
      <c r="V6750" s="2" t="s">
        <v>28</v>
      </c>
      <c r="W6750" s="2">
        <v>16</v>
      </c>
      <c r="X6750">
        <v>42.55</v>
      </c>
      <c r="Y6750" s="6">
        <f t="shared" si="111"/>
        <v>33.384494904071865</v>
      </c>
      <c r="Z6750">
        <f>57.48-X6750</f>
        <v>14.93</v>
      </c>
    </row>
    <row r="6751" spans="1:26" x14ac:dyDescent="0.2">
      <c r="A6751" t="s">
        <v>777</v>
      </c>
      <c r="B6751">
        <v>2013</v>
      </c>
      <c r="C6751" t="s">
        <v>826</v>
      </c>
      <c r="D6751" t="s">
        <v>812</v>
      </c>
      <c r="E6751" t="s">
        <v>175</v>
      </c>
      <c r="F6751" t="s">
        <v>778</v>
      </c>
      <c r="G6751">
        <v>-32.298475000000003</v>
      </c>
      <c r="H6751">
        <v>115.701581</v>
      </c>
      <c r="I6751" s="26" t="s">
        <v>783</v>
      </c>
      <c r="J6751" s="2" t="s">
        <v>7</v>
      </c>
      <c r="K6751" t="s">
        <v>3</v>
      </c>
      <c r="L6751" t="s">
        <v>3</v>
      </c>
      <c r="M6751" t="s">
        <v>12</v>
      </c>
      <c r="N6751" t="s">
        <v>85</v>
      </c>
      <c r="O6751" t="s">
        <v>141</v>
      </c>
      <c r="P6751" t="s">
        <v>70</v>
      </c>
      <c r="Q6751">
        <v>6</v>
      </c>
      <c r="R6751" s="2" t="s">
        <v>213</v>
      </c>
      <c r="S6751" t="s">
        <v>779</v>
      </c>
      <c r="T6751">
        <v>5</v>
      </c>
      <c r="U6751" s="2" t="s">
        <v>28</v>
      </c>
      <c r="V6751" s="2" t="s">
        <v>28</v>
      </c>
      <c r="W6751" s="2">
        <v>16</v>
      </c>
      <c r="X6751">
        <v>23.13</v>
      </c>
      <c r="Y6751" s="6">
        <f t="shared" si="111"/>
        <v>15.38414768519856</v>
      </c>
      <c r="Z6751">
        <f>30.01-X6751</f>
        <v>6.8800000000000026</v>
      </c>
    </row>
    <row r="6752" spans="1:26" x14ac:dyDescent="0.2">
      <c r="A6752" t="s">
        <v>777</v>
      </c>
      <c r="B6752">
        <v>2013</v>
      </c>
      <c r="C6752" t="s">
        <v>826</v>
      </c>
      <c r="D6752" t="s">
        <v>812</v>
      </c>
      <c r="E6752" t="s">
        <v>175</v>
      </c>
      <c r="F6752" t="s">
        <v>778</v>
      </c>
      <c r="G6752">
        <v>-32.298475000000003</v>
      </c>
      <c r="H6752">
        <v>115.701581</v>
      </c>
      <c r="I6752" t="s">
        <v>772</v>
      </c>
      <c r="J6752" s="2" t="s">
        <v>7</v>
      </c>
      <c r="K6752" t="s">
        <v>3</v>
      </c>
      <c r="L6752" t="s">
        <v>3</v>
      </c>
      <c r="M6752" t="s">
        <v>12</v>
      </c>
      <c r="N6752" t="s">
        <v>85</v>
      </c>
      <c r="O6752" t="s">
        <v>141</v>
      </c>
      <c r="P6752" t="s">
        <v>70</v>
      </c>
      <c r="Q6752">
        <v>6</v>
      </c>
      <c r="R6752" s="2" t="s">
        <v>213</v>
      </c>
      <c r="S6752" t="s">
        <v>7</v>
      </c>
      <c r="T6752">
        <v>5</v>
      </c>
      <c r="U6752" s="2" t="s">
        <v>28</v>
      </c>
      <c r="V6752" s="2" t="s">
        <v>28</v>
      </c>
      <c r="W6752" s="2">
        <v>16</v>
      </c>
      <c r="X6752">
        <v>15.7</v>
      </c>
      <c r="Y6752" s="6">
        <f t="shared" si="111"/>
        <v>6.5964005336243785</v>
      </c>
      <c r="Z6752">
        <f>18.65-X6752</f>
        <v>2.9499999999999993</v>
      </c>
    </row>
    <row r="6753" spans="1:26" x14ac:dyDescent="0.2">
      <c r="A6753" t="s">
        <v>777</v>
      </c>
      <c r="B6753">
        <v>2013</v>
      </c>
      <c r="C6753" t="s">
        <v>826</v>
      </c>
      <c r="D6753" t="s">
        <v>812</v>
      </c>
      <c r="E6753" t="s">
        <v>175</v>
      </c>
      <c r="F6753" t="s">
        <v>778</v>
      </c>
      <c r="G6753">
        <v>-32.298475000000003</v>
      </c>
      <c r="H6753">
        <v>115.701581</v>
      </c>
      <c r="I6753" s="26" t="s">
        <v>784</v>
      </c>
      <c r="J6753" s="2" t="s">
        <v>7</v>
      </c>
      <c r="K6753" t="s">
        <v>3</v>
      </c>
      <c r="L6753" t="s">
        <v>3</v>
      </c>
      <c r="M6753" t="s">
        <v>12</v>
      </c>
      <c r="N6753" t="s">
        <v>85</v>
      </c>
      <c r="O6753" t="s">
        <v>141</v>
      </c>
      <c r="P6753" t="s">
        <v>70</v>
      </c>
      <c r="Q6753">
        <v>6</v>
      </c>
      <c r="R6753" s="2" t="s">
        <v>213</v>
      </c>
      <c r="S6753" t="s">
        <v>779</v>
      </c>
      <c r="T6753">
        <v>5</v>
      </c>
      <c r="U6753" s="2" t="s">
        <v>28</v>
      </c>
      <c r="V6753" s="2" t="s">
        <v>28</v>
      </c>
      <c r="W6753" s="2">
        <v>16</v>
      </c>
      <c r="X6753">
        <v>16.329999999999998</v>
      </c>
      <c r="Y6753" s="6">
        <f t="shared" si="111"/>
        <v>9.2126000672991371</v>
      </c>
      <c r="Z6753">
        <f>20.45-X6753</f>
        <v>4.120000000000001</v>
      </c>
    </row>
    <row r="6754" spans="1:26" x14ac:dyDescent="0.2">
      <c r="A6754" t="s">
        <v>777</v>
      </c>
      <c r="B6754">
        <v>2013</v>
      </c>
      <c r="C6754" t="s">
        <v>826</v>
      </c>
      <c r="D6754" t="s">
        <v>812</v>
      </c>
      <c r="E6754" t="s">
        <v>175</v>
      </c>
      <c r="F6754" t="s">
        <v>778</v>
      </c>
      <c r="G6754">
        <v>-32.298475000000003</v>
      </c>
      <c r="H6754">
        <v>115.701581</v>
      </c>
      <c r="I6754" t="s">
        <v>768</v>
      </c>
      <c r="J6754" s="2" t="s">
        <v>14</v>
      </c>
      <c r="K6754" t="s">
        <v>3</v>
      </c>
      <c r="L6754" t="s">
        <v>3</v>
      </c>
      <c r="M6754" t="s">
        <v>12</v>
      </c>
      <c r="N6754" t="s">
        <v>85</v>
      </c>
      <c r="O6754" t="s">
        <v>141</v>
      </c>
      <c r="P6754" t="s">
        <v>70</v>
      </c>
      <c r="Q6754">
        <v>6</v>
      </c>
      <c r="R6754" s="2" t="s">
        <v>213</v>
      </c>
      <c r="S6754" t="s">
        <v>9</v>
      </c>
      <c r="T6754">
        <v>5</v>
      </c>
      <c r="U6754" s="2" t="s">
        <v>28</v>
      </c>
      <c r="V6754" s="2" t="s">
        <v>28</v>
      </c>
      <c r="W6754" s="2">
        <v>18</v>
      </c>
      <c r="X6754">
        <v>51.5</v>
      </c>
      <c r="Y6754" s="6">
        <f t="shared" si="111"/>
        <v>10.97909376952396</v>
      </c>
      <c r="Z6754">
        <f>56.41-X6754</f>
        <v>4.9099999999999966</v>
      </c>
    </row>
    <row r="6755" spans="1:26" x14ac:dyDescent="0.2">
      <c r="A6755" t="s">
        <v>777</v>
      </c>
      <c r="B6755">
        <v>2013</v>
      </c>
      <c r="C6755" t="s">
        <v>826</v>
      </c>
      <c r="D6755" t="s">
        <v>812</v>
      </c>
      <c r="E6755" t="s">
        <v>175</v>
      </c>
      <c r="F6755" t="s">
        <v>778</v>
      </c>
      <c r="G6755">
        <v>-32.298475000000003</v>
      </c>
      <c r="H6755">
        <v>115.701581</v>
      </c>
      <c r="I6755" t="s">
        <v>770</v>
      </c>
      <c r="J6755" s="2" t="s">
        <v>14</v>
      </c>
      <c r="K6755" t="s">
        <v>3</v>
      </c>
      <c r="L6755" t="s">
        <v>3</v>
      </c>
      <c r="M6755" t="s">
        <v>12</v>
      </c>
      <c r="N6755" t="s">
        <v>85</v>
      </c>
      <c r="O6755" t="s">
        <v>141</v>
      </c>
      <c r="P6755" t="s">
        <v>70</v>
      </c>
      <c r="Q6755">
        <v>6</v>
      </c>
      <c r="R6755" s="2" t="s">
        <v>213</v>
      </c>
      <c r="S6755" t="s">
        <v>9</v>
      </c>
      <c r="T6755">
        <v>5</v>
      </c>
      <c r="U6755" s="2" t="s">
        <v>28</v>
      </c>
      <c r="V6755" s="2" t="s">
        <v>28</v>
      </c>
      <c r="W6755" s="2">
        <v>18</v>
      </c>
      <c r="X6755">
        <v>26.58</v>
      </c>
      <c r="Y6755" s="6">
        <f t="shared" si="111"/>
        <v>8.7877471515741821</v>
      </c>
      <c r="Z6755">
        <f>30.51-X6755</f>
        <v>3.9300000000000033</v>
      </c>
    </row>
    <row r="6756" spans="1:26" x14ac:dyDescent="0.2">
      <c r="A6756" t="s">
        <v>777</v>
      </c>
      <c r="B6756">
        <v>2013</v>
      </c>
      <c r="C6756" t="s">
        <v>826</v>
      </c>
      <c r="D6756" t="s">
        <v>812</v>
      </c>
      <c r="E6756" t="s">
        <v>175</v>
      </c>
      <c r="F6756" t="s">
        <v>778</v>
      </c>
      <c r="G6756">
        <v>-32.298475000000003</v>
      </c>
      <c r="H6756">
        <v>115.701581</v>
      </c>
      <c r="I6756" s="26" t="s">
        <v>782</v>
      </c>
      <c r="J6756" s="2" t="s">
        <v>14</v>
      </c>
      <c r="K6756" t="s">
        <v>3</v>
      </c>
      <c r="L6756" t="s">
        <v>3</v>
      </c>
      <c r="M6756" t="s">
        <v>12</v>
      </c>
      <c r="N6756" t="s">
        <v>85</v>
      </c>
      <c r="O6756" t="s">
        <v>141</v>
      </c>
      <c r="P6756" t="s">
        <v>70</v>
      </c>
      <c r="Q6756">
        <v>6</v>
      </c>
      <c r="R6756" s="2" t="s">
        <v>213</v>
      </c>
      <c r="S6756" t="s">
        <v>15</v>
      </c>
      <c r="T6756">
        <v>5</v>
      </c>
      <c r="U6756" s="2" t="s">
        <v>28</v>
      </c>
      <c r="V6756" s="2" t="s">
        <v>28</v>
      </c>
      <c r="W6756" s="2">
        <v>18</v>
      </c>
      <c r="X6756">
        <v>17.18</v>
      </c>
      <c r="Y6756" s="6">
        <f t="shared" si="111"/>
        <v>7.893319960574261</v>
      </c>
      <c r="Z6756">
        <f>20.71-X6756</f>
        <v>3.5300000000000011</v>
      </c>
    </row>
    <row r="6757" spans="1:26" x14ac:dyDescent="0.2">
      <c r="A6757" t="s">
        <v>777</v>
      </c>
      <c r="B6757">
        <v>2013</v>
      </c>
      <c r="C6757" t="s">
        <v>826</v>
      </c>
      <c r="D6757" t="s">
        <v>812</v>
      </c>
      <c r="E6757" t="s">
        <v>175</v>
      </c>
      <c r="F6757" t="s">
        <v>778</v>
      </c>
      <c r="G6757">
        <v>-32.298475000000003</v>
      </c>
      <c r="H6757">
        <v>115.701581</v>
      </c>
      <c r="I6757" t="s">
        <v>762</v>
      </c>
      <c r="J6757" s="2" t="s">
        <v>14</v>
      </c>
      <c r="K6757" t="s">
        <v>3</v>
      </c>
      <c r="L6757" t="s">
        <v>3</v>
      </c>
      <c r="M6757" t="s">
        <v>12</v>
      </c>
      <c r="N6757" t="s">
        <v>85</v>
      </c>
      <c r="O6757" t="s">
        <v>141</v>
      </c>
      <c r="P6757" t="s">
        <v>70</v>
      </c>
      <c r="Q6757">
        <v>6</v>
      </c>
      <c r="R6757" s="2" t="s">
        <v>213</v>
      </c>
      <c r="S6757" t="s">
        <v>9</v>
      </c>
      <c r="T6757">
        <v>5</v>
      </c>
      <c r="U6757" s="2" t="s">
        <v>28</v>
      </c>
      <c r="V6757" s="2" t="s">
        <v>28</v>
      </c>
      <c r="W6757" s="2">
        <v>18</v>
      </c>
      <c r="X6757">
        <v>0.31</v>
      </c>
      <c r="Y6757" s="6">
        <f t="shared" si="111"/>
        <v>3.063413129174712</v>
      </c>
      <c r="Z6757">
        <f>1.68-X6757</f>
        <v>1.3699999999999999</v>
      </c>
    </row>
    <row r="6758" spans="1:26" x14ac:dyDescent="0.2">
      <c r="A6758" t="s">
        <v>777</v>
      </c>
      <c r="B6758">
        <v>2013</v>
      </c>
      <c r="C6758" t="s">
        <v>826</v>
      </c>
      <c r="D6758" t="s">
        <v>812</v>
      </c>
      <c r="E6758" t="s">
        <v>175</v>
      </c>
      <c r="F6758" t="s">
        <v>778</v>
      </c>
      <c r="G6758">
        <v>-32.298475000000003</v>
      </c>
      <c r="H6758">
        <v>115.701581</v>
      </c>
      <c r="I6758" s="26" t="s">
        <v>783</v>
      </c>
      <c r="J6758" s="2" t="s">
        <v>14</v>
      </c>
      <c r="K6758" t="s">
        <v>3</v>
      </c>
      <c r="L6758" t="s">
        <v>3</v>
      </c>
      <c r="M6758" t="s">
        <v>12</v>
      </c>
      <c r="N6758" t="s">
        <v>85</v>
      </c>
      <c r="O6758" t="s">
        <v>141</v>
      </c>
      <c r="P6758" t="s">
        <v>70</v>
      </c>
      <c r="Q6758">
        <v>6</v>
      </c>
      <c r="R6758" s="2" t="s">
        <v>213</v>
      </c>
      <c r="S6758" t="s">
        <v>15</v>
      </c>
      <c r="T6758">
        <v>5</v>
      </c>
      <c r="U6758" s="2" t="s">
        <v>28</v>
      </c>
      <c r="V6758" s="2" t="s">
        <v>28</v>
      </c>
      <c r="W6758" s="2">
        <v>18</v>
      </c>
      <c r="X6758">
        <v>1.72</v>
      </c>
      <c r="Y6758" s="6">
        <f t="shared" si="111"/>
        <v>3.5106267246746703</v>
      </c>
      <c r="Z6758">
        <f>3.29-X6758</f>
        <v>1.57</v>
      </c>
    </row>
    <row r="6759" spans="1:26" x14ac:dyDescent="0.2">
      <c r="A6759" t="s">
        <v>777</v>
      </c>
      <c r="B6759">
        <v>2013</v>
      </c>
      <c r="C6759" t="s">
        <v>826</v>
      </c>
      <c r="D6759" t="s">
        <v>812</v>
      </c>
      <c r="E6759" t="s">
        <v>175</v>
      </c>
      <c r="F6759" t="s">
        <v>778</v>
      </c>
      <c r="G6759">
        <v>-32.298475000000003</v>
      </c>
      <c r="H6759">
        <v>115.701581</v>
      </c>
      <c r="I6759" t="s">
        <v>772</v>
      </c>
      <c r="J6759" s="2" t="s">
        <v>14</v>
      </c>
      <c r="K6759" t="s">
        <v>3</v>
      </c>
      <c r="L6759" t="s">
        <v>3</v>
      </c>
      <c r="M6759" t="s">
        <v>12</v>
      </c>
      <c r="N6759" t="s">
        <v>85</v>
      </c>
      <c r="O6759" t="s">
        <v>141</v>
      </c>
      <c r="P6759" t="s">
        <v>70</v>
      </c>
      <c r="Q6759">
        <v>6</v>
      </c>
      <c r="R6759" s="2" t="s">
        <v>213</v>
      </c>
      <c r="S6759" t="s">
        <v>9</v>
      </c>
      <c r="T6759">
        <v>5</v>
      </c>
      <c r="U6759" s="2" t="s">
        <v>28</v>
      </c>
      <c r="V6759" s="2" t="s">
        <v>28</v>
      </c>
      <c r="W6759" s="2">
        <v>18</v>
      </c>
      <c r="X6759">
        <v>2.34</v>
      </c>
      <c r="Y6759" s="6">
        <f t="shared" si="111"/>
        <v>1.7664937022248339</v>
      </c>
      <c r="Z6759">
        <f>3.13-X6759</f>
        <v>0.79</v>
      </c>
    </row>
    <row r="6760" spans="1:26" x14ac:dyDescent="0.2">
      <c r="A6760" t="s">
        <v>777</v>
      </c>
      <c r="B6760">
        <v>2013</v>
      </c>
      <c r="C6760" t="s">
        <v>826</v>
      </c>
      <c r="D6760" t="s">
        <v>812</v>
      </c>
      <c r="E6760" t="s">
        <v>175</v>
      </c>
      <c r="F6760" t="s">
        <v>778</v>
      </c>
      <c r="G6760">
        <v>-32.298475000000003</v>
      </c>
      <c r="H6760">
        <v>115.701581</v>
      </c>
      <c r="I6760" s="26" t="s">
        <v>784</v>
      </c>
      <c r="J6760" s="2" t="s">
        <v>14</v>
      </c>
      <c r="K6760" t="s">
        <v>3</v>
      </c>
      <c r="L6760" t="s">
        <v>3</v>
      </c>
      <c r="M6760" t="s">
        <v>12</v>
      </c>
      <c r="N6760" t="s">
        <v>85</v>
      </c>
      <c r="O6760" t="s">
        <v>141</v>
      </c>
      <c r="P6760" t="s">
        <v>70</v>
      </c>
      <c r="Q6760">
        <v>6</v>
      </c>
      <c r="R6760" s="2" t="s">
        <v>213</v>
      </c>
      <c r="S6760" t="s">
        <v>15</v>
      </c>
      <c r="T6760">
        <v>5</v>
      </c>
      <c r="U6760" s="2" t="s">
        <v>28</v>
      </c>
      <c r="V6760" s="2" t="s">
        <v>28</v>
      </c>
      <c r="W6760" s="2">
        <v>18</v>
      </c>
      <c r="X6760">
        <v>6.7</v>
      </c>
      <c r="Y6760" s="6">
        <f t="shared" si="111"/>
        <v>5.2771204268995042</v>
      </c>
      <c r="Z6760">
        <f>X6760-4.34</f>
        <v>2.3600000000000003</v>
      </c>
    </row>
    <row r="6761" spans="1:26" x14ac:dyDescent="0.2">
      <c r="A6761" t="s">
        <v>777</v>
      </c>
      <c r="B6761">
        <v>2013</v>
      </c>
      <c r="C6761" t="s">
        <v>826</v>
      </c>
      <c r="D6761" t="s">
        <v>812</v>
      </c>
      <c r="E6761" t="s">
        <v>175</v>
      </c>
      <c r="F6761" t="s">
        <v>778</v>
      </c>
      <c r="G6761">
        <v>-32.298475000000003</v>
      </c>
      <c r="H6761">
        <v>115.701581</v>
      </c>
      <c r="I6761" t="s">
        <v>768</v>
      </c>
      <c r="J6761" s="2" t="s">
        <v>14</v>
      </c>
      <c r="K6761" t="s">
        <v>3</v>
      </c>
      <c r="L6761" t="s">
        <v>3</v>
      </c>
      <c r="M6761" t="s">
        <v>12</v>
      </c>
      <c r="N6761" t="s">
        <v>85</v>
      </c>
      <c r="O6761" t="s">
        <v>141</v>
      </c>
      <c r="P6761" t="s">
        <v>70</v>
      </c>
      <c r="Q6761">
        <v>6</v>
      </c>
      <c r="R6761" s="2" t="s">
        <v>213</v>
      </c>
      <c r="S6761" t="s">
        <v>27</v>
      </c>
      <c r="T6761">
        <v>5</v>
      </c>
      <c r="U6761" s="2" t="s">
        <v>28</v>
      </c>
      <c r="V6761" s="2" t="s">
        <v>28</v>
      </c>
      <c r="W6761" s="2">
        <v>20</v>
      </c>
      <c r="X6761">
        <v>53.86</v>
      </c>
      <c r="Y6761" s="6">
        <f t="shared" si="111"/>
        <v>8.3405335560742255</v>
      </c>
      <c r="Z6761">
        <f>57.59-X6761</f>
        <v>3.730000000000004</v>
      </c>
    </row>
    <row r="6762" spans="1:26" x14ac:dyDescent="0.2">
      <c r="A6762" t="s">
        <v>777</v>
      </c>
      <c r="B6762">
        <v>2013</v>
      </c>
      <c r="C6762" t="s">
        <v>826</v>
      </c>
      <c r="D6762" t="s">
        <v>812</v>
      </c>
      <c r="E6762" t="s">
        <v>175</v>
      </c>
      <c r="F6762" t="s">
        <v>778</v>
      </c>
      <c r="G6762">
        <v>-32.298475000000003</v>
      </c>
      <c r="H6762">
        <v>115.701581</v>
      </c>
      <c r="I6762" t="s">
        <v>770</v>
      </c>
      <c r="J6762" s="2" t="s">
        <v>14</v>
      </c>
      <c r="K6762" t="s">
        <v>3</v>
      </c>
      <c r="L6762" t="s">
        <v>3</v>
      </c>
      <c r="M6762" t="s">
        <v>12</v>
      </c>
      <c r="N6762" t="s">
        <v>85</v>
      </c>
      <c r="O6762" t="s">
        <v>141</v>
      </c>
      <c r="P6762" t="s">
        <v>70</v>
      </c>
      <c r="Q6762">
        <v>6</v>
      </c>
      <c r="R6762" s="2" t="s">
        <v>213</v>
      </c>
      <c r="S6762" t="s">
        <v>27</v>
      </c>
      <c r="T6762">
        <v>5</v>
      </c>
      <c r="U6762" s="2" t="s">
        <v>28</v>
      </c>
      <c r="V6762" s="2" t="s">
        <v>28</v>
      </c>
      <c r="W6762" s="2">
        <v>20</v>
      </c>
      <c r="X6762">
        <v>6.54</v>
      </c>
      <c r="Y6762" s="6">
        <f t="shared" si="111"/>
        <v>3.9578403201746291</v>
      </c>
      <c r="Z6762">
        <f>8.31-X6762</f>
        <v>1.7700000000000005</v>
      </c>
    </row>
    <row r="6763" spans="1:26" x14ac:dyDescent="0.2">
      <c r="A6763" t="s">
        <v>777</v>
      </c>
      <c r="B6763">
        <v>2013</v>
      </c>
      <c r="C6763" t="s">
        <v>826</v>
      </c>
      <c r="D6763" t="s">
        <v>812</v>
      </c>
      <c r="E6763" t="s">
        <v>175</v>
      </c>
      <c r="F6763" t="s">
        <v>778</v>
      </c>
      <c r="G6763">
        <v>-32.298475000000003</v>
      </c>
      <c r="H6763">
        <v>115.701581</v>
      </c>
      <c r="I6763" s="26" t="s">
        <v>782</v>
      </c>
      <c r="J6763" s="2" t="s">
        <v>14</v>
      </c>
      <c r="K6763" t="s">
        <v>3</v>
      </c>
      <c r="L6763" t="s">
        <v>3</v>
      </c>
      <c r="M6763" t="s">
        <v>12</v>
      </c>
      <c r="N6763" t="s">
        <v>85</v>
      </c>
      <c r="O6763" t="s">
        <v>141</v>
      </c>
      <c r="P6763" t="s">
        <v>70</v>
      </c>
      <c r="Q6763">
        <v>6</v>
      </c>
      <c r="R6763" s="2" t="s">
        <v>213</v>
      </c>
      <c r="S6763" t="s">
        <v>37</v>
      </c>
      <c r="T6763">
        <v>5</v>
      </c>
      <c r="U6763" s="2" t="s">
        <v>28</v>
      </c>
      <c r="V6763" s="2" t="s">
        <v>28</v>
      </c>
      <c r="W6763" s="2">
        <v>20</v>
      </c>
      <c r="X6763">
        <v>3.42</v>
      </c>
      <c r="Y6763" s="6">
        <f t="shared" si="111"/>
        <v>3.5329874044496679</v>
      </c>
      <c r="Z6763">
        <f>5-X6763</f>
        <v>1.58</v>
      </c>
    </row>
    <row r="6764" spans="1:26" x14ac:dyDescent="0.2">
      <c r="A6764" t="s">
        <v>777</v>
      </c>
      <c r="B6764">
        <v>2013</v>
      </c>
      <c r="C6764" t="s">
        <v>826</v>
      </c>
      <c r="D6764" t="s">
        <v>812</v>
      </c>
      <c r="E6764" t="s">
        <v>175</v>
      </c>
      <c r="F6764" t="s">
        <v>778</v>
      </c>
      <c r="G6764">
        <v>-32.298475000000003</v>
      </c>
      <c r="H6764">
        <v>115.701581</v>
      </c>
      <c r="I6764" t="s">
        <v>762</v>
      </c>
      <c r="J6764" s="2" t="s">
        <v>14</v>
      </c>
      <c r="K6764" t="s">
        <v>3</v>
      </c>
      <c r="L6764" t="s">
        <v>3</v>
      </c>
      <c r="M6764" t="s">
        <v>12</v>
      </c>
      <c r="N6764" t="s">
        <v>85</v>
      </c>
      <c r="O6764" t="s">
        <v>141</v>
      </c>
      <c r="P6764" t="s">
        <v>70</v>
      </c>
      <c r="Q6764">
        <v>6</v>
      </c>
      <c r="R6764" s="2" t="s">
        <v>213</v>
      </c>
      <c r="S6764" t="s">
        <v>27</v>
      </c>
      <c r="T6764">
        <v>5</v>
      </c>
      <c r="U6764" s="2" t="s">
        <v>28</v>
      </c>
      <c r="V6764" s="2" t="s">
        <v>28</v>
      </c>
      <c r="W6764" s="2">
        <v>20</v>
      </c>
      <c r="X6764">
        <v>10.72</v>
      </c>
      <c r="Y6764" s="6">
        <f t="shared" ref="Y6764:Y6827" si="112">Z6764*SQRT(T6764)</f>
        <v>16.256214196423468</v>
      </c>
      <c r="Z6764">
        <f>17.99-X6764</f>
        <v>7.2699999999999978</v>
      </c>
    </row>
    <row r="6765" spans="1:26" x14ac:dyDescent="0.2">
      <c r="A6765" t="s">
        <v>777</v>
      </c>
      <c r="B6765">
        <v>2013</v>
      </c>
      <c r="C6765" t="s">
        <v>826</v>
      </c>
      <c r="D6765" t="s">
        <v>812</v>
      </c>
      <c r="E6765" t="s">
        <v>175</v>
      </c>
      <c r="F6765" t="s">
        <v>778</v>
      </c>
      <c r="G6765">
        <v>-32.298475000000003</v>
      </c>
      <c r="H6765">
        <v>115.701581</v>
      </c>
      <c r="I6765" s="26" t="s">
        <v>783</v>
      </c>
      <c r="J6765" s="2" t="s">
        <v>14</v>
      </c>
      <c r="K6765" t="s">
        <v>3</v>
      </c>
      <c r="L6765" t="s">
        <v>3</v>
      </c>
      <c r="M6765" t="s">
        <v>12</v>
      </c>
      <c r="N6765" t="s">
        <v>85</v>
      </c>
      <c r="O6765" t="s">
        <v>141</v>
      </c>
      <c r="P6765" t="s">
        <v>70</v>
      </c>
      <c r="Q6765">
        <v>6</v>
      </c>
      <c r="R6765" s="2" t="s">
        <v>213</v>
      </c>
      <c r="S6765" t="s">
        <v>37</v>
      </c>
      <c r="T6765">
        <v>5</v>
      </c>
      <c r="U6765" s="2" t="s">
        <v>28</v>
      </c>
      <c r="V6765" s="2" t="s">
        <v>28</v>
      </c>
      <c r="W6765" s="2">
        <v>20</v>
      </c>
      <c r="X6765">
        <v>1.1299999999999999</v>
      </c>
      <c r="Y6765" s="6">
        <f t="shared" si="112"/>
        <v>3.0634131291747124</v>
      </c>
      <c r="Z6765">
        <f>2.5-X6765</f>
        <v>1.37</v>
      </c>
    </row>
    <row r="6766" spans="1:26" x14ac:dyDescent="0.2">
      <c r="A6766" t="s">
        <v>777</v>
      </c>
      <c r="B6766">
        <v>2013</v>
      </c>
      <c r="C6766" t="s">
        <v>826</v>
      </c>
      <c r="D6766" t="s">
        <v>812</v>
      </c>
      <c r="E6766" t="s">
        <v>175</v>
      </c>
      <c r="F6766" t="s">
        <v>778</v>
      </c>
      <c r="G6766">
        <v>-32.298475000000003</v>
      </c>
      <c r="H6766">
        <v>115.701581</v>
      </c>
      <c r="I6766" t="s">
        <v>772</v>
      </c>
      <c r="J6766" s="2" t="s">
        <v>14</v>
      </c>
      <c r="K6766" t="s">
        <v>3</v>
      </c>
      <c r="L6766" t="s">
        <v>3</v>
      </c>
      <c r="M6766" t="s">
        <v>12</v>
      </c>
      <c r="N6766" t="s">
        <v>85</v>
      </c>
      <c r="O6766" t="s">
        <v>141</v>
      </c>
      <c r="P6766" t="s">
        <v>70</v>
      </c>
      <c r="Q6766">
        <v>6</v>
      </c>
      <c r="R6766" s="2" t="s">
        <v>213</v>
      </c>
      <c r="S6766" t="s">
        <v>27</v>
      </c>
      <c r="T6766">
        <v>5</v>
      </c>
      <c r="U6766" s="2" t="s">
        <v>28</v>
      </c>
      <c r="V6766" s="2" t="s">
        <v>28</v>
      </c>
      <c r="W6766" s="2">
        <v>20</v>
      </c>
      <c r="X6766">
        <v>6.27</v>
      </c>
      <c r="Y6766" s="6">
        <f t="shared" si="112"/>
        <v>3.5106267246746707</v>
      </c>
      <c r="Z6766">
        <f>7.84-X6766</f>
        <v>1.5700000000000003</v>
      </c>
    </row>
    <row r="6767" spans="1:26" x14ac:dyDescent="0.2">
      <c r="A6767" t="s">
        <v>777</v>
      </c>
      <c r="B6767">
        <v>2013</v>
      </c>
      <c r="C6767" t="s">
        <v>826</v>
      </c>
      <c r="D6767" t="s">
        <v>812</v>
      </c>
      <c r="E6767" t="s">
        <v>175</v>
      </c>
      <c r="F6767" t="s">
        <v>778</v>
      </c>
      <c r="G6767">
        <v>-32.298475000000003</v>
      </c>
      <c r="H6767">
        <v>115.701581</v>
      </c>
      <c r="I6767" s="26" t="s">
        <v>784</v>
      </c>
      <c r="J6767" s="2" t="s">
        <v>14</v>
      </c>
      <c r="K6767" t="s">
        <v>3</v>
      </c>
      <c r="L6767" t="s">
        <v>3</v>
      </c>
      <c r="M6767" t="s">
        <v>12</v>
      </c>
      <c r="N6767" t="s">
        <v>85</v>
      </c>
      <c r="O6767" t="s">
        <v>141</v>
      </c>
      <c r="P6767" t="s">
        <v>70</v>
      </c>
      <c r="Q6767">
        <v>6</v>
      </c>
      <c r="R6767" s="2" t="s">
        <v>213</v>
      </c>
      <c r="S6767" t="s">
        <v>37</v>
      </c>
      <c r="T6767">
        <v>5</v>
      </c>
      <c r="U6767" s="2" t="s">
        <v>28</v>
      </c>
      <c r="V6767" s="2" t="s">
        <v>28</v>
      </c>
      <c r="W6767" s="2">
        <v>20</v>
      </c>
      <c r="X6767">
        <v>10.039999999999999</v>
      </c>
      <c r="Y6767" s="6">
        <f t="shared" si="112"/>
        <v>6.5964005336243821</v>
      </c>
      <c r="Z6767">
        <f>12.99-X6767</f>
        <v>2.9500000000000011</v>
      </c>
    </row>
    <row r="6768" spans="1:26" x14ac:dyDescent="0.2">
      <c r="A6768" t="s">
        <v>777</v>
      </c>
      <c r="B6768">
        <v>2013</v>
      </c>
      <c r="C6768" t="s">
        <v>826</v>
      </c>
      <c r="D6768" t="s">
        <v>812</v>
      </c>
      <c r="E6768" t="s">
        <v>175</v>
      </c>
      <c r="F6768" t="s">
        <v>778</v>
      </c>
      <c r="G6768">
        <v>-32.298475000000003</v>
      </c>
      <c r="H6768">
        <v>115.701581</v>
      </c>
      <c r="I6768" t="s">
        <v>768</v>
      </c>
      <c r="J6768" s="2" t="s">
        <v>14</v>
      </c>
      <c r="K6768" t="s">
        <v>3</v>
      </c>
      <c r="L6768" t="s">
        <v>3</v>
      </c>
      <c r="M6768" t="s">
        <v>12</v>
      </c>
      <c r="N6768" t="s">
        <v>85</v>
      </c>
      <c r="O6768" t="s">
        <v>141</v>
      </c>
      <c r="P6768" t="s">
        <v>70</v>
      </c>
      <c r="Q6768">
        <v>6</v>
      </c>
      <c r="R6768" s="2" t="s">
        <v>213</v>
      </c>
      <c r="S6768" t="s">
        <v>13</v>
      </c>
      <c r="T6768">
        <v>5</v>
      </c>
      <c r="U6768" s="2" t="s">
        <v>28</v>
      </c>
      <c r="V6768" s="2" t="s">
        <v>28</v>
      </c>
      <c r="W6768" s="2">
        <v>22</v>
      </c>
      <c r="X6768">
        <v>42.27</v>
      </c>
      <c r="Y6768" s="6">
        <f t="shared" si="112"/>
        <v>7.893319960574245</v>
      </c>
      <c r="Z6768">
        <f>45.8-X6768</f>
        <v>3.529999999999994</v>
      </c>
    </row>
    <row r="6769" spans="1:26" x14ac:dyDescent="0.2">
      <c r="A6769" t="s">
        <v>777</v>
      </c>
      <c r="B6769">
        <v>2013</v>
      </c>
      <c r="C6769" t="s">
        <v>826</v>
      </c>
      <c r="D6769" t="s">
        <v>812</v>
      </c>
      <c r="E6769" t="s">
        <v>175</v>
      </c>
      <c r="F6769" t="s">
        <v>778</v>
      </c>
      <c r="G6769">
        <v>-32.298475000000003</v>
      </c>
      <c r="H6769">
        <v>115.701581</v>
      </c>
      <c r="I6769" t="s">
        <v>770</v>
      </c>
      <c r="J6769" s="2" t="s">
        <v>14</v>
      </c>
      <c r="K6769" t="s">
        <v>3</v>
      </c>
      <c r="L6769" t="s">
        <v>3</v>
      </c>
      <c r="M6769" t="s">
        <v>12</v>
      </c>
      <c r="N6769" t="s">
        <v>85</v>
      </c>
      <c r="O6769" t="s">
        <v>141</v>
      </c>
      <c r="P6769" t="s">
        <v>70</v>
      </c>
      <c r="Q6769">
        <v>6</v>
      </c>
      <c r="R6769" s="2" t="s">
        <v>213</v>
      </c>
      <c r="S6769" t="s">
        <v>13</v>
      </c>
      <c r="T6769">
        <v>5</v>
      </c>
      <c r="U6769" s="2" t="s">
        <v>28</v>
      </c>
      <c r="V6769" s="2" t="s">
        <v>28</v>
      </c>
      <c r="W6769" s="2">
        <v>22</v>
      </c>
      <c r="X6769">
        <v>6.54</v>
      </c>
      <c r="Y6769" s="6">
        <f t="shared" si="112"/>
        <v>3.9578403201746291</v>
      </c>
      <c r="Z6769">
        <f>8.31-X6769</f>
        <v>1.7700000000000005</v>
      </c>
    </row>
    <row r="6770" spans="1:26" x14ac:dyDescent="0.2">
      <c r="A6770" t="s">
        <v>777</v>
      </c>
      <c r="B6770">
        <v>2013</v>
      </c>
      <c r="C6770" t="s">
        <v>826</v>
      </c>
      <c r="D6770" t="s">
        <v>812</v>
      </c>
      <c r="E6770" t="s">
        <v>175</v>
      </c>
      <c r="F6770" t="s">
        <v>778</v>
      </c>
      <c r="G6770">
        <v>-32.298475000000003</v>
      </c>
      <c r="H6770">
        <v>115.701581</v>
      </c>
      <c r="I6770" s="26" t="s">
        <v>782</v>
      </c>
      <c r="J6770" s="2" t="s">
        <v>14</v>
      </c>
      <c r="K6770" t="s">
        <v>3</v>
      </c>
      <c r="L6770" t="s">
        <v>3</v>
      </c>
      <c r="M6770" t="s">
        <v>12</v>
      </c>
      <c r="N6770" t="s">
        <v>85</v>
      </c>
      <c r="O6770" t="s">
        <v>141</v>
      </c>
      <c r="P6770" t="s">
        <v>70</v>
      </c>
      <c r="Q6770">
        <v>6</v>
      </c>
      <c r="R6770" s="2" t="s">
        <v>213</v>
      </c>
      <c r="S6770" t="s">
        <v>116</v>
      </c>
      <c r="T6770">
        <v>5</v>
      </c>
      <c r="U6770" s="2" t="s">
        <v>28</v>
      </c>
      <c r="V6770" s="2" t="s">
        <v>28</v>
      </c>
      <c r="W6770" s="2">
        <v>22</v>
      </c>
      <c r="X6770">
        <v>1.26</v>
      </c>
      <c r="Y6770" s="6">
        <f t="shared" si="112"/>
        <v>3.9578403201746273</v>
      </c>
      <c r="Z6770">
        <f>3.03-X6770</f>
        <v>1.7699999999999998</v>
      </c>
    </row>
    <row r="6771" spans="1:26" x14ac:dyDescent="0.2">
      <c r="A6771" t="s">
        <v>777</v>
      </c>
      <c r="B6771">
        <v>2013</v>
      </c>
      <c r="C6771" t="s">
        <v>826</v>
      </c>
      <c r="D6771" t="s">
        <v>812</v>
      </c>
      <c r="E6771" t="s">
        <v>175</v>
      </c>
      <c r="F6771" t="s">
        <v>778</v>
      </c>
      <c r="G6771">
        <v>-32.298475000000003</v>
      </c>
      <c r="H6771">
        <v>115.701581</v>
      </c>
      <c r="I6771" t="s">
        <v>762</v>
      </c>
      <c r="J6771" s="2" t="s">
        <v>14</v>
      </c>
      <c r="K6771" t="s">
        <v>3</v>
      </c>
      <c r="L6771" t="s">
        <v>3</v>
      </c>
      <c r="M6771" t="s">
        <v>12</v>
      </c>
      <c r="N6771" t="s">
        <v>85</v>
      </c>
      <c r="O6771" t="s">
        <v>141</v>
      </c>
      <c r="P6771" t="s">
        <v>70</v>
      </c>
      <c r="Q6771">
        <v>6</v>
      </c>
      <c r="R6771" s="2" t="s">
        <v>213</v>
      </c>
      <c r="S6771" t="s">
        <v>13</v>
      </c>
      <c r="T6771">
        <v>5</v>
      </c>
      <c r="U6771" s="2" t="s">
        <v>28</v>
      </c>
      <c r="V6771" s="2" t="s">
        <v>28</v>
      </c>
      <c r="W6771" s="2">
        <v>22</v>
      </c>
      <c r="X6771">
        <v>3.85</v>
      </c>
      <c r="Y6771" s="6">
        <f t="shared" si="112"/>
        <v>5.2547597471245062</v>
      </c>
      <c r="Z6771">
        <f>6.2-X6771</f>
        <v>2.35</v>
      </c>
    </row>
    <row r="6772" spans="1:26" x14ac:dyDescent="0.2">
      <c r="A6772" t="s">
        <v>777</v>
      </c>
      <c r="B6772">
        <v>2013</v>
      </c>
      <c r="C6772" t="s">
        <v>826</v>
      </c>
      <c r="D6772" t="s">
        <v>812</v>
      </c>
      <c r="E6772" t="s">
        <v>175</v>
      </c>
      <c r="F6772" t="s">
        <v>778</v>
      </c>
      <c r="G6772">
        <v>-32.298475000000003</v>
      </c>
      <c r="H6772">
        <v>115.701581</v>
      </c>
      <c r="I6772" s="26" t="s">
        <v>783</v>
      </c>
      <c r="J6772" s="2" t="s">
        <v>14</v>
      </c>
      <c r="K6772" t="s">
        <v>3</v>
      </c>
      <c r="L6772" t="s">
        <v>3</v>
      </c>
      <c r="M6772" t="s">
        <v>12</v>
      </c>
      <c r="N6772" t="s">
        <v>85</v>
      </c>
      <c r="O6772" t="s">
        <v>141</v>
      </c>
      <c r="P6772" t="s">
        <v>70</v>
      </c>
      <c r="Q6772">
        <v>6</v>
      </c>
      <c r="R6772" s="2" t="s">
        <v>213</v>
      </c>
      <c r="S6772" t="s">
        <v>116</v>
      </c>
      <c r="T6772">
        <v>5</v>
      </c>
      <c r="U6772" s="2" t="s">
        <v>28</v>
      </c>
      <c r="V6772" s="2" t="s">
        <v>28</v>
      </c>
      <c r="W6772" s="2">
        <v>22</v>
      </c>
      <c r="X6772">
        <v>0.54</v>
      </c>
      <c r="Y6772" s="6">
        <f t="shared" si="112"/>
        <v>4.3826932358995876</v>
      </c>
      <c r="Z6772">
        <f>2.5-X6772</f>
        <v>1.96</v>
      </c>
    </row>
    <row r="6773" spans="1:26" x14ac:dyDescent="0.2">
      <c r="A6773" t="s">
        <v>777</v>
      </c>
      <c r="B6773">
        <v>2013</v>
      </c>
      <c r="C6773" t="s">
        <v>826</v>
      </c>
      <c r="D6773" t="s">
        <v>812</v>
      </c>
      <c r="E6773" t="s">
        <v>175</v>
      </c>
      <c r="F6773" t="s">
        <v>778</v>
      </c>
      <c r="G6773">
        <v>-32.298475000000003</v>
      </c>
      <c r="H6773">
        <v>115.701581</v>
      </c>
      <c r="I6773" t="s">
        <v>772</v>
      </c>
      <c r="J6773" s="2" t="s">
        <v>14</v>
      </c>
      <c r="K6773" t="s">
        <v>3</v>
      </c>
      <c r="L6773" t="s">
        <v>3</v>
      </c>
      <c r="M6773" t="s">
        <v>12</v>
      </c>
      <c r="N6773" t="s">
        <v>85</v>
      </c>
      <c r="O6773" t="s">
        <v>141</v>
      </c>
      <c r="P6773" t="s">
        <v>70</v>
      </c>
      <c r="Q6773">
        <v>6</v>
      </c>
      <c r="R6773" s="2" t="s">
        <v>213</v>
      </c>
      <c r="S6773" t="s">
        <v>13</v>
      </c>
      <c r="T6773">
        <v>5</v>
      </c>
      <c r="U6773" s="2" t="s">
        <v>28</v>
      </c>
      <c r="V6773" s="2" t="s">
        <v>28</v>
      </c>
      <c r="W6773" s="2">
        <v>22</v>
      </c>
      <c r="X6773">
        <v>11.97</v>
      </c>
      <c r="Y6773" s="6">
        <f t="shared" si="112"/>
        <v>4.8299068313995459</v>
      </c>
      <c r="Z6773">
        <f>14.13-X6773</f>
        <v>2.16</v>
      </c>
    </row>
    <row r="6774" spans="1:26" x14ac:dyDescent="0.2">
      <c r="A6774" t="s">
        <v>777</v>
      </c>
      <c r="B6774">
        <v>2013</v>
      </c>
      <c r="C6774" t="s">
        <v>826</v>
      </c>
      <c r="D6774" t="s">
        <v>812</v>
      </c>
      <c r="E6774" t="s">
        <v>175</v>
      </c>
      <c r="F6774" t="s">
        <v>778</v>
      </c>
      <c r="G6774">
        <v>-32.298475000000003</v>
      </c>
      <c r="H6774">
        <v>115.701581</v>
      </c>
      <c r="I6774" s="26" t="s">
        <v>784</v>
      </c>
      <c r="J6774" s="2" t="s">
        <v>14</v>
      </c>
      <c r="K6774" t="s">
        <v>3</v>
      </c>
      <c r="L6774" t="s">
        <v>3</v>
      </c>
      <c r="M6774" t="s">
        <v>12</v>
      </c>
      <c r="N6774" t="s">
        <v>85</v>
      </c>
      <c r="O6774" t="s">
        <v>141</v>
      </c>
      <c r="P6774" t="s">
        <v>70</v>
      </c>
      <c r="Q6774">
        <v>6</v>
      </c>
      <c r="R6774" s="2" t="s">
        <v>213</v>
      </c>
      <c r="S6774" t="s">
        <v>116</v>
      </c>
      <c r="T6774">
        <v>5</v>
      </c>
      <c r="U6774" s="2" t="s">
        <v>28</v>
      </c>
      <c r="V6774" s="2" t="s">
        <v>28</v>
      </c>
      <c r="W6774" s="2">
        <v>22</v>
      </c>
      <c r="X6774">
        <v>16.13</v>
      </c>
      <c r="Y6774" s="6">
        <f t="shared" si="112"/>
        <v>9.6598136627990918</v>
      </c>
      <c r="Z6774">
        <f>20.45-X6774</f>
        <v>4.32</v>
      </c>
    </row>
    <row r="6775" spans="1:26" x14ac:dyDescent="0.2">
      <c r="A6775" t="s">
        <v>777</v>
      </c>
      <c r="B6775">
        <v>2013</v>
      </c>
      <c r="C6775" t="s">
        <v>826</v>
      </c>
      <c r="D6775" t="s">
        <v>812</v>
      </c>
      <c r="E6775" t="s">
        <v>175</v>
      </c>
      <c r="F6775" t="s">
        <v>778</v>
      </c>
      <c r="G6775">
        <v>-32.298475000000003</v>
      </c>
      <c r="H6775">
        <v>115.701581</v>
      </c>
      <c r="I6775" t="s">
        <v>768</v>
      </c>
      <c r="J6775" s="2" t="s">
        <v>7</v>
      </c>
      <c r="K6775" t="s">
        <v>3</v>
      </c>
      <c r="L6775" t="s">
        <v>3</v>
      </c>
      <c r="M6775" t="s">
        <v>26</v>
      </c>
      <c r="N6775" t="s">
        <v>85</v>
      </c>
      <c r="O6775" t="s">
        <v>80</v>
      </c>
      <c r="P6775" t="s">
        <v>79</v>
      </c>
      <c r="Q6775">
        <v>3</v>
      </c>
      <c r="R6775" s="2" t="s">
        <v>214</v>
      </c>
      <c r="S6775" t="s">
        <v>7</v>
      </c>
      <c r="T6775">
        <v>5</v>
      </c>
      <c r="U6775" s="2" t="s">
        <v>28</v>
      </c>
      <c r="V6775" s="2" t="s">
        <v>28</v>
      </c>
      <c r="W6775" s="2">
        <v>16</v>
      </c>
      <c r="X6775">
        <v>58.46</v>
      </c>
      <c r="Y6775" s="6">
        <f t="shared" si="112"/>
        <v>5.0087922695995335</v>
      </c>
      <c r="Z6775">
        <f>X6775-56.22</f>
        <v>2.240000000000002</v>
      </c>
    </row>
    <row r="6776" spans="1:26" x14ac:dyDescent="0.2">
      <c r="A6776" t="s">
        <v>777</v>
      </c>
      <c r="B6776">
        <v>2013</v>
      </c>
      <c r="C6776" t="s">
        <v>826</v>
      </c>
      <c r="D6776" t="s">
        <v>812</v>
      </c>
      <c r="E6776" t="s">
        <v>175</v>
      </c>
      <c r="F6776" t="s">
        <v>778</v>
      </c>
      <c r="G6776">
        <v>-32.298475000000003</v>
      </c>
      <c r="H6776">
        <v>115.701581</v>
      </c>
      <c r="I6776" t="s">
        <v>770</v>
      </c>
      <c r="J6776" s="2" t="s">
        <v>7</v>
      </c>
      <c r="K6776" t="s">
        <v>3</v>
      </c>
      <c r="L6776" t="s">
        <v>3</v>
      </c>
      <c r="M6776" t="s">
        <v>26</v>
      </c>
      <c r="N6776" t="s">
        <v>85</v>
      </c>
      <c r="O6776" t="s">
        <v>80</v>
      </c>
      <c r="P6776" t="s">
        <v>79</v>
      </c>
      <c r="Q6776">
        <v>3</v>
      </c>
      <c r="R6776" s="2" t="s">
        <v>214</v>
      </c>
      <c r="S6776" t="s">
        <v>7</v>
      </c>
      <c r="T6776">
        <v>5</v>
      </c>
      <c r="U6776" s="2" t="s">
        <v>28</v>
      </c>
      <c r="V6776" s="2" t="s">
        <v>28</v>
      </c>
      <c r="W6776" s="2">
        <v>16</v>
      </c>
      <c r="X6776">
        <v>53.02</v>
      </c>
      <c r="Y6776" s="6">
        <f t="shared" si="112"/>
        <v>11.001454449298954</v>
      </c>
      <c r="Z6776">
        <f>57.94-X6776</f>
        <v>4.9199999999999946</v>
      </c>
    </row>
    <row r="6777" spans="1:26" x14ac:dyDescent="0.2">
      <c r="A6777" t="s">
        <v>777</v>
      </c>
      <c r="B6777">
        <v>2013</v>
      </c>
      <c r="C6777" t="s">
        <v>826</v>
      </c>
      <c r="D6777" t="s">
        <v>812</v>
      </c>
      <c r="E6777" t="s">
        <v>175</v>
      </c>
      <c r="F6777" t="s">
        <v>778</v>
      </c>
      <c r="G6777">
        <v>-32.298475000000003</v>
      </c>
      <c r="H6777">
        <v>115.701581</v>
      </c>
      <c r="I6777" s="26" t="s">
        <v>782</v>
      </c>
      <c r="J6777" s="2" t="s">
        <v>7</v>
      </c>
      <c r="K6777" t="s">
        <v>3</v>
      </c>
      <c r="L6777" t="s">
        <v>3</v>
      </c>
      <c r="M6777" t="s">
        <v>26</v>
      </c>
      <c r="N6777" t="s">
        <v>85</v>
      </c>
      <c r="O6777" t="s">
        <v>80</v>
      </c>
      <c r="P6777" t="s">
        <v>79</v>
      </c>
      <c r="Q6777">
        <v>3</v>
      </c>
      <c r="R6777" s="2" t="s">
        <v>214</v>
      </c>
      <c r="S6777" t="s">
        <v>779</v>
      </c>
      <c r="T6777">
        <v>5</v>
      </c>
      <c r="U6777" s="2" t="s">
        <v>28</v>
      </c>
      <c r="V6777" s="2" t="s">
        <v>28</v>
      </c>
      <c r="W6777" s="2">
        <v>16</v>
      </c>
      <c r="X6777">
        <v>44.27</v>
      </c>
      <c r="Y6777" s="6">
        <f t="shared" si="112"/>
        <v>9.592731623474112</v>
      </c>
      <c r="Z6777">
        <f>X6777-39.98</f>
        <v>4.2900000000000063</v>
      </c>
    </row>
    <row r="6778" spans="1:26" x14ac:dyDescent="0.2">
      <c r="A6778" t="s">
        <v>777</v>
      </c>
      <c r="B6778">
        <v>2013</v>
      </c>
      <c r="C6778" t="s">
        <v>826</v>
      </c>
      <c r="D6778" t="s">
        <v>812</v>
      </c>
      <c r="E6778" t="s">
        <v>175</v>
      </c>
      <c r="F6778" t="s">
        <v>778</v>
      </c>
      <c r="G6778">
        <v>-32.298475000000003</v>
      </c>
      <c r="H6778">
        <v>115.701581</v>
      </c>
      <c r="I6778" t="s">
        <v>762</v>
      </c>
      <c r="J6778" s="2" t="s">
        <v>7</v>
      </c>
      <c r="K6778" t="s">
        <v>3</v>
      </c>
      <c r="L6778" t="s">
        <v>3</v>
      </c>
      <c r="M6778" t="s">
        <v>26</v>
      </c>
      <c r="N6778" t="s">
        <v>85</v>
      </c>
      <c r="O6778" t="s">
        <v>80</v>
      </c>
      <c r="P6778" t="s">
        <v>79</v>
      </c>
      <c r="Q6778">
        <v>3</v>
      </c>
      <c r="R6778" s="2" t="s">
        <v>214</v>
      </c>
      <c r="S6778" t="s">
        <v>7</v>
      </c>
      <c r="T6778">
        <v>5</v>
      </c>
      <c r="U6778" s="2" t="s">
        <v>28</v>
      </c>
      <c r="V6778" s="2" t="s">
        <v>28</v>
      </c>
      <c r="W6778" s="2">
        <v>16</v>
      </c>
      <c r="X6778">
        <v>37.97</v>
      </c>
      <c r="Y6778" s="6">
        <f t="shared" si="112"/>
        <v>6.6411218931743727</v>
      </c>
      <c r="Z6778">
        <f>X6778-35</f>
        <v>2.9699999999999989</v>
      </c>
    </row>
    <row r="6779" spans="1:26" x14ac:dyDescent="0.2">
      <c r="A6779" t="s">
        <v>777</v>
      </c>
      <c r="B6779">
        <v>2013</v>
      </c>
      <c r="C6779" t="s">
        <v>826</v>
      </c>
      <c r="D6779" t="s">
        <v>812</v>
      </c>
      <c r="E6779" t="s">
        <v>175</v>
      </c>
      <c r="F6779" t="s">
        <v>778</v>
      </c>
      <c r="G6779">
        <v>-32.298475000000003</v>
      </c>
      <c r="H6779">
        <v>115.701581</v>
      </c>
      <c r="I6779" s="26" t="s">
        <v>783</v>
      </c>
      <c r="J6779" s="2" t="s">
        <v>7</v>
      </c>
      <c r="K6779" t="s">
        <v>3</v>
      </c>
      <c r="L6779" t="s">
        <v>3</v>
      </c>
      <c r="M6779" t="s">
        <v>26</v>
      </c>
      <c r="N6779" t="s">
        <v>85</v>
      </c>
      <c r="O6779" t="s">
        <v>80</v>
      </c>
      <c r="P6779" t="s">
        <v>79</v>
      </c>
      <c r="Q6779">
        <v>3</v>
      </c>
      <c r="R6779" s="2" t="s">
        <v>214</v>
      </c>
      <c r="S6779" t="s">
        <v>779</v>
      </c>
      <c r="T6779">
        <v>5</v>
      </c>
      <c r="U6779" s="2" t="s">
        <v>28</v>
      </c>
      <c r="V6779" s="2" t="s">
        <v>28</v>
      </c>
      <c r="W6779" s="2">
        <v>16</v>
      </c>
      <c r="X6779">
        <v>44.5</v>
      </c>
      <c r="Y6779" s="6">
        <f t="shared" si="112"/>
        <v>4.4944966347745732</v>
      </c>
      <c r="Z6779">
        <f>X6779-42.49</f>
        <v>2.009999999999998</v>
      </c>
    </row>
    <row r="6780" spans="1:26" x14ac:dyDescent="0.2">
      <c r="A6780" t="s">
        <v>777</v>
      </c>
      <c r="B6780">
        <v>2013</v>
      </c>
      <c r="C6780" t="s">
        <v>826</v>
      </c>
      <c r="D6780" t="s">
        <v>812</v>
      </c>
      <c r="E6780" t="s">
        <v>175</v>
      </c>
      <c r="F6780" t="s">
        <v>778</v>
      </c>
      <c r="G6780">
        <v>-32.298475000000003</v>
      </c>
      <c r="H6780">
        <v>115.701581</v>
      </c>
      <c r="I6780" t="s">
        <v>772</v>
      </c>
      <c r="J6780" s="2" t="s">
        <v>7</v>
      </c>
      <c r="K6780" t="s">
        <v>3</v>
      </c>
      <c r="L6780" t="s">
        <v>3</v>
      </c>
      <c r="M6780" t="s">
        <v>26</v>
      </c>
      <c r="N6780" t="s">
        <v>85</v>
      </c>
      <c r="O6780" t="s">
        <v>80</v>
      </c>
      <c r="P6780" t="s">
        <v>79</v>
      </c>
      <c r="Q6780">
        <v>3</v>
      </c>
      <c r="R6780" s="2" t="s">
        <v>214</v>
      </c>
      <c r="S6780" t="s">
        <v>7</v>
      </c>
      <c r="T6780">
        <v>5</v>
      </c>
      <c r="U6780" s="2" t="s">
        <v>28</v>
      </c>
      <c r="V6780" s="2" t="s">
        <v>28</v>
      </c>
      <c r="W6780" s="2">
        <v>16</v>
      </c>
      <c r="X6780">
        <v>33.909999999999997</v>
      </c>
      <c r="Y6780" s="6">
        <f t="shared" si="112"/>
        <v>5.5007272246494852</v>
      </c>
      <c r="Z6780">
        <f>36.37-X6780</f>
        <v>2.4600000000000009</v>
      </c>
    </row>
    <row r="6781" spans="1:26" x14ac:dyDescent="0.2">
      <c r="A6781" t="s">
        <v>777</v>
      </c>
      <c r="B6781">
        <v>2013</v>
      </c>
      <c r="C6781" t="s">
        <v>826</v>
      </c>
      <c r="D6781" t="s">
        <v>812</v>
      </c>
      <c r="E6781" t="s">
        <v>175</v>
      </c>
      <c r="F6781" t="s">
        <v>778</v>
      </c>
      <c r="G6781">
        <v>-32.298475000000003</v>
      </c>
      <c r="H6781">
        <v>115.701581</v>
      </c>
      <c r="I6781" s="26" t="s">
        <v>784</v>
      </c>
      <c r="J6781" s="2" t="s">
        <v>7</v>
      </c>
      <c r="K6781" t="s">
        <v>3</v>
      </c>
      <c r="L6781" t="s">
        <v>3</v>
      </c>
      <c r="M6781" t="s">
        <v>26</v>
      </c>
      <c r="N6781" t="s">
        <v>85</v>
      </c>
      <c r="O6781" t="s">
        <v>80</v>
      </c>
      <c r="P6781" t="s">
        <v>79</v>
      </c>
      <c r="Q6781">
        <v>3</v>
      </c>
      <c r="R6781" s="2" t="s">
        <v>214</v>
      </c>
      <c r="S6781" t="s">
        <v>779</v>
      </c>
      <c r="T6781">
        <v>5</v>
      </c>
      <c r="U6781" s="2" t="s">
        <v>28</v>
      </c>
      <c r="V6781" s="2" t="s">
        <v>28</v>
      </c>
      <c r="W6781" s="2">
        <v>16</v>
      </c>
      <c r="X6781">
        <v>36.03</v>
      </c>
      <c r="Y6781" s="6">
        <f t="shared" si="112"/>
        <v>5.6348913032994776</v>
      </c>
      <c r="Z6781">
        <f>X6781-33.51</f>
        <v>2.5200000000000031</v>
      </c>
    </row>
    <row r="6782" spans="1:26" x14ac:dyDescent="0.2">
      <c r="A6782" t="s">
        <v>777</v>
      </c>
      <c r="B6782">
        <v>2013</v>
      </c>
      <c r="C6782" t="s">
        <v>826</v>
      </c>
      <c r="D6782" t="s">
        <v>812</v>
      </c>
      <c r="E6782" t="s">
        <v>175</v>
      </c>
      <c r="F6782" t="s">
        <v>778</v>
      </c>
      <c r="G6782">
        <v>-32.298475000000003</v>
      </c>
      <c r="H6782">
        <v>115.701581</v>
      </c>
      <c r="I6782" t="s">
        <v>768</v>
      </c>
      <c r="J6782" s="2" t="s">
        <v>14</v>
      </c>
      <c r="K6782" t="s">
        <v>3</v>
      </c>
      <c r="L6782" t="s">
        <v>3</v>
      </c>
      <c r="M6782" t="s">
        <v>26</v>
      </c>
      <c r="N6782" t="s">
        <v>85</v>
      </c>
      <c r="O6782" t="s">
        <v>80</v>
      </c>
      <c r="P6782" t="s">
        <v>79</v>
      </c>
      <c r="Q6782">
        <v>3</v>
      </c>
      <c r="R6782" s="2" t="s">
        <v>214</v>
      </c>
      <c r="S6782" t="s">
        <v>9</v>
      </c>
      <c r="T6782">
        <v>5</v>
      </c>
      <c r="U6782" s="2" t="s">
        <v>28</v>
      </c>
      <c r="V6782" s="2" t="s">
        <v>28</v>
      </c>
      <c r="W6782" s="2">
        <v>18</v>
      </c>
      <c r="X6782">
        <v>60.11</v>
      </c>
      <c r="Y6782" s="6">
        <f t="shared" si="112"/>
        <v>3.6000694437746601</v>
      </c>
      <c r="Z6782">
        <f>61.72-X6782</f>
        <v>1.6099999999999994</v>
      </c>
    </row>
    <row r="6783" spans="1:26" x14ac:dyDescent="0.2">
      <c r="A6783" t="s">
        <v>777</v>
      </c>
      <c r="B6783">
        <v>2013</v>
      </c>
      <c r="C6783" t="s">
        <v>826</v>
      </c>
      <c r="D6783" t="s">
        <v>812</v>
      </c>
      <c r="E6783" t="s">
        <v>175</v>
      </c>
      <c r="F6783" t="s">
        <v>778</v>
      </c>
      <c r="G6783">
        <v>-32.298475000000003</v>
      </c>
      <c r="H6783">
        <v>115.701581</v>
      </c>
      <c r="I6783" t="s">
        <v>770</v>
      </c>
      <c r="J6783" s="2" t="s">
        <v>14</v>
      </c>
      <c r="K6783" t="s">
        <v>3</v>
      </c>
      <c r="L6783" t="s">
        <v>3</v>
      </c>
      <c r="M6783" t="s">
        <v>26</v>
      </c>
      <c r="N6783" t="s">
        <v>85</v>
      </c>
      <c r="O6783" t="s">
        <v>80</v>
      </c>
      <c r="P6783" t="s">
        <v>79</v>
      </c>
      <c r="Q6783">
        <v>3</v>
      </c>
      <c r="R6783" s="2" t="s">
        <v>214</v>
      </c>
      <c r="S6783" t="s">
        <v>9</v>
      </c>
      <c r="T6783">
        <v>5</v>
      </c>
      <c r="U6783" s="2" t="s">
        <v>28</v>
      </c>
      <c r="V6783" s="2" t="s">
        <v>28</v>
      </c>
      <c r="W6783" s="2">
        <v>18</v>
      </c>
      <c r="X6783">
        <v>46.16</v>
      </c>
      <c r="Y6783" s="6">
        <f t="shared" si="112"/>
        <v>7.5579097639492794</v>
      </c>
      <c r="Z6783">
        <f>X6783-42.78</f>
        <v>3.3799999999999955</v>
      </c>
    </row>
    <row r="6784" spans="1:26" x14ac:dyDescent="0.2">
      <c r="A6784" t="s">
        <v>777</v>
      </c>
      <c r="B6784">
        <v>2013</v>
      </c>
      <c r="C6784" t="s">
        <v>826</v>
      </c>
      <c r="D6784" t="s">
        <v>812</v>
      </c>
      <c r="E6784" t="s">
        <v>175</v>
      </c>
      <c r="F6784" t="s">
        <v>778</v>
      </c>
      <c r="G6784">
        <v>-32.298475000000003</v>
      </c>
      <c r="H6784">
        <v>115.701581</v>
      </c>
      <c r="I6784" s="26" t="s">
        <v>782</v>
      </c>
      <c r="J6784" s="2" t="s">
        <v>14</v>
      </c>
      <c r="K6784" t="s">
        <v>3</v>
      </c>
      <c r="L6784" t="s">
        <v>3</v>
      </c>
      <c r="M6784" t="s">
        <v>26</v>
      </c>
      <c r="N6784" t="s">
        <v>85</v>
      </c>
      <c r="O6784" t="s">
        <v>80</v>
      </c>
      <c r="P6784" t="s">
        <v>79</v>
      </c>
      <c r="Q6784">
        <v>3</v>
      </c>
      <c r="R6784" s="2" t="s">
        <v>214</v>
      </c>
      <c r="S6784" t="s">
        <v>15</v>
      </c>
      <c r="T6784">
        <v>5</v>
      </c>
      <c r="U6784" s="2" t="s">
        <v>28</v>
      </c>
      <c r="V6784" s="2" t="s">
        <v>28</v>
      </c>
      <c r="W6784" s="2">
        <v>18</v>
      </c>
      <c r="X6784">
        <v>37.4</v>
      </c>
      <c r="Y6784" s="6">
        <f t="shared" si="112"/>
        <v>2.0571825392998107</v>
      </c>
      <c r="Z6784">
        <f>38.32-X6784</f>
        <v>0.92000000000000171</v>
      </c>
    </row>
    <row r="6785" spans="1:26" x14ac:dyDescent="0.2">
      <c r="A6785" t="s">
        <v>777</v>
      </c>
      <c r="B6785">
        <v>2013</v>
      </c>
      <c r="C6785" t="s">
        <v>826</v>
      </c>
      <c r="D6785" t="s">
        <v>812</v>
      </c>
      <c r="E6785" t="s">
        <v>175</v>
      </c>
      <c r="F6785" t="s">
        <v>778</v>
      </c>
      <c r="G6785">
        <v>-32.298475000000003</v>
      </c>
      <c r="H6785">
        <v>115.701581</v>
      </c>
      <c r="I6785" t="s">
        <v>762</v>
      </c>
      <c r="J6785" s="2" t="s">
        <v>14</v>
      </c>
      <c r="K6785" t="s">
        <v>3</v>
      </c>
      <c r="L6785" t="s">
        <v>3</v>
      </c>
      <c r="M6785" t="s">
        <v>26</v>
      </c>
      <c r="N6785" t="s">
        <v>85</v>
      </c>
      <c r="O6785" t="s">
        <v>80</v>
      </c>
      <c r="P6785" t="s">
        <v>79</v>
      </c>
      <c r="Q6785">
        <v>3</v>
      </c>
      <c r="R6785" s="2" t="s">
        <v>214</v>
      </c>
      <c r="S6785" t="s">
        <v>9</v>
      </c>
      <c r="T6785">
        <v>5</v>
      </c>
      <c r="U6785" s="2" t="s">
        <v>28</v>
      </c>
      <c r="V6785" s="2" t="s">
        <v>28</v>
      </c>
      <c r="W6785" s="2">
        <v>18</v>
      </c>
      <c r="X6785">
        <v>40.21</v>
      </c>
      <c r="Y6785" s="6">
        <f t="shared" si="112"/>
        <v>8.0498447189992461</v>
      </c>
      <c r="Z6785">
        <f>43.81-X6785</f>
        <v>3.6000000000000014</v>
      </c>
    </row>
    <row r="6786" spans="1:26" x14ac:dyDescent="0.2">
      <c r="A6786" t="s">
        <v>777</v>
      </c>
      <c r="B6786">
        <v>2013</v>
      </c>
      <c r="C6786" t="s">
        <v>826</v>
      </c>
      <c r="D6786" t="s">
        <v>812</v>
      </c>
      <c r="E6786" t="s">
        <v>175</v>
      </c>
      <c r="F6786" t="s">
        <v>778</v>
      </c>
      <c r="G6786">
        <v>-32.298475000000003</v>
      </c>
      <c r="H6786">
        <v>115.701581</v>
      </c>
      <c r="I6786" s="26" t="s">
        <v>783</v>
      </c>
      <c r="J6786" s="2" t="s">
        <v>14</v>
      </c>
      <c r="K6786" t="s">
        <v>3</v>
      </c>
      <c r="L6786" t="s">
        <v>3</v>
      </c>
      <c r="M6786" t="s">
        <v>26</v>
      </c>
      <c r="N6786" t="s">
        <v>85</v>
      </c>
      <c r="O6786" t="s">
        <v>80</v>
      </c>
      <c r="P6786" t="s">
        <v>79</v>
      </c>
      <c r="Q6786">
        <v>3</v>
      </c>
      <c r="R6786" s="2" t="s">
        <v>214</v>
      </c>
      <c r="S6786" t="s">
        <v>15</v>
      </c>
      <c r="T6786">
        <v>5</v>
      </c>
      <c r="U6786" s="2" t="s">
        <v>28</v>
      </c>
      <c r="V6786" s="2" t="s">
        <v>28</v>
      </c>
      <c r="W6786" s="2">
        <v>18</v>
      </c>
      <c r="X6786">
        <v>45.53</v>
      </c>
      <c r="Y6786" s="6">
        <f t="shared" si="112"/>
        <v>6.149186938124422</v>
      </c>
      <c r="Z6786">
        <f>X6786-42.78</f>
        <v>2.75</v>
      </c>
    </row>
    <row r="6787" spans="1:26" x14ac:dyDescent="0.2">
      <c r="A6787" t="s">
        <v>777</v>
      </c>
      <c r="B6787">
        <v>2013</v>
      </c>
      <c r="C6787" t="s">
        <v>826</v>
      </c>
      <c r="D6787" t="s">
        <v>812</v>
      </c>
      <c r="E6787" t="s">
        <v>175</v>
      </c>
      <c r="F6787" t="s">
        <v>778</v>
      </c>
      <c r="G6787">
        <v>-32.298475000000003</v>
      </c>
      <c r="H6787">
        <v>115.701581</v>
      </c>
      <c r="I6787" t="s">
        <v>772</v>
      </c>
      <c r="J6787" s="2" t="s">
        <v>14</v>
      </c>
      <c r="K6787" t="s">
        <v>3</v>
      </c>
      <c r="L6787" t="s">
        <v>3</v>
      </c>
      <c r="M6787" t="s">
        <v>26</v>
      </c>
      <c r="N6787" t="s">
        <v>85</v>
      </c>
      <c r="O6787" t="s">
        <v>80</v>
      </c>
      <c r="P6787" t="s">
        <v>79</v>
      </c>
      <c r="Q6787">
        <v>3</v>
      </c>
      <c r="R6787" s="2" t="s">
        <v>214</v>
      </c>
      <c r="S6787" t="s">
        <v>9</v>
      </c>
      <c r="T6787">
        <v>5</v>
      </c>
      <c r="U6787" s="2" t="s">
        <v>28</v>
      </c>
      <c r="V6787" s="2" t="s">
        <v>28</v>
      </c>
      <c r="W6787" s="2">
        <v>18</v>
      </c>
      <c r="X6787">
        <v>33.909999999999997</v>
      </c>
      <c r="Y6787" s="6">
        <f t="shared" si="112"/>
        <v>4.4944966347745892</v>
      </c>
      <c r="Z6787">
        <f>35.92-X6787</f>
        <v>2.0100000000000051</v>
      </c>
    </row>
    <row r="6788" spans="1:26" x14ac:dyDescent="0.2">
      <c r="A6788" t="s">
        <v>777</v>
      </c>
      <c r="B6788">
        <v>2013</v>
      </c>
      <c r="C6788" t="s">
        <v>826</v>
      </c>
      <c r="D6788" t="s">
        <v>812</v>
      </c>
      <c r="E6788" t="s">
        <v>175</v>
      </c>
      <c r="F6788" t="s">
        <v>778</v>
      </c>
      <c r="G6788">
        <v>-32.298475000000003</v>
      </c>
      <c r="H6788">
        <v>115.701581</v>
      </c>
      <c r="I6788" s="26" t="s">
        <v>784</v>
      </c>
      <c r="J6788" s="2" t="s">
        <v>14</v>
      </c>
      <c r="K6788" t="s">
        <v>3</v>
      </c>
      <c r="L6788" t="s">
        <v>3</v>
      </c>
      <c r="M6788" t="s">
        <v>26</v>
      </c>
      <c r="N6788" t="s">
        <v>85</v>
      </c>
      <c r="O6788" t="s">
        <v>80</v>
      </c>
      <c r="P6788" t="s">
        <v>79</v>
      </c>
      <c r="Q6788">
        <v>3</v>
      </c>
      <c r="R6788" s="2" t="s">
        <v>214</v>
      </c>
      <c r="S6788" t="s">
        <v>15</v>
      </c>
      <c r="T6788">
        <v>5</v>
      </c>
      <c r="U6788" s="2" t="s">
        <v>28</v>
      </c>
      <c r="V6788" s="2" t="s">
        <v>28</v>
      </c>
      <c r="W6788" s="2">
        <v>18</v>
      </c>
      <c r="X6788">
        <v>39.409999999999997</v>
      </c>
      <c r="Y6788" s="6">
        <f t="shared" si="112"/>
        <v>8.5641403538242074</v>
      </c>
      <c r="Z6788">
        <f>43.24-X6788</f>
        <v>3.8300000000000054</v>
      </c>
    </row>
    <row r="6789" spans="1:26" x14ac:dyDescent="0.2">
      <c r="A6789" t="s">
        <v>777</v>
      </c>
      <c r="B6789">
        <v>2013</v>
      </c>
      <c r="C6789" t="s">
        <v>826</v>
      </c>
      <c r="D6789" t="s">
        <v>812</v>
      </c>
      <c r="E6789" t="s">
        <v>175</v>
      </c>
      <c r="F6789" t="s">
        <v>778</v>
      </c>
      <c r="G6789">
        <v>-32.298475000000003</v>
      </c>
      <c r="H6789">
        <v>115.701581</v>
      </c>
      <c r="I6789" t="s">
        <v>768</v>
      </c>
      <c r="J6789" s="2" t="s">
        <v>14</v>
      </c>
      <c r="K6789" t="s">
        <v>3</v>
      </c>
      <c r="L6789" t="s">
        <v>3</v>
      </c>
      <c r="M6789" t="s">
        <v>26</v>
      </c>
      <c r="N6789" t="s">
        <v>85</v>
      </c>
      <c r="O6789" t="s">
        <v>80</v>
      </c>
      <c r="P6789" t="s">
        <v>79</v>
      </c>
      <c r="Q6789">
        <v>3</v>
      </c>
      <c r="R6789" s="2" t="s">
        <v>214</v>
      </c>
      <c r="S6789" t="s">
        <v>27</v>
      </c>
      <c r="T6789">
        <v>5</v>
      </c>
      <c r="U6789" s="2" t="s">
        <v>28</v>
      </c>
      <c r="V6789" s="2" t="s">
        <v>28</v>
      </c>
      <c r="W6789" s="2">
        <v>20</v>
      </c>
      <c r="X6789">
        <v>60.06</v>
      </c>
      <c r="Y6789" s="6">
        <f t="shared" si="112"/>
        <v>3.7118728426496435</v>
      </c>
      <c r="Z6789">
        <f>61.72-X6789</f>
        <v>1.6599999999999966</v>
      </c>
    </row>
    <row r="6790" spans="1:26" x14ac:dyDescent="0.2">
      <c r="A6790" t="s">
        <v>777</v>
      </c>
      <c r="B6790">
        <v>2013</v>
      </c>
      <c r="C6790" t="s">
        <v>826</v>
      </c>
      <c r="D6790" t="s">
        <v>812</v>
      </c>
      <c r="E6790" t="s">
        <v>175</v>
      </c>
      <c r="F6790" t="s">
        <v>778</v>
      </c>
      <c r="G6790">
        <v>-32.298475000000003</v>
      </c>
      <c r="H6790">
        <v>115.701581</v>
      </c>
      <c r="I6790" t="s">
        <v>770</v>
      </c>
      <c r="J6790" s="2" t="s">
        <v>14</v>
      </c>
      <c r="K6790" t="s">
        <v>3</v>
      </c>
      <c r="L6790" t="s">
        <v>3</v>
      </c>
      <c r="M6790" t="s">
        <v>26</v>
      </c>
      <c r="N6790" t="s">
        <v>85</v>
      </c>
      <c r="O6790" t="s">
        <v>80</v>
      </c>
      <c r="P6790" t="s">
        <v>79</v>
      </c>
      <c r="Q6790">
        <v>3</v>
      </c>
      <c r="R6790" s="2" t="s">
        <v>214</v>
      </c>
      <c r="S6790" t="s">
        <v>27</v>
      </c>
      <c r="T6790">
        <v>5</v>
      </c>
      <c r="U6790" s="2" t="s">
        <v>28</v>
      </c>
      <c r="V6790" s="2" t="s">
        <v>28</v>
      </c>
      <c r="W6790" s="2">
        <v>20</v>
      </c>
      <c r="X6790">
        <v>50.56</v>
      </c>
      <c r="Y6790" s="6">
        <f t="shared" si="112"/>
        <v>10.621322893124002</v>
      </c>
      <c r="Z6790">
        <f>55.31-X6790</f>
        <v>4.75</v>
      </c>
    </row>
    <row r="6791" spans="1:26" x14ac:dyDescent="0.2">
      <c r="A6791" t="s">
        <v>777</v>
      </c>
      <c r="B6791">
        <v>2013</v>
      </c>
      <c r="C6791" t="s">
        <v>826</v>
      </c>
      <c r="D6791" t="s">
        <v>812</v>
      </c>
      <c r="E6791" t="s">
        <v>175</v>
      </c>
      <c r="F6791" t="s">
        <v>778</v>
      </c>
      <c r="G6791">
        <v>-32.298475000000003</v>
      </c>
      <c r="H6791">
        <v>115.701581</v>
      </c>
      <c r="I6791" s="26" t="s">
        <v>782</v>
      </c>
      <c r="J6791" s="2" t="s">
        <v>14</v>
      </c>
      <c r="K6791" t="s">
        <v>3</v>
      </c>
      <c r="L6791" t="s">
        <v>3</v>
      </c>
      <c r="M6791" t="s">
        <v>26</v>
      </c>
      <c r="N6791" t="s">
        <v>85</v>
      </c>
      <c r="O6791" t="s">
        <v>80</v>
      </c>
      <c r="P6791" t="s">
        <v>79</v>
      </c>
      <c r="Q6791">
        <v>3</v>
      </c>
      <c r="R6791" s="2" t="s">
        <v>214</v>
      </c>
      <c r="S6791" t="s">
        <v>37</v>
      </c>
      <c r="T6791">
        <v>5</v>
      </c>
      <c r="U6791" s="2" t="s">
        <v>28</v>
      </c>
      <c r="V6791" s="2" t="s">
        <v>28</v>
      </c>
      <c r="W6791" s="2">
        <v>20</v>
      </c>
      <c r="X6791">
        <v>60.23</v>
      </c>
      <c r="Y6791" s="6">
        <f t="shared" si="112"/>
        <v>8.0498447189992461</v>
      </c>
      <c r="Z6791">
        <f>63.83-X6791</f>
        <v>3.6000000000000014</v>
      </c>
    </row>
    <row r="6792" spans="1:26" x14ac:dyDescent="0.2">
      <c r="A6792" t="s">
        <v>777</v>
      </c>
      <c r="B6792">
        <v>2013</v>
      </c>
      <c r="C6792" t="s">
        <v>826</v>
      </c>
      <c r="D6792" t="s">
        <v>812</v>
      </c>
      <c r="E6792" t="s">
        <v>175</v>
      </c>
      <c r="F6792" t="s">
        <v>778</v>
      </c>
      <c r="G6792">
        <v>-32.298475000000003</v>
      </c>
      <c r="H6792">
        <v>115.701581</v>
      </c>
      <c r="I6792" t="s">
        <v>762</v>
      </c>
      <c r="J6792" s="2" t="s">
        <v>14</v>
      </c>
      <c r="K6792" t="s">
        <v>3</v>
      </c>
      <c r="L6792" t="s">
        <v>3</v>
      </c>
      <c r="M6792" t="s">
        <v>26</v>
      </c>
      <c r="N6792" t="s">
        <v>85</v>
      </c>
      <c r="O6792" t="s">
        <v>80</v>
      </c>
      <c r="P6792" t="s">
        <v>79</v>
      </c>
      <c r="Q6792">
        <v>3</v>
      </c>
      <c r="R6792" s="2" t="s">
        <v>214</v>
      </c>
      <c r="S6792" t="s">
        <v>27</v>
      </c>
      <c r="T6792">
        <v>5</v>
      </c>
      <c r="U6792" s="2" t="s">
        <v>28</v>
      </c>
      <c r="V6792" s="2" t="s">
        <v>28</v>
      </c>
      <c r="W6792" s="2">
        <v>20</v>
      </c>
      <c r="X6792">
        <v>39.409999999999997</v>
      </c>
      <c r="Y6792" s="6">
        <f t="shared" si="112"/>
        <v>8.5641403538242074</v>
      </c>
      <c r="Z6792">
        <f>43.24-X6792</f>
        <v>3.8300000000000054</v>
      </c>
    </row>
    <row r="6793" spans="1:26" x14ac:dyDescent="0.2">
      <c r="A6793" t="s">
        <v>777</v>
      </c>
      <c r="B6793">
        <v>2013</v>
      </c>
      <c r="C6793" t="s">
        <v>826</v>
      </c>
      <c r="D6793" t="s">
        <v>812</v>
      </c>
      <c r="E6793" t="s">
        <v>175</v>
      </c>
      <c r="F6793" t="s">
        <v>778</v>
      </c>
      <c r="G6793">
        <v>-32.298475000000003</v>
      </c>
      <c r="H6793">
        <v>115.701581</v>
      </c>
      <c r="I6793" s="26" t="s">
        <v>783</v>
      </c>
      <c r="J6793" s="2" t="s">
        <v>14</v>
      </c>
      <c r="K6793" t="s">
        <v>3</v>
      </c>
      <c r="L6793" t="s">
        <v>3</v>
      </c>
      <c r="M6793" t="s">
        <v>26</v>
      </c>
      <c r="N6793" t="s">
        <v>85</v>
      </c>
      <c r="O6793" t="s">
        <v>80</v>
      </c>
      <c r="P6793" t="s">
        <v>79</v>
      </c>
      <c r="Q6793">
        <v>3</v>
      </c>
      <c r="R6793" s="2" t="s">
        <v>214</v>
      </c>
      <c r="S6793" t="s">
        <v>37</v>
      </c>
      <c r="T6793">
        <v>5</v>
      </c>
      <c r="U6793" s="2" t="s">
        <v>28</v>
      </c>
      <c r="V6793" s="2" t="s">
        <v>28</v>
      </c>
      <c r="W6793" s="2">
        <v>20</v>
      </c>
      <c r="X6793">
        <v>49.93</v>
      </c>
      <c r="Y6793" s="6">
        <f t="shared" si="112"/>
        <v>5.1205956684745164</v>
      </c>
      <c r="Z6793">
        <f>52.22-X6793</f>
        <v>2.2899999999999991</v>
      </c>
    </row>
    <row r="6794" spans="1:26" x14ac:dyDescent="0.2">
      <c r="A6794" t="s">
        <v>777</v>
      </c>
      <c r="B6794">
        <v>2013</v>
      </c>
      <c r="C6794" t="s">
        <v>826</v>
      </c>
      <c r="D6794" t="s">
        <v>812</v>
      </c>
      <c r="E6794" t="s">
        <v>175</v>
      </c>
      <c r="F6794" t="s">
        <v>778</v>
      </c>
      <c r="G6794">
        <v>-32.298475000000003</v>
      </c>
      <c r="H6794">
        <v>115.701581</v>
      </c>
      <c r="I6794" t="s">
        <v>772</v>
      </c>
      <c r="J6794" s="2" t="s">
        <v>14</v>
      </c>
      <c r="K6794" t="s">
        <v>3</v>
      </c>
      <c r="L6794" t="s">
        <v>3</v>
      </c>
      <c r="M6794" t="s">
        <v>26</v>
      </c>
      <c r="N6794" t="s">
        <v>85</v>
      </c>
      <c r="O6794" t="s">
        <v>80</v>
      </c>
      <c r="P6794" t="s">
        <v>79</v>
      </c>
      <c r="Q6794">
        <v>3</v>
      </c>
      <c r="R6794" s="2" t="s">
        <v>214</v>
      </c>
      <c r="S6794" t="s">
        <v>27</v>
      </c>
      <c r="T6794">
        <v>5</v>
      </c>
      <c r="U6794" s="2" t="s">
        <v>28</v>
      </c>
      <c r="V6794" s="2" t="s">
        <v>28</v>
      </c>
      <c r="W6794" s="2">
        <v>20</v>
      </c>
      <c r="X6794">
        <v>33.049999999999997</v>
      </c>
      <c r="Y6794" s="6">
        <f t="shared" si="112"/>
        <v>5.6348913032994776</v>
      </c>
      <c r="Z6794">
        <f>35.57-X6794</f>
        <v>2.5200000000000031</v>
      </c>
    </row>
    <row r="6795" spans="1:26" x14ac:dyDescent="0.2">
      <c r="A6795" t="s">
        <v>777</v>
      </c>
      <c r="B6795">
        <v>2013</v>
      </c>
      <c r="C6795" t="s">
        <v>826</v>
      </c>
      <c r="D6795" t="s">
        <v>812</v>
      </c>
      <c r="E6795" t="s">
        <v>175</v>
      </c>
      <c r="F6795" t="s">
        <v>778</v>
      </c>
      <c r="G6795">
        <v>-32.298475000000003</v>
      </c>
      <c r="H6795">
        <v>115.701581</v>
      </c>
      <c r="I6795" s="26" t="s">
        <v>784</v>
      </c>
      <c r="J6795" s="2" t="s">
        <v>14</v>
      </c>
      <c r="K6795" t="s">
        <v>3</v>
      </c>
      <c r="L6795" t="s">
        <v>3</v>
      </c>
      <c r="M6795" t="s">
        <v>26</v>
      </c>
      <c r="N6795" t="s">
        <v>85</v>
      </c>
      <c r="O6795" t="s">
        <v>80</v>
      </c>
      <c r="P6795" t="s">
        <v>79</v>
      </c>
      <c r="Q6795">
        <v>3</v>
      </c>
      <c r="R6795" s="2" t="s">
        <v>214</v>
      </c>
      <c r="S6795" t="s">
        <v>37</v>
      </c>
      <c r="T6795">
        <v>5</v>
      </c>
      <c r="U6795" s="2" t="s">
        <v>28</v>
      </c>
      <c r="V6795" s="2" t="s">
        <v>28</v>
      </c>
      <c r="W6795" s="2">
        <v>20</v>
      </c>
      <c r="X6795">
        <v>41.98</v>
      </c>
      <c r="Y6795" s="6">
        <f t="shared" si="112"/>
        <v>7.2895816066493264</v>
      </c>
      <c r="Z6795">
        <f>45.24-X6795</f>
        <v>3.2600000000000051</v>
      </c>
    </row>
    <row r="6796" spans="1:26" x14ac:dyDescent="0.2">
      <c r="A6796" t="s">
        <v>777</v>
      </c>
      <c r="B6796">
        <v>2013</v>
      </c>
      <c r="C6796" t="s">
        <v>826</v>
      </c>
      <c r="D6796" t="s">
        <v>812</v>
      </c>
      <c r="E6796" t="s">
        <v>175</v>
      </c>
      <c r="F6796" t="s">
        <v>778</v>
      </c>
      <c r="G6796">
        <v>-32.298475000000003</v>
      </c>
      <c r="H6796">
        <v>115.701581</v>
      </c>
      <c r="I6796" t="s">
        <v>768</v>
      </c>
      <c r="J6796" s="2" t="s">
        <v>14</v>
      </c>
      <c r="K6796" t="s">
        <v>3</v>
      </c>
      <c r="L6796" t="s">
        <v>3</v>
      </c>
      <c r="M6796" t="s">
        <v>26</v>
      </c>
      <c r="N6796" t="s">
        <v>85</v>
      </c>
      <c r="O6796" t="s">
        <v>80</v>
      </c>
      <c r="P6796" t="s">
        <v>79</v>
      </c>
      <c r="Q6796">
        <v>3</v>
      </c>
      <c r="R6796" s="2" t="s">
        <v>214</v>
      </c>
      <c r="S6796" t="s">
        <v>13</v>
      </c>
      <c r="T6796">
        <v>5</v>
      </c>
      <c r="U6796" s="2" t="s">
        <v>28</v>
      </c>
      <c r="V6796" s="2" t="s">
        <v>28</v>
      </c>
      <c r="W6796" s="2">
        <v>22</v>
      </c>
      <c r="X6796">
        <v>55.82</v>
      </c>
      <c r="Y6796" s="6">
        <f t="shared" si="112"/>
        <v>6.7752859718243661</v>
      </c>
      <c r="Z6796">
        <f>X6796-52.79</f>
        <v>3.0300000000000011</v>
      </c>
    </row>
    <row r="6797" spans="1:26" x14ac:dyDescent="0.2">
      <c r="A6797" t="s">
        <v>777</v>
      </c>
      <c r="B6797">
        <v>2013</v>
      </c>
      <c r="C6797" t="s">
        <v>826</v>
      </c>
      <c r="D6797" t="s">
        <v>812</v>
      </c>
      <c r="E6797" t="s">
        <v>175</v>
      </c>
      <c r="F6797" t="s">
        <v>778</v>
      </c>
      <c r="G6797">
        <v>-32.298475000000003</v>
      </c>
      <c r="H6797">
        <v>115.701581</v>
      </c>
      <c r="I6797" t="s">
        <v>770</v>
      </c>
      <c r="J6797" s="2" t="s">
        <v>14</v>
      </c>
      <c r="K6797" t="s">
        <v>3</v>
      </c>
      <c r="L6797" t="s">
        <v>3</v>
      </c>
      <c r="M6797" t="s">
        <v>26</v>
      </c>
      <c r="N6797" t="s">
        <v>85</v>
      </c>
      <c r="O6797" t="s">
        <v>80</v>
      </c>
      <c r="P6797" t="s">
        <v>79</v>
      </c>
      <c r="Q6797">
        <v>3</v>
      </c>
      <c r="R6797" s="2" t="s">
        <v>214</v>
      </c>
      <c r="S6797" t="s">
        <v>13</v>
      </c>
      <c r="T6797">
        <v>5</v>
      </c>
      <c r="U6797" s="2" t="s">
        <v>28</v>
      </c>
      <c r="V6797" s="2" t="s">
        <v>28</v>
      </c>
      <c r="W6797" s="2">
        <v>22</v>
      </c>
      <c r="X6797">
        <v>43.58</v>
      </c>
      <c r="Y6797" s="6">
        <f t="shared" si="112"/>
        <v>4.4721359549995796</v>
      </c>
      <c r="Z6797">
        <f>X6797-41.58</f>
        <v>2</v>
      </c>
    </row>
    <row r="6798" spans="1:26" x14ac:dyDescent="0.2">
      <c r="A6798" t="s">
        <v>777</v>
      </c>
      <c r="B6798">
        <v>2013</v>
      </c>
      <c r="C6798" t="s">
        <v>826</v>
      </c>
      <c r="D6798" t="s">
        <v>812</v>
      </c>
      <c r="E6798" t="s">
        <v>175</v>
      </c>
      <c r="F6798" t="s">
        <v>778</v>
      </c>
      <c r="G6798">
        <v>-32.298475000000003</v>
      </c>
      <c r="H6798">
        <v>115.701581</v>
      </c>
      <c r="I6798" s="26" t="s">
        <v>782</v>
      </c>
      <c r="J6798" s="2" t="s">
        <v>14</v>
      </c>
      <c r="K6798" t="s">
        <v>3</v>
      </c>
      <c r="L6798" t="s">
        <v>3</v>
      </c>
      <c r="M6798" t="s">
        <v>26</v>
      </c>
      <c r="N6798" t="s">
        <v>85</v>
      </c>
      <c r="O6798" t="s">
        <v>80</v>
      </c>
      <c r="P6798" t="s">
        <v>79</v>
      </c>
      <c r="Q6798">
        <v>3</v>
      </c>
      <c r="R6798" s="2" t="s">
        <v>214</v>
      </c>
      <c r="S6798" t="s">
        <v>116</v>
      </c>
      <c r="T6798">
        <v>5</v>
      </c>
      <c r="U6798" s="2" t="s">
        <v>28</v>
      </c>
      <c r="V6798" s="2" t="s">
        <v>28</v>
      </c>
      <c r="W6798" s="2">
        <v>22</v>
      </c>
      <c r="X6798">
        <v>48.73</v>
      </c>
      <c r="Y6798" s="6">
        <f t="shared" si="112"/>
        <v>8.3181728762992311</v>
      </c>
      <c r="Z6798">
        <f>52.45-X6798</f>
        <v>3.720000000000006</v>
      </c>
    </row>
    <row r="6799" spans="1:26" x14ac:dyDescent="0.2">
      <c r="A6799" t="s">
        <v>777</v>
      </c>
      <c r="B6799">
        <v>2013</v>
      </c>
      <c r="C6799" t="s">
        <v>826</v>
      </c>
      <c r="D6799" t="s">
        <v>812</v>
      </c>
      <c r="E6799" t="s">
        <v>175</v>
      </c>
      <c r="F6799" t="s">
        <v>778</v>
      </c>
      <c r="G6799">
        <v>-32.298475000000003</v>
      </c>
      <c r="H6799">
        <v>115.701581</v>
      </c>
      <c r="I6799" t="s">
        <v>762</v>
      </c>
      <c r="J6799" s="2" t="s">
        <v>14</v>
      </c>
      <c r="K6799" t="s">
        <v>3</v>
      </c>
      <c r="L6799" t="s">
        <v>3</v>
      </c>
      <c r="M6799" t="s">
        <v>26</v>
      </c>
      <c r="N6799" t="s">
        <v>85</v>
      </c>
      <c r="O6799" t="s">
        <v>80</v>
      </c>
      <c r="P6799" t="s">
        <v>79</v>
      </c>
      <c r="Q6799">
        <v>3</v>
      </c>
      <c r="R6799" s="2" t="s">
        <v>214</v>
      </c>
      <c r="S6799" t="s">
        <v>13</v>
      </c>
      <c r="T6799">
        <v>5</v>
      </c>
      <c r="U6799" s="2" t="s">
        <v>28</v>
      </c>
      <c r="V6799" s="2" t="s">
        <v>28</v>
      </c>
      <c r="W6799" s="2">
        <v>22</v>
      </c>
      <c r="X6799">
        <v>38.200000000000003</v>
      </c>
      <c r="Y6799" s="6">
        <f t="shared" si="112"/>
        <v>4.2038077976996107</v>
      </c>
      <c r="Z6799">
        <f>X6799-36.32</f>
        <v>1.8800000000000026</v>
      </c>
    </row>
    <row r="6800" spans="1:26" x14ac:dyDescent="0.2">
      <c r="A6800" t="s">
        <v>777</v>
      </c>
      <c r="B6800">
        <v>2013</v>
      </c>
      <c r="C6800" t="s">
        <v>826</v>
      </c>
      <c r="D6800" t="s">
        <v>812</v>
      </c>
      <c r="E6800" t="s">
        <v>175</v>
      </c>
      <c r="F6800" t="s">
        <v>778</v>
      </c>
      <c r="G6800">
        <v>-32.298475000000003</v>
      </c>
      <c r="H6800">
        <v>115.701581</v>
      </c>
      <c r="I6800" s="26" t="s">
        <v>783</v>
      </c>
      <c r="J6800" s="2" t="s">
        <v>14</v>
      </c>
      <c r="K6800" t="s">
        <v>3</v>
      </c>
      <c r="L6800" t="s">
        <v>3</v>
      </c>
      <c r="M6800" t="s">
        <v>26</v>
      </c>
      <c r="N6800" t="s">
        <v>85</v>
      </c>
      <c r="O6800" t="s">
        <v>80</v>
      </c>
      <c r="P6800" t="s">
        <v>79</v>
      </c>
      <c r="Q6800">
        <v>3</v>
      </c>
      <c r="R6800" s="2" t="s">
        <v>214</v>
      </c>
      <c r="S6800" t="s">
        <v>116</v>
      </c>
      <c r="T6800">
        <v>5</v>
      </c>
      <c r="U6800" s="2" t="s">
        <v>28</v>
      </c>
      <c r="V6800" s="2" t="s">
        <v>28</v>
      </c>
      <c r="W6800" s="2">
        <v>22</v>
      </c>
      <c r="X6800">
        <v>46.04</v>
      </c>
      <c r="Y6800" s="6">
        <f t="shared" si="112"/>
        <v>4.874628190949541</v>
      </c>
      <c r="Z6800">
        <f>48.22-X6800</f>
        <v>2.1799999999999997</v>
      </c>
    </row>
    <row r="6801" spans="1:26" x14ac:dyDescent="0.2">
      <c r="A6801" t="s">
        <v>777</v>
      </c>
      <c r="B6801">
        <v>2013</v>
      </c>
      <c r="C6801" t="s">
        <v>826</v>
      </c>
      <c r="D6801" t="s">
        <v>812</v>
      </c>
      <c r="E6801" t="s">
        <v>175</v>
      </c>
      <c r="F6801" t="s">
        <v>778</v>
      </c>
      <c r="G6801">
        <v>-32.298475000000003</v>
      </c>
      <c r="H6801">
        <v>115.701581</v>
      </c>
      <c r="I6801" t="s">
        <v>772</v>
      </c>
      <c r="J6801" s="2" t="s">
        <v>14</v>
      </c>
      <c r="K6801" t="s">
        <v>3</v>
      </c>
      <c r="L6801" t="s">
        <v>3</v>
      </c>
      <c r="M6801" t="s">
        <v>26</v>
      </c>
      <c r="N6801" t="s">
        <v>85</v>
      </c>
      <c r="O6801" t="s">
        <v>80</v>
      </c>
      <c r="P6801" t="s">
        <v>79</v>
      </c>
      <c r="Q6801">
        <v>3</v>
      </c>
      <c r="R6801" s="2" t="s">
        <v>214</v>
      </c>
      <c r="S6801" t="s">
        <v>13</v>
      </c>
      <c r="T6801">
        <v>5</v>
      </c>
      <c r="U6801" s="2" t="s">
        <v>28</v>
      </c>
      <c r="V6801" s="2" t="s">
        <v>28</v>
      </c>
      <c r="W6801" s="2">
        <v>22</v>
      </c>
      <c r="X6801">
        <v>34.369999999999997</v>
      </c>
      <c r="Y6801" s="6">
        <f t="shared" si="112"/>
        <v>5.6348913032994776</v>
      </c>
      <c r="Z6801">
        <f>36.89-X6801</f>
        <v>2.5200000000000031</v>
      </c>
    </row>
    <row r="6802" spans="1:26" x14ac:dyDescent="0.2">
      <c r="A6802" t="s">
        <v>777</v>
      </c>
      <c r="B6802">
        <v>2013</v>
      </c>
      <c r="C6802" t="s">
        <v>826</v>
      </c>
      <c r="D6802" t="s">
        <v>812</v>
      </c>
      <c r="E6802" t="s">
        <v>175</v>
      </c>
      <c r="F6802" t="s">
        <v>778</v>
      </c>
      <c r="G6802">
        <v>-32.298475000000003</v>
      </c>
      <c r="H6802">
        <v>115.701581</v>
      </c>
      <c r="I6802" s="26" t="s">
        <v>784</v>
      </c>
      <c r="J6802" s="2" t="s">
        <v>14</v>
      </c>
      <c r="K6802" t="s">
        <v>3</v>
      </c>
      <c r="L6802" t="s">
        <v>3</v>
      </c>
      <c r="M6802" t="s">
        <v>26</v>
      </c>
      <c r="N6802" t="s">
        <v>85</v>
      </c>
      <c r="O6802" t="s">
        <v>80</v>
      </c>
      <c r="P6802" t="s">
        <v>79</v>
      </c>
      <c r="Q6802">
        <v>3</v>
      </c>
      <c r="R6802" s="2" t="s">
        <v>214</v>
      </c>
      <c r="S6802" t="s">
        <v>116</v>
      </c>
      <c r="T6802">
        <v>5</v>
      </c>
      <c r="U6802" s="2" t="s">
        <v>28</v>
      </c>
      <c r="V6802" s="2" t="s">
        <v>28</v>
      </c>
      <c r="W6802" s="2">
        <v>22</v>
      </c>
      <c r="X6802">
        <v>34.770000000000003</v>
      </c>
      <c r="Y6802" s="6">
        <f t="shared" si="112"/>
        <v>4.4721359549995796</v>
      </c>
      <c r="Z6802">
        <f>X6802-32.77</f>
        <v>2</v>
      </c>
    </row>
    <row r="6803" spans="1:26" x14ac:dyDescent="0.2">
      <c r="A6803" t="s">
        <v>777</v>
      </c>
      <c r="B6803">
        <v>2013</v>
      </c>
      <c r="C6803" t="s">
        <v>826</v>
      </c>
      <c r="D6803" t="s">
        <v>812</v>
      </c>
      <c r="E6803" t="s">
        <v>175</v>
      </c>
      <c r="F6803" t="s">
        <v>778</v>
      </c>
      <c r="G6803">
        <v>-32.298475000000003</v>
      </c>
      <c r="H6803">
        <v>115.701581</v>
      </c>
      <c r="I6803" t="s">
        <v>768</v>
      </c>
      <c r="J6803" s="2" t="s">
        <v>7</v>
      </c>
      <c r="K6803" t="s">
        <v>3</v>
      </c>
      <c r="L6803" t="s">
        <v>3</v>
      </c>
      <c r="M6803" t="s">
        <v>26</v>
      </c>
      <c r="N6803" t="s">
        <v>85</v>
      </c>
      <c r="O6803" t="s">
        <v>80</v>
      </c>
      <c r="P6803" t="s">
        <v>79</v>
      </c>
      <c r="Q6803">
        <v>6</v>
      </c>
      <c r="R6803" s="2" t="s">
        <v>213</v>
      </c>
      <c r="S6803" t="s">
        <v>7</v>
      </c>
      <c r="T6803">
        <v>5</v>
      </c>
      <c r="U6803" s="2" t="s">
        <v>28</v>
      </c>
      <c r="V6803" s="2" t="s">
        <v>28</v>
      </c>
      <c r="W6803" s="2">
        <v>16</v>
      </c>
      <c r="X6803">
        <v>156.76</v>
      </c>
      <c r="Y6803" s="6">
        <f t="shared" si="112"/>
        <v>25.446453583947598</v>
      </c>
      <c r="Z6803">
        <f>X6803-145.38</f>
        <v>11.379999999999995</v>
      </c>
    </row>
    <row r="6804" spans="1:26" x14ac:dyDescent="0.2">
      <c r="A6804" t="s">
        <v>777</v>
      </c>
      <c r="B6804">
        <v>2013</v>
      </c>
      <c r="C6804" t="s">
        <v>826</v>
      </c>
      <c r="D6804" t="s">
        <v>812</v>
      </c>
      <c r="E6804" t="s">
        <v>175</v>
      </c>
      <c r="F6804" t="s">
        <v>778</v>
      </c>
      <c r="G6804">
        <v>-32.298475000000003</v>
      </c>
      <c r="H6804">
        <v>115.701581</v>
      </c>
      <c r="I6804" t="s">
        <v>770</v>
      </c>
      <c r="J6804" s="2" t="s">
        <v>7</v>
      </c>
      <c r="K6804" t="s">
        <v>3</v>
      </c>
      <c r="L6804" t="s">
        <v>3</v>
      </c>
      <c r="M6804" t="s">
        <v>26</v>
      </c>
      <c r="N6804" t="s">
        <v>85</v>
      </c>
      <c r="O6804" t="s">
        <v>80</v>
      </c>
      <c r="P6804" t="s">
        <v>79</v>
      </c>
      <c r="Q6804">
        <v>6</v>
      </c>
      <c r="R6804" s="2" t="s">
        <v>213</v>
      </c>
      <c r="S6804" t="s">
        <v>7</v>
      </c>
      <c r="T6804">
        <v>5</v>
      </c>
      <c r="U6804" s="2" t="s">
        <v>28</v>
      </c>
      <c r="V6804" s="2" t="s">
        <v>28</v>
      </c>
      <c r="W6804" s="2">
        <v>16</v>
      </c>
      <c r="X6804">
        <v>59.37</v>
      </c>
      <c r="Y6804" s="6">
        <f t="shared" si="112"/>
        <v>4.2485291572495978</v>
      </c>
      <c r="Z6804">
        <f>X6804-57.47</f>
        <v>1.8999999999999986</v>
      </c>
    </row>
    <row r="6805" spans="1:26" x14ac:dyDescent="0.2">
      <c r="A6805" t="s">
        <v>777</v>
      </c>
      <c r="B6805">
        <v>2013</v>
      </c>
      <c r="C6805" t="s">
        <v>826</v>
      </c>
      <c r="D6805" t="s">
        <v>812</v>
      </c>
      <c r="E6805" t="s">
        <v>175</v>
      </c>
      <c r="F6805" t="s">
        <v>778</v>
      </c>
      <c r="G6805">
        <v>-32.298475000000003</v>
      </c>
      <c r="H6805">
        <v>115.701581</v>
      </c>
      <c r="I6805" s="26" t="s">
        <v>782</v>
      </c>
      <c r="J6805" s="2" t="s">
        <v>7</v>
      </c>
      <c r="K6805" t="s">
        <v>3</v>
      </c>
      <c r="L6805" t="s">
        <v>3</v>
      </c>
      <c r="M6805" t="s">
        <v>26</v>
      </c>
      <c r="N6805" t="s">
        <v>85</v>
      </c>
      <c r="O6805" t="s">
        <v>80</v>
      </c>
      <c r="P6805" t="s">
        <v>79</v>
      </c>
      <c r="Q6805">
        <v>6</v>
      </c>
      <c r="R6805" s="2" t="s">
        <v>213</v>
      </c>
      <c r="S6805" t="s">
        <v>779</v>
      </c>
      <c r="T6805">
        <v>5</v>
      </c>
      <c r="U6805" s="2" t="s">
        <v>28</v>
      </c>
      <c r="V6805" s="2" t="s">
        <v>28</v>
      </c>
      <c r="W6805" s="2">
        <v>16</v>
      </c>
      <c r="X6805">
        <v>62.85</v>
      </c>
      <c r="Y6805" s="6">
        <f t="shared" si="112"/>
        <v>21.22028510647301</v>
      </c>
      <c r="Z6805">
        <f>X6805-53.36</f>
        <v>9.490000000000002</v>
      </c>
    </row>
    <row r="6806" spans="1:26" x14ac:dyDescent="0.2">
      <c r="A6806" t="s">
        <v>777</v>
      </c>
      <c r="B6806">
        <v>2013</v>
      </c>
      <c r="C6806" t="s">
        <v>826</v>
      </c>
      <c r="D6806" t="s">
        <v>812</v>
      </c>
      <c r="E6806" t="s">
        <v>175</v>
      </c>
      <c r="F6806" t="s">
        <v>778</v>
      </c>
      <c r="G6806">
        <v>-32.298475000000003</v>
      </c>
      <c r="H6806">
        <v>115.701581</v>
      </c>
      <c r="I6806" t="s">
        <v>762</v>
      </c>
      <c r="J6806" s="2" t="s">
        <v>7</v>
      </c>
      <c r="K6806" t="s">
        <v>3</v>
      </c>
      <c r="L6806" t="s">
        <v>3</v>
      </c>
      <c r="M6806" t="s">
        <v>26</v>
      </c>
      <c r="N6806" t="s">
        <v>85</v>
      </c>
      <c r="O6806" t="s">
        <v>80</v>
      </c>
      <c r="P6806" t="s">
        <v>79</v>
      </c>
      <c r="Q6806">
        <v>6</v>
      </c>
      <c r="R6806" s="2" t="s">
        <v>213</v>
      </c>
      <c r="S6806" t="s">
        <v>7</v>
      </c>
      <c r="T6806">
        <v>5</v>
      </c>
      <c r="U6806" s="2" t="s">
        <v>28</v>
      </c>
      <c r="V6806" s="2" t="s">
        <v>28</v>
      </c>
      <c r="W6806" s="2">
        <v>16</v>
      </c>
      <c r="X6806">
        <v>85.3</v>
      </c>
      <c r="Y6806" s="6">
        <f t="shared" si="112"/>
        <v>15.563033123398522</v>
      </c>
      <c r="Z6806">
        <f>X6806-78.34</f>
        <v>6.9599999999999937</v>
      </c>
    </row>
    <row r="6807" spans="1:26" x14ac:dyDescent="0.2">
      <c r="A6807" t="s">
        <v>777</v>
      </c>
      <c r="B6807">
        <v>2013</v>
      </c>
      <c r="C6807" t="s">
        <v>826</v>
      </c>
      <c r="D6807" t="s">
        <v>812</v>
      </c>
      <c r="E6807" t="s">
        <v>175</v>
      </c>
      <c r="F6807" t="s">
        <v>778</v>
      </c>
      <c r="G6807">
        <v>-32.298475000000003</v>
      </c>
      <c r="H6807">
        <v>115.701581</v>
      </c>
      <c r="I6807" s="26" t="s">
        <v>783</v>
      </c>
      <c r="J6807" s="2" t="s">
        <v>7</v>
      </c>
      <c r="K6807" t="s">
        <v>3</v>
      </c>
      <c r="L6807" t="s">
        <v>3</v>
      </c>
      <c r="M6807" t="s">
        <v>26</v>
      </c>
      <c r="N6807" t="s">
        <v>85</v>
      </c>
      <c r="O6807" t="s">
        <v>80</v>
      </c>
      <c r="P6807" t="s">
        <v>79</v>
      </c>
      <c r="Q6807">
        <v>6</v>
      </c>
      <c r="R6807" s="2" t="s">
        <v>213</v>
      </c>
      <c r="S6807" t="s">
        <v>779</v>
      </c>
      <c r="T6807">
        <v>5</v>
      </c>
      <c r="U6807" s="2" t="s">
        <v>28</v>
      </c>
      <c r="V6807" s="2" t="s">
        <v>28</v>
      </c>
      <c r="W6807" s="2">
        <v>16</v>
      </c>
      <c r="X6807">
        <v>75.180000000000007</v>
      </c>
      <c r="Y6807" s="6">
        <f t="shared" si="112"/>
        <v>13.438768544773747</v>
      </c>
      <c r="Z6807">
        <f>X6807-69.17</f>
        <v>6.0100000000000051</v>
      </c>
    </row>
    <row r="6808" spans="1:26" x14ac:dyDescent="0.2">
      <c r="A6808" t="s">
        <v>777</v>
      </c>
      <c r="B6808">
        <v>2013</v>
      </c>
      <c r="C6808" t="s">
        <v>826</v>
      </c>
      <c r="D6808" t="s">
        <v>812</v>
      </c>
      <c r="E6808" t="s">
        <v>175</v>
      </c>
      <c r="F6808" t="s">
        <v>778</v>
      </c>
      <c r="G6808">
        <v>-32.298475000000003</v>
      </c>
      <c r="H6808">
        <v>115.701581</v>
      </c>
      <c r="I6808" t="s">
        <v>772</v>
      </c>
      <c r="J6808" s="2" t="s">
        <v>7</v>
      </c>
      <c r="K6808" t="s">
        <v>3</v>
      </c>
      <c r="L6808" t="s">
        <v>3</v>
      </c>
      <c r="M6808" t="s">
        <v>26</v>
      </c>
      <c r="N6808" t="s">
        <v>85</v>
      </c>
      <c r="O6808" t="s">
        <v>80</v>
      </c>
      <c r="P6808" t="s">
        <v>79</v>
      </c>
      <c r="Q6808">
        <v>6</v>
      </c>
      <c r="R6808" s="2" t="s">
        <v>213</v>
      </c>
      <c r="S6808" t="s">
        <v>7</v>
      </c>
      <c r="T6808">
        <v>5</v>
      </c>
      <c r="U6808" s="2" t="s">
        <v>28</v>
      </c>
      <c r="V6808" s="2" t="s">
        <v>28</v>
      </c>
      <c r="W6808" s="2">
        <v>16</v>
      </c>
      <c r="X6808">
        <v>63.16</v>
      </c>
      <c r="Y6808" s="6">
        <f t="shared" si="112"/>
        <v>11.314503966148942</v>
      </c>
      <c r="Z6808">
        <f>68.22-X6808</f>
        <v>5.0600000000000023</v>
      </c>
    </row>
    <row r="6809" spans="1:26" x14ac:dyDescent="0.2">
      <c r="A6809" t="s">
        <v>777</v>
      </c>
      <c r="B6809">
        <v>2013</v>
      </c>
      <c r="C6809" t="s">
        <v>826</v>
      </c>
      <c r="D6809" t="s">
        <v>812</v>
      </c>
      <c r="E6809" t="s">
        <v>175</v>
      </c>
      <c r="F6809" t="s">
        <v>778</v>
      </c>
      <c r="G6809">
        <v>-32.298475000000003</v>
      </c>
      <c r="H6809">
        <v>115.701581</v>
      </c>
      <c r="I6809" s="26" t="s">
        <v>784</v>
      </c>
      <c r="J6809" s="2" t="s">
        <v>7</v>
      </c>
      <c r="K6809" t="s">
        <v>3</v>
      </c>
      <c r="L6809" t="s">
        <v>3</v>
      </c>
      <c r="M6809" t="s">
        <v>26</v>
      </c>
      <c r="N6809" t="s">
        <v>85</v>
      </c>
      <c r="O6809" t="s">
        <v>80</v>
      </c>
      <c r="P6809" t="s">
        <v>79</v>
      </c>
      <c r="Q6809">
        <v>6</v>
      </c>
      <c r="R6809" s="2" t="s">
        <v>213</v>
      </c>
      <c r="S6809" t="s">
        <v>779</v>
      </c>
      <c r="T6809">
        <v>5</v>
      </c>
      <c r="U6809" s="2" t="s">
        <v>28</v>
      </c>
      <c r="V6809" s="2" t="s">
        <v>28</v>
      </c>
      <c r="W6809" s="2">
        <v>16</v>
      </c>
      <c r="X6809">
        <v>68.849999999999994</v>
      </c>
      <c r="Y6809" s="6">
        <f t="shared" si="112"/>
        <v>9.9057811403240841</v>
      </c>
      <c r="Z6809">
        <f>73.28-X6809</f>
        <v>4.4300000000000068</v>
      </c>
    </row>
    <row r="6810" spans="1:26" x14ac:dyDescent="0.2">
      <c r="A6810" t="s">
        <v>777</v>
      </c>
      <c r="B6810">
        <v>2013</v>
      </c>
      <c r="C6810" t="s">
        <v>826</v>
      </c>
      <c r="D6810" t="s">
        <v>812</v>
      </c>
      <c r="E6810" t="s">
        <v>175</v>
      </c>
      <c r="F6810" t="s">
        <v>778</v>
      </c>
      <c r="G6810">
        <v>-32.298475000000003</v>
      </c>
      <c r="H6810">
        <v>115.701581</v>
      </c>
      <c r="I6810" t="s">
        <v>768</v>
      </c>
      <c r="J6810" s="2" t="s">
        <v>14</v>
      </c>
      <c r="K6810" t="s">
        <v>3</v>
      </c>
      <c r="L6810" t="s">
        <v>3</v>
      </c>
      <c r="M6810" t="s">
        <v>26</v>
      </c>
      <c r="N6810" t="s">
        <v>85</v>
      </c>
      <c r="O6810" t="s">
        <v>80</v>
      </c>
      <c r="P6810" t="s">
        <v>79</v>
      </c>
      <c r="Q6810">
        <v>6</v>
      </c>
      <c r="R6810" s="2" t="s">
        <v>213</v>
      </c>
      <c r="S6810" t="s">
        <v>9</v>
      </c>
      <c r="T6810">
        <v>5</v>
      </c>
      <c r="U6810" s="2" t="s">
        <v>28</v>
      </c>
      <c r="V6810" s="2" t="s">
        <v>28</v>
      </c>
      <c r="W6810" s="2">
        <v>18</v>
      </c>
      <c r="X6810">
        <v>164.66</v>
      </c>
      <c r="Y6810" s="6">
        <f t="shared" si="112"/>
        <v>40.293944954546234</v>
      </c>
      <c r="Z6810">
        <f>X6810-146.64</f>
        <v>18.02000000000001</v>
      </c>
    </row>
    <row r="6811" spans="1:26" x14ac:dyDescent="0.2">
      <c r="A6811" t="s">
        <v>777</v>
      </c>
      <c r="B6811">
        <v>2013</v>
      </c>
      <c r="C6811" t="s">
        <v>826</v>
      </c>
      <c r="D6811" t="s">
        <v>812</v>
      </c>
      <c r="E6811" t="s">
        <v>175</v>
      </c>
      <c r="F6811" t="s">
        <v>778</v>
      </c>
      <c r="G6811">
        <v>-32.298475000000003</v>
      </c>
      <c r="H6811">
        <v>115.701581</v>
      </c>
      <c r="I6811" t="s">
        <v>770</v>
      </c>
      <c r="J6811" s="2" t="s">
        <v>14</v>
      </c>
      <c r="K6811" t="s">
        <v>3</v>
      </c>
      <c r="L6811" t="s">
        <v>3</v>
      </c>
      <c r="M6811" t="s">
        <v>26</v>
      </c>
      <c r="N6811" t="s">
        <v>85</v>
      </c>
      <c r="O6811" t="s">
        <v>80</v>
      </c>
      <c r="P6811" t="s">
        <v>79</v>
      </c>
      <c r="Q6811">
        <v>6</v>
      </c>
      <c r="R6811" s="2" t="s">
        <v>213</v>
      </c>
      <c r="S6811" t="s">
        <v>9</v>
      </c>
      <c r="T6811">
        <v>5</v>
      </c>
      <c r="U6811" s="2" t="s">
        <v>28</v>
      </c>
      <c r="V6811" s="2" t="s">
        <v>28</v>
      </c>
      <c r="W6811" s="2">
        <v>18</v>
      </c>
      <c r="X6811">
        <v>62.85</v>
      </c>
      <c r="Y6811" s="6">
        <f t="shared" si="112"/>
        <v>6.3727937358744038</v>
      </c>
      <c r="Z6811">
        <f>X6811-60</f>
        <v>2.8500000000000014</v>
      </c>
    </row>
    <row r="6812" spans="1:26" x14ac:dyDescent="0.2">
      <c r="A6812" t="s">
        <v>777</v>
      </c>
      <c r="B6812">
        <v>2013</v>
      </c>
      <c r="C6812" t="s">
        <v>826</v>
      </c>
      <c r="D6812" t="s">
        <v>812</v>
      </c>
      <c r="E6812" t="s">
        <v>175</v>
      </c>
      <c r="F6812" t="s">
        <v>778</v>
      </c>
      <c r="G6812">
        <v>-32.298475000000003</v>
      </c>
      <c r="H6812">
        <v>115.701581</v>
      </c>
      <c r="I6812" s="26" t="s">
        <v>782</v>
      </c>
      <c r="J6812" s="2" t="s">
        <v>14</v>
      </c>
      <c r="K6812" t="s">
        <v>3</v>
      </c>
      <c r="L6812" t="s">
        <v>3</v>
      </c>
      <c r="M6812" t="s">
        <v>26</v>
      </c>
      <c r="N6812" t="s">
        <v>85</v>
      </c>
      <c r="O6812" t="s">
        <v>80</v>
      </c>
      <c r="P6812" t="s">
        <v>79</v>
      </c>
      <c r="Q6812">
        <v>6</v>
      </c>
      <c r="R6812" s="2" t="s">
        <v>213</v>
      </c>
      <c r="S6812" t="s">
        <v>15</v>
      </c>
      <c r="T6812">
        <v>5</v>
      </c>
      <c r="U6812" s="2" t="s">
        <v>28</v>
      </c>
      <c r="V6812" s="2" t="s">
        <v>28</v>
      </c>
      <c r="W6812" s="2">
        <v>18</v>
      </c>
      <c r="X6812">
        <v>75.489999999999995</v>
      </c>
      <c r="Y6812" s="6">
        <f t="shared" si="112"/>
        <v>10.621322893124002</v>
      </c>
      <c r="Z6812">
        <f>80.24-X6812</f>
        <v>4.75</v>
      </c>
    </row>
    <row r="6813" spans="1:26" x14ac:dyDescent="0.2">
      <c r="A6813" t="s">
        <v>777</v>
      </c>
      <c r="B6813">
        <v>2013</v>
      </c>
      <c r="C6813" t="s">
        <v>826</v>
      </c>
      <c r="D6813" t="s">
        <v>812</v>
      </c>
      <c r="E6813" t="s">
        <v>175</v>
      </c>
      <c r="F6813" t="s">
        <v>778</v>
      </c>
      <c r="G6813">
        <v>-32.298475000000003</v>
      </c>
      <c r="H6813">
        <v>115.701581</v>
      </c>
      <c r="I6813" t="s">
        <v>762</v>
      </c>
      <c r="J6813" s="2" t="s">
        <v>14</v>
      </c>
      <c r="K6813" t="s">
        <v>3</v>
      </c>
      <c r="L6813" t="s">
        <v>3</v>
      </c>
      <c r="M6813" t="s">
        <v>26</v>
      </c>
      <c r="N6813" t="s">
        <v>85</v>
      </c>
      <c r="O6813" t="s">
        <v>80</v>
      </c>
      <c r="P6813" t="s">
        <v>79</v>
      </c>
      <c r="Q6813">
        <v>6</v>
      </c>
      <c r="R6813" s="2" t="s">
        <v>213</v>
      </c>
      <c r="S6813" t="s">
        <v>9</v>
      </c>
      <c r="T6813">
        <v>5</v>
      </c>
      <c r="U6813" s="2" t="s">
        <v>28</v>
      </c>
      <c r="V6813" s="2" t="s">
        <v>28</v>
      </c>
      <c r="W6813" s="2">
        <v>18</v>
      </c>
      <c r="X6813">
        <v>109.01</v>
      </c>
      <c r="Y6813" s="6">
        <f t="shared" si="112"/>
        <v>19.096020527848186</v>
      </c>
      <c r="Z6813">
        <f>117.55-X6813</f>
        <v>8.539999999999992</v>
      </c>
    </row>
    <row r="6814" spans="1:26" x14ac:dyDescent="0.2">
      <c r="A6814" t="s">
        <v>777</v>
      </c>
      <c r="B6814">
        <v>2013</v>
      </c>
      <c r="C6814" t="s">
        <v>826</v>
      </c>
      <c r="D6814" t="s">
        <v>812</v>
      </c>
      <c r="E6814" t="s">
        <v>175</v>
      </c>
      <c r="F6814" t="s">
        <v>778</v>
      </c>
      <c r="G6814">
        <v>-32.298475000000003</v>
      </c>
      <c r="H6814">
        <v>115.701581</v>
      </c>
      <c r="I6814" s="26" t="s">
        <v>783</v>
      </c>
      <c r="J6814" s="2" t="s">
        <v>14</v>
      </c>
      <c r="K6814" t="s">
        <v>3</v>
      </c>
      <c r="L6814" t="s">
        <v>3</v>
      </c>
      <c r="M6814" t="s">
        <v>26</v>
      </c>
      <c r="N6814" t="s">
        <v>85</v>
      </c>
      <c r="O6814" t="s">
        <v>80</v>
      </c>
      <c r="P6814" t="s">
        <v>79</v>
      </c>
      <c r="Q6814">
        <v>6</v>
      </c>
      <c r="R6814" s="2" t="s">
        <v>213</v>
      </c>
      <c r="S6814" t="s">
        <v>15</v>
      </c>
      <c r="T6814">
        <v>5</v>
      </c>
      <c r="U6814" s="2" t="s">
        <v>28</v>
      </c>
      <c r="V6814" s="2" t="s">
        <v>28</v>
      </c>
      <c r="W6814" s="2">
        <v>18</v>
      </c>
      <c r="X6814">
        <v>81.5</v>
      </c>
      <c r="Y6814" s="6">
        <f t="shared" si="112"/>
        <v>11.314503966148942</v>
      </c>
      <c r="Z6814">
        <f>86.56-X6814</f>
        <v>5.0600000000000023</v>
      </c>
    </row>
    <row r="6815" spans="1:26" x14ac:dyDescent="0.2">
      <c r="A6815" t="s">
        <v>777</v>
      </c>
      <c r="B6815">
        <v>2013</v>
      </c>
      <c r="C6815" t="s">
        <v>826</v>
      </c>
      <c r="D6815" t="s">
        <v>812</v>
      </c>
      <c r="E6815" t="s">
        <v>175</v>
      </c>
      <c r="F6815" t="s">
        <v>778</v>
      </c>
      <c r="G6815">
        <v>-32.298475000000003</v>
      </c>
      <c r="H6815">
        <v>115.701581</v>
      </c>
      <c r="I6815" t="s">
        <v>772</v>
      </c>
      <c r="J6815" s="2" t="s">
        <v>14</v>
      </c>
      <c r="K6815" t="s">
        <v>3</v>
      </c>
      <c r="L6815" t="s">
        <v>3</v>
      </c>
      <c r="M6815" t="s">
        <v>26</v>
      </c>
      <c r="N6815" t="s">
        <v>85</v>
      </c>
      <c r="O6815" t="s">
        <v>80</v>
      </c>
      <c r="P6815" t="s">
        <v>79</v>
      </c>
      <c r="Q6815">
        <v>6</v>
      </c>
      <c r="R6815" s="2" t="s">
        <v>213</v>
      </c>
      <c r="S6815" t="s">
        <v>9</v>
      </c>
      <c r="T6815">
        <v>5</v>
      </c>
      <c r="U6815" s="2" t="s">
        <v>28</v>
      </c>
      <c r="V6815" s="2" t="s">
        <v>28</v>
      </c>
      <c r="W6815" s="2">
        <v>18</v>
      </c>
      <c r="X6815">
        <v>57.47</v>
      </c>
      <c r="Y6815" s="6">
        <f t="shared" si="112"/>
        <v>16.971755949223411</v>
      </c>
      <c r="Z6815">
        <f>65.06-X6815</f>
        <v>7.5900000000000034</v>
      </c>
    </row>
    <row r="6816" spans="1:26" x14ac:dyDescent="0.2">
      <c r="A6816" t="s">
        <v>777</v>
      </c>
      <c r="B6816">
        <v>2013</v>
      </c>
      <c r="C6816" t="s">
        <v>826</v>
      </c>
      <c r="D6816" t="s">
        <v>812</v>
      </c>
      <c r="E6816" t="s">
        <v>175</v>
      </c>
      <c r="F6816" t="s">
        <v>778</v>
      </c>
      <c r="G6816">
        <v>-32.298475000000003</v>
      </c>
      <c r="H6816">
        <v>115.701581</v>
      </c>
      <c r="I6816" s="26" t="s">
        <v>784</v>
      </c>
      <c r="J6816" s="2" t="s">
        <v>14</v>
      </c>
      <c r="K6816" t="s">
        <v>3</v>
      </c>
      <c r="L6816" t="s">
        <v>3</v>
      </c>
      <c r="M6816" t="s">
        <v>26</v>
      </c>
      <c r="N6816" t="s">
        <v>85</v>
      </c>
      <c r="O6816" t="s">
        <v>80</v>
      </c>
      <c r="P6816" t="s">
        <v>79</v>
      </c>
      <c r="Q6816">
        <v>6</v>
      </c>
      <c r="R6816" s="2" t="s">
        <v>213</v>
      </c>
      <c r="S6816" t="s">
        <v>15</v>
      </c>
      <c r="T6816">
        <v>5</v>
      </c>
      <c r="U6816" s="2" t="s">
        <v>28</v>
      </c>
      <c r="V6816" s="2" t="s">
        <v>28</v>
      </c>
      <c r="W6816" s="2">
        <v>18</v>
      </c>
      <c r="X6816">
        <v>68.22</v>
      </c>
      <c r="Y6816" s="6">
        <f t="shared" si="112"/>
        <v>14.131949617798671</v>
      </c>
      <c r="Z6816">
        <f>X6816-61.9</f>
        <v>6.32</v>
      </c>
    </row>
    <row r="6817" spans="1:26" x14ac:dyDescent="0.2">
      <c r="A6817" t="s">
        <v>777</v>
      </c>
      <c r="B6817">
        <v>2013</v>
      </c>
      <c r="C6817" t="s">
        <v>826</v>
      </c>
      <c r="D6817" t="s">
        <v>812</v>
      </c>
      <c r="E6817" t="s">
        <v>175</v>
      </c>
      <c r="F6817" t="s">
        <v>778</v>
      </c>
      <c r="G6817">
        <v>-32.298475000000003</v>
      </c>
      <c r="H6817">
        <v>115.701581</v>
      </c>
      <c r="I6817" t="s">
        <v>768</v>
      </c>
      <c r="J6817" s="2" t="s">
        <v>14</v>
      </c>
      <c r="K6817" t="s">
        <v>3</v>
      </c>
      <c r="L6817" t="s">
        <v>3</v>
      </c>
      <c r="M6817" t="s">
        <v>26</v>
      </c>
      <c r="N6817" t="s">
        <v>85</v>
      </c>
      <c r="O6817" t="s">
        <v>80</v>
      </c>
      <c r="P6817" t="s">
        <v>79</v>
      </c>
      <c r="Q6817">
        <v>6</v>
      </c>
      <c r="R6817" s="2" t="s">
        <v>213</v>
      </c>
      <c r="S6817" t="s">
        <v>27</v>
      </c>
      <c r="T6817">
        <v>5</v>
      </c>
      <c r="U6817" s="2" t="s">
        <v>28</v>
      </c>
      <c r="V6817" s="2" t="s">
        <v>28</v>
      </c>
      <c r="W6817" s="2">
        <v>20</v>
      </c>
      <c r="X6817">
        <v>199.13</v>
      </c>
      <c r="Y6817" s="6">
        <f t="shared" si="112"/>
        <v>46.666738690420623</v>
      </c>
      <c r="Z6817">
        <f>220-X6817</f>
        <v>20.870000000000005</v>
      </c>
    </row>
    <row r="6818" spans="1:26" x14ac:dyDescent="0.2">
      <c r="A6818" t="s">
        <v>777</v>
      </c>
      <c r="B6818">
        <v>2013</v>
      </c>
      <c r="C6818" t="s">
        <v>826</v>
      </c>
      <c r="D6818" t="s">
        <v>812</v>
      </c>
      <c r="E6818" t="s">
        <v>175</v>
      </c>
      <c r="F6818" t="s">
        <v>778</v>
      </c>
      <c r="G6818">
        <v>-32.298475000000003</v>
      </c>
      <c r="H6818">
        <v>115.701581</v>
      </c>
      <c r="I6818" t="s">
        <v>770</v>
      </c>
      <c r="J6818" s="2" t="s">
        <v>14</v>
      </c>
      <c r="K6818" t="s">
        <v>3</v>
      </c>
      <c r="L6818" t="s">
        <v>3</v>
      </c>
      <c r="M6818" t="s">
        <v>26</v>
      </c>
      <c r="N6818" t="s">
        <v>85</v>
      </c>
      <c r="O6818" t="s">
        <v>80</v>
      </c>
      <c r="P6818" t="s">
        <v>79</v>
      </c>
      <c r="Q6818">
        <v>6</v>
      </c>
      <c r="R6818" s="2" t="s">
        <v>213</v>
      </c>
      <c r="S6818" t="s">
        <v>27</v>
      </c>
      <c r="T6818">
        <v>5</v>
      </c>
      <c r="U6818" s="2" t="s">
        <v>28</v>
      </c>
      <c r="V6818" s="2" t="s">
        <v>28</v>
      </c>
      <c r="W6818" s="2">
        <v>20</v>
      </c>
      <c r="X6818">
        <v>68.22</v>
      </c>
      <c r="Y6818" s="6">
        <f t="shared" si="112"/>
        <v>16.971755949223411</v>
      </c>
      <c r="Z6818">
        <f>75.81-X6818</f>
        <v>7.5900000000000034</v>
      </c>
    </row>
    <row r="6819" spans="1:26" x14ac:dyDescent="0.2">
      <c r="A6819" t="s">
        <v>777</v>
      </c>
      <c r="B6819">
        <v>2013</v>
      </c>
      <c r="C6819" t="s">
        <v>826</v>
      </c>
      <c r="D6819" t="s">
        <v>812</v>
      </c>
      <c r="E6819" t="s">
        <v>175</v>
      </c>
      <c r="F6819" t="s">
        <v>778</v>
      </c>
      <c r="G6819">
        <v>-32.298475000000003</v>
      </c>
      <c r="H6819">
        <v>115.701581</v>
      </c>
      <c r="I6819" s="26" t="s">
        <v>782</v>
      </c>
      <c r="J6819" s="2" t="s">
        <v>14</v>
      </c>
      <c r="K6819" t="s">
        <v>3</v>
      </c>
      <c r="L6819" t="s">
        <v>3</v>
      </c>
      <c r="M6819" t="s">
        <v>26</v>
      </c>
      <c r="N6819" t="s">
        <v>85</v>
      </c>
      <c r="O6819" t="s">
        <v>80</v>
      </c>
      <c r="P6819" t="s">
        <v>79</v>
      </c>
      <c r="Q6819">
        <v>6</v>
      </c>
      <c r="R6819" s="2" t="s">
        <v>213</v>
      </c>
      <c r="S6819" t="s">
        <v>37</v>
      </c>
      <c r="T6819">
        <v>5</v>
      </c>
      <c r="U6819" s="2" t="s">
        <v>28</v>
      </c>
      <c r="V6819" s="2" t="s">
        <v>28</v>
      </c>
      <c r="W6819" s="2">
        <v>20</v>
      </c>
      <c r="X6819">
        <v>64.430000000000007</v>
      </c>
      <c r="Y6819" s="6">
        <f t="shared" si="112"/>
        <v>16.256214196423464</v>
      </c>
      <c r="Z6819">
        <f>71.7-X6819</f>
        <v>7.269999999999996</v>
      </c>
    </row>
    <row r="6820" spans="1:26" x14ac:dyDescent="0.2">
      <c r="A6820" t="s">
        <v>777</v>
      </c>
      <c r="B6820">
        <v>2013</v>
      </c>
      <c r="C6820" t="s">
        <v>826</v>
      </c>
      <c r="D6820" t="s">
        <v>812</v>
      </c>
      <c r="E6820" t="s">
        <v>175</v>
      </c>
      <c r="F6820" t="s">
        <v>778</v>
      </c>
      <c r="G6820">
        <v>-32.298475000000003</v>
      </c>
      <c r="H6820">
        <v>115.701581</v>
      </c>
      <c r="I6820" t="s">
        <v>762</v>
      </c>
      <c r="J6820" s="2" t="s">
        <v>14</v>
      </c>
      <c r="K6820" t="s">
        <v>3</v>
      </c>
      <c r="L6820" t="s">
        <v>3</v>
      </c>
      <c r="M6820" t="s">
        <v>26</v>
      </c>
      <c r="N6820" t="s">
        <v>85</v>
      </c>
      <c r="O6820" t="s">
        <v>80</v>
      </c>
      <c r="P6820" t="s">
        <v>79</v>
      </c>
      <c r="Q6820">
        <v>6</v>
      </c>
      <c r="R6820" s="2" t="s">
        <v>213</v>
      </c>
      <c r="S6820" t="s">
        <v>27</v>
      </c>
      <c r="T6820">
        <v>5</v>
      </c>
      <c r="U6820" s="2" t="s">
        <v>28</v>
      </c>
      <c r="V6820" s="2" t="s">
        <v>28</v>
      </c>
      <c r="W6820" s="2">
        <v>20</v>
      </c>
      <c r="X6820">
        <v>109.33</v>
      </c>
      <c r="Y6820" s="6">
        <f t="shared" si="112"/>
        <v>33.227970145646879</v>
      </c>
      <c r="Z6820">
        <f>124.19-X6820</f>
        <v>14.86</v>
      </c>
    </row>
    <row r="6821" spans="1:26" x14ac:dyDescent="0.2">
      <c r="A6821" t="s">
        <v>777</v>
      </c>
      <c r="B6821">
        <v>2013</v>
      </c>
      <c r="C6821" t="s">
        <v>826</v>
      </c>
      <c r="D6821" t="s">
        <v>812</v>
      </c>
      <c r="E6821" t="s">
        <v>175</v>
      </c>
      <c r="F6821" t="s">
        <v>778</v>
      </c>
      <c r="G6821">
        <v>-32.298475000000003</v>
      </c>
      <c r="H6821">
        <v>115.701581</v>
      </c>
      <c r="I6821" s="26" t="s">
        <v>783</v>
      </c>
      <c r="J6821" s="2" t="s">
        <v>14</v>
      </c>
      <c r="K6821" t="s">
        <v>3</v>
      </c>
      <c r="L6821" t="s">
        <v>3</v>
      </c>
      <c r="M6821" t="s">
        <v>26</v>
      </c>
      <c r="N6821" t="s">
        <v>85</v>
      </c>
      <c r="O6821" t="s">
        <v>80</v>
      </c>
      <c r="P6821" t="s">
        <v>79</v>
      </c>
      <c r="Q6821">
        <v>6</v>
      </c>
      <c r="R6821" s="2" t="s">
        <v>213</v>
      </c>
      <c r="S6821" t="s">
        <v>37</v>
      </c>
      <c r="T6821">
        <v>5</v>
      </c>
      <c r="U6821" s="2" t="s">
        <v>28</v>
      </c>
      <c r="V6821" s="2" t="s">
        <v>28</v>
      </c>
      <c r="W6821" s="2">
        <v>20</v>
      </c>
      <c r="X6821">
        <v>72.959999999999994</v>
      </c>
      <c r="Y6821" s="6">
        <f t="shared" si="112"/>
        <v>10.598962213348992</v>
      </c>
      <c r="Z6821">
        <f>X6821-68.22</f>
        <v>4.7399999999999949</v>
      </c>
    </row>
    <row r="6822" spans="1:26" x14ac:dyDescent="0.2">
      <c r="A6822" t="s">
        <v>777</v>
      </c>
      <c r="B6822">
        <v>2013</v>
      </c>
      <c r="C6822" t="s">
        <v>826</v>
      </c>
      <c r="D6822" t="s">
        <v>812</v>
      </c>
      <c r="E6822" t="s">
        <v>175</v>
      </c>
      <c r="F6822" t="s">
        <v>778</v>
      </c>
      <c r="G6822">
        <v>-32.298475000000003</v>
      </c>
      <c r="H6822">
        <v>115.701581</v>
      </c>
      <c r="I6822" t="s">
        <v>772</v>
      </c>
      <c r="J6822" s="2" t="s">
        <v>14</v>
      </c>
      <c r="K6822" t="s">
        <v>3</v>
      </c>
      <c r="L6822" t="s">
        <v>3</v>
      </c>
      <c r="M6822" t="s">
        <v>26</v>
      </c>
      <c r="N6822" t="s">
        <v>85</v>
      </c>
      <c r="O6822" t="s">
        <v>80</v>
      </c>
      <c r="P6822" t="s">
        <v>79</v>
      </c>
      <c r="Q6822">
        <v>6</v>
      </c>
      <c r="R6822" s="2" t="s">
        <v>213</v>
      </c>
      <c r="S6822" t="s">
        <v>27</v>
      </c>
      <c r="T6822">
        <v>5</v>
      </c>
      <c r="U6822" s="2" t="s">
        <v>28</v>
      </c>
      <c r="V6822" s="2" t="s">
        <v>28</v>
      </c>
      <c r="W6822" s="2">
        <v>20</v>
      </c>
      <c r="X6822">
        <v>56.52</v>
      </c>
      <c r="Y6822" s="6">
        <f t="shared" si="112"/>
        <v>9.1902393875241355</v>
      </c>
      <c r="Z6822">
        <f>60.63-X6822</f>
        <v>4.1099999999999994</v>
      </c>
    </row>
    <row r="6823" spans="1:26" x14ac:dyDescent="0.2">
      <c r="A6823" t="s">
        <v>777</v>
      </c>
      <c r="B6823">
        <v>2013</v>
      </c>
      <c r="C6823" t="s">
        <v>826</v>
      </c>
      <c r="D6823" t="s">
        <v>812</v>
      </c>
      <c r="E6823" t="s">
        <v>175</v>
      </c>
      <c r="F6823" t="s">
        <v>778</v>
      </c>
      <c r="G6823">
        <v>-32.298475000000003</v>
      </c>
      <c r="H6823">
        <v>115.701581</v>
      </c>
      <c r="I6823" s="26" t="s">
        <v>784</v>
      </c>
      <c r="J6823" s="2" t="s">
        <v>14</v>
      </c>
      <c r="K6823" t="s">
        <v>3</v>
      </c>
      <c r="L6823" t="s">
        <v>3</v>
      </c>
      <c r="M6823" t="s">
        <v>26</v>
      </c>
      <c r="N6823" t="s">
        <v>85</v>
      </c>
      <c r="O6823" t="s">
        <v>80</v>
      </c>
      <c r="P6823" t="s">
        <v>79</v>
      </c>
      <c r="Q6823">
        <v>6</v>
      </c>
      <c r="R6823" s="2" t="s">
        <v>213</v>
      </c>
      <c r="S6823" t="s">
        <v>37</v>
      </c>
      <c r="T6823">
        <v>5</v>
      </c>
      <c r="U6823" s="2" t="s">
        <v>28</v>
      </c>
      <c r="V6823" s="2" t="s">
        <v>28</v>
      </c>
      <c r="W6823" s="2">
        <v>20</v>
      </c>
      <c r="X6823">
        <v>89.41</v>
      </c>
      <c r="Y6823" s="6">
        <f t="shared" si="112"/>
        <v>14.847491370598606</v>
      </c>
      <c r="Z6823">
        <f>96.05-X6823</f>
        <v>6.6400000000000006</v>
      </c>
    </row>
    <row r="6824" spans="1:26" x14ac:dyDescent="0.2">
      <c r="A6824" t="s">
        <v>777</v>
      </c>
      <c r="B6824">
        <v>2013</v>
      </c>
      <c r="C6824" t="s">
        <v>826</v>
      </c>
      <c r="D6824" t="s">
        <v>812</v>
      </c>
      <c r="E6824" t="s">
        <v>175</v>
      </c>
      <c r="F6824" t="s">
        <v>778</v>
      </c>
      <c r="G6824">
        <v>-32.298475000000003</v>
      </c>
      <c r="H6824">
        <v>115.701581</v>
      </c>
      <c r="I6824" t="s">
        <v>768</v>
      </c>
      <c r="J6824" s="2" t="s">
        <v>14</v>
      </c>
      <c r="K6824" t="s">
        <v>3</v>
      </c>
      <c r="L6824" t="s">
        <v>3</v>
      </c>
      <c r="M6824" t="s">
        <v>26</v>
      </c>
      <c r="N6824" t="s">
        <v>85</v>
      </c>
      <c r="O6824" t="s">
        <v>80</v>
      </c>
      <c r="P6824" t="s">
        <v>79</v>
      </c>
      <c r="Q6824">
        <v>6</v>
      </c>
      <c r="R6824" s="2" t="s">
        <v>213</v>
      </c>
      <c r="S6824" t="s">
        <v>13</v>
      </c>
      <c r="T6824">
        <v>5</v>
      </c>
      <c r="U6824" s="2" t="s">
        <v>28</v>
      </c>
      <c r="V6824" s="2" t="s">
        <v>28</v>
      </c>
      <c r="W6824" s="2">
        <v>22</v>
      </c>
      <c r="X6824">
        <v>169.09</v>
      </c>
      <c r="Y6824" s="6">
        <f t="shared" si="112"/>
        <v>44.542474111795784</v>
      </c>
      <c r="Z6824">
        <f>189.01-X6824</f>
        <v>19.919999999999987</v>
      </c>
    </row>
    <row r="6825" spans="1:26" x14ac:dyDescent="0.2">
      <c r="A6825" t="s">
        <v>777</v>
      </c>
      <c r="B6825">
        <v>2013</v>
      </c>
      <c r="C6825" t="s">
        <v>826</v>
      </c>
      <c r="D6825" t="s">
        <v>812</v>
      </c>
      <c r="E6825" t="s">
        <v>175</v>
      </c>
      <c r="F6825" t="s">
        <v>778</v>
      </c>
      <c r="G6825">
        <v>-32.298475000000003</v>
      </c>
      <c r="H6825">
        <v>115.701581</v>
      </c>
      <c r="I6825" t="s">
        <v>770</v>
      </c>
      <c r="J6825" s="2" t="s">
        <v>14</v>
      </c>
      <c r="K6825" t="s">
        <v>3</v>
      </c>
      <c r="L6825" t="s">
        <v>3</v>
      </c>
      <c r="M6825" t="s">
        <v>26</v>
      </c>
      <c r="N6825" t="s">
        <v>85</v>
      </c>
      <c r="O6825" t="s">
        <v>80</v>
      </c>
      <c r="P6825" t="s">
        <v>79</v>
      </c>
      <c r="Q6825">
        <v>6</v>
      </c>
      <c r="R6825" s="2" t="s">
        <v>213</v>
      </c>
      <c r="S6825" t="s">
        <v>13</v>
      </c>
      <c r="T6825">
        <v>5</v>
      </c>
      <c r="U6825" s="2" t="s">
        <v>28</v>
      </c>
      <c r="V6825" s="2" t="s">
        <v>28</v>
      </c>
      <c r="W6825" s="2">
        <v>22</v>
      </c>
      <c r="X6825">
        <v>64.739999999999995</v>
      </c>
      <c r="Y6825" s="6">
        <f t="shared" si="112"/>
        <v>9.9057811403240841</v>
      </c>
      <c r="Z6825">
        <f>69.17-X6825</f>
        <v>4.4300000000000068</v>
      </c>
    </row>
    <row r="6826" spans="1:26" x14ac:dyDescent="0.2">
      <c r="A6826" t="s">
        <v>777</v>
      </c>
      <c r="B6826">
        <v>2013</v>
      </c>
      <c r="C6826" t="s">
        <v>826</v>
      </c>
      <c r="D6826" t="s">
        <v>812</v>
      </c>
      <c r="E6826" t="s">
        <v>175</v>
      </c>
      <c r="F6826" t="s">
        <v>778</v>
      </c>
      <c r="G6826">
        <v>-32.298475000000003</v>
      </c>
      <c r="H6826">
        <v>115.701581</v>
      </c>
      <c r="I6826" s="26" t="s">
        <v>782</v>
      </c>
      <c r="J6826" s="2" t="s">
        <v>14</v>
      </c>
      <c r="K6826" t="s">
        <v>3</v>
      </c>
      <c r="L6826" t="s">
        <v>3</v>
      </c>
      <c r="M6826" t="s">
        <v>26</v>
      </c>
      <c r="N6826" t="s">
        <v>85</v>
      </c>
      <c r="O6826" t="s">
        <v>80</v>
      </c>
      <c r="P6826" t="s">
        <v>79</v>
      </c>
      <c r="Q6826">
        <v>6</v>
      </c>
      <c r="R6826" s="2" t="s">
        <v>213</v>
      </c>
      <c r="S6826" t="s">
        <v>116</v>
      </c>
      <c r="T6826">
        <v>5</v>
      </c>
      <c r="U6826" s="2" t="s">
        <v>28</v>
      </c>
      <c r="V6826" s="2" t="s">
        <v>28</v>
      </c>
      <c r="W6826" s="2">
        <v>22</v>
      </c>
      <c r="X6826">
        <v>109.96</v>
      </c>
      <c r="Y6826" s="6">
        <f t="shared" si="112"/>
        <v>33.943511898446822</v>
      </c>
      <c r="Z6826">
        <f>125.14-X6826</f>
        <v>15.180000000000007</v>
      </c>
    </row>
    <row r="6827" spans="1:26" x14ac:dyDescent="0.2">
      <c r="A6827" t="s">
        <v>777</v>
      </c>
      <c r="B6827">
        <v>2013</v>
      </c>
      <c r="C6827" t="s">
        <v>826</v>
      </c>
      <c r="D6827" t="s">
        <v>812</v>
      </c>
      <c r="E6827" t="s">
        <v>175</v>
      </c>
      <c r="F6827" t="s">
        <v>778</v>
      </c>
      <c r="G6827">
        <v>-32.298475000000003</v>
      </c>
      <c r="H6827">
        <v>115.701581</v>
      </c>
      <c r="I6827" t="s">
        <v>762</v>
      </c>
      <c r="J6827" s="2" t="s">
        <v>14</v>
      </c>
      <c r="K6827" t="s">
        <v>3</v>
      </c>
      <c r="L6827" t="s">
        <v>3</v>
      </c>
      <c r="M6827" t="s">
        <v>26</v>
      </c>
      <c r="N6827" t="s">
        <v>85</v>
      </c>
      <c r="O6827" t="s">
        <v>80</v>
      </c>
      <c r="P6827" t="s">
        <v>79</v>
      </c>
      <c r="Q6827">
        <v>6</v>
      </c>
      <c r="R6827" s="2" t="s">
        <v>213</v>
      </c>
      <c r="S6827" t="s">
        <v>13</v>
      </c>
      <c r="T6827">
        <v>5</v>
      </c>
      <c r="U6827" s="2" t="s">
        <v>28</v>
      </c>
      <c r="V6827" s="2" t="s">
        <v>28</v>
      </c>
      <c r="W6827" s="2">
        <v>22</v>
      </c>
      <c r="X6827">
        <v>102.06</v>
      </c>
      <c r="Y6827" s="6">
        <f t="shared" si="112"/>
        <v>29.694982741197212</v>
      </c>
      <c r="Z6827">
        <f>115.34-X6827</f>
        <v>13.280000000000001</v>
      </c>
    </row>
    <row r="6828" spans="1:26" x14ac:dyDescent="0.2">
      <c r="A6828" t="s">
        <v>777</v>
      </c>
      <c r="B6828">
        <v>2013</v>
      </c>
      <c r="C6828" t="s">
        <v>826</v>
      </c>
      <c r="D6828" t="s">
        <v>812</v>
      </c>
      <c r="E6828" t="s">
        <v>175</v>
      </c>
      <c r="F6828" t="s">
        <v>778</v>
      </c>
      <c r="G6828">
        <v>-32.298475000000003</v>
      </c>
      <c r="H6828">
        <v>115.701581</v>
      </c>
      <c r="I6828" s="26" t="s">
        <v>783</v>
      </c>
      <c r="J6828" s="2" t="s">
        <v>14</v>
      </c>
      <c r="K6828" t="s">
        <v>3</v>
      </c>
      <c r="L6828" t="s">
        <v>3</v>
      </c>
      <c r="M6828" t="s">
        <v>26</v>
      </c>
      <c r="N6828" t="s">
        <v>85</v>
      </c>
      <c r="O6828" t="s">
        <v>80</v>
      </c>
      <c r="P6828" t="s">
        <v>79</v>
      </c>
      <c r="Q6828">
        <v>6</v>
      </c>
      <c r="R6828" s="2" t="s">
        <v>213</v>
      </c>
      <c r="S6828" t="s">
        <v>116</v>
      </c>
      <c r="T6828">
        <v>5</v>
      </c>
      <c r="U6828" s="2" t="s">
        <v>28</v>
      </c>
      <c r="V6828" s="2" t="s">
        <v>28</v>
      </c>
      <c r="W6828" s="2">
        <v>22</v>
      </c>
      <c r="X6828">
        <v>84.66</v>
      </c>
      <c r="Y6828" s="6">
        <f>Z6828*SQRT(T6828)</f>
        <v>16.278574876198473</v>
      </c>
      <c r="Z6828">
        <f>91.94-X6828</f>
        <v>7.2800000000000011</v>
      </c>
    </row>
    <row r="6829" spans="1:26" x14ac:dyDescent="0.2">
      <c r="A6829" t="s">
        <v>777</v>
      </c>
      <c r="B6829">
        <v>2013</v>
      </c>
      <c r="C6829" t="s">
        <v>826</v>
      </c>
      <c r="D6829" t="s">
        <v>812</v>
      </c>
      <c r="E6829" t="s">
        <v>175</v>
      </c>
      <c r="F6829" t="s">
        <v>778</v>
      </c>
      <c r="G6829">
        <v>-32.298475000000003</v>
      </c>
      <c r="H6829">
        <v>115.701581</v>
      </c>
      <c r="I6829" t="s">
        <v>772</v>
      </c>
      <c r="J6829" s="2" t="s">
        <v>14</v>
      </c>
      <c r="K6829" t="s">
        <v>3</v>
      </c>
      <c r="L6829" t="s">
        <v>3</v>
      </c>
      <c r="M6829" t="s">
        <v>26</v>
      </c>
      <c r="N6829" t="s">
        <v>85</v>
      </c>
      <c r="O6829" t="s">
        <v>80</v>
      </c>
      <c r="P6829" t="s">
        <v>79</v>
      </c>
      <c r="Q6829">
        <v>6</v>
      </c>
      <c r="R6829" s="2" t="s">
        <v>213</v>
      </c>
      <c r="S6829" t="s">
        <v>13</v>
      </c>
      <c r="T6829">
        <v>5</v>
      </c>
      <c r="U6829" s="2" t="s">
        <v>28</v>
      </c>
      <c r="V6829" s="2" t="s">
        <v>28</v>
      </c>
      <c r="W6829" s="2">
        <v>22</v>
      </c>
      <c r="X6829">
        <v>62.53</v>
      </c>
      <c r="Y6829" s="6">
        <f>Z6829*SQRT(T6829)</f>
        <v>15.563033123398522</v>
      </c>
      <c r="Z6829">
        <f>69.49-X6829</f>
        <v>6.9599999999999937</v>
      </c>
    </row>
    <row r="6830" spans="1:26" x14ac:dyDescent="0.2">
      <c r="A6830" t="s">
        <v>777</v>
      </c>
      <c r="B6830">
        <v>2013</v>
      </c>
      <c r="C6830" t="s">
        <v>826</v>
      </c>
      <c r="D6830" t="s">
        <v>812</v>
      </c>
      <c r="E6830" t="s">
        <v>175</v>
      </c>
      <c r="F6830" t="s">
        <v>778</v>
      </c>
      <c r="G6830">
        <v>-32.298475000000003</v>
      </c>
      <c r="H6830">
        <v>115.701581</v>
      </c>
      <c r="I6830" s="26" t="s">
        <v>784</v>
      </c>
      <c r="J6830" s="2" t="s">
        <v>14</v>
      </c>
      <c r="K6830" t="s">
        <v>3</v>
      </c>
      <c r="L6830" t="s">
        <v>3</v>
      </c>
      <c r="M6830" t="s">
        <v>26</v>
      </c>
      <c r="N6830" t="s">
        <v>85</v>
      </c>
      <c r="O6830" t="s">
        <v>80</v>
      </c>
      <c r="P6830" t="s">
        <v>79</v>
      </c>
      <c r="Q6830">
        <v>6</v>
      </c>
      <c r="R6830" s="2" t="s">
        <v>213</v>
      </c>
      <c r="S6830" t="s">
        <v>116</v>
      </c>
      <c r="T6830">
        <v>5</v>
      </c>
      <c r="U6830" s="2" t="s">
        <v>28</v>
      </c>
      <c r="V6830" s="2" t="s">
        <v>28</v>
      </c>
      <c r="W6830" s="2">
        <v>22</v>
      </c>
      <c r="X6830">
        <v>83.08</v>
      </c>
      <c r="Y6830" s="6">
        <f>Z6830*SQRT(T6830)</f>
        <v>21.935826859272943</v>
      </c>
      <c r="Z6830">
        <f>92.89-X6830</f>
        <v>9.8100000000000023</v>
      </c>
    </row>
    <row r="6831" spans="1:26" x14ac:dyDescent="0.2">
      <c r="A6831" t="s">
        <v>785</v>
      </c>
      <c r="B6831">
        <v>2020</v>
      </c>
      <c r="C6831" t="s">
        <v>816</v>
      </c>
      <c r="D6831" t="s">
        <v>820</v>
      </c>
      <c r="E6831" t="s">
        <v>34</v>
      </c>
      <c r="F6831" t="s">
        <v>786</v>
      </c>
      <c r="G6831">
        <v>-45.783332999999999</v>
      </c>
      <c r="H6831">
        <v>170.716667</v>
      </c>
      <c r="I6831" t="s">
        <v>762</v>
      </c>
      <c r="J6831" s="2" t="s">
        <v>7</v>
      </c>
      <c r="K6831" t="s">
        <v>787</v>
      </c>
      <c r="L6831" t="s">
        <v>144</v>
      </c>
      <c r="M6831" t="s">
        <v>638</v>
      </c>
      <c r="N6831" t="s">
        <v>85</v>
      </c>
      <c r="O6831" t="s">
        <v>350</v>
      </c>
      <c r="P6831" t="s">
        <v>126</v>
      </c>
      <c r="Q6831">
        <v>3</v>
      </c>
      <c r="R6831" s="2" t="s">
        <v>213</v>
      </c>
      <c r="S6831" t="s">
        <v>7</v>
      </c>
      <c r="T6831">
        <v>3</v>
      </c>
      <c r="U6831" s="2" t="s">
        <v>28</v>
      </c>
      <c r="V6831" s="2" t="s">
        <v>28</v>
      </c>
      <c r="W6831" s="2">
        <v>17</v>
      </c>
      <c r="X6831">
        <v>3.61</v>
      </c>
      <c r="Y6831" s="6">
        <f>Z6831*SQRT(T6831)</f>
        <v>1.0911920087683926</v>
      </c>
      <c r="Z6831">
        <v>0.63</v>
      </c>
    </row>
    <row r="6832" spans="1:26" x14ac:dyDescent="0.2">
      <c r="A6832" t="s">
        <v>785</v>
      </c>
      <c r="B6832">
        <v>2020</v>
      </c>
      <c r="C6832" t="s">
        <v>816</v>
      </c>
      <c r="D6832" t="s">
        <v>820</v>
      </c>
      <c r="E6832" t="s">
        <v>34</v>
      </c>
      <c r="F6832" t="s">
        <v>786</v>
      </c>
      <c r="G6832">
        <v>-45.783332999999999</v>
      </c>
      <c r="H6832">
        <v>170.716667</v>
      </c>
      <c r="I6832" t="s">
        <v>762</v>
      </c>
      <c r="J6832" s="2" t="s">
        <v>14</v>
      </c>
      <c r="K6832" t="s">
        <v>787</v>
      </c>
      <c r="L6832" t="s">
        <v>144</v>
      </c>
      <c r="M6832" t="s">
        <v>638</v>
      </c>
      <c r="N6832" t="s">
        <v>85</v>
      </c>
      <c r="O6832" t="s">
        <v>350</v>
      </c>
      <c r="P6832" t="s">
        <v>126</v>
      </c>
      <c r="Q6832">
        <v>3</v>
      </c>
      <c r="R6832" s="2" t="s">
        <v>213</v>
      </c>
      <c r="S6832" t="s">
        <v>9</v>
      </c>
      <c r="T6832">
        <v>3</v>
      </c>
      <c r="U6832" s="2" t="s">
        <v>28</v>
      </c>
      <c r="V6832" s="2" t="s">
        <v>28</v>
      </c>
      <c r="W6832" s="2">
        <v>24</v>
      </c>
      <c r="X6832">
        <v>4.63</v>
      </c>
      <c r="Y6832" s="6">
        <f>Z6832*SQRT(T6832)</f>
        <v>0.9353074360871938</v>
      </c>
      <c r="Z6832">
        <v>0.54</v>
      </c>
    </row>
    <row r="6833" spans="1:28" x14ac:dyDescent="0.2">
      <c r="A6833" t="s">
        <v>785</v>
      </c>
      <c r="B6833">
        <v>2020</v>
      </c>
      <c r="C6833" t="s">
        <v>816</v>
      </c>
      <c r="D6833" t="s">
        <v>820</v>
      </c>
      <c r="E6833" t="s">
        <v>34</v>
      </c>
      <c r="F6833" t="s">
        <v>786</v>
      </c>
      <c r="G6833">
        <v>-45.783332999999999</v>
      </c>
      <c r="H6833">
        <v>170.716667</v>
      </c>
      <c r="I6833" t="s">
        <v>762</v>
      </c>
      <c r="J6833" s="2" t="s">
        <v>7</v>
      </c>
      <c r="K6833" t="s">
        <v>787</v>
      </c>
      <c r="L6833" t="s">
        <v>144</v>
      </c>
      <c r="M6833" t="s">
        <v>638</v>
      </c>
      <c r="N6833" t="s">
        <v>86</v>
      </c>
      <c r="O6833" t="s">
        <v>788</v>
      </c>
      <c r="P6833" t="s">
        <v>70</v>
      </c>
      <c r="Q6833">
        <v>3</v>
      </c>
      <c r="R6833" s="2" t="s">
        <v>213</v>
      </c>
      <c r="S6833" t="s">
        <v>7</v>
      </c>
      <c r="T6833">
        <v>3</v>
      </c>
      <c r="U6833" s="2" t="s">
        <v>28</v>
      </c>
      <c r="V6833" s="2" t="s">
        <v>28</v>
      </c>
      <c r="W6833" s="2">
        <v>17</v>
      </c>
      <c r="X6833">
        <v>22.05</v>
      </c>
      <c r="Y6833" s="6">
        <f t="shared" ref="Y6833:Y6838" si="113">Z6833*SQRT(T6833)</f>
        <v>5.1268703904038766</v>
      </c>
      <c r="Z6833">
        <v>2.96</v>
      </c>
    </row>
    <row r="6834" spans="1:28" x14ac:dyDescent="0.2">
      <c r="A6834" t="s">
        <v>785</v>
      </c>
      <c r="B6834">
        <v>2020</v>
      </c>
      <c r="C6834" t="s">
        <v>816</v>
      </c>
      <c r="D6834" t="s">
        <v>820</v>
      </c>
      <c r="E6834" t="s">
        <v>34</v>
      </c>
      <c r="F6834" t="s">
        <v>786</v>
      </c>
      <c r="G6834">
        <v>-45.783332999999999</v>
      </c>
      <c r="H6834">
        <v>170.716667</v>
      </c>
      <c r="I6834" t="s">
        <v>762</v>
      </c>
      <c r="J6834" s="2" t="s">
        <v>14</v>
      </c>
      <c r="K6834" t="s">
        <v>787</v>
      </c>
      <c r="L6834" t="s">
        <v>144</v>
      </c>
      <c r="M6834" t="s">
        <v>638</v>
      </c>
      <c r="N6834" t="s">
        <v>86</v>
      </c>
      <c r="O6834" t="s">
        <v>788</v>
      </c>
      <c r="P6834" t="s">
        <v>70</v>
      </c>
      <c r="Q6834">
        <v>3</v>
      </c>
      <c r="R6834" s="2" t="s">
        <v>213</v>
      </c>
      <c r="S6834" t="s">
        <v>9</v>
      </c>
      <c r="T6834">
        <v>3</v>
      </c>
      <c r="U6834" s="2" t="s">
        <v>28</v>
      </c>
      <c r="V6834" s="2" t="s">
        <v>28</v>
      </c>
      <c r="W6834" s="2">
        <v>24</v>
      </c>
      <c r="X6834">
        <v>26.86</v>
      </c>
      <c r="Y6834" s="6">
        <f t="shared" si="113"/>
        <v>5.2827549630850754</v>
      </c>
      <c r="Z6834">
        <v>3.05</v>
      </c>
    </row>
    <row r="6835" spans="1:28" x14ac:dyDescent="0.2">
      <c r="A6835" t="s">
        <v>785</v>
      </c>
      <c r="B6835">
        <v>2020</v>
      </c>
      <c r="C6835" t="s">
        <v>816</v>
      </c>
      <c r="D6835" t="s">
        <v>820</v>
      </c>
      <c r="E6835" t="s">
        <v>34</v>
      </c>
      <c r="F6835" t="s">
        <v>786</v>
      </c>
      <c r="G6835">
        <v>-45.783332999999999</v>
      </c>
      <c r="H6835">
        <v>170.716667</v>
      </c>
      <c r="I6835" t="s">
        <v>762</v>
      </c>
      <c r="J6835" s="2" t="s">
        <v>7</v>
      </c>
      <c r="K6835" t="s">
        <v>787</v>
      </c>
      <c r="L6835" t="s">
        <v>144</v>
      </c>
      <c r="M6835" t="s">
        <v>638</v>
      </c>
      <c r="N6835" t="s">
        <v>85</v>
      </c>
      <c r="O6835" t="s">
        <v>789</v>
      </c>
      <c r="P6835" t="s">
        <v>70</v>
      </c>
      <c r="Q6835">
        <v>3</v>
      </c>
      <c r="R6835" s="2" t="s">
        <v>213</v>
      </c>
      <c r="S6835" t="s">
        <v>7</v>
      </c>
      <c r="T6835">
        <v>3</v>
      </c>
      <c r="U6835" s="2" t="s">
        <v>28</v>
      </c>
      <c r="V6835" s="2" t="s">
        <v>28</v>
      </c>
      <c r="W6835" s="2">
        <v>17</v>
      </c>
      <c r="X6835">
        <v>13.28</v>
      </c>
      <c r="Y6835" s="6">
        <f t="shared" si="113"/>
        <v>1.9398969044771426</v>
      </c>
      <c r="Z6835">
        <v>1.1200000000000001</v>
      </c>
    </row>
    <row r="6836" spans="1:28" x14ac:dyDescent="0.2">
      <c r="A6836" t="s">
        <v>785</v>
      </c>
      <c r="B6836">
        <v>2020</v>
      </c>
      <c r="C6836" t="s">
        <v>816</v>
      </c>
      <c r="D6836" t="s">
        <v>820</v>
      </c>
      <c r="E6836" t="s">
        <v>34</v>
      </c>
      <c r="F6836" t="s">
        <v>786</v>
      </c>
      <c r="G6836">
        <v>-45.783332999999999</v>
      </c>
      <c r="H6836">
        <v>170.716667</v>
      </c>
      <c r="I6836" t="s">
        <v>762</v>
      </c>
      <c r="J6836" s="2" t="s">
        <v>14</v>
      </c>
      <c r="K6836" t="s">
        <v>787</v>
      </c>
      <c r="L6836" t="s">
        <v>144</v>
      </c>
      <c r="M6836" t="s">
        <v>638</v>
      </c>
      <c r="N6836" t="s">
        <v>85</v>
      </c>
      <c r="O6836" t="s">
        <v>789</v>
      </c>
      <c r="P6836" t="s">
        <v>70</v>
      </c>
      <c r="Q6836">
        <v>3</v>
      </c>
      <c r="R6836" s="2" t="s">
        <v>213</v>
      </c>
      <c r="S6836" t="s">
        <v>9</v>
      </c>
      <c r="T6836">
        <v>3</v>
      </c>
      <c r="U6836" s="2" t="s">
        <v>28</v>
      </c>
      <c r="V6836" s="2" t="s">
        <v>28</v>
      </c>
      <c r="W6836" s="2">
        <v>24</v>
      </c>
      <c r="X6836">
        <v>15.84</v>
      </c>
      <c r="Y6836" s="6">
        <f t="shared" si="113"/>
        <v>3.1350119616996679</v>
      </c>
      <c r="Z6836">
        <v>1.81</v>
      </c>
    </row>
    <row r="6837" spans="1:28" x14ac:dyDescent="0.2">
      <c r="A6837" t="s">
        <v>785</v>
      </c>
      <c r="B6837">
        <v>2020</v>
      </c>
      <c r="C6837" t="s">
        <v>816</v>
      </c>
      <c r="D6837" t="s">
        <v>820</v>
      </c>
      <c r="E6837" t="s">
        <v>34</v>
      </c>
      <c r="F6837" t="s">
        <v>786</v>
      </c>
      <c r="G6837">
        <v>-45.783332999999999</v>
      </c>
      <c r="H6837">
        <v>170.716667</v>
      </c>
      <c r="I6837" t="s">
        <v>762</v>
      </c>
      <c r="J6837" s="2" t="s">
        <v>7</v>
      </c>
      <c r="K6837" t="s">
        <v>787</v>
      </c>
      <c r="L6837" t="s">
        <v>144</v>
      </c>
      <c r="M6837" t="s">
        <v>638</v>
      </c>
      <c r="N6837" t="s">
        <v>85</v>
      </c>
      <c r="O6837" t="s">
        <v>790</v>
      </c>
      <c r="P6837" t="s">
        <v>70</v>
      </c>
      <c r="Q6837">
        <v>3</v>
      </c>
      <c r="R6837" s="2" t="s">
        <v>213</v>
      </c>
      <c r="S6837" t="s">
        <v>7</v>
      </c>
      <c r="T6837">
        <v>3</v>
      </c>
      <c r="U6837" s="2" t="s">
        <v>28</v>
      </c>
      <c r="V6837" s="2" t="s">
        <v>28</v>
      </c>
      <c r="W6837" s="2">
        <v>17</v>
      </c>
      <c r="X6837">
        <v>62.49</v>
      </c>
      <c r="Y6837" s="6">
        <f t="shared" si="113"/>
        <v>6.7549981495186211</v>
      </c>
      <c r="Z6837">
        <v>3.9</v>
      </c>
    </row>
    <row r="6838" spans="1:28" x14ac:dyDescent="0.2">
      <c r="A6838" t="s">
        <v>785</v>
      </c>
      <c r="B6838">
        <v>2020</v>
      </c>
      <c r="C6838" t="s">
        <v>816</v>
      </c>
      <c r="D6838" t="s">
        <v>820</v>
      </c>
      <c r="E6838" t="s">
        <v>34</v>
      </c>
      <c r="F6838" t="s">
        <v>786</v>
      </c>
      <c r="G6838">
        <v>-45.783332999999999</v>
      </c>
      <c r="H6838">
        <v>170.716667</v>
      </c>
      <c r="I6838" t="s">
        <v>762</v>
      </c>
      <c r="J6838" s="2" t="s">
        <v>14</v>
      </c>
      <c r="K6838" t="s">
        <v>787</v>
      </c>
      <c r="L6838" t="s">
        <v>144</v>
      </c>
      <c r="M6838" t="s">
        <v>638</v>
      </c>
      <c r="N6838" t="s">
        <v>85</v>
      </c>
      <c r="O6838" t="s">
        <v>790</v>
      </c>
      <c r="P6838" t="s">
        <v>70</v>
      </c>
      <c r="Q6838">
        <v>3</v>
      </c>
      <c r="R6838" s="2" t="s">
        <v>213</v>
      </c>
      <c r="S6838" t="s">
        <v>9</v>
      </c>
      <c r="T6838">
        <v>3</v>
      </c>
      <c r="U6838" s="2" t="s">
        <v>28</v>
      </c>
      <c r="V6838" s="2" t="s">
        <v>28</v>
      </c>
      <c r="W6838" s="2">
        <v>24</v>
      </c>
      <c r="X6838">
        <v>54.93</v>
      </c>
      <c r="Y6838" s="6">
        <f t="shared" si="113"/>
        <v>8.4350874328604313</v>
      </c>
      <c r="Z6838">
        <v>4.87</v>
      </c>
    </row>
    <row r="6839" spans="1:28" x14ac:dyDescent="0.2">
      <c r="A6839" t="s">
        <v>795</v>
      </c>
      <c r="B6839">
        <v>1996</v>
      </c>
      <c r="C6839" t="s">
        <v>826</v>
      </c>
      <c r="D6839" t="s">
        <v>821</v>
      </c>
      <c r="E6839" t="s">
        <v>134</v>
      </c>
      <c r="F6839" t="s">
        <v>791</v>
      </c>
      <c r="G6839">
        <v>48.083333000000003</v>
      </c>
      <c r="H6839">
        <v>-123.05</v>
      </c>
      <c r="I6839" t="s">
        <v>764</v>
      </c>
      <c r="J6839" s="2" t="s">
        <v>7</v>
      </c>
      <c r="K6839" t="s">
        <v>144</v>
      </c>
      <c r="L6839" t="s">
        <v>144</v>
      </c>
      <c r="M6839" t="s">
        <v>73</v>
      </c>
      <c r="N6839" t="s">
        <v>85</v>
      </c>
      <c r="O6839" t="s">
        <v>834</v>
      </c>
      <c r="P6839" t="s">
        <v>792</v>
      </c>
      <c r="Q6839">
        <f>2/24</f>
        <v>8.3333333333333329E-2</v>
      </c>
      <c r="R6839" s="2" t="s">
        <v>213</v>
      </c>
      <c r="S6839" t="s">
        <v>7</v>
      </c>
      <c r="T6839">
        <v>10</v>
      </c>
      <c r="U6839" s="3"/>
      <c r="V6839" s="2" t="s">
        <v>793</v>
      </c>
      <c r="W6839" t="s">
        <v>28</v>
      </c>
      <c r="X6839">
        <v>282.39999999999998</v>
      </c>
      <c r="Y6839">
        <f t="shared" ref="Y6839:Y6842" si="114">SQRT(T6839) * (AB6839-AA6839)/3.92</f>
        <v>43.884669569683666</v>
      </c>
      <c r="AA6839">
        <v>255.2</v>
      </c>
      <c r="AB6839" s="6">
        <v>309.60000000000002</v>
      </c>
    </row>
    <row r="6840" spans="1:28" x14ac:dyDescent="0.2">
      <c r="A6840" t="s">
        <v>795</v>
      </c>
      <c r="B6840">
        <v>1996</v>
      </c>
      <c r="C6840" t="s">
        <v>826</v>
      </c>
      <c r="D6840" t="s">
        <v>821</v>
      </c>
      <c r="E6840" t="s">
        <v>134</v>
      </c>
      <c r="F6840" t="s">
        <v>791</v>
      </c>
      <c r="G6840">
        <v>48.083333000000003</v>
      </c>
      <c r="H6840">
        <v>-123.05</v>
      </c>
      <c r="I6840" t="s">
        <v>764</v>
      </c>
      <c r="J6840" s="2" t="s">
        <v>5</v>
      </c>
      <c r="K6840" t="s">
        <v>144</v>
      </c>
      <c r="L6840" t="s">
        <v>144</v>
      </c>
      <c r="M6840" t="s">
        <v>73</v>
      </c>
      <c r="N6840" t="s">
        <v>85</v>
      </c>
      <c r="O6840" t="s">
        <v>834</v>
      </c>
      <c r="P6840" t="s">
        <v>792</v>
      </c>
      <c r="Q6840">
        <f>2/24</f>
        <v>8.3333333333333329E-2</v>
      </c>
      <c r="R6840" s="2" t="s">
        <v>213</v>
      </c>
      <c r="S6840" t="s">
        <v>13</v>
      </c>
      <c r="T6840">
        <v>10</v>
      </c>
      <c r="U6840" s="3"/>
      <c r="V6840" s="2" t="s">
        <v>794</v>
      </c>
      <c r="W6840" t="s">
        <v>28</v>
      </c>
      <c r="X6840">
        <v>622.9</v>
      </c>
      <c r="Y6840">
        <f t="shared" si="114"/>
        <v>105.1941344096829</v>
      </c>
      <c r="AA6840">
        <v>556.29999999999995</v>
      </c>
      <c r="AB6840" s="6">
        <v>686.7</v>
      </c>
    </row>
    <row r="6841" spans="1:28" x14ac:dyDescent="0.2">
      <c r="A6841" t="s">
        <v>795</v>
      </c>
      <c r="B6841">
        <v>1996</v>
      </c>
      <c r="C6841" t="s">
        <v>826</v>
      </c>
      <c r="D6841" t="s">
        <v>821</v>
      </c>
      <c r="E6841" t="s">
        <v>134</v>
      </c>
      <c r="F6841" t="s">
        <v>791</v>
      </c>
      <c r="G6841">
        <v>48.083333000000003</v>
      </c>
      <c r="H6841">
        <v>-123.05</v>
      </c>
      <c r="I6841" s="26" t="s">
        <v>780</v>
      </c>
      <c r="J6841" s="2" t="s">
        <v>7</v>
      </c>
      <c r="K6841" t="s">
        <v>144</v>
      </c>
      <c r="L6841" t="s">
        <v>144</v>
      </c>
      <c r="M6841" t="s">
        <v>73</v>
      </c>
      <c r="N6841" t="s">
        <v>85</v>
      </c>
      <c r="O6841" t="s">
        <v>834</v>
      </c>
      <c r="P6841" t="s">
        <v>792</v>
      </c>
      <c r="Q6841">
        <f>2/24</f>
        <v>8.3333333333333329E-2</v>
      </c>
      <c r="R6841" s="2" t="s">
        <v>213</v>
      </c>
      <c r="S6841" t="s">
        <v>7</v>
      </c>
      <c r="T6841">
        <v>10</v>
      </c>
      <c r="U6841" s="3"/>
      <c r="V6841" s="2" t="s">
        <v>793</v>
      </c>
      <c r="W6841" t="s">
        <v>28</v>
      </c>
      <c r="X6841">
        <v>261.7</v>
      </c>
      <c r="Y6841">
        <f t="shared" si="114"/>
        <v>32.5101504348943</v>
      </c>
      <c r="AA6841">
        <v>241.1</v>
      </c>
      <c r="AB6841">
        <v>281.39999999999998</v>
      </c>
    </row>
    <row r="6842" spans="1:28" x14ac:dyDescent="0.2">
      <c r="A6842" t="s">
        <v>795</v>
      </c>
      <c r="B6842">
        <v>1996</v>
      </c>
      <c r="C6842" t="s">
        <v>826</v>
      </c>
      <c r="D6842" t="s">
        <v>821</v>
      </c>
      <c r="E6842" t="s">
        <v>134</v>
      </c>
      <c r="F6842" t="s">
        <v>791</v>
      </c>
      <c r="G6842">
        <v>48.083333000000003</v>
      </c>
      <c r="H6842">
        <v>-123.05</v>
      </c>
      <c r="I6842" s="26" t="s">
        <v>780</v>
      </c>
      <c r="J6842" s="2" t="s">
        <v>5</v>
      </c>
      <c r="K6842" t="s">
        <v>144</v>
      </c>
      <c r="L6842" t="s">
        <v>144</v>
      </c>
      <c r="M6842" t="s">
        <v>73</v>
      </c>
      <c r="N6842" t="s">
        <v>85</v>
      </c>
      <c r="O6842" t="s">
        <v>834</v>
      </c>
      <c r="P6842" t="s">
        <v>792</v>
      </c>
      <c r="Q6842">
        <f>2/24</f>
        <v>8.3333333333333329E-2</v>
      </c>
      <c r="R6842" s="2" t="s">
        <v>213</v>
      </c>
      <c r="S6842" t="s">
        <v>13</v>
      </c>
      <c r="T6842">
        <v>10</v>
      </c>
      <c r="U6842" s="3"/>
      <c r="V6842" s="2" t="s">
        <v>794</v>
      </c>
      <c r="W6842" t="s">
        <v>28</v>
      </c>
      <c r="X6842">
        <v>718.6</v>
      </c>
      <c r="Y6842">
        <f t="shared" si="114"/>
        <v>86.317272866840966</v>
      </c>
      <c r="AA6842">
        <v>666</v>
      </c>
      <c r="AB6842">
        <v>773</v>
      </c>
    </row>
    <row r="6843" spans="1:28" x14ac:dyDescent="0.2">
      <c r="A6843" t="s">
        <v>795</v>
      </c>
      <c r="B6843">
        <v>1996</v>
      </c>
      <c r="C6843" t="s">
        <v>826</v>
      </c>
      <c r="D6843" t="s">
        <v>821</v>
      </c>
      <c r="E6843" t="s">
        <v>134</v>
      </c>
      <c r="F6843" t="s">
        <v>791</v>
      </c>
      <c r="G6843">
        <v>48.083333000000003</v>
      </c>
      <c r="H6843">
        <v>-123.05</v>
      </c>
      <c r="I6843" t="s">
        <v>764</v>
      </c>
      <c r="J6843" s="2" t="s">
        <v>7</v>
      </c>
      <c r="K6843" t="s">
        <v>144</v>
      </c>
      <c r="L6843" t="s">
        <v>144</v>
      </c>
      <c r="M6843" t="s">
        <v>73</v>
      </c>
      <c r="N6843" t="s">
        <v>85</v>
      </c>
      <c r="O6843" t="s">
        <v>834</v>
      </c>
      <c r="P6843" t="s">
        <v>792</v>
      </c>
      <c r="Q6843">
        <f t="shared" ref="Q6843:Q6849" si="115">2/24</f>
        <v>8.3333333333333329E-2</v>
      </c>
      <c r="R6843" s="2" t="s">
        <v>213</v>
      </c>
      <c r="S6843" t="s">
        <v>7</v>
      </c>
      <c r="T6843">
        <v>5</v>
      </c>
      <c r="U6843" s="3"/>
      <c r="V6843" s="2" t="s">
        <v>793</v>
      </c>
      <c r="W6843" t="s">
        <v>28</v>
      </c>
      <c r="X6843">
        <v>191.62000000000003</v>
      </c>
      <c r="Y6843">
        <v>29.396887590355355</v>
      </c>
    </row>
    <row r="6844" spans="1:28" x14ac:dyDescent="0.2">
      <c r="A6844" t="s">
        <v>795</v>
      </c>
      <c r="B6844">
        <v>1996</v>
      </c>
      <c r="C6844" t="s">
        <v>826</v>
      </c>
      <c r="D6844" t="s">
        <v>821</v>
      </c>
      <c r="E6844" t="s">
        <v>134</v>
      </c>
      <c r="F6844" t="s">
        <v>791</v>
      </c>
      <c r="G6844">
        <v>48.083333000000003</v>
      </c>
      <c r="H6844">
        <v>-123.05</v>
      </c>
      <c r="I6844" t="s">
        <v>764</v>
      </c>
      <c r="J6844" s="2" t="s">
        <v>5</v>
      </c>
      <c r="K6844" t="s">
        <v>144</v>
      </c>
      <c r="L6844" t="s">
        <v>144</v>
      </c>
      <c r="M6844" t="s">
        <v>73</v>
      </c>
      <c r="N6844" t="s">
        <v>85</v>
      </c>
      <c r="O6844" t="s">
        <v>834</v>
      </c>
      <c r="P6844" t="s">
        <v>792</v>
      </c>
      <c r="Q6844">
        <f t="shared" si="115"/>
        <v>8.3333333333333329E-2</v>
      </c>
      <c r="R6844" s="2" t="s">
        <v>213</v>
      </c>
      <c r="S6844" t="s">
        <v>9</v>
      </c>
      <c r="T6844">
        <v>5</v>
      </c>
      <c r="U6844" s="3"/>
      <c r="V6844" s="2" t="s">
        <v>796</v>
      </c>
      <c r="W6844" t="s">
        <v>28</v>
      </c>
      <c r="X6844">
        <v>224.34</v>
      </c>
      <c r="Y6844">
        <v>29.541123878417352</v>
      </c>
    </row>
    <row r="6845" spans="1:28" x14ac:dyDescent="0.2">
      <c r="A6845" t="s">
        <v>795</v>
      </c>
      <c r="B6845">
        <v>1996</v>
      </c>
      <c r="C6845" t="s">
        <v>826</v>
      </c>
      <c r="D6845" t="s">
        <v>821</v>
      </c>
      <c r="E6845" t="s">
        <v>134</v>
      </c>
      <c r="F6845" t="s">
        <v>791</v>
      </c>
      <c r="G6845">
        <v>48.083333000000003</v>
      </c>
      <c r="H6845">
        <v>-123.05</v>
      </c>
      <c r="I6845" t="s">
        <v>764</v>
      </c>
      <c r="J6845" s="2" t="s">
        <v>5</v>
      </c>
      <c r="K6845" t="s">
        <v>144</v>
      </c>
      <c r="L6845" t="s">
        <v>144</v>
      </c>
      <c r="M6845" t="s">
        <v>73</v>
      </c>
      <c r="N6845" t="s">
        <v>85</v>
      </c>
      <c r="O6845" t="s">
        <v>834</v>
      </c>
      <c r="P6845" t="s">
        <v>792</v>
      </c>
      <c r="Q6845">
        <f t="shared" si="115"/>
        <v>8.3333333333333329E-2</v>
      </c>
      <c r="R6845" s="2" t="s">
        <v>213</v>
      </c>
      <c r="S6845" t="s">
        <v>27</v>
      </c>
      <c r="T6845">
        <v>5</v>
      </c>
      <c r="U6845" s="3"/>
      <c r="V6845" s="2" t="s">
        <v>797</v>
      </c>
      <c r="W6845" t="s">
        <v>28</v>
      </c>
      <c r="X6845">
        <v>210.62000000000003</v>
      </c>
      <c r="Y6845">
        <v>33.584252262034546</v>
      </c>
    </row>
    <row r="6846" spans="1:28" x14ac:dyDescent="0.2">
      <c r="A6846" t="s">
        <v>795</v>
      </c>
      <c r="B6846">
        <v>1996</v>
      </c>
      <c r="C6846" t="s">
        <v>826</v>
      </c>
      <c r="D6846" t="s">
        <v>821</v>
      </c>
      <c r="E6846" t="s">
        <v>134</v>
      </c>
      <c r="F6846" t="s">
        <v>791</v>
      </c>
      <c r="G6846">
        <v>48.083333000000003</v>
      </c>
      <c r="H6846">
        <v>-123.05</v>
      </c>
      <c r="I6846" t="s">
        <v>764</v>
      </c>
      <c r="J6846" s="2" t="s">
        <v>5</v>
      </c>
      <c r="K6846" t="s">
        <v>144</v>
      </c>
      <c r="L6846" t="s">
        <v>144</v>
      </c>
      <c r="M6846" t="s">
        <v>73</v>
      </c>
      <c r="N6846" t="s">
        <v>85</v>
      </c>
      <c r="O6846" t="s">
        <v>834</v>
      </c>
      <c r="P6846" t="s">
        <v>792</v>
      </c>
      <c r="Q6846">
        <f t="shared" si="115"/>
        <v>8.3333333333333329E-2</v>
      </c>
      <c r="R6846" s="2" t="s">
        <v>213</v>
      </c>
      <c r="S6846" t="s">
        <v>13</v>
      </c>
      <c r="T6846">
        <v>5</v>
      </c>
      <c r="U6846" s="3"/>
      <c r="V6846" s="2" t="s">
        <v>794</v>
      </c>
      <c r="W6846" t="s">
        <v>28</v>
      </c>
      <c r="X6846">
        <v>274.38</v>
      </c>
      <c r="Y6846">
        <v>20.881139815632256</v>
      </c>
    </row>
    <row r="6847" spans="1:28" x14ac:dyDescent="0.2">
      <c r="A6847" t="s">
        <v>795</v>
      </c>
      <c r="B6847">
        <v>1996</v>
      </c>
      <c r="C6847" t="s">
        <v>826</v>
      </c>
      <c r="D6847" t="s">
        <v>821</v>
      </c>
      <c r="E6847" t="s">
        <v>134</v>
      </c>
      <c r="F6847" t="s">
        <v>791</v>
      </c>
      <c r="G6847">
        <v>48.083333000000003</v>
      </c>
      <c r="H6847">
        <v>-123.05</v>
      </c>
      <c r="I6847" t="s">
        <v>764</v>
      </c>
      <c r="J6847" s="2" t="s">
        <v>5</v>
      </c>
      <c r="K6847" t="s">
        <v>144</v>
      </c>
      <c r="L6847" t="s">
        <v>144</v>
      </c>
      <c r="M6847" t="s">
        <v>73</v>
      </c>
      <c r="N6847" t="s">
        <v>85</v>
      </c>
      <c r="O6847" t="s">
        <v>834</v>
      </c>
      <c r="P6847" t="s">
        <v>792</v>
      </c>
      <c r="Q6847">
        <f t="shared" si="115"/>
        <v>8.3333333333333329E-2</v>
      </c>
      <c r="R6847" s="2" t="s">
        <v>213</v>
      </c>
      <c r="S6847" t="s">
        <v>15</v>
      </c>
      <c r="T6847">
        <v>4</v>
      </c>
      <c r="U6847" s="3"/>
      <c r="V6847" s="2" t="s">
        <v>798</v>
      </c>
      <c r="W6847" t="s">
        <v>28</v>
      </c>
      <c r="X6847">
        <v>309.10000000000002</v>
      </c>
      <c r="Y6847">
        <v>73.110236401386572</v>
      </c>
    </row>
    <row r="6848" spans="1:28" x14ac:dyDescent="0.2">
      <c r="A6848" t="s">
        <v>795</v>
      </c>
      <c r="B6848">
        <v>1996</v>
      </c>
      <c r="C6848" t="s">
        <v>826</v>
      </c>
      <c r="D6848" t="s">
        <v>821</v>
      </c>
      <c r="E6848" t="s">
        <v>134</v>
      </c>
      <c r="F6848" t="s">
        <v>791</v>
      </c>
      <c r="G6848">
        <v>48.083333000000003</v>
      </c>
      <c r="H6848">
        <v>-123.05</v>
      </c>
      <c r="I6848" t="s">
        <v>764</v>
      </c>
      <c r="J6848" s="2" t="s">
        <v>5</v>
      </c>
      <c r="K6848" t="s">
        <v>144</v>
      </c>
      <c r="L6848" t="s">
        <v>144</v>
      </c>
      <c r="M6848" t="s">
        <v>73</v>
      </c>
      <c r="N6848" t="s">
        <v>85</v>
      </c>
      <c r="O6848" t="s">
        <v>834</v>
      </c>
      <c r="P6848" t="s">
        <v>792</v>
      </c>
      <c r="Q6848">
        <f t="shared" si="115"/>
        <v>8.3333333333333329E-2</v>
      </c>
      <c r="R6848" s="2" t="s">
        <v>213</v>
      </c>
      <c r="S6848" t="s">
        <v>37</v>
      </c>
      <c r="T6848">
        <v>4</v>
      </c>
      <c r="U6848" s="3"/>
      <c r="V6848" t="s">
        <v>799</v>
      </c>
      <c r="W6848" t="s">
        <v>28</v>
      </c>
      <c r="X6848">
        <v>305.35000000000002</v>
      </c>
      <c r="Y6848">
        <v>71.667124029548148</v>
      </c>
    </row>
    <row r="6849" spans="1:25" x14ac:dyDescent="0.2">
      <c r="A6849" t="s">
        <v>795</v>
      </c>
      <c r="B6849">
        <v>1996</v>
      </c>
      <c r="C6849" t="s">
        <v>826</v>
      </c>
      <c r="D6849" t="s">
        <v>821</v>
      </c>
      <c r="E6849" t="s">
        <v>134</v>
      </c>
      <c r="F6849" t="s">
        <v>791</v>
      </c>
      <c r="G6849">
        <v>48.083333000000003</v>
      </c>
      <c r="H6849">
        <v>-123.05</v>
      </c>
      <c r="I6849" t="s">
        <v>764</v>
      </c>
      <c r="J6849" s="2" t="s">
        <v>5</v>
      </c>
      <c r="K6849" t="s">
        <v>144</v>
      </c>
      <c r="L6849" t="s">
        <v>144</v>
      </c>
      <c r="M6849" t="s">
        <v>73</v>
      </c>
      <c r="N6849" t="s">
        <v>85</v>
      </c>
      <c r="O6849" t="s">
        <v>834</v>
      </c>
      <c r="P6849" t="s">
        <v>792</v>
      </c>
      <c r="Q6849">
        <f t="shared" si="115"/>
        <v>8.3333333333333329E-2</v>
      </c>
      <c r="R6849" s="2" t="s">
        <v>213</v>
      </c>
      <c r="S6849" t="s">
        <v>116</v>
      </c>
      <c r="T6849">
        <v>4</v>
      </c>
      <c r="U6849" s="3"/>
      <c r="V6849" s="2" t="s">
        <v>800</v>
      </c>
      <c r="W6849" t="s">
        <v>28</v>
      </c>
      <c r="X6849">
        <v>132</v>
      </c>
      <c r="Y6849">
        <v>52.813445257812901</v>
      </c>
    </row>
    <row r="6850" spans="1:25" x14ac:dyDescent="0.2">
      <c r="A6850" t="s">
        <v>801</v>
      </c>
      <c r="B6850">
        <v>2017</v>
      </c>
      <c r="C6850" t="s">
        <v>816</v>
      </c>
      <c r="D6850" t="s">
        <v>820</v>
      </c>
      <c r="E6850" t="s">
        <v>34</v>
      </c>
      <c r="F6850" t="s">
        <v>802</v>
      </c>
      <c r="G6850">
        <v>31.55</v>
      </c>
      <c r="H6850">
        <v>-116.4</v>
      </c>
      <c r="J6850" s="2" t="s">
        <v>7</v>
      </c>
      <c r="K6850" t="s">
        <v>95</v>
      </c>
      <c r="L6850" t="s">
        <v>143</v>
      </c>
      <c r="M6850" t="s">
        <v>26</v>
      </c>
      <c r="N6850" t="s">
        <v>85</v>
      </c>
      <c r="O6850" t="s">
        <v>839</v>
      </c>
      <c r="P6850" t="s">
        <v>549</v>
      </c>
      <c r="Q6850">
        <v>6</v>
      </c>
      <c r="R6850" s="2" t="s">
        <v>213</v>
      </c>
      <c r="S6850" t="s">
        <v>7</v>
      </c>
      <c r="T6850">
        <v>3</v>
      </c>
      <c r="U6850">
        <v>8.1</v>
      </c>
      <c r="V6850">
        <v>400</v>
      </c>
      <c r="W6850" t="s">
        <v>28</v>
      </c>
      <c r="X6850" s="3"/>
      <c r="Y6850" s="3"/>
    </row>
    <row r="6851" spans="1:25" x14ac:dyDescent="0.2">
      <c r="A6851" t="s">
        <v>801</v>
      </c>
      <c r="B6851">
        <v>2017</v>
      </c>
      <c r="C6851" t="s">
        <v>816</v>
      </c>
      <c r="D6851" t="s">
        <v>820</v>
      </c>
      <c r="E6851" t="s">
        <v>34</v>
      </c>
      <c r="F6851" t="s">
        <v>802</v>
      </c>
      <c r="G6851">
        <v>31.55</v>
      </c>
      <c r="H6851">
        <v>-116.4</v>
      </c>
      <c r="J6851" s="2" t="s">
        <v>5</v>
      </c>
      <c r="K6851" t="s">
        <v>95</v>
      </c>
      <c r="L6851" t="s">
        <v>143</v>
      </c>
      <c r="M6851" t="s">
        <v>26</v>
      </c>
      <c r="N6851" t="s">
        <v>85</v>
      </c>
      <c r="O6851" t="s">
        <v>839</v>
      </c>
      <c r="P6851" t="s">
        <v>549</v>
      </c>
      <c r="Q6851">
        <v>6</v>
      </c>
      <c r="R6851" s="2" t="s">
        <v>213</v>
      </c>
      <c r="S6851" t="s">
        <v>9</v>
      </c>
      <c r="T6851">
        <v>3</v>
      </c>
      <c r="U6851">
        <v>7.91</v>
      </c>
      <c r="V6851">
        <v>700</v>
      </c>
      <c r="W6851" t="s">
        <v>28</v>
      </c>
      <c r="X6851" s="3"/>
      <c r="Y6851" s="3"/>
    </row>
    <row r="6852" spans="1:25" x14ac:dyDescent="0.2">
      <c r="A6852" t="s">
        <v>801</v>
      </c>
      <c r="B6852">
        <v>2017</v>
      </c>
      <c r="C6852" t="s">
        <v>816</v>
      </c>
      <c r="D6852" t="s">
        <v>820</v>
      </c>
      <c r="E6852" t="s">
        <v>34</v>
      </c>
      <c r="F6852" t="s">
        <v>802</v>
      </c>
      <c r="G6852">
        <v>31.55</v>
      </c>
      <c r="H6852">
        <v>-116.4</v>
      </c>
      <c r="J6852" s="2" t="s">
        <v>5</v>
      </c>
      <c r="K6852" t="s">
        <v>95</v>
      </c>
      <c r="L6852" t="s">
        <v>143</v>
      </c>
      <c r="M6852" t="s">
        <v>26</v>
      </c>
      <c r="N6852" t="s">
        <v>85</v>
      </c>
      <c r="O6852" t="s">
        <v>839</v>
      </c>
      <c r="P6852" t="s">
        <v>549</v>
      </c>
      <c r="Q6852">
        <v>6</v>
      </c>
      <c r="R6852" s="2" t="s">
        <v>213</v>
      </c>
      <c r="S6852" t="s">
        <v>27</v>
      </c>
      <c r="T6852">
        <v>3</v>
      </c>
      <c r="U6852">
        <v>7.76</v>
      </c>
      <c r="V6852">
        <v>1000</v>
      </c>
      <c r="W6852" t="s">
        <v>28</v>
      </c>
      <c r="X6852" s="3"/>
      <c r="Y6852" s="3"/>
    </row>
    <row r="6853" spans="1:25" x14ac:dyDescent="0.2">
      <c r="A6853" t="s">
        <v>801</v>
      </c>
      <c r="B6853">
        <v>2017</v>
      </c>
      <c r="C6853" t="s">
        <v>816</v>
      </c>
      <c r="D6853" t="s">
        <v>820</v>
      </c>
      <c r="E6853" t="s">
        <v>34</v>
      </c>
      <c r="F6853" t="s">
        <v>802</v>
      </c>
      <c r="G6853">
        <v>31.55</v>
      </c>
      <c r="H6853">
        <v>-116.4</v>
      </c>
      <c r="J6853" s="2" t="s">
        <v>5</v>
      </c>
      <c r="K6853" t="s">
        <v>95</v>
      </c>
      <c r="L6853" t="s">
        <v>143</v>
      </c>
      <c r="M6853" t="s">
        <v>26</v>
      </c>
      <c r="N6853" t="s">
        <v>85</v>
      </c>
      <c r="O6853" t="s">
        <v>839</v>
      </c>
      <c r="P6853" t="s">
        <v>549</v>
      </c>
      <c r="Q6853">
        <v>6</v>
      </c>
      <c r="R6853" s="2" t="s">
        <v>213</v>
      </c>
      <c r="S6853" t="s">
        <v>13</v>
      </c>
      <c r="T6853">
        <v>3</v>
      </c>
      <c r="U6853">
        <v>7.5</v>
      </c>
      <c r="V6853">
        <v>2000</v>
      </c>
      <c r="W6853" t="s">
        <v>28</v>
      </c>
      <c r="X6853" s="3"/>
      <c r="Y6853" s="3"/>
    </row>
    <row r="6854" spans="1:25" x14ac:dyDescent="0.2">
      <c r="A6854" t="s">
        <v>801</v>
      </c>
      <c r="B6854">
        <v>2017</v>
      </c>
      <c r="C6854" t="s">
        <v>826</v>
      </c>
      <c r="D6854" t="s">
        <v>824</v>
      </c>
      <c r="E6854" t="s">
        <v>114</v>
      </c>
      <c r="F6854" t="s">
        <v>679</v>
      </c>
      <c r="G6854">
        <v>37.1</v>
      </c>
      <c r="H6854">
        <v>122.55</v>
      </c>
      <c r="J6854" s="2" t="s">
        <v>7</v>
      </c>
      <c r="K6854" t="s">
        <v>144</v>
      </c>
      <c r="L6854" t="s">
        <v>144</v>
      </c>
      <c r="M6854" t="s">
        <v>26</v>
      </c>
      <c r="N6854" t="s">
        <v>85</v>
      </c>
      <c r="O6854" t="s">
        <v>839</v>
      </c>
      <c r="P6854" t="s">
        <v>549</v>
      </c>
      <c r="Q6854">
        <v>6</v>
      </c>
      <c r="R6854" s="2" t="s">
        <v>213</v>
      </c>
      <c r="S6854" t="s">
        <v>7</v>
      </c>
      <c r="T6854">
        <v>3</v>
      </c>
      <c r="U6854">
        <v>8.1</v>
      </c>
      <c r="V6854">
        <v>400</v>
      </c>
      <c r="W6854" t="s">
        <v>28</v>
      </c>
      <c r="X6854" s="3"/>
      <c r="Y6854" s="3"/>
    </row>
    <row r="6855" spans="1:25" x14ac:dyDescent="0.2">
      <c r="A6855" t="s">
        <v>801</v>
      </c>
      <c r="B6855">
        <v>2017</v>
      </c>
      <c r="C6855" t="s">
        <v>826</v>
      </c>
      <c r="D6855" t="s">
        <v>824</v>
      </c>
      <c r="E6855" t="s">
        <v>114</v>
      </c>
      <c r="F6855" t="s">
        <v>679</v>
      </c>
      <c r="G6855">
        <v>37.1</v>
      </c>
      <c r="H6855">
        <v>122.55</v>
      </c>
      <c r="J6855" s="2" t="s">
        <v>5</v>
      </c>
      <c r="K6855" t="s">
        <v>144</v>
      </c>
      <c r="L6855" t="s">
        <v>144</v>
      </c>
      <c r="M6855" t="s">
        <v>26</v>
      </c>
      <c r="N6855" t="s">
        <v>85</v>
      </c>
      <c r="O6855" t="s">
        <v>839</v>
      </c>
      <c r="P6855" t="s">
        <v>549</v>
      </c>
      <c r="Q6855">
        <v>6</v>
      </c>
      <c r="R6855" s="2" t="s">
        <v>213</v>
      </c>
      <c r="S6855" t="s">
        <v>9</v>
      </c>
      <c r="T6855">
        <v>3</v>
      </c>
      <c r="U6855">
        <v>7.91</v>
      </c>
      <c r="V6855">
        <v>700</v>
      </c>
      <c r="W6855" t="s">
        <v>28</v>
      </c>
      <c r="X6855" s="3"/>
      <c r="Y6855" s="3"/>
    </row>
    <row r="6856" spans="1:25" x14ac:dyDescent="0.2">
      <c r="A6856" t="s">
        <v>801</v>
      </c>
      <c r="B6856">
        <v>2017</v>
      </c>
      <c r="C6856" t="s">
        <v>826</v>
      </c>
      <c r="D6856" t="s">
        <v>824</v>
      </c>
      <c r="E6856" t="s">
        <v>114</v>
      </c>
      <c r="F6856" t="s">
        <v>679</v>
      </c>
      <c r="G6856">
        <v>37.1</v>
      </c>
      <c r="H6856">
        <v>122.55</v>
      </c>
      <c r="J6856" s="2" t="s">
        <v>5</v>
      </c>
      <c r="K6856" t="s">
        <v>144</v>
      </c>
      <c r="L6856" t="s">
        <v>144</v>
      </c>
      <c r="M6856" t="s">
        <v>26</v>
      </c>
      <c r="N6856" t="s">
        <v>85</v>
      </c>
      <c r="O6856" t="s">
        <v>839</v>
      </c>
      <c r="P6856" t="s">
        <v>549</v>
      </c>
      <c r="Q6856">
        <v>6</v>
      </c>
      <c r="R6856" s="2" t="s">
        <v>213</v>
      </c>
      <c r="S6856" t="s">
        <v>27</v>
      </c>
      <c r="T6856">
        <v>3</v>
      </c>
      <c r="U6856">
        <v>7.76</v>
      </c>
      <c r="V6856">
        <v>1000</v>
      </c>
      <c r="W6856" t="s">
        <v>28</v>
      </c>
      <c r="X6856" s="3"/>
      <c r="Y6856" s="3"/>
    </row>
    <row r="6857" spans="1:25" x14ac:dyDescent="0.2">
      <c r="A6857" t="s">
        <v>801</v>
      </c>
      <c r="B6857">
        <v>2017</v>
      </c>
      <c r="C6857" t="s">
        <v>826</v>
      </c>
      <c r="D6857" t="s">
        <v>824</v>
      </c>
      <c r="E6857" t="s">
        <v>114</v>
      </c>
      <c r="F6857" t="s">
        <v>679</v>
      </c>
      <c r="G6857">
        <v>37.1</v>
      </c>
      <c r="H6857">
        <v>122.55</v>
      </c>
      <c r="J6857" s="2" t="s">
        <v>5</v>
      </c>
      <c r="K6857" t="s">
        <v>144</v>
      </c>
      <c r="L6857" t="s">
        <v>144</v>
      </c>
      <c r="M6857" t="s">
        <v>26</v>
      </c>
      <c r="N6857" t="s">
        <v>85</v>
      </c>
      <c r="O6857" t="s">
        <v>839</v>
      </c>
      <c r="P6857" t="s">
        <v>549</v>
      </c>
      <c r="Q6857">
        <v>6</v>
      </c>
      <c r="R6857" s="2" t="s">
        <v>213</v>
      </c>
      <c r="S6857" t="s">
        <v>13</v>
      </c>
      <c r="T6857">
        <v>3</v>
      </c>
      <c r="U6857">
        <v>7.5</v>
      </c>
      <c r="V6857">
        <v>2000</v>
      </c>
      <c r="W6857" t="s">
        <v>28</v>
      </c>
      <c r="X6857" s="3"/>
      <c r="Y6857" s="3"/>
    </row>
    <row r="6858" spans="1:25" x14ac:dyDescent="0.2">
      <c r="A6858" t="s">
        <v>801</v>
      </c>
      <c r="B6858">
        <v>2017</v>
      </c>
      <c r="C6858" t="s">
        <v>816</v>
      </c>
      <c r="D6858" t="s">
        <v>820</v>
      </c>
      <c r="E6858" t="s">
        <v>34</v>
      </c>
      <c r="F6858" t="s">
        <v>802</v>
      </c>
      <c r="G6858">
        <v>31.55</v>
      </c>
      <c r="H6858">
        <v>-116.4</v>
      </c>
      <c r="J6858" s="2" t="s">
        <v>7</v>
      </c>
      <c r="K6858" t="s">
        <v>95</v>
      </c>
      <c r="L6858" t="s">
        <v>143</v>
      </c>
      <c r="M6858" t="s">
        <v>26</v>
      </c>
      <c r="N6858" t="s">
        <v>85</v>
      </c>
      <c r="O6858" t="s">
        <v>839</v>
      </c>
      <c r="P6858" t="s">
        <v>549</v>
      </c>
      <c r="Q6858">
        <v>7</v>
      </c>
      <c r="R6858" s="2" t="s">
        <v>214</v>
      </c>
      <c r="S6858" t="s">
        <v>7</v>
      </c>
      <c r="T6858">
        <v>6</v>
      </c>
      <c r="U6858">
        <v>8.1999999999999993</v>
      </c>
      <c r="V6858">
        <v>400</v>
      </c>
      <c r="W6858" t="s">
        <v>28</v>
      </c>
      <c r="X6858">
        <v>5.0316666666666669E-2</v>
      </c>
      <c r="Y6858">
        <v>2.0409964886463354E-3</v>
      </c>
    </row>
    <row r="6859" spans="1:25" x14ac:dyDescent="0.2">
      <c r="A6859" t="s">
        <v>801</v>
      </c>
      <c r="B6859">
        <v>2017</v>
      </c>
      <c r="C6859" t="s">
        <v>816</v>
      </c>
      <c r="D6859" t="s">
        <v>820</v>
      </c>
      <c r="E6859" t="s">
        <v>34</v>
      </c>
      <c r="F6859" t="s">
        <v>802</v>
      </c>
      <c r="G6859">
        <v>31.55</v>
      </c>
      <c r="H6859">
        <v>-116.4</v>
      </c>
      <c r="J6859" s="2" t="s">
        <v>5</v>
      </c>
      <c r="K6859" t="s">
        <v>95</v>
      </c>
      <c r="L6859" t="s">
        <v>143</v>
      </c>
      <c r="M6859" t="s">
        <v>26</v>
      </c>
      <c r="N6859" t="s">
        <v>85</v>
      </c>
      <c r="O6859" t="s">
        <v>839</v>
      </c>
      <c r="P6859" t="s">
        <v>549</v>
      </c>
      <c r="Q6859">
        <v>7</v>
      </c>
      <c r="R6859" s="2" t="s">
        <v>214</v>
      </c>
      <c r="S6859" t="s">
        <v>9</v>
      </c>
      <c r="T6859">
        <v>6</v>
      </c>
      <c r="U6859">
        <v>7.98</v>
      </c>
      <c r="V6859">
        <v>700</v>
      </c>
      <c r="W6859" t="s">
        <v>28</v>
      </c>
      <c r="X6859">
        <v>5.4783333333333323E-2</v>
      </c>
      <c r="Y6859">
        <v>2.7110268657220406E-3</v>
      </c>
    </row>
    <row r="6860" spans="1:25" x14ac:dyDescent="0.2">
      <c r="A6860" t="s">
        <v>801</v>
      </c>
      <c r="B6860">
        <v>2017</v>
      </c>
      <c r="C6860" t="s">
        <v>816</v>
      </c>
      <c r="D6860" t="s">
        <v>820</v>
      </c>
      <c r="E6860" t="s">
        <v>34</v>
      </c>
      <c r="F6860" t="s">
        <v>802</v>
      </c>
      <c r="G6860">
        <v>31.55</v>
      </c>
      <c r="H6860">
        <v>-116.4</v>
      </c>
      <c r="J6860" s="2" t="s">
        <v>5</v>
      </c>
      <c r="K6860" t="s">
        <v>95</v>
      </c>
      <c r="L6860" t="s">
        <v>143</v>
      </c>
      <c r="M6860" t="s">
        <v>26</v>
      </c>
      <c r="N6860" t="s">
        <v>85</v>
      </c>
      <c r="O6860" t="s">
        <v>839</v>
      </c>
      <c r="P6860" t="s">
        <v>549</v>
      </c>
      <c r="Q6860">
        <v>7</v>
      </c>
      <c r="R6860" s="2" t="s">
        <v>214</v>
      </c>
      <c r="S6860" t="s">
        <v>27</v>
      </c>
      <c r="T6860">
        <v>6</v>
      </c>
      <c r="U6860">
        <v>7.86</v>
      </c>
      <c r="V6860">
        <v>1000</v>
      </c>
      <c r="W6860" t="s">
        <v>28</v>
      </c>
      <c r="X6860">
        <v>5.185E-2</v>
      </c>
      <c r="Y6860">
        <v>7.0639932049797551E-4</v>
      </c>
    </row>
    <row r="6861" spans="1:25" x14ac:dyDescent="0.2">
      <c r="A6861" t="s">
        <v>801</v>
      </c>
      <c r="B6861">
        <v>2017</v>
      </c>
      <c r="C6861" t="s">
        <v>816</v>
      </c>
      <c r="D6861" t="s">
        <v>820</v>
      </c>
      <c r="E6861" t="s">
        <v>34</v>
      </c>
      <c r="F6861" t="s">
        <v>802</v>
      </c>
      <c r="G6861">
        <v>31.55</v>
      </c>
      <c r="H6861">
        <v>-116.4</v>
      </c>
      <c r="J6861" s="2" t="s">
        <v>5</v>
      </c>
      <c r="K6861" t="s">
        <v>95</v>
      </c>
      <c r="L6861" t="s">
        <v>143</v>
      </c>
      <c r="M6861" t="s">
        <v>26</v>
      </c>
      <c r="N6861" t="s">
        <v>85</v>
      </c>
      <c r="O6861" t="s">
        <v>839</v>
      </c>
      <c r="P6861" t="s">
        <v>549</v>
      </c>
      <c r="Q6861">
        <v>7</v>
      </c>
      <c r="R6861" s="2" t="s">
        <v>214</v>
      </c>
      <c r="S6861" t="s">
        <v>13</v>
      </c>
      <c r="T6861">
        <v>6</v>
      </c>
      <c r="U6861">
        <v>7.68</v>
      </c>
      <c r="V6861">
        <v>1500</v>
      </c>
      <c r="W6861" t="s">
        <v>28</v>
      </c>
      <c r="X6861">
        <v>4.4250000000000005E-2</v>
      </c>
      <c r="Y6861">
        <v>1.5971850237214214E-3</v>
      </c>
    </row>
    <row r="6862" spans="1:25" x14ac:dyDescent="0.2">
      <c r="A6862" t="s">
        <v>801</v>
      </c>
      <c r="B6862">
        <v>2017</v>
      </c>
      <c r="C6862" t="s">
        <v>816</v>
      </c>
      <c r="D6862" t="s">
        <v>820</v>
      </c>
      <c r="E6862" t="s">
        <v>34</v>
      </c>
      <c r="F6862" t="s">
        <v>802</v>
      </c>
      <c r="G6862">
        <v>31.55</v>
      </c>
      <c r="H6862">
        <v>-116.4</v>
      </c>
      <c r="J6862" s="2" t="s">
        <v>5</v>
      </c>
      <c r="K6862" t="s">
        <v>95</v>
      </c>
      <c r="L6862" t="s">
        <v>143</v>
      </c>
      <c r="M6862" t="s">
        <v>26</v>
      </c>
      <c r="N6862" t="s">
        <v>85</v>
      </c>
      <c r="O6862" t="s">
        <v>839</v>
      </c>
      <c r="P6862" t="s">
        <v>549</v>
      </c>
      <c r="Q6862">
        <v>7</v>
      </c>
      <c r="R6862" s="2" t="s">
        <v>214</v>
      </c>
      <c r="S6862" t="s">
        <v>15</v>
      </c>
      <c r="T6862">
        <v>6</v>
      </c>
      <c r="U6862">
        <v>7.53</v>
      </c>
      <c r="V6862">
        <v>2000</v>
      </c>
      <c r="W6862" t="s">
        <v>28</v>
      </c>
      <c r="X6862">
        <v>8.5249999999999992E-2</v>
      </c>
      <c r="Y6862">
        <v>9.9447976349446594E-3</v>
      </c>
    </row>
    <row r="6863" spans="1:25" x14ac:dyDescent="0.2">
      <c r="A6863" t="s">
        <v>801</v>
      </c>
      <c r="B6863">
        <v>2017</v>
      </c>
      <c r="C6863" t="s">
        <v>816</v>
      </c>
      <c r="D6863" t="s">
        <v>820</v>
      </c>
      <c r="E6863" t="s">
        <v>34</v>
      </c>
      <c r="F6863" t="s">
        <v>802</v>
      </c>
      <c r="G6863">
        <v>31.55</v>
      </c>
      <c r="H6863">
        <v>-116.4</v>
      </c>
      <c r="J6863" s="2" t="s">
        <v>7</v>
      </c>
      <c r="K6863" t="s">
        <v>95</v>
      </c>
      <c r="L6863" t="s">
        <v>143</v>
      </c>
      <c r="M6863" t="s">
        <v>26</v>
      </c>
      <c r="N6863" t="s">
        <v>85</v>
      </c>
      <c r="O6863" t="s">
        <v>839</v>
      </c>
      <c r="P6863" t="s">
        <v>549</v>
      </c>
      <c r="Q6863">
        <v>28</v>
      </c>
      <c r="R6863" s="2" t="s">
        <v>213</v>
      </c>
      <c r="S6863" t="s">
        <v>7</v>
      </c>
      <c r="T6863">
        <v>2</v>
      </c>
      <c r="U6863">
        <v>8.1999999999999993</v>
      </c>
      <c r="V6863">
        <v>400</v>
      </c>
      <c r="W6863" t="s">
        <v>28</v>
      </c>
      <c r="X6863">
        <v>3.4299999999999997E-2</v>
      </c>
      <c r="Y6863">
        <v>1.6970562748477136E-3</v>
      </c>
    </row>
    <row r="6864" spans="1:25" x14ac:dyDescent="0.2">
      <c r="A6864" t="s">
        <v>801</v>
      </c>
      <c r="B6864">
        <v>2017</v>
      </c>
      <c r="C6864" t="s">
        <v>816</v>
      </c>
      <c r="D6864" t="s">
        <v>820</v>
      </c>
      <c r="E6864" t="s">
        <v>34</v>
      </c>
      <c r="F6864" t="s">
        <v>802</v>
      </c>
      <c r="G6864">
        <v>31.55</v>
      </c>
      <c r="H6864">
        <v>-116.4</v>
      </c>
      <c r="J6864" s="2" t="s">
        <v>5</v>
      </c>
      <c r="K6864" t="s">
        <v>95</v>
      </c>
      <c r="L6864" t="s">
        <v>143</v>
      </c>
      <c r="M6864" t="s">
        <v>26</v>
      </c>
      <c r="N6864" t="s">
        <v>85</v>
      </c>
      <c r="O6864" t="s">
        <v>839</v>
      </c>
      <c r="P6864" t="s">
        <v>549</v>
      </c>
      <c r="Q6864">
        <v>28</v>
      </c>
      <c r="R6864" s="2" t="s">
        <v>213</v>
      </c>
      <c r="S6864" t="s">
        <v>9</v>
      </c>
      <c r="T6864">
        <v>6</v>
      </c>
      <c r="U6864">
        <v>7.98</v>
      </c>
      <c r="V6864">
        <v>700</v>
      </c>
      <c r="W6864" t="s">
        <v>28</v>
      </c>
      <c r="X6864">
        <v>4.2500000000000003E-2</v>
      </c>
      <c r="Y6864">
        <v>1.8633303518163383E-3</v>
      </c>
    </row>
    <row r="6865" spans="1:25" x14ac:dyDescent="0.2">
      <c r="A6865" t="s">
        <v>801</v>
      </c>
      <c r="B6865">
        <v>2017</v>
      </c>
      <c r="C6865" t="s">
        <v>816</v>
      </c>
      <c r="D6865" t="s">
        <v>820</v>
      </c>
      <c r="E6865" t="s">
        <v>34</v>
      </c>
      <c r="F6865" t="s">
        <v>802</v>
      </c>
      <c r="G6865">
        <v>31.55</v>
      </c>
      <c r="H6865">
        <v>-116.4</v>
      </c>
      <c r="J6865" s="2" t="s">
        <v>5</v>
      </c>
      <c r="K6865" t="s">
        <v>95</v>
      </c>
      <c r="L6865" t="s">
        <v>143</v>
      </c>
      <c r="M6865" t="s">
        <v>26</v>
      </c>
      <c r="N6865" t="s">
        <v>85</v>
      </c>
      <c r="O6865" t="s">
        <v>839</v>
      </c>
      <c r="P6865" t="s">
        <v>549</v>
      </c>
      <c r="Q6865">
        <v>28</v>
      </c>
      <c r="R6865" s="2" t="s">
        <v>213</v>
      </c>
      <c r="S6865" t="s">
        <v>27</v>
      </c>
      <c r="T6865">
        <v>6</v>
      </c>
      <c r="U6865">
        <v>7.86</v>
      </c>
      <c r="V6865">
        <v>1000</v>
      </c>
      <c r="W6865" t="s">
        <v>28</v>
      </c>
      <c r="X6865">
        <v>3.7766666666666671E-2</v>
      </c>
      <c r="Y6865">
        <v>1.9795622411701696E-3</v>
      </c>
    </row>
    <row r="6866" spans="1:25" x14ac:dyDescent="0.2">
      <c r="A6866" t="s">
        <v>801</v>
      </c>
      <c r="B6866">
        <v>2017</v>
      </c>
      <c r="C6866" t="s">
        <v>816</v>
      </c>
      <c r="D6866" t="s">
        <v>820</v>
      </c>
      <c r="E6866" t="s">
        <v>34</v>
      </c>
      <c r="F6866" t="s">
        <v>802</v>
      </c>
      <c r="G6866">
        <v>31.55</v>
      </c>
      <c r="H6866">
        <v>-116.4</v>
      </c>
      <c r="J6866" s="2" t="s">
        <v>5</v>
      </c>
      <c r="K6866" t="s">
        <v>95</v>
      </c>
      <c r="L6866" t="s">
        <v>143</v>
      </c>
      <c r="M6866" t="s">
        <v>26</v>
      </c>
      <c r="N6866" t="s">
        <v>85</v>
      </c>
      <c r="O6866" t="s">
        <v>839</v>
      </c>
      <c r="P6866" t="s">
        <v>549</v>
      </c>
      <c r="Q6866">
        <v>28</v>
      </c>
      <c r="R6866" s="2" t="s">
        <v>213</v>
      </c>
      <c r="S6866" t="s">
        <v>13</v>
      </c>
      <c r="T6866">
        <v>6</v>
      </c>
      <c r="U6866">
        <v>7.68</v>
      </c>
      <c r="V6866">
        <v>1500</v>
      </c>
      <c r="W6866" t="s">
        <v>28</v>
      </c>
      <c r="X6866">
        <v>3.216666666666667E-2</v>
      </c>
      <c r="Y6866">
        <v>2.2835644651874117E-3</v>
      </c>
    </row>
    <row r="6867" spans="1:25" x14ac:dyDescent="0.2">
      <c r="A6867" t="s">
        <v>801</v>
      </c>
      <c r="B6867">
        <v>2017</v>
      </c>
      <c r="C6867" t="s">
        <v>816</v>
      </c>
      <c r="D6867" t="s">
        <v>820</v>
      </c>
      <c r="E6867" t="s">
        <v>34</v>
      </c>
      <c r="F6867" t="s">
        <v>802</v>
      </c>
      <c r="G6867">
        <v>31.55</v>
      </c>
      <c r="H6867">
        <v>-116.4</v>
      </c>
      <c r="J6867" s="2" t="s">
        <v>5</v>
      </c>
      <c r="K6867" t="s">
        <v>95</v>
      </c>
      <c r="L6867" t="s">
        <v>143</v>
      </c>
      <c r="M6867" t="s">
        <v>26</v>
      </c>
      <c r="N6867" t="s">
        <v>85</v>
      </c>
      <c r="O6867" t="s">
        <v>839</v>
      </c>
      <c r="P6867" t="s">
        <v>549</v>
      </c>
      <c r="Q6867">
        <v>28</v>
      </c>
      <c r="R6867" s="2" t="s">
        <v>213</v>
      </c>
      <c r="S6867" t="s">
        <v>15</v>
      </c>
      <c r="T6867">
        <v>6</v>
      </c>
      <c r="U6867">
        <v>7.53</v>
      </c>
      <c r="V6867">
        <v>2000</v>
      </c>
      <c r="W6867" t="s">
        <v>28</v>
      </c>
      <c r="X6867">
        <v>2.6133333333333331E-2</v>
      </c>
      <c r="Y6867">
        <v>2.6845235455601182E-3</v>
      </c>
    </row>
    <row r="6868" spans="1:25" x14ac:dyDescent="0.2">
      <c r="A6868" t="s">
        <v>801</v>
      </c>
      <c r="B6868">
        <v>2017</v>
      </c>
      <c r="C6868" t="s">
        <v>826</v>
      </c>
      <c r="D6868" t="s">
        <v>824</v>
      </c>
      <c r="E6868" t="s">
        <v>114</v>
      </c>
      <c r="F6868" t="s">
        <v>679</v>
      </c>
      <c r="G6868">
        <v>37.1</v>
      </c>
      <c r="H6868">
        <v>122.55</v>
      </c>
      <c r="J6868" s="2" t="s">
        <v>7</v>
      </c>
      <c r="K6868" t="s">
        <v>144</v>
      </c>
      <c r="L6868" t="s">
        <v>144</v>
      </c>
      <c r="M6868" t="s">
        <v>26</v>
      </c>
      <c r="N6868" t="s">
        <v>85</v>
      </c>
      <c r="O6868" t="s">
        <v>839</v>
      </c>
      <c r="P6868" t="s">
        <v>549</v>
      </c>
      <c r="Q6868">
        <v>7</v>
      </c>
      <c r="R6868" s="2" t="s">
        <v>214</v>
      </c>
      <c r="S6868" t="s">
        <v>7</v>
      </c>
      <c r="T6868">
        <v>6</v>
      </c>
      <c r="U6868">
        <v>8.1999999999999993</v>
      </c>
      <c r="V6868">
        <v>400</v>
      </c>
      <c r="W6868" t="s">
        <v>28</v>
      </c>
      <c r="X6868">
        <v>8.5066666666666665E-2</v>
      </c>
      <c r="Y6868">
        <v>9.8412736303115783E-3</v>
      </c>
    </row>
    <row r="6869" spans="1:25" x14ac:dyDescent="0.2">
      <c r="A6869" t="s">
        <v>801</v>
      </c>
      <c r="B6869">
        <v>2017</v>
      </c>
      <c r="C6869" t="s">
        <v>826</v>
      </c>
      <c r="D6869" t="s">
        <v>824</v>
      </c>
      <c r="E6869" t="s">
        <v>114</v>
      </c>
      <c r="F6869" t="s">
        <v>679</v>
      </c>
      <c r="G6869">
        <v>37.1</v>
      </c>
      <c r="H6869">
        <v>122.55</v>
      </c>
      <c r="J6869" s="2" t="s">
        <v>5</v>
      </c>
      <c r="K6869" t="s">
        <v>144</v>
      </c>
      <c r="L6869" t="s">
        <v>144</v>
      </c>
      <c r="M6869" t="s">
        <v>26</v>
      </c>
      <c r="N6869" t="s">
        <v>85</v>
      </c>
      <c r="O6869" t="s">
        <v>839</v>
      </c>
      <c r="P6869" t="s">
        <v>549</v>
      </c>
      <c r="Q6869">
        <v>7</v>
      </c>
      <c r="R6869" s="2" t="s">
        <v>214</v>
      </c>
      <c r="S6869" t="s">
        <v>9</v>
      </c>
      <c r="T6869">
        <v>6</v>
      </c>
      <c r="U6869">
        <v>7.98</v>
      </c>
      <c r="V6869">
        <v>700</v>
      </c>
      <c r="W6869" t="s">
        <v>28</v>
      </c>
      <c r="X6869">
        <v>0.11773333333333336</v>
      </c>
      <c r="Y6869">
        <v>1.2439399771157232E-2</v>
      </c>
    </row>
    <row r="6870" spans="1:25" x14ac:dyDescent="0.2">
      <c r="A6870" t="s">
        <v>801</v>
      </c>
      <c r="B6870">
        <v>2017</v>
      </c>
      <c r="C6870" t="s">
        <v>826</v>
      </c>
      <c r="D6870" t="s">
        <v>824</v>
      </c>
      <c r="E6870" t="s">
        <v>114</v>
      </c>
      <c r="F6870" t="s">
        <v>679</v>
      </c>
      <c r="G6870">
        <v>37.1</v>
      </c>
      <c r="H6870">
        <v>122.55</v>
      </c>
      <c r="J6870" s="2" t="s">
        <v>5</v>
      </c>
      <c r="K6870" t="s">
        <v>144</v>
      </c>
      <c r="L6870" t="s">
        <v>144</v>
      </c>
      <c r="M6870" t="s">
        <v>26</v>
      </c>
      <c r="N6870" t="s">
        <v>85</v>
      </c>
      <c r="O6870" t="s">
        <v>839</v>
      </c>
      <c r="P6870" t="s">
        <v>549</v>
      </c>
      <c r="Q6870">
        <v>7</v>
      </c>
      <c r="R6870" s="2" t="s">
        <v>214</v>
      </c>
      <c r="S6870" t="s">
        <v>27</v>
      </c>
      <c r="T6870">
        <v>6</v>
      </c>
      <c r="U6870">
        <v>7.86</v>
      </c>
      <c r="V6870">
        <v>1000</v>
      </c>
      <c r="W6870" t="s">
        <v>28</v>
      </c>
      <c r="X6870">
        <v>9.498333333333335E-2</v>
      </c>
      <c r="Y6870">
        <v>1.2027537847234721E-2</v>
      </c>
    </row>
    <row r="6871" spans="1:25" x14ac:dyDescent="0.2">
      <c r="A6871" t="s">
        <v>801</v>
      </c>
      <c r="B6871">
        <v>2017</v>
      </c>
      <c r="C6871" t="s">
        <v>826</v>
      </c>
      <c r="D6871" t="s">
        <v>824</v>
      </c>
      <c r="E6871" t="s">
        <v>114</v>
      </c>
      <c r="F6871" t="s">
        <v>679</v>
      </c>
      <c r="G6871">
        <v>37.1</v>
      </c>
      <c r="H6871">
        <v>122.55</v>
      </c>
      <c r="J6871" s="2" t="s">
        <v>5</v>
      </c>
      <c r="K6871" t="s">
        <v>144</v>
      </c>
      <c r="L6871" t="s">
        <v>144</v>
      </c>
      <c r="M6871" t="s">
        <v>26</v>
      </c>
      <c r="N6871" t="s">
        <v>85</v>
      </c>
      <c r="O6871" t="s">
        <v>839</v>
      </c>
      <c r="P6871" t="s">
        <v>549</v>
      </c>
      <c r="Q6871">
        <v>7</v>
      </c>
      <c r="R6871" s="2" t="s">
        <v>214</v>
      </c>
      <c r="S6871" t="s">
        <v>13</v>
      </c>
      <c r="T6871">
        <v>6</v>
      </c>
      <c r="U6871">
        <v>7.68</v>
      </c>
      <c r="V6871">
        <v>1500</v>
      </c>
      <c r="W6871" t="s">
        <v>28</v>
      </c>
      <c r="X6871">
        <v>7.6683333333333326E-2</v>
      </c>
      <c r="Y6871">
        <v>1.0566062022658562E-2</v>
      </c>
    </row>
    <row r="6872" spans="1:25" x14ac:dyDescent="0.2">
      <c r="A6872" t="s">
        <v>801</v>
      </c>
      <c r="B6872">
        <v>2017</v>
      </c>
      <c r="C6872" t="s">
        <v>826</v>
      </c>
      <c r="D6872" t="s">
        <v>824</v>
      </c>
      <c r="E6872" t="s">
        <v>114</v>
      </c>
      <c r="F6872" t="s">
        <v>679</v>
      </c>
      <c r="G6872">
        <v>37.1</v>
      </c>
      <c r="H6872">
        <v>122.55</v>
      </c>
      <c r="J6872" s="2" t="s">
        <v>5</v>
      </c>
      <c r="K6872" t="s">
        <v>144</v>
      </c>
      <c r="L6872" t="s">
        <v>144</v>
      </c>
      <c r="M6872" t="s">
        <v>26</v>
      </c>
      <c r="N6872" t="s">
        <v>85</v>
      </c>
      <c r="O6872" t="s">
        <v>839</v>
      </c>
      <c r="P6872" t="s">
        <v>549</v>
      </c>
      <c r="Q6872">
        <v>7</v>
      </c>
      <c r="R6872" s="2" t="s">
        <v>214</v>
      </c>
      <c r="S6872" t="s">
        <v>15</v>
      </c>
      <c r="T6872">
        <v>6</v>
      </c>
      <c r="U6872">
        <v>7.53</v>
      </c>
      <c r="V6872">
        <v>2000</v>
      </c>
      <c r="W6872" t="s">
        <v>28</v>
      </c>
      <c r="X6872">
        <v>5.3933333333333333E-2</v>
      </c>
      <c r="Y6872">
        <v>7.6708973834009103E-3</v>
      </c>
    </row>
    <row r="6873" spans="1:25" x14ac:dyDescent="0.2">
      <c r="A6873" t="s">
        <v>801</v>
      </c>
      <c r="B6873">
        <v>2017</v>
      </c>
      <c r="C6873" t="s">
        <v>826</v>
      </c>
      <c r="D6873" t="s">
        <v>824</v>
      </c>
      <c r="E6873" t="s">
        <v>114</v>
      </c>
      <c r="F6873" t="s">
        <v>679</v>
      </c>
      <c r="G6873">
        <v>37.1</v>
      </c>
      <c r="H6873">
        <v>122.55</v>
      </c>
      <c r="J6873" s="2" t="s">
        <v>7</v>
      </c>
      <c r="K6873" t="s">
        <v>144</v>
      </c>
      <c r="L6873" t="s">
        <v>144</v>
      </c>
      <c r="M6873" t="s">
        <v>26</v>
      </c>
      <c r="N6873" t="s">
        <v>85</v>
      </c>
      <c r="O6873" t="s">
        <v>839</v>
      </c>
      <c r="P6873" t="s">
        <v>549</v>
      </c>
      <c r="Q6873">
        <v>28</v>
      </c>
      <c r="R6873" s="2" t="s">
        <v>213</v>
      </c>
      <c r="S6873" t="s">
        <v>7</v>
      </c>
      <c r="T6873">
        <v>6</v>
      </c>
      <c r="U6873">
        <v>8.1999999999999993</v>
      </c>
      <c r="V6873">
        <v>400</v>
      </c>
      <c r="W6873" t="s">
        <v>28</v>
      </c>
      <c r="X6873">
        <v>5.4450000000000005E-2</v>
      </c>
      <c r="Y6873">
        <v>2.4549949083450245E-3</v>
      </c>
    </row>
    <row r="6874" spans="1:25" x14ac:dyDescent="0.2">
      <c r="A6874" t="s">
        <v>801</v>
      </c>
      <c r="B6874">
        <v>2017</v>
      </c>
      <c r="C6874" t="s">
        <v>826</v>
      </c>
      <c r="D6874" t="s">
        <v>824</v>
      </c>
      <c r="E6874" t="s">
        <v>114</v>
      </c>
      <c r="F6874" t="s">
        <v>679</v>
      </c>
      <c r="G6874">
        <v>37.1</v>
      </c>
      <c r="H6874">
        <v>122.55</v>
      </c>
      <c r="J6874" s="2" t="s">
        <v>5</v>
      </c>
      <c r="K6874" t="s">
        <v>144</v>
      </c>
      <c r="L6874" t="s">
        <v>144</v>
      </c>
      <c r="M6874" t="s">
        <v>26</v>
      </c>
      <c r="N6874" t="s">
        <v>85</v>
      </c>
      <c r="O6874" t="s">
        <v>839</v>
      </c>
      <c r="P6874" t="s">
        <v>549</v>
      </c>
      <c r="Q6874">
        <v>28</v>
      </c>
      <c r="R6874" s="2" t="s">
        <v>213</v>
      </c>
      <c r="S6874" t="s">
        <v>9</v>
      </c>
      <c r="T6874">
        <v>6</v>
      </c>
      <c r="U6874">
        <v>7.98</v>
      </c>
      <c r="V6874">
        <v>700</v>
      </c>
      <c r="W6874" t="s">
        <v>28</v>
      </c>
      <c r="X6874">
        <v>6.536666666666667E-2</v>
      </c>
      <c r="Y6874">
        <v>2.3678400846904057E-3</v>
      </c>
    </row>
    <row r="6875" spans="1:25" x14ac:dyDescent="0.2">
      <c r="A6875" t="s">
        <v>801</v>
      </c>
      <c r="B6875">
        <v>2017</v>
      </c>
      <c r="C6875" t="s">
        <v>826</v>
      </c>
      <c r="D6875" t="s">
        <v>824</v>
      </c>
      <c r="E6875" t="s">
        <v>114</v>
      </c>
      <c r="F6875" t="s">
        <v>679</v>
      </c>
      <c r="G6875">
        <v>37.1</v>
      </c>
      <c r="H6875">
        <v>122.55</v>
      </c>
      <c r="J6875" s="2" t="s">
        <v>5</v>
      </c>
      <c r="K6875" t="s">
        <v>144</v>
      </c>
      <c r="L6875" t="s">
        <v>144</v>
      </c>
      <c r="M6875" t="s">
        <v>26</v>
      </c>
      <c r="N6875" t="s">
        <v>85</v>
      </c>
      <c r="O6875" t="s">
        <v>839</v>
      </c>
      <c r="P6875" t="s">
        <v>549</v>
      </c>
      <c r="Q6875">
        <v>28</v>
      </c>
      <c r="R6875" s="2" t="s">
        <v>213</v>
      </c>
      <c r="S6875" t="s">
        <v>27</v>
      </c>
      <c r="T6875">
        <v>6</v>
      </c>
      <c r="U6875">
        <v>7.86</v>
      </c>
      <c r="V6875">
        <v>1000</v>
      </c>
      <c r="W6875" t="s">
        <v>28</v>
      </c>
      <c r="X6875">
        <v>6.225E-2</v>
      </c>
      <c r="Y6875">
        <v>1.2771061036577988E-3</v>
      </c>
    </row>
    <row r="6876" spans="1:25" x14ac:dyDescent="0.2">
      <c r="A6876" t="s">
        <v>801</v>
      </c>
      <c r="B6876">
        <v>2017</v>
      </c>
      <c r="C6876" t="s">
        <v>826</v>
      </c>
      <c r="D6876" t="s">
        <v>824</v>
      </c>
      <c r="E6876" t="s">
        <v>114</v>
      </c>
      <c r="F6876" t="s">
        <v>679</v>
      </c>
      <c r="G6876">
        <v>37.1</v>
      </c>
      <c r="H6876">
        <v>122.55</v>
      </c>
      <c r="J6876" s="2" t="s">
        <v>5</v>
      </c>
      <c r="K6876" t="s">
        <v>144</v>
      </c>
      <c r="L6876" t="s">
        <v>144</v>
      </c>
      <c r="M6876" t="s">
        <v>26</v>
      </c>
      <c r="N6876" t="s">
        <v>85</v>
      </c>
      <c r="O6876" t="s">
        <v>839</v>
      </c>
      <c r="P6876" t="s">
        <v>549</v>
      </c>
      <c r="Q6876">
        <v>28</v>
      </c>
      <c r="R6876" s="2" t="s">
        <v>213</v>
      </c>
      <c r="S6876" t="s">
        <v>13</v>
      </c>
      <c r="T6876">
        <v>6</v>
      </c>
      <c r="U6876">
        <v>7.68</v>
      </c>
      <c r="V6876">
        <v>1500</v>
      </c>
      <c r="W6876" t="s">
        <v>28</v>
      </c>
      <c r="X6876">
        <v>5.9333333333333342E-2</v>
      </c>
      <c r="Y6876">
        <v>5.7656453816261237E-3</v>
      </c>
    </row>
    <row r="6877" spans="1:25" x14ac:dyDescent="0.2">
      <c r="A6877" t="s">
        <v>801</v>
      </c>
      <c r="B6877">
        <v>2017</v>
      </c>
      <c r="C6877" t="s">
        <v>826</v>
      </c>
      <c r="D6877" t="s">
        <v>824</v>
      </c>
      <c r="E6877" t="s">
        <v>114</v>
      </c>
      <c r="F6877" t="s">
        <v>679</v>
      </c>
      <c r="G6877">
        <v>37.1</v>
      </c>
      <c r="H6877">
        <v>122.55</v>
      </c>
      <c r="J6877" s="2" t="s">
        <v>5</v>
      </c>
      <c r="K6877" t="s">
        <v>144</v>
      </c>
      <c r="L6877" t="s">
        <v>144</v>
      </c>
      <c r="M6877" t="s">
        <v>26</v>
      </c>
      <c r="N6877" t="s">
        <v>85</v>
      </c>
      <c r="O6877" t="s">
        <v>839</v>
      </c>
      <c r="P6877" t="s">
        <v>549</v>
      </c>
      <c r="Q6877">
        <v>28</v>
      </c>
      <c r="R6877" s="2" t="s">
        <v>213</v>
      </c>
      <c r="S6877" t="s">
        <v>15</v>
      </c>
      <c r="T6877">
        <v>6</v>
      </c>
      <c r="U6877">
        <v>7.53</v>
      </c>
      <c r="V6877">
        <v>2000</v>
      </c>
      <c r="W6877" t="s">
        <v>28</v>
      </c>
      <c r="X6877">
        <v>4.6783333333333336E-2</v>
      </c>
      <c r="Y6877">
        <v>5.3278200670317938E-3</v>
      </c>
    </row>
    <row r="6878" spans="1:25" x14ac:dyDescent="0.2">
      <c r="A6878" t="s">
        <v>801</v>
      </c>
      <c r="B6878">
        <v>2017</v>
      </c>
      <c r="C6878" t="s">
        <v>807</v>
      </c>
      <c r="D6878" t="s">
        <v>825</v>
      </c>
      <c r="E6878" t="s">
        <v>35</v>
      </c>
      <c r="F6878" t="s">
        <v>679</v>
      </c>
      <c r="G6878">
        <v>37.1</v>
      </c>
      <c r="H6878">
        <v>122.55</v>
      </c>
      <c r="J6878" s="2" t="s">
        <v>7</v>
      </c>
      <c r="K6878" t="s">
        <v>144</v>
      </c>
      <c r="L6878" t="s">
        <v>144</v>
      </c>
      <c r="M6878" t="s">
        <v>26</v>
      </c>
      <c r="N6878" t="s">
        <v>85</v>
      </c>
      <c r="O6878" t="s">
        <v>839</v>
      </c>
      <c r="P6878" t="s">
        <v>549</v>
      </c>
      <c r="Q6878">
        <v>7</v>
      </c>
      <c r="R6878" s="2" t="s">
        <v>214</v>
      </c>
      <c r="S6878" t="s">
        <v>7</v>
      </c>
      <c r="T6878">
        <v>6</v>
      </c>
      <c r="U6878">
        <v>8.1999999999999993</v>
      </c>
      <c r="V6878">
        <v>400</v>
      </c>
      <c r="W6878" t="s">
        <v>28</v>
      </c>
      <c r="X6878">
        <v>0.1203</v>
      </c>
      <c r="Y6878">
        <v>7.4843837421660819E-3</v>
      </c>
    </row>
    <row r="6879" spans="1:25" x14ac:dyDescent="0.2">
      <c r="A6879" t="s">
        <v>801</v>
      </c>
      <c r="B6879">
        <v>2017</v>
      </c>
      <c r="C6879" t="s">
        <v>807</v>
      </c>
      <c r="D6879" t="s">
        <v>825</v>
      </c>
      <c r="E6879" t="s">
        <v>35</v>
      </c>
      <c r="F6879" t="s">
        <v>679</v>
      </c>
      <c r="G6879">
        <v>37.1</v>
      </c>
      <c r="H6879">
        <v>122.55</v>
      </c>
      <c r="J6879" s="2" t="s">
        <v>5</v>
      </c>
      <c r="K6879" t="s">
        <v>144</v>
      </c>
      <c r="L6879" t="s">
        <v>144</v>
      </c>
      <c r="M6879" t="s">
        <v>26</v>
      </c>
      <c r="N6879" t="s">
        <v>85</v>
      </c>
      <c r="O6879" t="s">
        <v>839</v>
      </c>
      <c r="P6879" t="s">
        <v>549</v>
      </c>
      <c r="Q6879">
        <v>7</v>
      </c>
      <c r="R6879" s="2" t="s">
        <v>214</v>
      </c>
      <c r="S6879" t="s">
        <v>9</v>
      </c>
      <c r="T6879">
        <v>6</v>
      </c>
      <c r="U6879">
        <v>7.98</v>
      </c>
      <c r="V6879">
        <v>700</v>
      </c>
      <c r="W6879" t="s">
        <v>28</v>
      </c>
      <c r="X6879">
        <v>0.14751666666666666</v>
      </c>
      <c r="Y6879">
        <v>1.2077320342967917E-2</v>
      </c>
    </row>
    <row r="6880" spans="1:25" x14ac:dyDescent="0.2">
      <c r="A6880" t="s">
        <v>801</v>
      </c>
      <c r="B6880">
        <v>2017</v>
      </c>
      <c r="C6880" t="s">
        <v>807</v>
      </c>
      <c r="D6880" t="s">
        <v>825</v>
      </c>
      <c r="E6880" t="s">
        <v>35</v>
      </c>
      <c r="F6880" t="s">
        <v>679</v>
      </c>
      <c r="G6880">
        <v>37.1</v>
      </c>
      <c r="H6880">
        <v>122.55</v>
      </c>
      <c r="J6880" s="2" t="s">
        <v>5</v>
      </c>
      <c r="K6880" t="s">
        <v>144</v>
      </c>
      <c r="L6880" t="s">
        <v>144</v>
      </c>
      <c r="M6880" t="s">
        <v>26</v>
      </c>
      <c r="N6880" t="s">
        <v>85</v>
      </c>
      <c r="O6880" t="s">
        <v>839</v>
      </c>
      <c r="P6880" t="s">
        <v>549</v>
      </c>
      <c r="Q6880">
        <v>7</v>
      </c>
      <c r="R6880" s="2" t="s">
        <v>214</v>
      </c>
      <c r="S6880" t="s">
        <v>27</v>
      </c>
      <c r="T6880">
        <v>6</v>
      </c>
      <c r="U6880">
        <v>7.86</v>
      </c>
      <c r="V6880">
        <v>1000</v>
      </c>
      <c r="W6880" t="s">
        <v>28</v>
      </c>
      <c r="X6880">
        <v>0.13314999999999999</v>
      </c>
      <c r="Y6880">
        <v>3.7532652450899327E-3</v>
      </c>
    </row>
    <row r="6881" spans="1:25" x14ac:dyDescent="0.2">
      <c r="A6881" t="s">
        <v>801</v>
      </c>
      <c r="B6881">
        <v>2017</v>
      </c>
      <c r="C6881" t="s">
        <v>807</v>
      </c>
      <c r="D6881" t="s">
        <v>825</v>
      </c>
      <c r="E6881" t="s">
        <v>35</v>
      </c>
      <c r="F6881" t="s">
        <v>679</v>
      </c>
      <c r="G6881">
        <v>37.1</v>
      </c>
      <c r="H6881">
        <v>122.55</v>
      </c>
      <c r="J6881" s="2" t="s">
        <v>5</v>
      </c>
      <c r="K6881" t="s">
        <v>144</v>
      </c>
      <c r="L6881" t="s">
        <v>144</v>
      </c>
      <c r="M6881" t="s">
        <v>26</v>
      </c>
      <c r="N6881" t="s">
        <v>85</v>
      </c>
      <c r="O6881" t="s">
        <v>839</v>
      </c>
      <c r="P6881" t="s">
        <v>549</v>
      </c>
      <c r="Q6881">
        <v>7</v>
      </c>
      <c r="R6881" s="2" t="s">
        <v>214</v>
      </c>
      <c r="S6881" t="s">
        <v>13</v>
      </c>
      <c r="T6881">
        <v>6</v>
      </c>
      <c r="U6881">
        <v>7.68</v>
      </c>
      <c r="V6881">
        <v>1500</v>
      </c>
      <c r="W6881" t="s">
        <v>28</v>
      </c>
      <c r="X6881">
        <v>0.1052</v>
      </c>
      <c r="Y6881">
        <v>1.4838193960182775E-2</v>
      </c>
    </row>
    <row r="6882" spans="1:25" x14ac:dyDescent="0.2">
      <c r="A6882" t="s">
        <v>801</v>
      </c>
      <c r="B6882">
        <v>2017</v>
      </c>
      <c r="C6882" t="s">
        <v>807</v>
      </c>
      <c r="D6882" t="s">
        <v>825</v>
      </c>
      <c r="E6882" t="s">
        <v>35</v>
      </c>
      <c r="F6882" t="s">
        <v>679</v>
      </c>
      <c r="G6882">
        <v>37.1</v>
      </c>
      <c r="H6882">
        <v>122.55</v>
      </c>
      <c r="J6882" s="2" t="s">
        <v>5</v>
      </c>
      <c r="K6882" t="s">
        <v>144</v>
      </c>
      <c r="L6882" t="s">
        <v>144</v>
      </c>
      <c r="M6882" t="s">
        <v>26</v>
      </c>
      <c r="N6882" t="s">
        <v>85</v>
      </c>
      <c r="O6882" t="s">
        <v>839</v>
      </c>
      <c r="P6882" t="s">
        <v>549</v>
      </c>
      <c r="Q6882">
        <v>7</v>
      </c>
      <c r="R6882" s="2" t="s">
        <v>214</v>
      </c>
      <c r="S6882" t="s">
        <v>15</v>
      </c>
      <c r="T6882">
        <v>6</v>
      </c>
      <c r="U6882">
        <v>7.53</v>
      </c>
      <c r="V6882">
        <v>2000</v>
      </c>
      <c r="W6882" t="s">
        <v>28</v>
      </c>
      <c r="X6882">
        <v>6.0816666666666665E-2</v>
      </c>
      <c r="Y6882">
        <v>5.9465676374415048E-3</v>
      </c>
    </row>
    <row r="6883" spans="1:25" x14ac:dyDescent="0.2">
      <c r="A6883" t="s">
        <v>801</v>
      </c>
      <c r="B6883">
        <v>2017</v>
      </c>
      <c r="C6883" t="s">
        <v>807</v>
      </c>
      <c r="D6883" t="s">
        <v>825</v>
      </c>
      <c r="E6883" t="s">
        <v>35</v>
      </c>
      <c r="F6883" t="s">
        <v>679</v>
      </c>
      <c r="G6883">
        <v>37.1</v>
      </c>
      <c r="H6883">
        <v>122.55</v>
      </c>
      <c r="J6883" s="2" t="s">
        <v>7</v>
      </c>
      <c r="K6883" t="s">
        <v>144</v>
      </c>
      <c r="L6883" t="s">
        <v>144</v>
      </c>
      <c r="M6883" t="s">
        <v>26</v>
      </c>
      <c r="N6883" t="s">
        <v>85</v>
      </c>
      <c r="O6883" t="s">
        <v>839</v>
      </c>
      <c r="P6883" t="s">
        <v>549</v>
      </c>
      <c r="Q6883">
        <v>28</v>
      </c>
      <c r="R6883" s="2" t="s">
        <v>213</v>
      </c>
      <c r="S6883" t="s">
        <v>7</v>
      </c>
      <c r="T6883">
        <v>6</v>
      </c>
      <c r="U6883">
        <v>8.1999999999999993</v>
      </c>
      <c r="V6883">
        <v>400</v>
      </c>
      <c r="W6883" t="s">
        <v>28</v>
      </c>
      <c r="X6883">
        <v>4.7766666666666673E-2</v>
      </c>
      <c r="Y6883">
        <v>4.88535225614967E-3</v>
      </c>
    </row>
    <row r="6884" spans="1:25" x14ac:dyDescent="0.2">
      <c r="A6884" t="s">
        <v>801</v>
      </c>
      <c r="B6884">
        <v>2017</v>
      </c>
      <c r="C6884" t="s">
        <v>807</v>
      </c>
      <c r="D6884" t="s">
        <v>825</v>
      </c>
      <c r="E6884" t="s">
        <v>35</v>
      </c>
      <c r="F6884" t="s">
        <v>679</v>
      </c>
      <c r="G6884">
        <v>37.1</v>
      </c>
      <c r="H6884">
        <v>122.55</v>
      </c>
      <c r="J6884" s="2" t="s">
        <v>5</v>
      </c>
      <c r="K6884" t="s">
        <v>144</v>
      </c>
      <c r="L6884" t="s">
        <v>144</v>
      </c>
      <c r="M6884" t="s">
        <v>26</v>
      </c>
      <c r="N6884" t="s">
        <v>85</v>
      </c>
      <c r="O6884" t="s">
        <v>839</v>
      </c>
      <c r="P6884" t="s">
        <v>549</v>
      </c>
      <c r="Q6884">
        <v>28</v>
      </c>
      <c r="R6884" s="2" t="s">
        <v>213</v>
      </c>
      <c r="S6884" t="s">
        <v>9</v>
      </c>
      <c r="T6884">
        <v>6</v>
      </c>
      <c r="U6884">
        <v>7.98</v>
      </c>
      <c r="V6884">
        <v>700</v>
      </c>
      <c r="W6884" t="s">
        <v>28</v>
      </c>
      <c r="X6884">
        <v>7.5983333333333333E-2</v>
      </c>
      <c r="Y6884">
        <v>2.6309060543217183E-3</v>
      </c>
    </row>
    <row r="6885" spans="1:25" x14ac:dyDescent="0.2">
      <c r="A6885" t="s">
        <v>801</v>
      </c>
      <c r="B6885">
        <v>2017</v>
      </c>
      <c r="C6885" t="s">
        <v>807</v>
      </c>
      <c r="D6885" t="s">
        <v>825</v>
      </c>
      <c r="E6885" t="s">
        <v>35</v>
      </c>
      <c r="F6885" t="s">
        <v>679</v>
      </c>
      <c r="G6885">
        <v>37.1</v>
      </c>
      <c r="H6885">
        <v>122.55</v>
      </c>
      <c r="J6885" s="2" t="s">
        <v>5</v>
      </c>
      <c r="K6885" t="s">
        <v>144</v>
      </c>
      <c r="L6885" t="s">
        <v>144</v>
      </c>
      <c r="M6885" t="s">
        <v>26</v>
      </c>
      <c r="N6885" t="s">
        <v>85</v>
      </c>
      <c r="O6885" t="s">
        <v>839</v>
      </c>
      <c r="P6885" t="s">
        <v>549</v>
      </c>
      <c r="Q6885">
        <v>28</v>
      </c>
      <c r="R6885" s="2" t="s">
        <v>213</v>
      </c>
      <c r="S6885" t="s">
        <v>27</v>
      </c>
      <c r="T6885">
        <v>6</v>
      </c>
      <c r="U6885">
        <v>7.86</v>
      </c>
      <c r="V6885">
        <v>1000</v>
      </c>
      <c r="W6885" t="s">
        <v>28</v>
      </c>
      <c r="X6885">
        <v>7.091666666666667E-2</v>
      </c>
      <c r="Y6885">
        <v>3.489651367495994E-3</v>
      </c>
    </row>
    <row r="6886" spans="1:25" x14ac:dyDescent="0.2">
      <c r="A6886" t="s">
        <v>801</v>
      </c>
      <c r="B6886">
        <v>2017</v>
      </c>
      <c r="C6886" t="s">
        <v>807</v>
      </c>
      <c r="D6886" t="s">
        <v>825</v>
      </c>
      <c r="E6886" t="s">
        <v>35</v>
      </c>
      <c r="F6886" t="s">
        <v>679</v>
      </c>
      <c r="G6886">
        <v>37.1</v>
      </c>
      <c r="H6886">
        <v>122.55</v>
      </c>
      <c r="J6886" s="2" t="s">
        <v>5</v>
      </c>
      <c r="K6886" t="s">
        <v>144</v>
      </c>
      <c r="L6886" t="s">
        <v>144</v>
      </c>
      <c r="M6886" t="s">
        <v>26</v>
      </c>
      <c r="N6886" t="s">
        <v>85</v>
      </c>
      <c r="O6886" t="s">
        <v>839</v>
      </c>
      <c r="P6886" t="s">
        <v>549</v>
      </c>
      <c r="Q6886">
        <v>28</v>
      </c>
      <c r="R6886" s="2" t="s">
        <v>213</v>
      </c>
      <c r="S6886" t="s">
        <v>13</v>
      </c>
      <c r="T6886">
        <v>6</v>
      </c>
      <c r="U6886">
        <v>7.68</v>
      </c>
      <c r="V6886">
        <v>1500</v>
      </c>
      <c r="W6886" t="s">
        <v>28</v>
      </c>
      <c r="X6886">
        <v>6.3450000000000006E-2</v>
      </c>
      <c r="Y6886">
        <v>1.5909116883095669E-3</v>
      </c>
    </row>
    <row r="6887" spans="1:25" x14ac:dyDescent="0.2">
      <c r="A6887" t="s">
        <v>801</v>
      </c>
      <c r="B6887">
        <v>2017</v>
      </c>
      <c r="C6887" t="s">
        <v>807</v>
      </c>
      <c r="D6887" t="s">
        <v>825</v>
      </c>
      <c r="E6887" t="s">
        <v>35</v>
      </c>
      <c r="F6887" t="s">
        <v>679</v>
      </c>
      <c r="G6887">
        <v>37.1</v>
      </c>
      <c r="H6887">
        <v>122.55</v>
      </c>
      <c r="J6887" s="2" t="s">
        <v>5</v>
      </c>
      <c r="K6887" t="s">
        <v>144</v>
      </c>
      <c r="L6887" t="s">
        <v>144</v>
      </c>
      <c r="M6887" t="s">
        <v>26</v>
      </c>
      <c r="N6887" t="s">
        <v>85</v>
      </c>
      <c r="O6887" t="s">
        <v>839</v>
      </c>
      <c r="P6887" t="s">
        <v>549</v>
      </c>
      <c r="Q6887">
        <v>28</v>
      </c>
      <c r="R6887" s="2" t="s">
        <v>213</v>
      </c>
      <c r="S6887" t="s">
        <v>15</v>
      </c>
      <c r="T6887">
        <v>6</v>
      </c>
      <c r="U6887">
        <v>7.53</v>
      </c>
      <c r="V6887">
        <v>2000</v>
      </c>
      <c r="W6887" t="s">
        <v>28</v>
      </c>
      <c r="X6887">
        <v>5.2150000000000002E-2</v>
      </c>
      <c r="Y6887">
        <v>1.7603976823433965E-3</v>
      </c>
    </row>
    <row r="6888" spans="1:25" x14ac:dyDescent="0.2">
      <c r="A6888" t="s">
        <v>801</v>
      </c>
      <c r="B6888">
        <v>2017</v>
      </c>
      <c r="C6888" t="s">
        <v>816</v>
      </c>
      <c r="D6888" t="s">
        <v>820</v>
      </c>
      <c r="E6888" t="s">
        <v>34</v>
      </c>
      <c r="F6888" t="s">
        <v>802</v>
      </c>
      <c r="G6888">
        <v>31.55</v>
      </c>
      <c r="H6888">
        <v>-116.4</v>
      </c>
      <c r="I6888" t="s">
        <v>44</v>
      </c>
      <c r="J6888" s="2" t="s">
        <v>7</v>
      </c>
      <c r="K6888" t="s">
        <v>95</v>
      </c>
      <c r="L6888" t="s">
        <v>143</v>
      </c>
      <c r="M6888" t="s">
        <v>26</v>
      </c>
      <c r="N6888" t="s">
        <v>85</v>
      </c>
      <c r="O6888" t="s">
        <v>839</v>
      </c>
      <c r="P6888" t="s">
        <v>549</v>
      </c>
      <c r="Q6888">
        <v>7</v>
      </c>
      <c r="R6888" s="2" t="s">
        <v>214</v>
      </c>
      <c r="S6888" t="s">
        <v>7</v>
      </c>
      <c r="T6888">
        <v>6</v>
      </c>
      <c r="U6888">
        <v>8.19</v>
      </c>
      <c r="V6888">
        <v>400</v>
      </c>
      <c r="W6888" t="s">
        <v>28</v>
      </c>
      <c r="X6888">
        <v>9.0683333333333338E-2</v>
      </c>
      <c r="Y6888">
        <v>1.6966250813502198E-2</v>
      </c>
    </row>
    <row r="6889" spans="1:25" x14ac:dyDescent="0.2">
      <c r="A6889" t="s">
        <v>801</v>
      </c>
      <c r="B6889">
        <v>2017</v>
      </c>
      <c r="C6889" t="s">
        <v>816</v>
      </c>
      <c r="D6889" t="s">
        <v>820</v>
      </c>
      <c r="E6889" t="s">
        <v>34</v>
      </c>
      <c r="F6889" t="s">
        <v>802</v>
      </c>
      <c r="G6889">
        <v>31.55</v>
      </c>
      <c r="H6889">
        <v>-116.4</v>
      </c>
      <c r="I6889" t="s">
        <v>44</v>
      </c>
      <c r="J6889" s="2" t="s">
        <v>5</v>
      </c>
      <c r="K6889" t="s">
        <v>95</v>
      </c>
      <c r="L6889" t="s">
        <v>143</v>
      </c>
      <c r="M6889" t="s">
        <v>26</v>
      </c>
      <c r="N6889" t="s">
        <v>85</v>
      </c>
      <c r="O6889" t="s">
        <v>839</v>
      </c>
      <c r="P6889" t="s">
        <v>549</v>
      </c>
      <c r="Q6889">
        <v>7</v>
      </c>
      <c r="R6889" s="2" t="s">
        <v>214</v>
      </c>
      <c r="S6889" t="s">
        <v>27</v>
      </c>
      <c r="T6889">
        <v>6</v>
      </c>
      <c r="U6889">
        <v>7.8</v>
      </c>
      <c r="V6889">
        <v>1000</v>
      </c>
      <c r="W6889" t="s">
        <v>28</v>
      </c>
      <c r="X6889">
        <v>0.12661666666666668</v>
      </c>
      <c r="Y6889">
        <v>2.1832124648477669E-2</v>
      </c>
    </row>
    <row r="6890" spans="1:25" x14ac:dyDescent="0.2">
      <c r="A6890" t="s">
        <v>801</v>
      </c>
      <c r="B6890">
        <v>2017</v>
      </c>
      <c r="C6890" t="s">
        <v>816</v>
      </c>
      <c r="D6890" t="s">
        <v>820</v>
      </c>
      <c r="E6890" t="s">
        <v>34</v>
      </c>
      <c r="F6890" t="s">
        <v>802</v>
      </c>
      <c r="G6890">
        <v>31.55</v>
      </c>
      <c r="H6890">
        <v>-116.4</v>
      </c>
      <c r="I6890" t="s">
        <v>44</v>
      </c>
      <c r="J6890" s="2" t="s">
        <v>7</v>
      </c>
      <c r="K6890" t="s">
        <v>95</v>
      </c>
      <c r="L6890" t="s">
        <v>143</v>
      </c>
      <c r="M6890" t="s">
        <v>26</v>
      </c>
      <c r="N6890" t="s">
        <v>85</v>
      </c>
      <c r="O6890" t="s">
        <v>839</v>
      </c>
      <c r="P6890" t="s">
        <v>549</v>
      </c>
      <c r="Q6890">
        <v>28</v>
      </c>
      <c r="R6890" s="2" t="s">
        <v>214</v>
      </c>
      <c r="S6890" t="s">
        <v>7</v>
      </c>
      <c r="T6890">
        <v>6</v>
      </c>
      <c r="U6890">
        <v>8.19</v>
      </c>
      <c r="V6890">
        <v>400</v>
      </c>
      <c r="W6890" t="s">
        <v>28</v>
      </c>
      <c r="X6890">
        <v>4.0983333333333337E-2</v>
      </c>
      <c r="Y6890">
        <v>5.8087577558946857E-3</v>
      </c>
    </row>
    <row r="6891" spans="1:25" x14ac:dyDescent="0.2">
      <c r="A6891" t="s">
        <v>801</v>
      </c>
      <c r="B6891">
        <v>2017</v>
      </c>
      <c r="C6891" t="s">
        <v>816</v>
      </c>
      <c r="D6891" t="s">
        <v>820</v>
      </c>
      <c r="E6891" t="s">
        <v>34</v>
      </c>
      <c r="F6891" t="s">
        <v>802</v>
      </c>
      <c r="G6891">
        <v>31.55</v>
      </c>
      <c r="H6891">
        <v>-116.4</v>
      </c>
      <c r="I6891" t="s">
        <v>44</v>
      </c>
      <c r="J6891" s="2" t="s">
        <v>5</v>
      </c>
      <c r="K6891" t="s">
        <v>95</v>
      </c>
      <c r="L6891" t="s">
        <v>143</v>
      </c>
      <c r="M6891" t="s">
        <v>26</v>
      </c>
      <c r="N6891" t="s">
        <v>85</v>
      </c>
      <c r="O6891" t="s">
        <v>839</v>
      </c>
      <c r="P6891" t="s">
        <v>549</v>
      </c>
      <c r="Q6891">
        <v>28</v>
      </c>
      <c r="R6891" s="2" t="s">
        <v>214</v>
      </c>
      <c r="S6891" t="s">
        <v>27</v>
      </c>
      <c r="T6891">
        <v>6</v>
      </c>
      <c r="U6891">
        <v>7.8</v>
      </c>
      <c r="V6891">
        <v>1000</v>
      </c>
      <c r="W6891" t="s">
        <v>28</v>
      </c>
      <c r="X6891">
        <v>4.2000000000000003E-2</v>
      </c>
      <c r="Y6891">
        <v>7.6894733239669683E-3</v>
      </c>
    </row>
    <row r="6892" spans="1:25" x14ac:dyDescent="0.2">
      <c r="A6892" t="s">
        <v>801</v>
      </c>
      <c r="B6892">
        <v>2017</v>
      </c>
      <c r="C6892" t="s">
        <v>826</v>
      </c>
      <c r="D6892" t="s">
        <v>824</v>
      </c>
      <c r="E6892" t="s">
        <v>114</v>
      </c>
      <c r="F6892" t="s">
        <v>679</v>
      </c>
      <c r="G6892">
        <v>37.1</v>
      </c>
      <c r="H6892">
        <v>122.55</v>
      </c>
      <c r="I6892" t="s">
        <v>44</v>
      </c>
      <c r="J6892" s="2" t="s">
        <v>7</v>
      </c>
      <c r="K6892" t="s">
        <v>144</v>
      </c>
      <c r="L6892" t="s">
        <v>144</v>
      </c>
      <c r="M6892" t="s">
        <v>26</v>
      </c>
      <c r="N6892" t="s">
        <v>85</v>
      </c>
      <c r="O6892" t="s">
        <v>839</v>
      </c>
      <c r="P6892" t="s">
        <v>549</v>
      </c>
      <c r="Q6892">
        <v>7</v>
      </c>
      <c r="R6892" s="2" t="s">
        <v>214</v>
      </c>
      <c r="S6892" t="s">
        <v>7</v>
      </c>
      <c r="T6892">
        <v>6</v>
      </c>
      <c r="U6892">
        <v>8.19</v>
      </c>
      <c r="V6892">
        <v>400</v>
      </c>
      <c r="W6892" t="s">
        <v>28</v>
      </c>
      <c r="X6892">
        <v>6.0299999999999999E-2</v>
      </c>
      <c r="Y6892">
        <v>1.4124730085916698E-2</v>
      </c>
    </row>
    <row r="6893" spans="1:25" x14ac:dyDescent="0.2">
      <c r="A6893" t="s">
        <v>801</v>
      </c>
      <c r="B6893">
        <v>2017</v>
      </c>
      <c r="C6893" t="s">
        <v>826</v>
      </c>
      <c r="D6893" t="s">
        <v>824</v>
      </c>
      <c r="E6893" t="s">
        <v>114</v>
      </c>
      <c r="F6893" t="s">
        <v>679</v>
      </c>
      <c r="G6893">
        <v>37.1</v>
      </c>
      <c r="H6893">
        <v>122.55</v>
      </c>
      <c r="I6893" t="s">
        <v>44</v>
      </c>
      <c r="J6893" s="2" t="s">
        <v>5</v>
      </c>
      <c r="K6893" t="s">
        <v>144</v>
      </c>
      <c r="L6893" t="s">
        <v>144</v>
      </c>
      <c r="M6893" t="s">
        <v>26</v>
      </c>
      <c r="N6893" t="s">
        <v>85</v>
      </c>
      <c r="O6893" t="s">
        <v>839</v>
      </c>
      <c r="P6893" t="s">
        <v>549</v>
      </c>
      <c r="Q6893">
        <v>7</v>
      </c>
      <c r="R6893" s="2" t="s">
        <v>214</v>
      </c>
      <c r="S6893" t="s">
        <v>27</v>
      </c>
      <c r="T6893">
        <v>6</v>
      </c>
      <c r="U6893">
        <v>7.8</v>
      </c>
      <c r="V6893">
        <v>1000</v>
      </c>
      <c r="W6893" t="s">
        <v>28</v>
      </c>
      <c r="X6893">
        <v>9.2983333333333348E-2</v>
      </c>
      <c r="Y6893">
        <v>1.3334229136574158E-2</v>
      </c>
    </row>
    <row r="6894" spans="1:25" x14ac:dyDescent="0.2">
      <c r="A6894" t="s">
        <v>801</v>
      </c>
      <c r="B6894">
        <v>2017</v>
      </c>
      <c r="C6894" t="s">
        <v>826</v>
      </c>
      <c r="D6894" t="s">
        <v>824</v>
      </c>
      <c r="E6894" t="s">
        <v>114</v>
      </c>
      <c r="F6894" t="s">
        <v>679</v>
      </c>
      <c r="G6894">
        <v>37.1</v>
      </c>
      <c r="H6894">
        <v>122.55</v>
      </c>
      <c r="I6894" t="s">
        <v>44</v>
      </c>
      <c r="J6894" s="2" t="s">
        <v>7</v>
      </c>
      <c r="K6894" t="s">
        <v>144</v>
      </c>
      <c r="L6894" t="s">
        <v>144</v>
      </c>
      <c r="M6894" t="s">
        <v>26</v>
      </c>
      <c r="N6894" t="s">
        <v>85</v>
      </c>
      <c r="O6894" t="s">
        <v>839</v>
      </c>
      <c r="P6894" t="s">
        <v>549</v>
      </c>
      <c r="Q6894">
        <v>28</v>
      </c>
      <c r="R6894" s="2" t="s">
        <v>214</v>
      </c>
      <c r="S6894" t="s">
        <v>7</v>
      </c>
      <c r="T6894">
        <v>6</v>
      </c>
      <c r="U6894">
        <v>8.19</v>
      </c>
      <c r="V6894">
        <v>400</v>
      </c>
      <c r="W6894" t="s">
        <v>28</v>
      </c>
      <c r="X6894">
        <v>3.6516666666666669E-2</v>
      </c>
      <c r="Y6894">
        <v>5.8259477054524497E-3</v>
      </c>
    </row>
    <row r="6895" spans="1:25" x14ac:dyDescent="0.2">
      <c r="A6895" t="s">
        <v>801</v>
      </c>
      <c r="B6895">
        <v>2017</v>
      </c>
      <c r="C6895" t="s">
        <v>826</v>
      </c>
      <c r="D6895" t="s">
        <v>824</v>
      </c>
      <c r="E6895" t="s">
        <v>114</v>
      </c>
      <c r="F6895" t="s">
        <v>679</v>
      </c>
      <c r="G6895">
        <v>37.1</v>
      </c>
      <c r="H6895">
        <v>122.55</v>
      </c>
      <c r="I6895" t="s">
        <v>44</v>
      </c>
      <c r="J6895" s="2" t="s">
        <v>5</v>
      </c>
      <c r="K6895" t="s">
        <v>144</v>
      </c>
      <c r="L6895" t="s">
        <v>144</v>
      </c>
      <c r="M6895" t="s">
        <v>26</v>
      </c>
      <c r="N6895" t="s">
        <v>85</v>
      </c>
      <c r="O6895" t="s">
        <v>839</v>
      </c>
      <c r="P6895" t="s">
        <v>549</v>
      </c>
      <c r="Q6895">
        <v>28</v>
      </c>
      <c r="R6895" s="2" t="s">
        <v>214</v>
      </c>
      <c r="S6895" t="s">
        <v>27</v>
      </c>
      <c r="T6895">
        <v>6</v>
      </c>
      <c r="U6895">
        <v>7.8</v>
      </c>
      <c r="V6895">
        <v>1000</v>
      </c>
      <c r="W6895" t="s">
        <v>28</v>
      </c>
      <c r="X6895">
        <v>3.7216666666666669E-2</v>
      </c>
      <c r="Y6895">
        <v>9.4147579186438148E-3</v>
      </c>
    </row>
    <row r="6896" spans="1:25" x14ac:dyDescent="0.2">
      <c r="A6896" t="s">
        <v>801</v>
      </c>
      <c r="B6896">
        <v>2017</v>
      </c>
      <c r="C6896" t="s">
        <v>807</v>
      </c>
      <c r="D6896" t="s">
        <v>825</v>
      </c>
      <c r="E6896" t="s">
        <v>35</v>
      </c>
      <c r="F6896" t="s">
        <v>679</v>
      </c>
      <c r="G6896">
        <v>37.1</v>
      </c>
      <c r="H6896">
        <v>122.55</v>
      </c>
      <c r="I6896" t="s">
        <v>44</v>
      </c>
      <c r="J6896" s="2" t="s">
        <v>7</v>
      </c>
      <c r="K6896" t="s">
        <v>144</v>
      </c>
      <c r="L6896" t="s">
        <v>144</v>
      </c>
      <c r="M6896" t="s">
        <v>26</v>
      </c>
      <c r="N6896" t="s">
        <v>85</v>
      </c>
      <c r="O6896" t="s">
        <v>839</v>
      </c>
      <c r="P6896" t="s">
        <v>549</v>
      </c>
      <c r="Q6896">
        <v>7</v>
      </c>
      <c r="R6896" s="2" t="s">
        <v>214</v>
      </c>
      <c r="S6896" t="s">
        <v>7</v>
      </c>
      <c r="T6896">
        <v>6</v>
      </c>
      <c r="U6896">
        <v>8.19</v>
      </c>
      <c r="V6896">
        <v>400</v>
      </c>
      <c r="W6896" t="s">
        <v>28</v>
      </c>
      <c r="X6896">
        <v>6.458333333333334E-2</v>
      </c>
      <c r="Y6896">
        <v>9.4541877846098347E-3</v>
      </c>
    </row>
    <row r="6897" spans="1:25" x14ac:dyDescent="0.2">
      <c r="A6897" t="s">
        <v>801</v>
      </c>
      <c r="B6897">
        <v>2017</v>
      </c>
      <c r="C6897" t="s">
        <v>807</v>
      </c>
      <c r="D6897" t="s">
        <v>825</v>
      </c>
      <c r="E6897" t="s">
        <v>35</v>
      </c>
      <c r="F6897" t="s">
        <v>679</v>
      </c>
      <c r="G6897">
        <v>37.1</v>
      </c>
      <c r="H6897">
        <v>122.55</v>
      </c>
      <c r="I6897" t="s">
        <v>44</v>
      </c>
      <c r="J6897" s="2" t="s">
        <v>5</v>
      </c>
      <c r="K6897" t="s">
        <v>144</v>
      </c>
      <c r="L6897" t="s">
        <v>144</v>
      </c>
      <c r="M6897" t="s">
        <v>26</v>
      </c>
      <c r="N6897" t="s">
        <v>85</v>
      </c>
      <c r="O6897" t="s">
        <v>839</v>
      </c>
      <c r="P6897" t="s">
        <v>549</v>
      </c>
      <c r="Q6897">
        <v>7</v>
      </c>
      <c r="R6897" s="2" t="s">
        <v>214</v>
      </c>
      <c r="S6897" t="s">
        <v>27</v>
      </c>
      <c r="T6897">
        <v>6</v>
      </c>
      <c r="U6897">
        <v>7.8</v>
      </c>
      <c r="V6897">
        <v>1000</v>
      </c>
      <c r="W6897" t="s">
        <v>28</v>
      </c>
      <c r="X6897">
        <v>8.2716666666666661E-2</v>
      </c>
      <c r="Y6897">
        <v>1.0744192229603298E-2</v>
      </c>
    </row>
    <row r="6898" spans="1:25" x14ac:dyDescent="0.2">
      <c r="A6898" t="s">
        <v>801</v>
      </c>
      <c r="B6898">
        <v>2017</v>
      </c>
      <c r="C6898" t="s">
        <v>807</v>
      </c>
      <c r="D6898" t="s">
        <v>825</v>
      </c>
      <c r="E6898" t="s">
        <v>35</v>
      </c>
      <c r="F6898" t="s">
        <v>679</v>
      </c>
      <c r="G6898">
        <v>37.1</v>
      </c>
      <c r="H6898">
        <v>122.55</v>
      </c>
      <c r="I6898" t="s">
        <v>44</v>
      </c>
      <c r="J6898" s="2" t="s">
        <v>7</v>
      </c>
      <c r="K6898" t="s">
        <v>144</v>
      </c>
      <c r="L6898" t="s">
        <v>144</v>
      </c>
      <c r="M6898" t="s">
        <v>26</v>
      </c>
      <c r="N6898" t="s">
        <v>85</v>
      </c>
      <c r="O6898" t="s">
        <v>839</v>
      </c>
      <c r="P6898" t="s">
        <v>549</v>
      </c>
      <c r="Q6898">
        <v>28</v>
      </c>
      <c r="R6898" s="2" t="s">
        <v>214</v>
      </c>
      <c r="S6898" t="s">
        <v>7</v>
      </c>
      <c r="T6898">
        <v>6</v>
      </c>
      <c r="U6898">
        <v>8.19</v>
      </c>
      <c r="V6898">
        <v>400</v>
      </c>
      <c r="W6898" t="s">
        <v>28</v>
      </c>
      <c r="X6898">
        <v>3.0350000000000002E-2</v>
      </c>
      <c r="Y6898">
        <v>4.3005813560494351E-3</v>
      </c>
    </row>
    <row r="6899" spans="1:25" x14ac:dyDescent="0.2">
      <c r="A6899" t="s">
        <v>801</v>
      </c>
      <c r="B6899">
        <v>2017</v>
      </c>
      <c r="C6899" t="s">
        <v>807</v>
      </c>
      <c r="D6899" t="s">
        <v>825</v>
      </c>
      <c r="E6899" t="s">
        <v>35</v>
      </c>
      <c r="F6899" t="s">
        <v>679</v>
      </c>
      <c r="G6899">
        <v>37.1</v>
      </c>
      <c r="H6899">
        <v>122.55</v>
      </c>
      <c r="I6899" t="s">
        <v>44</v>
      </c>
      <c r="J6899" s="2" t="s">
        <v>5</v>
      </c>
      <c r="K6899" t="s">
        <v>144</v>
      </c>
      <c r="L6899" t="s">
        <v>144</v>
      </c>
      <c r="M6899" t="s">
        <v>26</v>
      </c>
      <c r="N6899" t="s">
        <v>85</v>
      </c>
      <c r="O6899" t="s">
        <v>839</v>
      </c>
      <c r="P6899" t="s">
        <v>549</v>
      </c>
      <c r="Q6899">
        <v>28</v>
      </c>
      <c r="R6899" s="2" t="s">
        <v>214</v>
      </c>
      <c r="S6899" t="s">
        <v>27</v>
      </c>
      <c r="T6899">
        <v>6</v>
      </c>
      <c r="U6899">
        <v>7.8</v>
      </c>
      <c r="V6899">
        <v>1000</v>
      </c>
      <c r="W6899" t="s">
        <v>28</v>
      </c>
      <c r="X6899">
        <v>3.1199999999999995E-2</v>
      </c>
      <c r="Y6899">
        <v>2.5019992006393593E-3</v>
      </c>
    </row>
    <row r="6900" spans="1:25" x14ac:dyDescent="0.2">
      <c r="A6900" t="s">
        <v>801</v>
      </c>
      <c r="B6900">
        <v>2017</v>
      </c>
      <c r="C6900" t="s">
        <v>816</v>
      </c>
      <c r="D6900" t="s">
        <v>820</v>
      </c>
      <c r="E6900" t="s">
        <v>34</v>
      </c>
      <c r="F6900" t="s">
        <v>802</v>
      </c>
      <c r="G6900">
        <v>31.55</v>
      </c>
      <c r="H6900">
        <v>-116.4</v>
      </c>
      <c r="J6900" s="2" t="s">
        <v>7</v>
      </c>
      <c r="K6900" t="s">
        <v>95</v>
      </c>
      <c r="L6900" t="s">
        <v>143</v>
      </c>
      <c r="M6900" t="s">
        <v>73</v>
      </c>
      <c r="N6900" t="s">
        <v>85</v>
      </c>
      <c r="O6900" t="s">
        <v>146</v>
      </c>
      <c r="P6900" t="s">
        <v>78</v>
      </c>
      <c r="Q6900">
        <v>7</v>
      </c>
      <c r="R6900" s="2" t="s">
        <v>214</v>
      </c>
      <c r="S6900" t="s">
        <v>7</v>
      </c>
      <c r="T6900">
        <v>3</v>
      </c>
      <c r="U6900">
        <v>8.1999999999999993</v>
      </c>
      <c r="V6900">
        <v>400</v>
      </c>
      <c r="W6900" t="s">
        <v>28</v>
      </c>
      <c r="X6900">
        <v>13.448933333333335</v>
      </c>
      <c r="Y6900">
        <v>0.26696676447328227</v>
      </c>
    </row>
    <row r="6901" spans="1:25" x14ac:dyDescent="0.2">
      <c r="A6901" t="s">
        <v>801</v>
      </c>
      <c r="B6901">
        <v>2017</v>
      </c>
      <c r="C6901" t="s">
        <v>816</v>
      </c>
      <c r="D6901" t="s">
        <v>820</v>
      </c>
      <c r="E6901" t="s">
        <v>34</v>
      </c>
      <c r="F6901" t="s">
        <v>802</v>
      </c>
      <c r="G6901">
        <v>31.55</v>
      </c>
      <c r="H6901">
        <v>-116.4</v>
      </c>
      <c r="J6901" s="2" t="s">
        <v>5</v>
      </c>
      <c r="K6901" t="s">
        <v>95</v>
      </c>
      <c r="L6901" t="s">
        <v>143</v>
      </c>
      <c r="M6901" t="s">
        <v>73</v>
      </c>
      <c r="N6901" t="s">
        <v>85</v>
      </c>
      <c r="O6901" t="s">
        <v>146</v>
      </c>
      <c r="P6901" t="s">
        <v>78</v>
      </c>
      <c r="Q6901">
        <v>7</v>
      </c>
      <c r="R6901" s="2" t="s">
        <v>214</v>
      </c>
      <c r="S6901" t="s">
        <v>9</v>
      </c>
      <c r="T6901">
        <v>3</v>
      </c>
      <c r="U6901">
        <v>7.98</v>
      </c>
      <c r="V6901">
        <v>700</v>
      </c>
      <c r="W6901" t="s">
        <v>28</v>
      </c>
      <c r="X6901">
        <v>18.381499999999999</v>
      </c>
      <c r="Y6901">
        <v>1.3872999999999998</v>
      </c>
    </row>
    <row r="6902" spans="1:25" x14ac:dyDescent="0.2">
      <c r="A6902" t="s">
        <v>801</v>
      </c>
      <c r="B6902">
        <v>2017</v>
      </c>
      <c r="C6902" t="s">
        <v>816</v>
      </c>
      <c r="D6902" t="s">
        <v>820</v>
      </c>
      <c r="E6902" t="s">
        <v>34</v>
      </c>
      <c r="F6902" t="s">
        <v>802</v>
      </c>
      <c r="G6902">
        <v>31.55</v>
      </c>
      <c r="H6902">
        <v>-116.4</v>
      </c>
      <c r="J6902" s="2" t="s">
        <v>5</v>
      </c>
      <c r="K6902" t="s">
        <v>95</v>
      </c>
      <c r="L6902" t="s">
        <v>143</v>
      </c>
      <c r="M6902" t="s">
        <v>73</v>
      </c>
      <c r="N6902" t="s">
        <v>85</v>
      </c>
      <c r="O6902" t="s">
        <v>146</v>
      </c>
      <c r="P6902" t="s">
        <v>78</v>
      </c>
      <c r="Q6902">
        <v>7</v>
      </c>
      <c r="R6902" s="2" t="s">
        <v>214</v>
      </c>
      <c r="S6902" t="s">
        <v>27</v>
      </c>
      <c r="T6902">
        <v>3</v>
      </c>
      <c r="U6902">
        <v>7.86</v>
      </c>
      <c r="V6902">
        <v>1000</v>
      </c>
      <c r="W6902" t="s">
        <v>28</v>
      </c>
      <c r="X6902">
        <v>9.0558666666666667</v>
      </c>
      <c r="Y6902">
        <v>0.87536630237480229</v>
      </c>
    </row>
    <row r="6903" spans="1:25" x14ac:dyDescent="0.2">
      <c r="A6903" t="s">
        <v>801</v>
      </c>
      <c r="B6903">
        <v>2017</v>
      </c>
      <c r="C6903" t="s">
        <v>816</v>
      </c>
      <c r="D6903" t="s">
        <v>820</v>
      </c>
      <c r="E6903" t="s">
        <v>34</v>
      </c>
      <c r="F6903" t="s">
        <v>802</v>
      </c>
      <c r="G6903">
        <v>31.55</v>
      </c>
      <c r="H6903">
        <v>-116.4</v>
      </c>
      <c r="J6903" s="2" t="s">
        <v>5</v>
      </c>
      <c r="K6903" t="s">
        <v>95</v>
      </c>
      <c r="L6903" t="s">
        <v>143</v>
      </c>
      <c r="M6903" t="s">
        <v>73</v>
      </c>
      <c r="N6903" t="s">
        <v>85</v>
      </c>
      <c r="O6903" t="s">
        <v>146</v>
      </c>
      <c r="P6903" t="s">
        <v>78</v>
      </c>
      <c r="Q6903">
        <v>7</v>
      </c>
      <c r="R6903" s="2" t="s">
        <v>214</v>
      </c>
      <c r="S6903" t="s">
        <v>13</v>
      </c>
      <c r="T6903">
        <v>3</v>
      </c>
      <c r="U6903">
        <v>7.68</v>
      </c>
      <c r="V6903">
        <v>1500</v>
      </c>
      <c r="W6903" t="s">
        <v>28</v>
      </c>
      <c r="X6903">
        <v>7.5914999999999999</v>
      </c>
      <c r="Y6903">
        <v>0.53399126397348495</v>
      </c>
    </row>
    <row r="6904" spans="1:25" x14ac:dyDescent="0.2">
      <c r="A6904" t="s">
        <v>801</v>
      </c>
      <c r="B6904">
        <v>2017</v>
      </c>
      <c r="C6904" t="s">
        <v>816</v>
      </c>
      <c r="D6904" t="s">
        <v>820</v>
      </c>
      <c r="E6904" t="s">
        <v>34</v>
      </c>
      <c r="F6904" t="s">
        <v>802</v>
      </c>
      <c r="G6904">
        <v>31.55</v>
      </c>
      <c r="H6904">
        <v>-116.4</v>
      </c>
      <c r="J6904" s="2" t="s">
        <v>5</v>
      </c>
      <c r="K6904" t="s">
        <v>95</v>
      </c>
      <c r="L6904" t="s">
        <v>143</v>
      </c>
      <c r="M6904" t="s">
        <v>73</v>
      </c>
      <c r="N6904" t="s">
        <v>85</v>
      </c>
      <c r="O6904" t="s">
        <v>146</v>
      </c>
      <c r="P6904" t="s">
        <v>78</v>
      </c>
      <c r="Q6904">
        <v>7</v>
      </c>
      <c r="R6904" s="2" t="s">
        <v>214</v>
      </c>
      <c r="S6904" t="s">
        <v>15</v>
      </c>
      <c r="T6904">
        <v>3</v>
      </c>
      <c r="U6904">
        <v>7.53</v>
      </c>
      <c r="V6904">
        <v>2000</v>
      </c>
      <c r="W6904" t="s">
        <v>28</v>
      </c>
      <c r="X6904">
        <v>8.0539333333333332</v>
      </c>
      <c r="Y6904">
        <v>1.8688250863398956</v>
      </c>
    </row>
    <row r="6905" spans="1:25" x14ac:dyDescent="0.2">
      <c r="A6905" t="s">
        <v>801</v>
      </c>
      <c r="B6905">
        <v>2017</v>
      </c>
      <c r="C6905" t="s">
        <v>816</v>
      </c>
      <c r="D6905" t="s">
        <v>820</v>
      </c>
      <c r="E6905" t="s">
        <v>34</v>
      </c>
      <c r="F6905" t="s">
        <v>802</v>
      </c>
      <c r="G6905">
        <v>31.55</v>
      </c>
      <c r="H6905">
        <v>-116.4</v>
      </c>
      <c r="J6905" s="2" t="s">
        <v>7</v>
      </c>
      <c r="K6905" t="s">
        <v>95</v>
      </c>
      <c r="L6905" t="s">
        <v>143</v>
      </c>
      <c r="M6905" t="s">
        <v>73</v>
      </c>
      <c r="N6905" t="s">
        <v>85</v>
      </c>
      <c r="O6905" t="s">
        <v>146</v>
      </c>
      <c r="P6905" t="s">
        <v>78</v>
      </c>
      <c r="Q6905">
        <v>14</v>
      </c>
      <c r="R6905" s="2" t="s">
        <v>214</v>
      </c>
      <c r="S6905" t="s">
        <v>7</v>
      </c>
      <c r="T6905">
        <v>3</v>
      </c>
      <c r="U6905">
        <v>8.1999999999999993</v>
      </c>
      <c r="V6905">
        <v>400</v>
      </c>
      <c r="W6905" t="s">
        <v>28</v>
      </c>
      <c r="X6905">
        <v>18.073233333333334</v>
      </c>
      <c r="Y6905">
        <v>1.2734501730862231</v>
      </c>
    </row>
    <row r="6906" spans="1:25" x14ac:dyDescent="0.2">
      <c r="A6906" t="s">
        <v>801</v>
      </c>
      <c r="B6906">
        <v>2017</v>
      </c>
      <c r="C6906" t="s">
        <v>816</v>
      </c>
      <c r="D6906" t="s">
        <v>820</v>
      </c>
      <c r="E6906" t="s">
        <v>34</v>
      </c>
      <c r="F6906" t="s">
        <v>802</v>
      </c>
      <c r="G6906">
        <v>31.55</v>
      </c>
      <c r="H6906">
        <v>-116.4</v>
      </c>
      <c r="J6906" s="2" t="s">
        <v>5</v>
      </c>
      <c r="K6906" t="s">
        <v>95</v>
      </c>
      <c r="L6906" t="s">
        <v>143</v>
      </c>
      <c r="M6906" t="s">
        <v>73</v>
      </c>
      <c r="N6906" t="s">
        <v>85</v>
      </c>
      <c r="O6906" t="s">
        <v>146</v>
      </c>
      <c r="P6906" t="s">
        <v>78</v>
      </c>
      <c r="Q6906">
        <v>14</v>
      </c>
      <c r="R6906" s="2" t="s">
        <v>214</v>
      </c>
      <c r="S6906" t="s">
        <v>9</v>
      </c>
      <c r="T6906">
        <v>3</v>
      </c>
      <c r="U6906">
        <v>7.98</v>
      </c>
      <c r="V6906">
        <v>700</v>
      </c>
      <c r="W6906" t="s">
        <v>28</v>
      </c>
      <c r="X6906">
        <v>26.782266666666668</v>
      </c>
      <c r="Y6906">
        <v>4.4913386649565128</v>
      </c>
    </row>
    <row r="6907" spans="1:25" x14ac:dyDescent="0.2">
      <c r="A6907" t="s">
        <v>801</v>
      </c>
      <c r="B6907">
        <v>2017</v>
      </c>
      <c r="C6907" t="s">
        <v>816</v>
      </c>
      <c r="D6907" t="s">
        <v>820</v>
      </c>
      <c r="E6907" t="s">
        <v>34</v>
      </c>
      <c r="F6907" t="s">
        <v>802</v>
      </c>
      <c r="G6907">
        <v>31.55</v>
      </c>
      <c r="H6907">
        <v>-116.4</v>
      </c>
      <c r="J6907" s="2" t="s">
        <v>5</v>
      </c>
      <c r="K6907" t="s">
        <v>95</v>
      </c>
      <c r="L6907" t="s">
        <v>143</v>
      </c>
      <c r="M6907" t="s">
        <v>73</v>
      </c>
      <c r="N6907" t="s">
        <v>85</v>
      </c>
      <c r="O6907" t="s">
        <v>146</v>
      </c>
      <c r="P6907" t="s">
        <v>78</v>
      </c>
      <c r="Q6907">
        <v>14</v>
      </c>
      <c r="R6907" s="2" t="s">
        <v>214</v>
      </c>
      <c r="S6907" t="s">
        <v>27</v>
      </c>
      <c r="T6907">
        <v>3</v>
      </c>
      <c r="U6907">
        <v>7.86</v>
      </c>
      <c r="V6907">
        <v>1000</v>
      </c>
      <c r="W6907" t="s">
        <v>28</v>
      </c>
      <c r="X6907">
        <v>15.221566666666668</v>
      </c>
      <c r="Y6907">
        <v>0.26696676447328327</v>
      </c>
    </row>
    <row r="6908" spans="1:25" x14ac:dyDescent="0.2">
      <c r="A6908" t="s">
        <v>801</v>
      </c>
      <c r="B6908">
        <v>2017</v>
      </c>
      <c r="C6908" t="s">
        <v>816</v>
      </c>
      <c r="D6908" t="s">
        <v>820</v>
      </c>
      <c r="E6908" t="s">
        <v>34</v>
      </c>
      <c r="F6908" t="s">
        <v>802</v>
      </c>
      <c r="G6908">
        <v>31.55</v>
      </c>
      <c r="H6908">
        <v>-116.4</v>
      </c>
      <c r="J6908" s="2" t="s">
        <v>5</v>
      </c>
      <c r="K6908" t="s">
        <v>95</v>
      </c>
      <c r="L6908" t="s">
        <v>143</v>
      </c>
      <c r="M6908" t="s">
        <v>73</v>
      </c>
      <c r="N6908" t="s">
        <v>85</v>
      </c>
      <c r="O6908" t="s">
        <v>146</v>
      </c>
      <c r="P6908" t="s">
        <v>78</v>
      </c>
      <c r="Q6908">
        <v>14</v>
      </c>
      <c r="R6908" s="2" t="s">
        <v>214</v>
      </c>
      <c r="S6908" t="s">
        <v>13</v>
      </c>
      <c r="T6908">
        <v>3</v>
      </c>
      <c r="U6908">
        <v>7.68</v>
      </c>
      <c r="V6908">
        <v>1500</v>
      </c>
      <c r="W6908" t="s">
        <v>28</v>
      </c>
      <c r="X6908">
        <v>13.294833333333335</v>
      </c>
      <c r="Y6908">
        <v>2.0023662036034526</v>
      </c>
    </row>
    <row r="6909" spans="1:25" x14ac:dyDescent="0.2">
      <c r="A6909" t="s">
        <v>801</v>
      </c>
      <c r="B6909">
        <v>2017</v>
      </c>
      <c r="C6909" t="s">
        <v>816</v>
      </c>
      <c r="D6909" t="s">
        <v>820</v>
      </c>
      <c r="E6909" t="s">
        <v>34</v>
      </c>
      <c r="F6909" t="s">
        <v>802</v>
      </c>
      <c r="G6909">
        <v>31.55</v>
      </c>
      <c r="H6909">
        <v>-116.4</v>
      </c>
      <c r="J6909" s="2" t="s">
        <v>5</v>
      </c>
      <c r="K6909" t="s">
        <v>95</v>
      </c>
      <c r="L6909" t="s">
        <v>143</v>
      </c>
      <c r="M6909" t="s">
        <v>73</v>
      </c>
      <c r="N6909" t="s">
        <v>85</v>
      </c>
      <c r="O6909" t="s">
        <v>146</v>
      </c>
      <c r="P6909" t="s">
        <v>78</v>
      </c>
      <c r="Q6909">
        <v>14</v>
      </c>
      <c r="R6909" s="2" t="s">
        <v>214</v>
      </c>
      <c r="S6909" t="s">
        <v>15</v>
      </c>
      <c r="T6909">
        <v>3</v>
      </c>
      <c r="U6909">
        <v>7.53</v>
      </c>
      <c r="V6909">
        <v>2000</v>
      </c>
      <c r="W6909" t="s">
        <v>28</v>
      </c>
      <c r="X6909">
        <v>11.9846</v>
      </c>
      <c r="Y6909">
        <v>0.70637131170511147</v>
      </c>
    </row>
    <row r="6910" spans="1:25" x14ac:dyDescent="0.2">
      <c r="A6910" t="s">
        <v>801</v>
      </c>
      <c r="B6910">
        <v>2017</v>
      </c>
      <c r="C6910" t="s">
        <v>816</v>
      </c>
      <c r="D6910" t="s">
        <v>820</v>
      </c>
      <c r="E6910" t="s">
        <v>34</v>
      </c>
      <c r="F6910" t="s">
        <v>802</v>
      </c>
      <c r="G6910">
        <v>31.55</v>
      </c>
      <c r="H6910">
        <v>-116.4</v>
      </c>
      <c r="J6910" s="2" t="s">
        <v>7</v>
      </c>
      <c r="K6910" t="s">
        <v>95</v>
      </c>
      <c r="L6910" t="s">
        <v>143</v>
      </c>
      <c r="M6910" t="s">
        <v>73</v>
      </c>
      <c r="N6910" t="s">
        <v>85</v>
      </c>
      <c r="O6910" t="s">
        <v>146</v>
      </c>
      <c r="P6910" t="s">
        <v>78</v>
      </c>
      <c r="Q6910">
        <v>21</v>
      </c>
      <c r="R6910" s="2" t="s">
        <v>214</v>
      </c>
      <c r="S6910" t="s">
        <v>7</v>
      </c>
      <c r="T6910">
        <v>3</v>
      </c>
      <c r="U6910">
        <v>8.1999999999999993</v>
      </c>
      <c r="V6910">
        <v>400</v>
      </c>
      <c r="W6910" t="s">
        <v>28</v>
      </c>
      <c r="X6910">
        <v>5.9690000000000003</v>
      </c>
      <c r="Y6910">
        <v>0.13423393758658794</v>
      </c>
    </row>
    <row r="6911" spans="1:25" x14ac:dyDescent="0.2">
      <c r="A6911" t="s">
        <v>801</v>
      </c>
      <c r="B6911">
        <v>2017</v>
      </c>
      <c r="C6911" t="s">
        <v>816</v>
      </c>
      <c r="D6911" t="s">
        <v>820</v>
      </c>
      <c r="E6911" t="s">
        <v>34</v>
      </c>
      <c r="F6911" t="s">
        <v>802</v>
      </c>
      <c r="G6911">
        <v>31.55</v>
      </c>
      <c r="H6911">
        <v>-116.4</v>
      </c>
      <c r="J6911" s="2" t="s">
        <v>5</v>
      </c>
      <c r="K6911" t="s">
        <v>95</v>
      </c>
      <c r="L6911" t="s">
        <v>143</v>
      </c>
      <c r="M6911" t="s">
        <v>73</v>
      </c>
      <c r="N6911" t="s">
        <v>85</v>
      </c>
      <c r="O6911" t="s">
        <v>146</v>
      </c>
      <c r="P6911" t="s">
        <v>78</v>
      </c>
      <c r="Q6911">
        <v>21</v>
      </c>
      <c r="R6911" s="2" t="s">
        <v>214</v>
      </c>
      <c r="S6911" t="s">
        <v>9</v>
      </c>
      <c r="T6911">
        <v>3</v>
      </c>
      <c r="U6911">
        <v>7.98</v>
      </c>
      <c r="V6911">
        <v>700</v>
      </c>
      <c r="W6911" t="s">
        <v>28</v>
      </c>
      <c r="X6911">
        <v>9.6124000000000009</v>
      </c>
      <c r="Y6911">
        <v>0.53710895542710824</v>
      </c>
    </row>
    <row r="6912" spans="1:25" x14ac:dyDescent="0.2">
      <c r="A6912" t="s">
        <v>801</v>
      </c>
      <c r="B6912">
        <v>2017</v>
      </c>
      <c r="C6912" t="s">
        <v>816</v>
      </c>
      <c r="D6912" t="s">
        <v>820</v>
      </c>
      <c r="E6912" t="s">
        <v>34</v>
      </c>
      <c r="F6912" t="s">
        <v>802</v>
      </c>
      <c r="G6912">
        <v>31.55</v>
      </c>
      <c r="H6912">
        <v>-116.4</v>
      </c>
      <c r="J6912" s="2" t="s">
        <v>5</v>
      </c>
      <c r="K6912" t="s">
        <v>95</v>
      </c>
      <c r="L6912" t="s">
        <v>143</v>
      </c>
      <c r="M6912" t="s">
        <v>73</v>
      </c>
      <c r="N6912" t="s">
        <v>85</v>
      </c>
      <c r="O6912" t="s">
        <v>146</v>
      </c>
      <c r="P6912" t="s">
        <v>78</v>
      </c>
      <c r="Q6912">
        <v>21</v>
      </c>
      <c r="R6912" s="2" t="s">
        <v>214</v>
      </c>
      <c r="S6912" t="s">
        <v>27</v>
      </c>
      <c r="T6912">
        <v>3</v>
      </c>
      <c r="U6912">
        <v>7.86</v>
      </c>
      <c r="V6912">
        <v>1000</v>
      </c>
      <c r="W6912" t="s">
        <v>28</v>
      </c>
      <c r="X6912">
        <v>6.3565666666666658</v>
      </c>
      <c r="Y6912">
        <v>0.26852561020009469</v>
      </c>
    </row>
    <row r="6913" spans="1:25" x14ac:dyDescent="0.2">
      <c r="A6913" t="s">
        <v>801</v>
      </c>
      <c r="B6913">
        <v>2017</v>
      </c>
      <c r="C6913" t="s">
        <v>816</v>
      </c>
      <c r="D6913" t="s">
        <v>820</v>
      </c>
      <c r="E6913" t="s">
        <v>34</v>
      </c>
      <c r="F6913" t="s">
        <v>802</v>
      </c>
      <c r="G6913">
        <v>31.55</v>
      </c>
      <c r="H6913">
        <v>-116.4</v>
      </c>
      <c r="J6913" s="2" t="s">
        <v>5</v>
      </c>
      <c r="K6913" t="s">
        <v>95</v>
      </c>
      <c r="L6913" t="s">
        <v>143</v>
      </c>
      <c r="M6913" t="s">
        <v>73</v>
      </c>
      <c r="N6913" t="s">
        <v>85</v>
      </c>
      <c r="O6913" t="s">
        <v>146</v>
      </c>
      <c r="P6913" t="s">
        <v>78</v>
      </c>
      <c r="Q6913">
        <v>21</v>
      </c>
      <c r="R6913" s="2" t="s">
        <v>214</v>
      </c>
      <c r="S6913" t="s">
        <v>13</v>
      </c>
      <c r="T6913">
        <v>3</v>
      </c>
      <c r="U6913">
        <v>7.68</v>
      </c>
      <c r="V6913">
        <v>1500</v>
      </c>
      <c r="W6913" t="s">
        <v>28</v>
      </c>
      <c r="X6913">
        <v>5.1162999999999998</v>
      </c>
      <c r="Y6913">
        <v>0</v>
      </c>
    </row>
    <row r="6914" spans="1:25" x14ac:dyDescent="0.2">
      <c r="A6914" t="s">
        <v>801</v>
      </c>
      <c r="B6914">
        <v>2017</v>
      </c>
      <c r="C6914" t="s">
        <v>816</v>
      </c>
      <c r="D6914" t="s">
        <v>820</v>
      </c>
      <c r="E6914" t="s">
        <v>34</v>
      </c>
      <c r="F6914" t="s">
        <v>802</v>
      </c>
      <c r="G6914">
        <v>31.55</v>
      </c>
      <c r="H6914">
        <v>-116.4</v>
      </c>
      <c r="J6914" s="2" t="s">
        <v>5</v>
      </c>
      <c r="K6914" t="s">
        <v>95</v>
      </c>
      <c r="L6914" t="s">
        <v>143</v>
      </c>
      <c r="M6914" t="s">
        <v>73</v>
      </c>
      <c r="N6914" t="s">
        <v>85</v>
      </c>
      <c r="O6914" t="s">
        <v>146</v>
      </c>
      <c r="P6914" t="s">
        <v>78</v>
      </c>
      <c r="Q6914">
        <v>21</v>
      </c>
      <c r="R6914" s="2" t="s">
        <v>214</v>
      </c>
      <c r="S6914" t="s">
        <v>15</v>
      </c>
      <c r="T6914">
        <v>3</v>
      </c>
      <c r="U6914">
        <v>7.53</v>
      </c>
      <c r="V6914">
        <v>2000</v>
      </c>
      <c r="W6914" t="s">
        <v>28</v>
      </c>
      <c r="X6914">
        <v>3.8759333333333337</v>
      </c>
      <c r="Y6914">
        <v>0.26852561020009497</v>
      </c>
    </row>
    <row r="6915" spans="1:25" x14ac:dyDescent="0.2">
      <c r="A6915" t="s">
        <v>801</v>
      </c>
      <c r="B6915">
        <v>2017</v>
      </c>
      <c r="C6915" t="s">
        <v>816</v>
      </c>
      <c r="D6915" t="s">
        <v>820</v>
      </c>
      <c r="E6915" t="s">
        <v>34</v>
      </c>
      <c r="F6915" t="s">
        <v>802</v>
      </c>
      <c r="G6915">
        <v>31.55</v>
      </c>
      <c r="H6915">
        <v>-116.4</v>
      </c>
      <c r="J6915" s="2" t="s">
        <v>7</v>
      </c>
      <c r="K6915" t="s">
        <v>95</v>
      </c>
      <c r="L6915" t="s">
        <v>143</v>
      </c>
      <c r="M6915" t="s">
        <v>73</v>
      </c>
      <c r="N6915" t="s">
        <v>85</v>
      </c>
      <c r="O6915" t="s">
        <v>146</v>
      </c>
      <c r="P6915" t="s">
        <v>78</v>
      </c>
      <c r="Q6915">
        <v>28</v>
      </c>
      <c r="R6915" s="2" t="s">
        <v>213</v>
      </c>
      <c r="S6915" t="s">
        <v>7</v>
      </c>
      <c r="T6915">
        <v>3</v>
      </c>
      <c r="U6915">
        <v>8.1999999999999993</v>
      </c>
      <c r="V6915">
        <v>400</v>
      </c>
      <c r="W6915" t="s">
        <v>28</v>
      </c>
      <c r="X6915">
        <v>4.4706000000000001</v>
      </c>
      <c r="Y6915">
        <v>0.23530000000000006</v>
      </c>
    </row>
    <row r="6916" spans="1:25" x14ac:dyDescent="0.2">
      <c r="A6916" t="s">
        <v>801</v>
      </c>
      <c r="B6916">
        <v>2017</v>
      </c>
      <c r="C6916" t="s">
        <v>816</v>
      </c>
      <c r="D6916" t="s">
        <v>820</v>
      </c>
      <c r="E6916" t="s">
        <v>34</v>
      </c>
      <c r="F6916" t="s">
        <v>802</v>
      </c>
      <c r="G6916">
        <v>31.55</v>
      </c>
      <c r="H6916">
        <v>-116.4</v>
      </c>
      <c r="J6916" s="2" t="s">
        <v>5</v>
      </c>
      <c r="K6916" t="s">
        <v>95</v>
      </c>
      <c r="L6916" t="s">
        <v>143</v>
      </c>
      <c r="M6916" t="s">
        <v>73</v>
      </c>
      <c r="N6916" t="s">
        <v>85</v>
      </c>
      <c r="O6916" t="s">
        <v>146</v>
      </c>
      <c r="P6916" t="s">
        <v>78</v>
      </c>
      <c r="Q6916">
        <v>28</v>
      </c>
      <c r="R6916" s="2" t="s">
        <v>213</v>
      </c>
      <c r="S6916" t="s">
        <v>9</v>
      </c>
      <c r="T6916">
        <v>3</v>
      </c>
      <c r="U6916">
        <v>7.98</v>
      </c>
      <c r="V6916">
        <v>700</v>
      </c>
      <c r="W6916" t="s">
        <v>28</v>
      </c>
      <c r="X6916">
        <v>6.5881999999999996</v>
      </c>
      <c r="Y6916">
        <v>0</v>
      </c>
    </row>
    <row r="6917" spans="1:25" x14ac:dyDescent="0.2">
      <c r="A6917" t="s">
        <v>801</v>
      </c>
      <c r="B6917">
        <v>2017</v>
      </c>
      <c r="C6917" t="s">
        <v>816</v>
      </c>
      <c r="D6917" t="s">
        <v>820</v>
      </c>
      <c r="E6917" t="s">
        <v>34</v>
      </c>
      <c r="F6917" t="s">
        <v>802</v>
      </c>
      <c r="G6917">
        <v>31.55</v>
      </c>
      <c r="H6917">
        <v>-116.4</v>
      </c>
      <c r="J6917" s="2" t="s">
        <v>5</v>
      </c>
      <c r="K6917" t="s">
        <v>95</v>
      </c>
      <c r="L6917" t="s">
        <v>143</v>
      </c>
      <c r="M6917" t="s">
        <v>73</v>
      </c>
      <c r="N6917" t="s">
        <v>85</v>
      </c>
      <c r="O6917" t="s">
        <v>146</v>
      </c>
      <c r="P6917" t="s">
        <v>78</v>
      </c>
      <c r="Q6917">
        <v>28</v>
      </c>
      <c r="R6917" s="2" t="s">
        <v>213</v>
      </c>
      <c r="S6917" t="s">
        <v>27</v>
      </c>
      <c r="T6917">
        <v>3</v>
      </c>
      <c r="U6917">
        <v>7.86</v>
      </c>
      <c r="V6917">
        <v>1000</v>
      </c>
      <c r="W6917" t="s">
        <v>28</v>
      </c>
      <c r="X6917">
        <v>5.8038999999999996</v>
      </c>
      <c r="Y6917">
        <v>0.54334433833435714</v>
      </c>
    </row>
    <row r="6918" spans="1:25" x14ac:dyDescent="0.2">
      <c r="A6918" t="s">
        <v>801</v>
      </c>
      <c r="B6918">
        <v>2017</v>
      </c>
      <c r="C6918" t="s">
        <v>816</v>
      </c>
      <c r="D6918" t="s">
        <v>820</v>
      </c>
      <c r="E6918" t="s">
        <v>34</v>
      </c>
      <c r="F6918" t="s">
        <v>802</v>
      </c>
      <c r="G6918">
        <v>31.55</v>
      </c>
      <c r="H6918">
        <v>-116.4</v>
      </c>
      <c r="J6918" s="2" t="s">
        <v>5</v>
      </c>
      <c r="K6918" t="s">
        <v>95</v>
      </c>
      <c r="L6918" t="s">
        <v>143</v>
      </c>
      <c r="M6918" t="s">
        <v>73</v>
      </c>
      <c r="N6918" t="s">
        <v>85</v>
      </c>
      <c r="O6918" t="s">
        <v>146</v>
      </c>
      <c r="P6918" t="s">
        <v>78</v>
      </c>
      <c r="Q6918">
        <v>28</v>
      </c>
      <c r="R6918" s="2" t="s">
        <v>213</v>
      </c>
      <c r="S6918" t="s">
        <v>13</v>
      </c>
      <c r="T6918">
        <v>3</v>
      </c>
      <c r="U6918">
        <v>7.68</v>
      </c>
      <c r="V6918">
        <v>1500</v>
      </c>
      <c r="W6918" t="s">
        <v>28</v>
      </c>
      <c r="X6918">
        <v>5.3333666666666666</v>
      </c>
      <c r="Y6918">
        <v>0.27170103668063794</v>
      </c>
    </row>
    <row r="6919" spans="1:25" x14ac:dyDescent="0.2">
      <c r="A6919" t="s">
        <v>801</v>
      </c>
      <c r="B6919">
        <v>2017</v>
      </c>
      <c r="C6919" t="s">
        <v>816</v>
      </c>
      <c r="D6919" t="s">
        <v>820</v>
      </c>
      <c r="E6919" t="s">
        <v>34</v>
      </c>
      <c r="F6919" t="s">
        <v>802</v>
      </c>
      <c r="G6919">
        <v>31.55</v>
      </c>
      <c r="H6919">
        <v>-116.4</v>
      </c>
      <c r="J6919" s="2" t="s">
        <v>5</v>
      </c>
      <c r="K6919" t="s">
        <v>95</v>
      </c>
      <c r="L6919" t="s">
        <v>143</v>
      </c>
      <c r="M6919" t="s">
        <v>73</v>
      </c>
      <c r="N6919" t="s">
        <v>85</v>
      </c>
      <c r="O6919" t="s">
        <v>146</v>
      </c>
      <c r="P6919" t="s">
        <v>78</v>
      </c>
      <c r="Q6919">
        <v>28</v>
      </c>
      <c r="R6919" s="2" t="s">
        <v>213</v>
      </c>
      <c r="S6919" t="s">
        <v>15</v>
      </c>
      <c r="T6919">
        <v>3</v>
      </c>
      <c r="U6919">
        <v>7.53</v>
      </c>
      <c r="V6919">
        <v>2000</v>
      </c>
      <c r="W6919" t="s">
        <v>28</v>
      </c>
      <c r="X6919" s="3"/>
      <c r="Y6919" s="3"/>
    </row>
    <row r="6920" spans="1:25" x14ac:dyDescent="0.2">
      <c r="A6920" t="s">
        <v>801</v>
      </c>
      <c r="B6920">
        <v>2017</v>
      </c>
      <c r="C6920" t="s">
        <v>826</v>
      </c>
      <c r="D6920" t="s">
        <v>824</v>
      </c>
      <c r="E6920" t="s">
        <v>114</v>
      </c>
      <c r="F6920" t="s">
        <v>679</v>
      </c>
      <c r="G6920">
        <v>37.1</v>
      </c>
      <c r="H6920">
        <v>122.55</v>
      </c>
      <c r="J6920" s="2" t="s">
        <v>7</v>
      </c>
      <c r="K6920" t="s">
        <v>144</v>
      </c>
      <c r="L6920" t="s">
        <v>144</v>
      </c>
      <c r="M6920" t="s">
        <v>73</v>
      </c>
      <c r="N6920" t="s">
        <v>85</v>
      </c>
      <c r="O6920" t="s">
        <v>146</v>
      </c>
      <c r="P6920" t="s">
        <v>78</v>
      </c>
      <c r="Q6920">
        <v>7</v>
      </c>
      <c r="R6920" s="2" t="s">
        <v>214</v>
      </c>
      <c r="S6920" t="s">
        <v>7</v>
      </c>
      <c r="T6920">
        <v>3</v>
      </c>
      <c r="U6920">
        <v>8.1999999999999993</v>
      </c>
      <c r="V6920">
        <v>400</v>
      </c>
      <c r="W6920" t="s">
        <v>28</v>
      </c>
      <c r="X6920">
        <v>13.603066666666669</v>
      </c>
      <c r="Y6920">
        <v>4.370698795768619</v>
      </c>
    </row>
    <row r="6921" spans="1:25" x14ac:dyDescent="0.2">
      <c r="A6921" t="s">
        <v>801</v>
      </c>
      <c r="B6921">
        <v>2017</v>
      </c>
      <c r="C6921" t="s">
        <v>826</v>
      </c>
      <c r="D6921" t="s">
        <v>824</v>
      </c>
      <c r="E6921" t="s">
        <v>114</v>
      </c>
      <c r="F6921" t="s">
        <v>679</v>
      </c>
      <c r="G6921">
        <v>37.1</v>
      </c>
      <c r="H6921">
        <v>122.55</v>
      </c>
      <c r="J6921" s="2" t="s">
        <v>5</v>
      </c>
      <c r="K6921" t="s">
        <v>144</v>
      </c>
      <c r="L6921" t="s">
        <v>144</v>
      </c>
      <c r="M6921" t="s">
        <v>73</v>
      </c>
      <c r="N6921" t="s">
        <v>85</v>
      </c>
      <c r="O6921" t="s">
        <v>146</v>
      </c>
      <c r="P6921" t="s">
        <v>78</v>
      </c>
      <c r="Q6921">
        <v>7</v>
      </c>
      <c r="R6921" s="2" t="s">
        <v>214</v>
      </c>
      <c r="S6921" t="s">
        <v>9</v>
      </c>
      <c r="T6921">
        <v>3</v>
      </c>
      <c r="U6921">
        <v>7.98</v>
      </c>
      <c r="V6921">
        <v>700</v>
      </c>
      <c r="W6921" t="s">
        <v>28</v>
      </c>
      <c r="X6921">
        <v>22.543366666666667</v>
      </c>
      <c r="Y6921">
        <v>2.4028163503133864</v>
      </c>
    </row>
    <row r="6922" spans="1:25" x14ac:dyDescent="0.2">
      <c r="A6922" t="s">
        <v>801</v>
      </c>
      <c r="B6922">
        <v>2017</v>
      </c>
      <c r="C6922" t="s">
        <v>826</v>
      </c>
      <c r="D6922" t="s">
        <v>824</v>
      </c>
      <c r="E6922" t="s">
        <v>114</v>
      </c>
      <c r="F6922" t="s">
        <v>679</v>
      </c>
      <c r="G6922">
        <v>37.1</v>
      </c>
      <c r="H6922">
        <v>122.55</v>
      </c>
      <c r="J6922" s="2" t="s">
        <v>5</v>
      </c>
      <c r="K6922" t="s">
        <v>144</v>
      </c>
      <c r="L6922" t="s">
        <v>144</v>
      </c>
      <c r="M6922" t="s">
        <v>73</v>
      </c>
      <c r="N6922" t="s">
        <v>85</v>
      </c>
      <c r="O6922" t="s">
        <v>146</v>
      </c>
      <c r="P6922" t="s">
        <v>78</v>
      </c>
      <c r="Q6922">
        <v>7</v>
      </c>
      <c r="R6922" s="2" t="s">
        <v>214</v>
      </c>
      <c r="S6922" t="s">
        <v>27</v>
      </c>
      <c r="T6922">
        <v>3</v>
      </c>
      <c r="U6922">
        <v>7.86</v>
      </c>
      <c r="V6922">
        <v>1000</v>
      </c>
      <c r="W6922" t="s">
        <v>28</v>
      </c>
      <c r="X6922">
        <v>14.065533333333335</v>
      </c>
      <c r="Y6922">
        <v>0.26702449950020213</v>
      </c>
    </row>
    <row r="6923" spans="1:25" x14ac:dyDescent="0.2">
      <c r="A6923" t="s">
        <v>801</v>
      </c>
      <c r="B6923">
        <v>2017</v>
      </c>
      <c r="C6923" t="s">
        <v>826</v>
      </c>
      <c r="D6923" t="s">
        <v>824</v>
      </c>
      <c r="E6923" t="s">
        <v>114</v>
      </c>
      <c r="F6923" t="s">
        <v>679</v>
      </c>
      <c r="G6923">
        <v>37.1</v>
      </c>
      <c r="H6923">
        <v>122.55</v>
      </c>
      <c r="J6923" s="2" t="s">
        <v>5</v>
      </c>
      <c r="K6923" t="s">
        <v>144</v>
      </c>
      <c r="L6923" t="s">
        <v>144</v>
      </c>
      <c r="M6923" t="s">
        <v>73</v>
      </c>
      <c r="N6923" t="s">
        <v>85</v>
      </c>
      <c r="O6923" t="s">
        <v>146</v>
      </c>
      <c r="P6923" t="s">
        <v>78</v>
      </c>
      <c r="Q6923">
        <v>7</v>
      </c>
      <c r="R6923" s="2" t="s">
        <v>214</v>
      </c>
      <c r="S6923" t="s">
        <v>13</v>
      </c>
      <c r="T6923">
        <v>3</v>
      </c>
      <c r="U6923">
        <v>7.68</v>
      </c>
      <c r="V6923">
        <v>1500</v>
      </c>
      <c r="W6923" t="s">
        <v>28</v>
      </c>
      <c r="X6923">
        <v>10.982633333333332</v>
      </c>
      <c r="Y6923">
        <v>1.6673178501213661</v>
      </c>
    </row>
    <row r="6924" spans="1:25" x14ac:dyDescent="0.2">
      <c r="A6924" t="s">
        <v>801</v>
      </c>
      <c r="B6924">
        <v>2017</v>
      </c>
      <c r="C6924" t="s">
        <v>826</v>
      </c>
      <c r="D6924" t="s">
        <v>824</v>
      </c>
      <c r="E6924" t="s">
        <v>114</v>
      </c>
      <c r="F6924" t="s">
        <v>679</v>
      </c>
      <c r="G6924">
        <v>37.1</v>
      </c>
      <c r="H6924">
        <v>122.55</v>
      </c>
      <c r="J6924" s="2" t="s">
        <v>5</v>
      </c>
      <c r="K6924" t="s">
        <v>144</v>
      </c>
      <c r="L6924" t="s">
        <v>144</v>
      </c>
      <c r="M6924" t="s">
        <v>73</v>
      </c>
      <c r="N6924" t="s">
        <v>85</v>
      </c>
      <c r="O6924" t="s">
        <v>146</v>
      </c>
      <c r="P6924" t="s">
        <v>78</v>
      </c>
      <c r="Q6924">
        <v>7</v>
      </c>
      <c r="R6924" s="2" t="s">
        <v>214</v>
      </c>
      <c r="S6924" t="s">
        <v>15</v>
      </c>
      <c r="T6924">
        <v>3</v>
      </c>
      <c r="U6924">
        <v>7.53</v>
      </c>
      <c r="V6924">
        <v>2000</v>
      </c>
      <c r="W6924" t="s">
        <v>28</v>
      </c>
      <c r="X6924">
        <v>9.5953666666666688</v>
      </c>
      <c r="Y6924">
        <v>1.2234521009558708</v>
      </c>
    </row>
    <row r="6925" spans="1:25" x14ac:dyDescent="0.2">
      <c r="A6925" t="s">
        <v>801</v>
      </c>
      <c r="B6925">
        <v>2017</v>
      </c>
      <c r="C6925" t="s">
        <v>826</v>
      </c>
      <c r="D6925" t="s">
        <v>824</v>
      </c>
      <c r="E6925" t="s">
        <v>114</v>
      </c>
      <c r="F6925" t="s">
        <v>679</v>
      </c>
      <c r="G6925">
        <v>37.1</v>
      </c>
      <c r="H6925">
        <v>122.55</v>
      </c>
      <c r="J6925" s="2" t="s">
        <v>7</v>
      </c>
      <c r="K6925" t="s">
        <v>144</v>
      </c>
      <c r="L6925" t="s">
        <v>144</v>
      </c>
      <c r="M6925" t="s">
        <v>73</v>
      </c>
      <c r="N6925" t="s">
        <v>85</v>
      </c>
      <c r="O6925" t="s">
        <v>146</v>
      </c>
      <c r="P6925" t="s">
        <v>78</v>
      </c>
      <c r="Q6925">
        <v>14</v>
      </c>
      <c r="R6925" s="2" t="s">
        <v>214</v>
      </c>
      <c r="S6925" t="s">
        <v>7</v>
      </c>
      <c r="T6925">
        <v>3</v>
      </c>
      <c r="U6925">
        <v>8.1999999999999993</v>
      </c>
      <c r="V6925">
        <v>400</v>
      </c>
      <c r="W6925" t="s">
        <v>28</v>
      </c>
      <c r="X6925">
        <v>21.618466666666666</v>
      </c>
      <c r="Y6925">
        <v>5.8630197938718727</v>
      </c>
    </row>
    <row r="6926" spans="1:25" x14ac:dyDescent="0.2">
      <c r="A6926" t="s">
        <v>801</v>
      </c>
      <c r="B6926">
        <v>2017</v>
      </c>
      <c r="C6926" t="s">
        <v>826</v>
      </c>
      <c r="D6926" t="s">
        <v>824</v>
      </c>
      <c r="E6926" t="s">
        <v>114</v>
      </c>
      <c r="F6926" t="s">
        <v>679</v>
      </c>
      <c r="G6926">
        <v>37.1</v>
      </c>
      <c r="H6926">
        <v>122.55</v>
      </c>
      <c r="J6926" s="2" t="s">
        <v>5</v>
      </c>
      <c r="K6926" t="s">
        <v>144</v>
      </c>
      <c r="L6926" t="s">
        <v>144</v>
      </c>
      <c r="M6926" t="s">
        <v>73</v>
      </c>
      <c r="N6926" t="s">
        <v>85</v>
      </c>
      <c r="O6926" t="s">
        <v>146</v>
      </c>
      <c r="P6926" t="s">
        <v>78</v>
      </c>
      <c r="Q6926">
        <v>14</v>
      </c>
      <c r="R6926" s="2" t="s">
        <v>214</v>
      </c>
      <c r="S6926" t="s">
        <v>9</v>
      </c>
      <c r="T6926">
        <v>3</v>
      </c>
      <c r="U6926">
        <v>7.98</v>
      </c>
      <c r="V6926">
        <v>700</v>
      </c>
      <c r="W6926" t="s">
        <v>28</v>
      </c>
      <c r="X6926">
        <v>25.086733333333331</v>
      </c>
      <c r="Y6926">
        <v>4.0047324072069479</v>
      </c>
    </row>
    <row r="6927" spans="1:25" x14ac:dyDescent="0.2">
      <c r="A6927" t="s">
        <v>801</v>
      </c>
      <c r="B6927">
        <v>2017</v>
      </c>
      <c r="C6927" t="s">
        <v>826</v>
      </c>
      <c r="D6927" t="s">
        <v>824</v>
      </c>
      <c r="E6927" t="s">
        <v>114</v>
      </c>
      <c r="F6927" t="s">
        <v>679</v>
      </c>
      <c r="G6927">
        <v>37.1</v>
      </c>
      <c r="H6927">
        <v>122.55</v>
      </c>
      <c r="J6927" s="2" t="s">
        <v>5</v>
      </c>
      <c r="K6927" t="s">
        <v>144</v>
      </c>
      <c r="L6927" t="s">
        <v>144</v>
      </c>
      <c r="M6927" t="s">
        <v>73</v>
      </c>
      <c r="N6927" t="s">
        <v>85</v>
      </c>
      <c r="O6927" t="s">
        <v>146</v>
      </c>
      <c r="P6927" t="s">
        <v>78</v>
      </c>
      <c r="Q6927">
        <v>14</v>
      </c>
      <c r="R6927" s="2" t="s">
        <v>214</v>
      </c>
      <c r="S6927" t="s">
        <v>27</v>
      </c>
      <c r="T6927">
        <v>3</v>
      </c>
      <c r="U6927">
        <v>7.86</v>
      </c>
      <c r="V6927">
        <v>1000</v>
      </c>
      <c r="W6927" t="s">
        <v>28</v>
      </c>
      <c r="X6927">
        <v>19.075166666666664</v>
      </c>
      <c r="Y6927">
        <v>6.6692436642645916</v>
      </c>
    </row>
    <row r="6928" spans="1:25" x14ac:dyDescent="0.2">
      <c r="A6928" t="s">
        <v>801</v>
      </c>
      <c r="B6928">
        <v>2017</v>
      </c>
      <c r="C6928" t="s">
        <v>826</v>
      </c>
      <c r="D6928" t="s">
        <v>824</v>
      </c>
      <c r="E6928" t="s">
        <v>114</v>
      </c>
      <c r="F6928" t="s">
        <v>679</v>
      </c>
      <c r="G6928">
        <v>37.1</v>
      </c>
      <c r="H6928">
        <v>122.55</v>
      </c>
      <c r="J6928" s="2" t="s">
        <v>5</v>
      </c>
      <c r="K6928" t="s">
        <v>144</v>
      </c>
      <c r="L6928" t="s">
        <v>144</v>
      </c>
      <c r="M6928" t="s">
        <v>73</v>
      </c>
      <c r="N6928" t="s">
        <v>85</v>
      </c>
      <c r="O6928" t="s">
        <v>146</v>
      </c>
      <c r="P6928" t="s">
        <v>78</v>
      </c>
      <c r="Q6928">
        <v>14</v>
      </c>
      <c r="R6928" s="2" t="s">
        <v>214</v>
      </c>
      <c r="S6928" t="s">
        <v>13</v>
      </c>
      <c r="T6928">
        <v>3</v>
      </c>
      <c r="U6928">
        <v>7.68</v>
      </c>
      <c r="V6928">
        <v>1500</v>
      </c>
      <c r="W6928" t="s">
        <v>28</v>
      </c>
      <c r="X6928">
        <v>20.308266666666665</v>
      </c>
      <c r="Y6928">
        <v>0.26696676447328227</v>
      </c>
    </row>
    <row r="6929" spans="1:25" x14ac:dyDescent="0.2">
      <c r="A6929" t="s">
        <v>801</v>
      </c>
      <c r="B6929">
        <v>2017</v>
      </c>
      <c r="C6929" t="s">
        <v>826</v>
      </c>
      <c r="D6929" t="s">
        <v>824</v>
      </c>
      <c r="E6929" t="s">
        <v>114</v>
      </c>
      <c r="F6929" t="s">
        <v>679</v>
      </c>
      <c r="G6929">
        <v>37.1</v>
      </c>
      <c r="H6929">
        <v>122.55</v>
      </c>
      <c r="J6929" s="2" t="s">
        <v>5</v>
      </c>
      <c r="K6929" t="s">
        <v>144</v>
      </c>
      <c r="L6929" t="s">
        <v>144</v>
      </c>
      <c r="M6929" t="s">
        <v>73</v>
      </c>
      <c r="N6929" t="s">
        <v>85</v>
      </c>
      <c r="O6929" t="s">
        <v>146</v>
      </c>
      <c r="P6929" t="s">
        <v>78</v>
      </c>
      <c r="Q6929">
        <v>14</v>
      </c>
      <c r="R6929" s="2" t="s">
        <v>214</v>
      </c>
      <c r="S6929" t="s">
        <v>15</v>
      </c>
      <c r="T6929">
        <v>3</v>
      </c>
      <c r="U6929">
        <v>7.53</v>
      </c>
      <c r="V6929">
        <v>2000</v>
      </c>
      <c r="W6929" t="s">
        <v>28</v>
      </c>
      <c r="X6929">
        <v>19.075166666666664</v>
      </c>
      <c r="Y6929">
        <v>0.80095802844676767</v>
      </c>
    </row>
    <row r="6930" spans="1:25" x14ac:dyDescent="0.2">
      <c r="A6930" t="s">
        <v>801</v>
      </c>
      <c r="B6930">
        <v>2017</v>
      </c>
      <c r="C6930" t="s">
        <v>826</v>
      </c>
      <c r="D6930" t="s">
        <v>824</v>
      </c>
      <c r="E6930" t="s">
        <v>114</v>
      </c>
      <c r="F6930" t="s">
        <v>679</v>
      </c>
      <c r="G6930">
        <v>37.1</v>
      </c>
      <c r="H6930">
        <v>122.55</v>
      </c>
      <c r="J6930" s="2" t="s">
        <v>7</v>
      </c>
      <c r="K6930" t="s">
        <v>144</v>
      </c>
      <c r="L6930" t="s">
        <v>144</v>
      </c>
      <c r="M6930" t="s">
        <v>73</v>
      </c>
      <c r="N6930" t="s">
        <v>85</v>
      </c>
      <c r="O6930" t="s">
        <v>146</v>
      </c>
      <c r="P6930" t="s">
        <v>78</v>
      </c>
      <c r="Q6930">
        <v>21</v>
      </c>
      <c r="R6930" s="2" t="s">
        <v>214</v>
      </c>
      <c r="S6930" t="s">
        <v>7</v>
      </c>
      <c r="T6930">
        <v>3</v>
      </c>
      <c r="U6930">
        <v>8.1999999999999993</v>
      </c>
      <c r="V6930">
        <v>400</v>
      </c>
      <c r="W6930" t="s">
        <v>28</v>
      </c>
      <c r="X6930">
        <v>19.5349</v>
      </c>
      <c r="Y6930">
        <v>0.46509999999999962</v>
      </c>
    </row>
    <row r="6931" spans="1:25" x14ac:dyDescent="0.2">
      <c r="A6931" t="s">
        <v>801</v>
      </c>
      <c r="B6931">
        <v>2017</v>
      </c>
      <c r="C6931" t="s">
        <v>826</v>
      </c>
      <c r="D6931" t="s">
        <v>824</v>
      </c>
      <c r="E6931" t="s">
        <v>114</v>
      </c>
      <c r="F6931" t="s">
        <v>679</v>
      </c>
      <c r="G6931">
        <v>37.1</v>
      </c>
      <c r="H6931">
        <v>122.55</v>
      </c>
      <c r="J6931" s="2" t="s">
        <v>5</v>
      </c>
      <c r="K6931" t="s">
        <v>144</v>
      </c>
      <c r="L6931" t="s">
        <v>144</v>
      </c>
      <c r="M6931" t="s">
        <v>73</v>
      </c>
      <c r="N6931" t="s">
        <v>85</v>
      </c>
      <c r="O6931" t="s">
        <v>146</v>
      </c>
      <c r="P6931" t="s">
        <v>78</v>
      </c>
      <c r="Q6931">
        <v>21</v>
      </c>
      <c r="R6931" s="2" t="s">
        <v>214</v>
      </c>
      <c r="S6931" t="s">
        <v>9</v>
      </c>
      <c r="T6931">
        <v>3</v>
      </c>
      <c r="U6931">
        <v>7.98</v>
      </c>
      <c r="V6931">
        <v>700</v>
      </c>
      <c r="W6931" t="s">
        <v>28</v>
      </c>
      <c r="X6931">
        <v>33.100766666666665</v>
      </c>
      <c r="Y6931">
        <v>1.5484768074896478</v>
      </c>
    </row>
    <row r="6932" spans="1:25" x14ac:dyDescent="0.2">
      <c r="A6932" t="s">
        <v>801</v>
      </c>
      <c r="B6932">
        <v>2017</v>
      </c>
      <c r="C6932" t="s">
        <v>826</v>
      </c>
      <c r="D6932" t="s">
        <v>824</v>
      </c>
      <c r="E6932" t="s">
        <v>114</v>
      </c>
      <c r="F6932" t="s">
        <v>679</v>
      </c>
      <c r="G6932">
        <v>37.1</v>
      </c>
      <c r="H6932">
        <v>122.55</v>
      </c>
      <c r="J6932" s="2" t="s">
        <v>5</v>
      </c>
      <c r="K6932" t="s">
        <v>144</v>
      </c>
      <c r="L6932" t="s">
        <v>144</v>
      </c>
      <c r="M6932" t="s">
        <v>73</v>
      </c>
      <c r="N6932" t="s">
        <v>85</v>
      </c>
      <c r="O6932" t="s">
        <v>146</v>
      </c>
      <c r="P6932" t="s">
        <v>78</v>
      </c>
      <c r="Q6932">
        <v>21</v>
      </c>
      <c r="R6932" s="2" t="s">
        <v>214</v>
      </c>
      <c r="S6932" t="s">
        <v>27</v>
      </c>
      <c r="T6932">
        <v>3</v>
      </c>
      <c r="U6932">
        <v>7.86</v>
      </c>
      <c r="V6932">
        <v>1000</v>
      </c>
      <c r="W6932" t="s">
        <v>28</v>
      </c>
      <c r="X6932">
        <v>25.426366666666667</v>
      </c>
      <c r="Y6932">
        <v>0.53705122040019149</v>
      </c>
    </row>
    <row r="6933" spans="1:25" x14ac:dyDescent="0.2">
      <c r="A6933" t="s">
        <v>801</v>
      </c>
      <c r="B6933">
        <v>2017</v>
      </c>
      <c r="C6933" t="s">
        <v>826</v>
      </c>
      <c r="D6933" t="s">
        <v>824</v>
      </c>
      <c r="E6933" t="s">
        <v>114</v>
      </c>
      <c r="F6933" t="s">
        <v>679</v>
      </c>
      <c r="G6933">
        <v>37.1</v>
      </c>
      <c r="H6933">
        <v>122.55</v>
      </c>
      <c r="J6933" s="2" t="s">
        <v>5</v>
      </c>
      <c r="K6933" t="s">
        <v>144</v>
      </c>
      <c r="L6933" t="s">
        <v>144</v>
      </c>
      <c r="M6933" t="s">
        <v>73</v>
      </c>
      <c r="N6933" t="s">
        <v>85</v>
      </c>
      <c r="O6933" t="s">
        <v>146</v>
      </c>
      <c r="P6933" t="s">
        <v>78</v>
      </c>
      <c r="Q6933">
        <v>21</v>
      </c>
      <c r="R6933" s="2" t="s">
        <v>214</v>
      </c>
      <c r="S6933" t="s">
        <v>13</v>
      </c>
      <c r="T6933">
        <v>3</v>
      </c>
      <c r="U6933">
        <v>7.68</v>
      </c>
      <c r="V6933">
        <v>1500</v>
      </c>
      <c r="W6933" t="s">
        <v>28</v>
      </c>
      <c r="X6933">
        <v>14.883766666666666</v>
      </c>
      <c r="Y6933">
        <v>1.6112113962274883</v>
      </c>
    </row>
    <row r="6934" spans="1:25" x14ac:dyDescent="0.2">
      <c r="A6934" t="s">
        <v>801</v>
      </c>
      <c r="B6934">
        <v>2017</v>
      </c>
      <c r="C6934" t="s">
        <v>826</v>
      </c>
      <c r="D6934" t="s">
        <v>824</v>
      </c>
      <c r="E6934" t="s">
        <v>114</v>
      </c>
      <c r="F6934" t="s">
        <v>679</v>
      </c>
      <c r="G6934">
        <v>37.1</v>
      </c>
      <c r="H6934">
        <v>122.55</v>
      </c>
      <c r="J6934" s="2" t="s">
        <v>5</v>
      </c>
      <c r="K6934" t="s">
        <v>144</v>
      </c>
      <c r="L6934" t="s">
        <v>144</v>
      </c>
      <c r="M6934" t="s">
        <v>73</v>
      </c>
      <c r="N6934" t="s">
        <v>85</v>
      </c>
      <c r="O6934" t="s">
        <v>146</v>
      </c>
      <c r="P6934" t="s">
        <v>78</v>
      </c>
      <c r="Q6934">
        <v>21</v>
      </c>
      <c r="R6934" s="2" t="s">
        <v>214</v>
      </c>
      <c r="S6934" t="s">
        <v>15</v>
      </c>
      <c r="T6934">
        <v>3</v>
      </c>
      <c r="U6934">
        <v>7.53</v>
      </c>
      <c r="V6934">
        <v>2000</v>
      </c>
      <c r="W6934" t="s">
        <v>28</v>
      </c>
      <c r="X6934">
        <v>12.4031</v>
      </c>
      <c r="Y6934">
        <v>0.96823890130483814</v>
      </c>
    </row>
    <row r="6935" spans="1:25" x14ac:dyDescent="0.2">
      <c r="A6935" t="s">
        <v>801</v>
      </c>
      <c r="B6935">
        <v>2017</v>
      </c>
      <c r="C6935" t="s">
        <v>826</v>
      </c>
      <c r="D6935" t="s">
        <v>824</v>
      </c>
      <c r="E6935" t="s">
        <v>114</v>
      </c>
      <c r="F6935" t="s">
        <v>679</v>
      </c>
      <c r="G6935">
        <v>37.1</v>
      </c>
      <c r="H6935">
        <v>122.55</v>
      </c>
      <c r="J6935" s="2" t="s">
        <v>7</v>
      </c>
      <c r="K6935" t="s">
        <v>144</v>
      </c>
      <c r="L6935" t="s">
        <v>144</v>
      </c>
      <c r="M6935" t="s">
        <v>73</v>
      </c>
      <c r="N6935" t="s">
        <v>85</v>
      </c>
      <c r="O6935" t="s">
        <v>146</v>
      </c>
      <c r="P6935" t="s">
        <v>78</v>
      </c>
      <c r="Q6935">
        <v>28</v>
      </c>
      <c r="R6935" s="2" t="s">
        <v>213</v>
      </c>
      <c r="S6935" t="s">
        <v>7</v>
      </c>
      <c r="T6935">
        <v>3</v>
      </c>
      <c r="U6935">
        <v>8.1999999999999993</v>
      </c>
      <c r="V6935">
        <v>400</v>
      </c>
      <c r="W6935" t="s">
        <v>28</v>
      </c>
      <c r="X6935">
        <v>15.529400000000001</v>
      </c>
      <c r="Y6935">
        <v>0.84838621511667578</v>
      </c>
    </row>
    <row r="6936" spans="1:25" x14ac:dyDescent="0.2">
      <c r="A6936" t="s">
        <v>801</v>
      </c>
      <c r="B6936">
        <v>2017</v>
      </c>
      <c r="C6936" t="s">
        <v>826</v>
      </c>
      <c r="D6936" t="s">
        <v>824</v>
      </c>
      <c r="E6936" t="s">
        <v>114</v>
      </c>
      <c r="F6936" t="s">
        <v>679</v>
      </c>
      <c r="G6936">
        <v>37.1</v>
      </c>
      <c r="H6936">
        <v>122.55</v>
      </c>
      <c r="J6936" s="2" t="s">
        <v>5</v>
      </c>
      <c r="K6936" t="s">
        <v>144</v>
      </c>
      <c r="L6936" t="s">
        <v>144</v>
      </c>
      <c r="M6936" t="s">
        <v>73</v>
      </c>
      <c r="N6936" t="s">
        <v>85</v>
      </c>
      <c r="O6936" t="s">
        <v>146</v>
      </c>
      <c r="P6936" t="s">
        <v>78</v>
      </c>
      <c r="Q6936">
        <v>28</v>
      </c>
      <c r="R6936" s="2" t="s">
        <v>213</v>
      </c>
      <c r="S6936" t="s">
        <v>9</v>
      </c>
      <c r="T6936">
        <v>3</v>
      </c>
      <c r="U6936">
        <v>7.98</v>
      </c>
      <c r="V6936">
        <v>700</v>
      </c>
      <c r="W6936" t="s">
        <v>28</v>
      </c>
      <c r="X6936">
        <v>20.862766666666669</v>
      </c>
      <c r="Y6936">
        <v>0.27170103668063844</v>
      </c>
    </row>
    <row r="6937" spans="1:25" x14ac:dyDescent="0.2">
      <c r="A6937" t="s">
        <v>801</v>
      </c>
      <c r="B6937">
        <v>2017</v>
      </c>
      <c r="C6937" t="s">
        <v>826</v>
      </c>
      <c r="D6937" t="s">
        <v>824</v>
      </c>
      <c r="E6937" t="s">
        <v>114</v>
      </c>
      <c r="F6937" t="s">
        <v>679</v>
      </c>
      <c r="G6937">
        <v>37.1</v>
      </c>
      <c r="H6937">
        <v>122.55</v>
      </c>
      <c r="J6937" s="2" t="s">
        <v>5</v>
      </c>
      <c r="K6937" t="s">
        <v>144</v>
      </c>
      <c r="L6937" t="s">
        <v>144</v>
      </c>
      <c r="M6937" t="s">
        <v>73</v>
      </c>
      <c r="N6937" t="s">
        <v>85</v>
      </c>
      <c r="O6937" t="s">
        <v>146</v>
      </c>
      <c r="P6937" t="s">
        <v>78</v>
      </c>
      <c r="Q6937">
        <v>28</v>
      </c>
      <c r="R6937" s="2" t="s">
        <v>213</v>
      </c>
      <c r="S6937" t="s">
        <v>27</v>
      </c>
      <c r="T6937">
        <v>3</v>
      </c>
      <c r="U6937">
        <v>7.86</v>
      </c>
      <c r="V6937">
        <v>1000</v>
      </c>
      <c r="W6937" t="s">
        <v>28</v>
      </c>
      <c r="X6937" s="3"/>
      <c r="Y6937" s="3"/>
    </row>
    <row r="6938" spans="1:25" x14ac:dyDescent="0.2">
      <c r="A6938" t="s">
        <v>801</v>
      </c>
      <c r="B6938">
        <v>2017</v>
      </c>
      <c r="C6938" t="s">
        <v>826</v>
      </c>
      <c r="D6938" t="s">
        <v>824</v>
      </c>
      <c r="E6938" t="s">
        <v>114</v>
      </c>
      <c r="F6938" t="s">
        <v>679</v>
      </c>
      <c r="G6938">
        <v>37.1</v>
      </c>
      <c r="H6938">
        <v>122.55</v>
      </c>
      <c r="J6938" s="2" t="s">
        <v>5</v>
      </c>
      <c r="K6938" t="s">
        <v>144</v>
      </c>
      <c r="L6938" t="s">
        <v>144</v>
      </c>
      <c r="M6938" t="s">
        <v>73</v>
      </c>
      <c r="N6938" t="s">
        <v>85</v>
      </c>
      <c r="O6938" t="s">
        <v>146</v>
      </c>
      <c r="P6938" t="s">
        <v>78</v>
      </c>
      <c r="Q6938">
        <v>28</v>
      </c>
      <c r="R6938" s="2" t="s">
        <v>213</v>
      </c>
      <c r="S6938" t="s">
        <v>13</v>
      </c>
      <c r="T6938">
        <v>3</v>
      </c>
      <c r="U6938">
        <v>7.68</v>
      </c>
      <c r="V6938">
        <v>1500</v>
      </c>
      <c r="W6938" t="s">
        <v>28</v>
      </c>
      <c r="X6938">
        <v>14.431366666666667</v>
      </c>
      <c r="Y6938">
        <v>1.4942979667165897</v>
      </c>
    </row>
    <row r="6939" spans="1:25" x14ac:dyDescent="0.2">
      <c r="A6939" t="s">
        <v>801</v>
      </c>
      <c r="B6939">
        <v>2017</v>
      </c>
      <c r="C6939" t="s">
        <v>826</v>
      </c>
      <c r="D6939" t="s">
        <v>824</v>
      </c>
      <c r="E6939" t="s">
        <v>114</v>
      </c>
      <c r="F6939" t="s">
        <v>679</v>
      </c>
      <c r="G6939">
        <v>37.1</v>
      </c>
      <c r="H6939">
        <v>122.55</v>
      </c>
      <c r="J6939" s="2" t="s">
        <v>5</v>
      </c>
      <c r="K6939" t="s">
        <v>144</v>
      </c>
      <c r="L6939" t="s">
        <v>144</v>
      </c>
      <c r="M6939" t="s">
        <v>73</v>
      </c>
      <c r="N6939" t="s">
        <v>85</v>
      </c>
      <c r="O6939" t="s">
        <v>146</v>
      </c>
      <c r="P6939" t="s">
        <v>78</v>
      </c>
      <c r="Q6939">
        <v>28</v>
      </c>
      <c r="R6939" s="2" t="s">
        <v>213</v>
      </c>
      <c r="S6939" t="s">
        <v>15</v>
      </c>
      <c r="T6939">
        <v>3</v>
      </c>
      <c r="U6939">
        <v>7.53</v>
      </c>
      <c r="V6939">
        <v>2000</v>
      </c>
      <c r="W6939" t="s">
        <v>28</v>
      </c>
      <c r="X6939">
        <v>13.019599999999999</v>
      </c>
      <c r="Y6939">
        <v>1.9018536457887574</v>
      </c>
    </row>
    <row r="6940" spans="1:25" x14ac:dyDescent="0.2">
      <c r="A6940" t="s">
        <v>801</v>
      </c>
      <c r="B6940">
        <v>2017</v>
      </c>
      <c r="C6940" t="s">
        <v>807</v>
      </c>
      <c r="D6940" t="s">
        <v>825</v>
      </c>
      <c r="E6940" t="s">
        <v>35</v>
      </c>
      <c r="F6940" t="s">
        <v>679</v>
      </c>
      <c r="G6940">
        <v>37.1</v>
      </c>
      <c r="H6940">
        <v>122.55</v>
      </c>
      <c r="J6940" s="2" t="s">
        <v>7</v>
      </c>
      <c r="K6940" t="s">
        <v>144</v>
      </c>
      <c r="L6940" t="s">
        <v>144</v>
      </c>
      <c r="M6940" t="s">
        <v>73</v>
      </c>
      <c r="N6940" t="s">
        <v>85</v>
      </c>
      <c r="O6940" t="s">
        <v>146</v>
      </c>
      <c r="P6940" t="s">
        <v>78</v>
      </c>
      <c r="Q6940">
        <v>7</v>
      </c>
      <c r="R6940" s="2" t="s">
        <v>214</v>
      </c>
      <c r="S6940" t="s">
        <v>7</v>
      </c>
      <c r="T6940">
        <v>3</v>
      </c>
      <c r="U6940">
        <v>8.1999999999999993</v>
      </c>
      <c r="V6940">
        <v>400</v>
      </c>
      <c r="W6940" t="s">
        <v>28</v>
      </c>
      <c r="X6940">
        <v>9.1329333333333338</v>
      </c>
      <c r="Y6940">
        <v>0.92485000045052368</v>
      </c>
    </row>
    <row r="6941" spans="1:25" x14ac:dyDescent="0.2">
      <c r="A6941" t="s">
        <v>801</v>
      </c>
      <c r="B6941">
        <v>2017</v>
      </c>
      <c r="C6941" t="s">
        <v>807</v>
      </c>
      <c r="D6941" t="s">
        <v>825</v>
      </c>
      <c r="E6941" t="s">
        <v>35</v>
      </c>
      <c r="F6941" t="s">
        <v>679</v>
      </c>
      <c r="G6941">
        <v>37.1</v>
      </c>
      <c r="H6941">
        <v>122.55</v>
      </c>
      <c r="J6941" s="2" t="s">
        <v>5</v>
      </c>
      <c r="K6941" t="s">
        <v>144</v>
      </c>
      <c r="L6941" t="s">
        <v>144</v>
      </c>
      <c r="M6941" t="s">
        <v>73</v>
      </c>
      <c r="N6941" t="s">
        <v>85</v>
      </c>
      <c r="O6941" t="s">
        <v>146</v>
      </c>
      <c r="P6941" t="s">
        <v>78</v>
      </c>
      <c r="Q6941">
        <v>7</v>
      </c>
      <c r="R6941" s="2" t="s">
        <v>214</v>
      </c>
      <c r="S6941" t="s">
        <v>9</v>
      </c>
      <c r="T6941">
        <v>3</v>
      </c>
      <c r="U6941">
        <v>7.98</v>
      </c>
      <c r="V6941">
        <v>700</v>
      </c>
      <c r="W6941" t="s">
        <v>28</v>
      </c>
      <c r="X6941">
        <v>19.4605</v>
      </c>
      <c r="Y6941">
        <v>0.9626184031068602</v>
      </c>
    </row>
    <row r="6942" spans="1:25" x14ac:dyDescent="0.2">
      <c r="A6942" t="s">
        <v>801</v>
      </c>
      <c r="B6942">
        <v>2017</v>
      </c>
      <c r="C6942" t="s">
        <v>807</v>
      </c>
      <c r="D6942" t="s">
        <v>825</v>
      </c>
      <c r="E6942" t="s">
        <v>35</v>
      </c>
      <c r="F6942" t="s">
        <v>679</v>
      </c>
      <c r="G6942">
        <v>37.1</v>
      </c>
      <c r="H6942">
        <v>122.55</v>
      </c>
      <c r="J6942" s="2" t="s">
        <v>5</v>
      </c>
      <c r="K6942" t="s">
        <v>144</v>
      </c>
      <c r="L6942" t="s">
        <v>144</v>
      </c>
      <c r="M6942" t="s">
        <v>73</v>
      </c>
      <c r="N6942" t="s">
        <v>85</v>
      </c>
      <c r="O6942" t="s">
        <v>146</v>
      </c>
      <c r="P6942" t="s">
        <v>78</v>
      </c>
      <c r="Q6942">
        <v>7</v>
      </c>
      <c r="R6942" s="2" t="s">
        <v>214</v>
      </c>
      <c r="S6942" t="s">
        <v>27</v>
      </c>
      <c r="T6942">
        <v>3</v>
      </c>
      <c r="U6942">
        <v>7.86</v>
      </c>
      <c r="V6942">
        <v>1000</v>
      </c>
      <c r="W6942" t="s">
        <v>28</v>
      </c>
      <c r="X6942" s="3"/>
      <c r="Y6942" s="3"/>
    </row>
    <row r="6943" spans="1:25" x14ac:dyDescent="0.2">
      <c r="A6943" t="s">
        <v>801</v>
      </c>
      <c r="B6943">
        <v>2017</v>
      </c>
      <c r="C6943" t="s">
        <v>807</v>
      </c>
      <c r="D6943" t="s">
        <v>825</v>
      </c>
      <c r="E6943" t="s">
        <v>35</v>
      </c>
      <c r="F6943" t="s">
        <v>679</v>
      </c>
      <c r="G6943">
        <v>37.1</v>
      </c>
      <c r="H6943">
        <v>122.55</v>
      </c>
      <c r="J6943" s="2" t="s">
        <v>5</v>
      </c>
      <c r="K6943" t="s">
        <v>144</v>
      </c>
      <c r="L6943" t="s">
        <v>144</v>
      </c>
      <c r="M6943" t="s">
        <v>73</v>
      </c>
      <c r="N6943" t="s">
        <v>85</v>
      </c>
      <c r="O6943" t="s">
        <v>146</v>
      </c>
      <c r="P6943" t="s">
        <v>78</v>
      </c>
      <c r="Q6943">
        <v>7</v>
      </c>
      <c r="R6943" s="2" t="s">
        <v>214</v>
      </c>
      <c r="S6943" t="s">
        <v>13</v>
      </c>
      <c r="T6943">
        <v>3</v>
      </c>
      <c r="U6943">
        <v>7.68</v>
      </c>
      <c r="V6943">
        <v>1500</v>
      </c>
      <c r="W6943" t="s">
        <v>28</v>
      </c>
      <c r="X6943" s="3"/>
      <c r="Y6943" s="3"/>
    </row>
    <row r="6944" spans="1:25" x14ac:dyDescent="0.2">
      <c r="A6944" t="s">
        <v>801</v>
      </c>
      <c r="B6944">
        <v>2017</v>
      </c>
      <c r="C6944" t="s">
        <v>807</v>
      </c>
      <c r="D6944" t="s">
        <v>825</v>
      </c>
      <c r="E6944" t="s">
        <v>35</v>
      </c>
      <c r="F6944" t="s">
        <v>679</v>
      </c>
      <c r="G6944">
        <v>37.1</v>
      </c>
      <c r="H6944">
        <v>122.55</v>
      </c>
      <c r="J6944" s="2" t="s">
        <v>5</v>
      </c>
      <c r="K6944" t="s">
        <v>144</v>
      </c>
      <c r="L6944" t="s">
        <v>144</v>
      </c>
      <c r="M6944" t="s">
        <v>73</v>
      </c>
      <c r="N6944" t="s">
        <v>85</v>
      </c>
      <c r="O6944" t="s">
        <v>146</v>
      </c>
      <c r="P6944" t="s">
        <v>78</v>
      </c>
      <c r="Q6944">
        <v>7</v>
      </c>
      <c r="R6944" s="2" t="s">
        <v>214</v>
      </c>
      <c r="S6944" t="s">
        <v>15</v>
      </c>
      <c r="T6944">
        <v>3</v>
      </c>
      <c r="U6944">
        <v>7.53</v>
      </c>
      <c r="V6944">
        <v>2000</v>
      </c>
      <c r="W6944" t="s">
        <v>28</v>
      </c>
      <c r="X6944" s="3"/>
      <c r="Y6944" s="3"/>
    </row>
    <row r="6945" spans="1:25" x14ac:dyDescent="0.2">
      <c r="A6945" t="s">
        <v>801</v>
      </c>
      <c r="B6945">
        <v>2017</v>
      </c>
      <c r="C6945" t="s">
        <v>807</v>
      </c>
      <c r="D6945" t="s">
        <v>825</v>
      </c>
      <c r="E6945" t="s">
        <v>35</v>
      </c>
      <c r="F6945" t="s">
        <v>679</v>
      </c>
      <c r="G6945">
        <v>37.1</v>
      </c>
      <c r="H6945">
        <v>122.55</v>
      </c>
      <c r="J6945" s="2" t="s">
        <v>7</v>
      </c>
      <c r="K6945" t="s">
        <v>144</v>
      </c>
      <c r="L6945" t="s">
        <v>144</v>
      </c>
      <c r="M6945" t="s">
        <v>73</v>
      </c>
      <c r="N6945" t="s">
        <v>85</v>
      </c>
      <c r="O6945" t="s">
        <v>146</v>
      </c>
      <c r="P6945" t="s">
        <v>78</v>
      </c>
      <c r="Q6945">
        <v>14</v>
      </c>
      <c r="R6945" s="2" t="s">
        <v>214</v>
      </c>
      <c r="S6945" t="s">
        <v>7</v>
      </c>
      <c r="T6945">
        <v>3</v>
      </c>
      <c r="U6945">
        <v>8.1999999999999993</v>
      </c>
      <c r="V6945">
        <v>400</v>
      </c>
      <c r="W6945" t="s">
        <v>28</v>
      </c>
      <c r="X6945">
        <v>19.075166666666664</v>
      </c>
      <c r="Y6945">
        <v>1.2234521009558712</v>
      </c>
    </row>
    <row r="6946" spans="1:25" x14ac:dyDescent="0.2">
      <c r="A6946" t="s">
        <v>801</v>
      </c>
      <c r="B6946">
        <v>2017</v>
      </c>
      <c r="C6946" t="s">
        <v>807</v>
      </c>
      <c r="D6946" t="s">
        <v>825</v>
      </c>
      <c r="E6946" t="s">
        <v>35</v>
      </c>
      <c r="F6946" t="s">
        <v>679</v>
      </c>
      <c r="G6946">
        <v>37.1</v>
      </c>
      <c r="H6946">
        <v>122.55</v>
      </c>
      <c r="J6946" s="2" t="s">
        <v>5</v>
      </c>
      <c r="K6946" t="s">
        <v>144</v>
      </c>
      <c r="L6946" t="s">
        <v>144</v>
      </c>
      <c r="M6946" t="s">
        <v>73</v>
      </c>
      <c r="N6946" t="s">
        <v>85</v>
      </c>
      <c r="O6946" t="s">
        <v>146</v>
      </c>
      <c r="P6946" t="s">
        <v>78</v>
      </c>
      <c r="Q6946">
        <v>14</v>
      </c>
      <c r="R6946" s="2" t="s">
        <v>214</v>
      </c>
      <c r="S6946" t="s">
        <v>9</v>
      </c>
      <c r="T6946">
        <v>3</v>
      </c>
      <c r="U6946">
        <v>7.98</v>
      </c>
      <c r="V6946">
        <v>700</v>
      </c>
      <c r="W6946" t="s">
        <v>28</v>
      </c>
      <c r="X6946">
        <v>23.391133333333332</v>
      </c>
      <c r="Y6946">
        <v>3.0789836380424735</v>
      </c>
    </row>
    <row r="6947" spans="1:25" x14ac:dyDescent="0.2">
      <c r="A6947" t="s">
        <v>801</v>
      </c>
      <c r="B6947">
        <v>2017</v>
      </c>
      <c r="C6947" t="s">
        <v>807</v>
      </c>
      <c r="D6947" t="s">
        <v>825</v>
      </c>
      <c r="E6947" t="s">
        <v>35</v>
      </c>
      <c r="F6947" t="s">
        <v>679</v>
      </c>
      <c r="G6947">
        <v>37.1</v>
      </c>
      <c r="H6947">
        <v>122.55</v>
      </c>
      <c r="J6947" s="2" t="s">
        <v>5</v>
      </c>
      <c r="K6947" t="s">
        <v>144</v>
      </c>
      <c r="L6947" t="s">
        <v>144</v>
      </c>
      <c r="M6947" t="s">
        <v>73</v>
      </c>
      <c r="N6947" t="s">
        <v>85</v>
      </c>
      <c r="O6947" t="s">
        <v>146</v>
      </c>
      <c r="P6947" t="s">
        <v>78</v>
      </c>
      <c r="Q6947">
        <v>14</v>
      </c>
      <c r="R6947" s="2" t="s">
        <v>214</v>
      </c>
      <c r="S6947" t="s">
        <v>27</v>
      </c>
      <c r="T6947">
        <v>3</v>
      </c>
      <c r="U6947">
        <v>7.86</v>
      </c>
      <c r="V6947">
        <v>1000</v>
      </c>
      <c r="W6947" t="s">
        <v>28</v>
      </c>
      <c r="X6947">
        <v>13.6031</v>
      </c>
      <c r="Y6947">
        <v>1.9391051879668642</v>
      </c>
    </row>
    <row r="6948" spans="1:25" x14ac:dyDescent="0.2">
      <c r="A6948" t="s">
        <v>801</v>
      </c>
      <c r="B6948">
        <v>2017</v>
      </c>
      <c r="C6948" t="s">
        <v>807</v>
      </c>
      <c r="D6948" t="s">
        <v>825</v>
      </c>
      <c r="E6948" t="s">
        <v>35</v>
      </c>
      <c r="F6948" t="s">
        <v>679</v>
      </c>
      <c r="G6948">
        <v>37.1</v>
      </c>
      <c r="H6948">
        <v>122.55</v>
      </c>
      <c r="J6948" s="2" t="s">
        <v>5</v>
      </c>
      <c r="K6948" t="s">
        <v>144</v>
      </c>
      <c r="L6948" t="s">
        <v>144</v>
      </c>
      <c r="M6948" t="s">
        <v>73</v>
      </c>
      <c r="N6948" t="s">
        <v>85</v>
      </c>
      <c r="O6948" t="s">
        <v>146</v>
      </c>
      <c r="P6948" t="s">
        <v>78</v>
      </c>
      <c r="Q6948">
        <v>14</v>
      </c>
      <c r="R6948" s="2" t="s">
        <v>214</v>
      </c>
      <c r="S6948" t="s">
        <v>13</v>
      </c>
      <c r="T6948">
        <v>3</v>
      </c>
      <c r="U6948">
        <v>7.68</v>
      </c>
      <c r="V6948">
        <v>1500</v>
      </c>
      <c r="W6948" t="s">
        <v>28</v>
      </c>
      <c r="X6948">
        <v>10.443200000000001</v>
      </c>
      <c r="Y6948">
        <v>1.8688828213668143</v>
      </c>
    </row>
    <row r="6949" spans="1:25" x14ac:dyDescent="0.2">
      <c r="A6949" t="s">
        <v>801</v>
      </c>
      <c r="B6949">
        <v>2017</v>
      </c>
      <c r="C6949" t="s">
        <v>807</v>
      </c>
      <c r="D6949" t="s">
        <v>825</v>
      </c>
      <c r="E6949" t="s">
        <v>35</v>
      </c>
      <c r="F6949" t="s">
        <v>679</v>
      </c>
      <c r="G6949">
        <v>37.1</v>
      </c>
      <c r="H6949">
        <v>122.55</v>
      </c>
      <c r="J6949" s="2" t="s">
        <v>5</v>
      </c>
      <c r="K6949" t="s">
        <v>144</v>
      </c>
      <c r="L6949" t="s">
        <v>144</v>
      </c>
      <c r="M6949" t="s">
        <v>73</v>
      </c>
      <c r="N6949" t="s">
        <v>85</v>
      </c>
      <c r="O6949" t="s">
        <v>146</v>
      </c>
      <c r="P6949" t="s">
        <v>78</v>
      </c>
      <c r="Q6949">
        <v>14</v>
      </c>
      <c r="R6949" s="2" t="s">
        <v>214</v>
      </c>
      <c r="S6949" t="s">
        <v>15</v>
      </c>
      <c r="T6949">
        <v>3</v>
      </c>
      <c r="U6949">
        <v>7.53</v>
      </c>
      <c r="V6949">
        <v>2000</v>
      </c>
      <c r="W6949" t="s">
        <v>28</v>
      </c>
      <c r="X6949">
        <v>8.7476000000000003</v>
      </c>
      <c r="Y6949">
        <v>0.5339912639734854</v>
      </c>
    </row>
    <row r="6950" spans="1:25" x14ac:dyDescent="0.2">
      <c r="A6950" t="s">
        <v>801</v>
      </c>
      <c r="B6950">
        <v>2017</v>
      </c>
      <c r="C6950" t="s">
        <v>807</v>
      </c>
      <c r="D6950" t="s">
        <v>825</v>
      </c>
      <c r="E6950" t="s">
        <v>35</v>
      </c>
      <c r="F6950" t="s">
        <v>679</v>
      </c>
      <c r="G6950">
        <v>37.1</v>
      </c>
      <c r="H6950">
        <v>122.55</v>
      </c>
      <c r="J6950" s="2" t="s">
        <v>7</v>
      </c>
      <c r="K6950" t="s">
        <v>144</v>
      </c>
      <c r="L6950" t="s">
        <v>144</v>
      </c>
      <c r="M6950" t="s">
        <v>73</v>
      </c>
      <c r="N6950" t="s">
        <v>85</v>
      </c>
      <c r="O6950" t="s">
        <v>146</v>
      </c>
      <c r="P6950" t="s">
        <v>78</v>
      </c>
      <c r="Q6950">
        <v>21</v>
      </c>
      <c r="R6950" s="2" t="s">
        <v>214</v>
      </c>
      <c r="S6950" t="s">
        <v>7</v>
      </c>
      <c r="T6950">
        <v>3</v>
      </c>
      <c r="U6950">
        <v>8.1999999999999993</v>
      </c>
      <c r="V6950">
        <v>400</v>
      </c>
      <c r="W6950" t="s">
        <v>28</v>
      </c>
      <c r="X6950">
        <v>18.4496</v>
      </c>
      <c r="Y6950">
        <v>0.96823890130483858</v>
      </c>
    </row>
    <row r="6951" spans="1:25" x14ac:dyDescent="0.2">
      <c r="A6951" t="s">
        <v>801</v>
      </c>
      <c r="B6951">
        <v>2017</v>
      </c>
      <c r="C6951" t="s">
        <v>807</v>
      </c>
      <c r="D6951" t="s">
        <v>825</v>
      </c>
      <c r="E6951" t="s">
        <v>35</v>
      </c>
      <c r="F6951" t="s">
        <v>679</v>
      </c>
      <c r="G6951">
        <v>37.1</v>
      </c>
      <c r="H6951">
        <v>122.55</v>
      </c>
      <c r="J6951" s="2" t="s">
        <v>5</v>
      </c>
      <c r="K6951" t="s">
        <v>144</v>
      </c>
      <c r="L6951" t="s">
        <v>144</v>
      </c>
      <c r="M6951" t="s">
        <v>73</v>
      </c>
      <c r="N6951" t="s">
        <v>85</v>
      </c>
      <c r="O6951" t="s">
        <v>146</v>
      </c>
      <c r="P6951" t="s">
        <v>78</v>
      </c>
      <c r="Q6951">
        <v>21</v>
      </c>
      <c r="R6951" s="2" t="s">
        <v>214</v>
      </c>
      <c r="S6951" t="s">
        <v>9</v>
      </c>
      <c r="T6951">
        <v>3</v>
      </c>
      <c r="U6951">
        <v>7.98</v>
      </c>
      <c r="V6951">
        <v>700</v>
      </c>
      <c r="W6951" t="s">
        <v>28</v>
      </c>
      <c r="X6951">
        <v>25.348833333333332</v>
      </c>
      <c r="Y6951">
        <v>2.5581500001628776</v>
      </c>
    </row>
    <row r="6952" spans="1:25" x14ac:dyDescent="0.2">
      <c r="A6952" t="s">
        <v>801</v>
      </c>
      <c r="B6952">
        <v>2017</v>
      </c>
      <c r="C6952" t="s">
        <v>807</v>
      </c>
      <c r="D6952" t="s">
        <v>825</v>
      </c>
      <c r="E6952" t="s">
        <v>35</v>
      </c>
      <c r="F6952" t="s">
        <v>679</v>
      </c>
      <c r="G6952">
        <v>37.1</v>
      </c>
      <c r="H6952">
        <v>122.55</v>
      </c>
      <c r="J6952" s="2" t="s">
        <v>5</v>
      </c>
      <c r="K6952" t="s">
        <v>144</v>
      </c>
      <c r="L6952" t="s">
        <v>144</v>
      </c>
      <c r="M6952" t="s">
        <v>73</v>
      </c>
      <c r="N6952" t="s">
        <v>85</v>
      </c>
      <c r="O6952" t="s">
        <v>146</v>
      </c>
      <c r="P6952" t="s">
        <v>78</v>
      </c>
      <c r="Q6952">
        <v>21</v>
      </c>
      <c r="R6952" s="2" t="s">
        <v>214</v>
      </c>
      <c r="S6952" t="s">
        <v>27</v>
      </c>
      <c r="T6952">
        <v>3</v>
      </c>
      <c r="U6952">
        <v>7.86</v>
      </c>
      <c r="V6952">
        <v>1000</v>
      </c>
      <c r="W6952" t="s">
        <v>28</v>
      </c>
      <c r="X6952">
        <v>18.294566666666668</v>
      </c>
      <c r="Y6952">
        <v>1.6334297240265141</v>
      </c>
    </row>
    <row r="6953" spans="1:25" x14ac:dyDescent="0.2">
      <c r="A6953" t="s">
        <v>801</v>
      </c>
      <c r="B6953">
        <v>2017</v>
      </c>
      <c r="C6953" t="s">
        <v>807</v>
      </c>
      <c r="D6953" t="s">
        <v>825</v>
      </c>
      <c r="E6953" t="s">
        <v>35</v>
      </c>
      <c r="F6953" t="s">
        <v>679</v>
      </c>
      <c r="G6953">
        <v>37.1</v>
      </c>
      <c r="H6953">
        <v>122.55</v>
      </c>
      <c r="J6953" s="2" t="s">
        <v>5</v>
      </c>
      <c r="K6953" t="s">
        <v>144</v>
      </c>
      <c r="L6953" t="s">
        <v>144</v>
      </c>
      <c r="M6953" t="s">
        <v>73</v>
      </c>
      <c r="N6953" t="s">
        <v>85</v>
      </c>
      <c r="O6953" t="s">
        <v>146</v>
      </c>
      <c r="P6953" t="s">
        <v>78</v>
      </c>
      <c r="Q6953">
        <v>21</v>
      </c>
      <c r="R6953" s="2" t="s">
        <v>214</v>
      </c>
      <c r="S6953" t="s">
        <v>13</v>
      </c>
      <c r="T6953">
        <v>3</v>
      </c>
      <c r="U6953">
        <v>7.68</v>
      </c>
      <c r="V6953">
        <v>1500</v>
      </c>
      <c r="W6953" t="s">
        <v>28</v>
      </c>
      <c r="X6953">
        <v>15.193800000000001</v>
      </c>
      <c r="Y6953">
        <v>0.96823890130483814</v>
      </c>
    </row>
    <row r="6954" spans="1:25" x14ac:dyDescent="0.2">
      <c r="A6954" t="s">
        <v>801</v>
      </c>
      <c r="B6954">
        <v>2017</v>
      </c>
      <c r="C6954" t="s">
        <v>807</v>
      </c>
      <c r="D6954" t="s">
        <v>825</v>
      </c>
      <c r="E6954" t="s">
        <v>35</v>
      </c>
      <c r="F6954" t="s">
        <v>679</v>
      </c>
      <c r="G6954">
        <v>37.1</v>
      </c>
      <c r="H6954">
        <v>122.55</v>
      </c>
      <c r="J6954" s="2" t="s">
        <v>5</v>
      </c>
      <c r="K6954" t="s">
        <v>144</v>
      </c>
      <c r="L6954" t="s">
        <v>144</v>
      </c>
      <c r="M6954" t="s">
        <v>73</v>
      </c>
      <c r="N6954" t="s">
        <v>85</v>
      </c>
      <c r="O6954" t="s">
        <v>146</v>
      </c>
      <c r="P6954" t="s">
        <v>78</v>
      </c>
      <c r="Q6954">
        <v>21</v>
      </c>
      <c r="R6954" s="2" t="s">
        <v>214</v>
      </c>
      <c r="S6954" t="s">
        <v>15</v>
      </c>
      <c r="T6954">
        <v>3</v>
      </c>
      <c r="U6954">
        <v>7.53</v>
      </c>
      <c r="V6954">
        <v>2000</v>
      </c>
      <c r="W6954" t="s">
        <v>28</v>
      </c>
      <c r="X6954">
        <v>12.868200000000002</v>
      </c>
      <c r="Y6954">
        <v>0.53710895542710935</v>
      </c>
    </row>
    <row r="6955" spans="1:25" x14ac:dyDescent="0.2">
      <c r="A6955" t="s">
        <v>801</v>
      </c>
      <c r="B6955">
        <v>2017</v>
      </c>
      <c r="C6955" t="s">
        <v>807</v>
      </c>
      <c r="D6955" t="s">
        <v>825</v>
      </c>
      <c r="E6955" t="s">
        <v>35</v>
      </c>
      <c r="F6955" t="s">
        <v>679</v>
      </c>
      <c r="G6955">
        <v>37.1</v>
      </c>
      <c r="H6955">
        <v>122.55</v>
      </c>
      <c r="J6955" s="2" t="s">
        <v>7</v>
      </c>
      <c r="K6955" t="s">
        <v>144</v>
      </c>
      <c r="L6955" t="s">
        <v>144</v>
      </c>
      <c r="M6955" t="s">
        <v>73</v>
      </c>
      <c r="N6955" t="s">
        <v>85</v>
      </c>
      <c r="O6955" t="s">
        <v>146</v>
      </c>
      <c r="P6955" t="s">
        <v>78</v>
      </c>
      <c r="Q6955">
        <v>28</v>
      </c>
      <c r="R6955" s="2" t="s">
        <v>213</v>
      </c>
      <c r="S6955" t="s">
        <v>7</v>
      </c>
      <c r="T6955">
        <v>3</v>
      </c>
      <c r="U6955">
        <v>8.1999999999999993</v>
      </c>
      <c r="V6955">
        <v>400</v>
      </c>
      <c r="W6955" t="s">
        <v>28</v>
      </c>
      <c r="X6955">
        <v>17.568600000000004</v>
      </c>
      <c r="Y6955">
        <v>1.3584474483762714</v>
      </c>
    </row>
    <row r="6956" spans="1:25" x14ac:dyDescent="0.2">
      <c r="A6956" t="s">
        <v>801</v>
      </c>
      <c r="B6956">
        <v>2017</v>
      </c>
      <c r="C6956" t="s">
        <v>807</v>
      </c>
      <c r="D6956" t="s">
        <v>825</v>
      </c>
      <c r="E6956" t="s">
        <v>35</v>
      </c>
      <c r="F6956" t="s">
        <v>679</v>
      </c>
      <c r="G6956">
        <v>37.1</v>
      </c>
      <c r="H6956">
        <v>122.55</v>
      </c>
      <c r="J6956" s="2" t="s">
        <v>5</v>
      </c>
      <c r="K6956" t="s">
        <v>144</v>
      </c>
      <c r="L6956" t="s">
        <v>144</v>
      </c>
      <c r="M6956" t="s">
        <v>73</v>
      </c>
      <c r="N6956" t="s">
        <v>85</v>
      </c>
      <c r="O6956" t="s">
        <v>146</v>
      </c>
      <c r="P6956" t="s">
        <v>78</v>
      </c>
      <c r="Q6956">
        <v>28</v>
      </c>
      <c r="R6956" s="2" t="s">
        <v>213</v>
      </c>
      <c r="S6956" t="s">
        <v>9</v>
      </c>
      <c r="T6956">
        <v>3</v>
      </c>
      <c r="U6956">
        <v>7.98</v>
      </c>
      <c r="V6956">
        <v>700</v>
      </c>
      <c r="W6956" t="s">
        <v>28</v>
      </c>
      <c r="X6956">
        <v>21.960800000000003</v>
      </c>
      <c r="Y6956">
        <v>0.97957597459308976</v>
      </c>
    </row>
    <row r="6957" spans="1:25" x14ac:dyDescent="0.2">
      <c r="A6957" t="s">
        <v>801</v>
      </c>
      <c r="B6957">
        <v>2017</v>
      </c>
      <c r="C6957" t="s">
        <v>807</v>
      </c>
      <c r="D6957" t="s">
        <v>825</v>
      </c>
      <c r="E6957" t="s">
        <v>35</v>
      </c>
      <c r="F6957" t="s">
        <v>679</v>
      </c>
      <c r="G6957">
        <v>37.1</v>
      </c>
      <c r="H6957">
        <v>122.55</v>
      </c>
      <c r="J6957" s="2" t="s">
        <v>5</v>
      </c>
      <c r="K6957" t="s">
        <v>144</v>
      </c>
      <c r="L6957" t="s">
        <v>144</v>
      </c>
      <c r="M6957" t="s">
        <v>73</v>
      </c>
      <c r="N6957" t="s">
        <v>85</v>
      </c>
      <c r="O6957" t="s">
        <v>146</v>
      </c>
      <c r="P6957" t="s">
        <v>78</v>
      </c>
      <c r="Q6957">
        <v>28</v>
      </c>
      <c r="R6957" s="2" t="s">
        <v>213</v>
      </c>
      <c r="S6957" t="s">
        <v>27</v>
      </c>
      <c r="T6957">
        <v>3</v>
      </c>
      <c r="U6957">
        <v>7.86</v>
      </c>
      <c r="V6957">
        <v>1000</v>
      </c>
      <c r="W6957" t="s">
        <v>28</v>
      </c>
      <c r="X6957">
        <v>18.509799999999998</v>
      </c>
      <c r="Y6957">
        <v>0.9795759745930892</v>
      </c>
    </row>
    <row r="6958" spans="1:25" x14ac:dyDescent="0.2">
      <c r="A6958" t="s">
        <v>801</v>
      </c>
      <c r="B6958">
        <v>2017</v>
      </c>
      <c r="C6958" t="s">
        <v>807</v>
      </c>
      <c r="D6958" t="s">
        <v>825</v>
      </c>
      <c r="E6958" t="s">
        <v>35</v>
      </c>
      <c r="F6958" t="s">
        <v>679</v>
      </c>
      <c r="G6958">
        <v>37.1</v>
      </c>
      <c r="H6958">
        <v>122.55</v>
      </c>
      <c r="J6958" s="2" t="s">
        <v>5</v>
      </c>
      <c r="K6958" t="s">
        <v>144</v>
      </c>
      <c r="L6958" t="s">
        <v>144</v>
      </c>
      <c r="M6958" t="s">
        <v>73</v>
      </c>
      <c r="N6958" t="s">
        <v>85</v>
      </c>
      <c r="O6958" t="s">
        <v>146</v>
      </c>
      <c r="P6958" t="s">
        <v>78</v>
      </c>
      <c r="Q6958">
        <v>28</v>
      </c>
      <c r="R6958" s="2" t="s">
        <v>213</v>
      </c>
      <c r="S6958" t="s">
        <v>13</v>
      </c>
      <c r="T6958">
        <v>3</v>
      </c>
      <c r="U6958">
        <v>7.68</v>
      </c>
      <c r="V6958">
        <v>1500</v>
      </c>
      <c r="W6958" t="s">
        <v>28</v>
      </c>
      <c r="X6958">
        <v>19.843166666666665</v>
      </c>
      <c r="Y6958">
        <v>1.7970788806653233</v>
      </c>
    </row>
    <row r="6959" spans="1:25" x14ac:dyDescent="0.2">
      <c r="A6959" t="s">
        <v>801</v>
      </c>
      <c r="B6959">
        <v>2017</v>
      </c>
      <c r="C6959" t="s">
        <v>807</v>
      </c>
      <c r="D6959" t="s">
        <v>825</v>
      </c>
      <c r="E6959" t="s">
        <v>35</v>
      </c>
      <c r="F6959" t="s">
        <v>679</v>
      </c>
      <c r="G6959">
        <v>37.1</v>
      </c>
      <c r="H6959">
        <v>122.55</v>
      </c>
      <c r="J6959" s="2" t="s">
        <v>5</v>
      </c>
      <c r="K6959" t="s">
        <v>144</v>
      </c>
      <c r="L6959" t="s">
        <v>144</v>
      </c>
      <c r="M6959" t="s">
        <v>73</v>
      </c>
      <c r="N6959" t="s">
        <v>85</v>
      </c>
      <c r="O6959" t="s">
        <v>146</v>
      </c>
      <c r="P6959" t="s">
        <v>78</v>
      </c>
      <c r="Q6959">
        <v>28</v>
      </c>
      <c r="R6959" s="2" t="s">
        <v>213</v>
      </c>
      <c r="S6959" t="s">
        <v>15</v>
      </c>
      <c r="T6959">
        <v>3</v>
      </c>
      <c r="U6959">
        <v>7.53</v>
      </c>
      <c r="V6959">
        <v>2000</v>
      </c>
      <c r="W6959" t="s">
        <v>28</v>
      </c>
      <c r="X6959">
        <v>14.274466666666667</v>
      </c>
      <c r="Y6959">
        <v>0.27170103668063844</v>
      </c>
    </row>
    <row r="6960" spans="1:25" x14ac:dyDescent="0.2">
      <c r="A6960" t="s">
        <v>801</v>
      </c>
      <c r="B6960">
        <v>2017</v>
      </c>
      <c r="C6960" t="s">
        <v>816</v>
      </c>
      <c r="D6960" t="s">
        <v>820</v>
      </c>
      <c r="E6960" t="s">
        <v>34</v>
      </c>
      <c r="F6960" t="s">
        <v>802</v>
      </c>
      <c r="G6960">
        <v>31.55</v>
      </c>
      <c r="H6960">
        <v>-116.4</v>
      </c>
      <c r="J6960" s="2" t="s">
        <v>7</v>
      </c>
      <c r="K6960" t="s">
        <v>95</v>
      </c>
      <c r="L6960" t="s">
        <v>143</v>
      </c>
      <c r="M6960" t="s">
        <v>172</v>
      </c>
      <c r="N6960" t="s">
        <v>86</v>
      </c>
      <c r="O6960" t="s">
        <v>62</v>
      </c>
      <c r="P6960" t="s">
        <v>78</v>
      </c>
      <c r="Q6960">
        <v>7</v>
      </c>
      <c r="R6960" s="2" t="s">
        <v>214</v>
      </c>
      <c r="S6960" t="s">
        <v>7</v>
      </c>
      <c r="T6960">
        <v>3</v>
      </c>
      <c r="U6960">
        <v>8.1999999999999993</v>
      </c>
      <c r="V6960">
        <v>400</v>
      </c>
      <c r="W6960" t="s">
        <v>28</v>
      </c>
      <c r="X6960" s="3"/>
      <c r="Y6960" s="3"/>
    </row>
    <row r="6961" spans="1:25" x14ac:dyDescent="0.2">
      <c r="A6961" t="s">
        <v>801</v>
      </c>
      <c r="B6961">
        <v>2017</v>
      </c>
      <c r="C6961" t="s">
        <v>816</v>
      </c>
      <c r="D6961" t="s">
        <v>820</v>
      </c>
      <c r="E6961" t="s">
        <v>34</v>
      </c>
      <c r="F6961" t="s">
        <v>802</v>
      </c>
      <c r="G6961">
        <v>31.55</v>
      </c>
      <c r="H6961">
        <v>-116.4</v>
      </c>
      <c r="J6961" s="2" t="s">
        <v>5</v>
      </c>
      <c r="K6961" t="s">
        <v>95</v>
      </c>
      <c r="L6961" t="s">
        <v>143</v>
      </c>
      <c r="M6961" t="s">
        <v>172</v>
      </c>
      <c r="N6961" t="s">
        <v>86</v>
      </c>
      <c r="O6961" t="s">
        <v>62</v>
      </c>
      <c r="P6961" t="s">
        <v>78</v>
      </c>
      <c r="Q6961">
        <v>7</v>
      </c>
      <c r="R6961" s="2" t="s">
        <v>214</v>
      </c>
      <c r="S6961" t="s">
        <v>9</v>
      </c>
      <c r="T6961">
        <v>3</v>
      </c>
      <c r="U6961">
        <v>7.98</v>
      </c>
      <c r="V6961">
        <v>700</v>
      </c>
      <c r="W6961" t="s">
        <v>28</v>
      </c>
      <c r="X6961" s="3"/>
      <c r="Y6961" s="3"/>
    </row>
    <row r="6962" spans="1:25" x14ac:dyDescent="0.2">
      <c r="A6962" t="s">
        <v>801</v>
      </c>
      <c r="B6962">
        <v>2017</v>
      </c>
      <c r="C6962" t="s">
        <v>816</v>
      </c>
      <c r="D6962" t="s">
        <v>820</v>
      </c>
      <c r="E6962" t="s">
        <v>34</v>
      </c>
      <c r="F6962" t="s">
        <v>802</v>
      </c>
      <c r="G6962">
        <v>31.55</v>
      </c>
      <c r="H6962">
        <v>-116.4</v>
      </c>
      <c r="J6962" s="2" t="s">
        <v>5</v>
      </c>
      <c r="K6962" t="s">
        <v>95</v>
      </c>
      <c r="L6962" t="s">
        <v>143</v>
      </c>
      <c r="M6962" t="s">
        <v>172</v>
      </c>
      <c r="N6962" t="s">
        <v>86</v>
      </c>
      <c r="O6962" t="s">
        <v>62</v>
      </c>
      <c r="P6962" t="s">
        <v>78</v>
      </c>
      <c r="Q6962">
        <v>7</v>
      </c>
      <c r="R6962" s="2" t="s">
        <v>214</v>
      </c>
      <c r="S6962" t="s">
        <v>27</v>
      </c>
      <c r="T6962">
        <v>3</v>
      </c>
      <c r="U6962">
        <v>7.86</v>
      </c>
      <c r="V6962">
        <v>1000</v>
      </c>
      <c r="W6962" t="s">
        <v>28</v>
      </c>
      <c r="X6962" s="3"/>
      <c r="Y6962" s="3"/>
    </row>
    <row r="6963" spans="1:25" x14ac:dyDescent="0.2">
      <c r="A6963" t="s">
        <v>801</v>
      </c>
      <c r="B6963">
        <v>2017</v>
      </c>
      <c r="C6963" t="s">
        <v>816</v>
      </c>
      <c r="D6963" t="s">
        <v>820</v>
      </c>
      <c r="E6963" t="s">
        <v>34</v>
      </c>
      <c r="F6963" t="s">
        <v>802</v>
      </c>
      <c r="G6963">
        <v>31.55</v>
      </c>
      <c r="H6963">
        <v>-116.4</v>
      </c>
      <c r="J6963" s="2" t="s">
        <v>5</v>
      </c>
      <c r="K6963" t="s">
        <v>95</v>
      </c>
      <c r="L6963" t="s">
        <v>143</v>
      </c>
      <c r="M6963" t="s">
        <v>172</v>
      </c>
      <c r="N6963" t="s">
        <v>86</v>
      </c>
      <c r="O6963" t="s">
        <v>62</v>
      </c>
      <c r="P6963" t="s">
        <v>78</v>
      </c>
      <c r="Q6963">
        <v>7</v>
      </c>
      <c r="R6963" s="2" t="s">
        <v>214</v>
      </c>
      <c r="S6963" t="s">
        <v>13</v>
      </c>
      <c r="T6963">
        <v>3</v>
      </c>
      <c r="U6963">
        <v>7.68</v>
      </c>
      <c r="V6963">
        <v>1500</v>
      </c>
      <c r="W6963" t="s">
        <v>28</v>
      </c>
      <c r="X6963" s="3"/>
      <c r="Y6963" s="3"/>
    </row>
    <row r="6964" spans="1:25" x14ac:dyDescent="0.2">
      <c r="A6964" t="s">
        <v>801</v>
      </c>
      <c r="B6964">
        <v>2017</v>
      </c>
      <c r="C6964" t="s">
        <v>816</v>
      </c>
      <c r="D6964" t="s">
        <v>820</v>
      </c>
      <c r="E6964" t="s">
        <v>34</v>
      </c>
      <c r="F6964" t="s">
        <v>802</v>
      </c>
      <c r="G6964">
        <v>31.55</v>
      </c>
      <c r="H6964">
        <v>-116.4</v>
      </c>
      <c r="J6964" s="2" t="s">
        <v>5</v>
      </c>
      <c r="K6964" t="s">
        <v>95</v>
      </c>
      <c r="L6964" t="s">
        <v>143</v>
      </c>
      <c r="M6964" t="s">
        <v>172</v>
      </c>
      <c r="N6964" t="s">
        <v>86</v>
      </c>
      <c r="O6964" t="s">
        <v>62</v>
      </c>
      <c r="P6964" t="s">
        <v>78</v>
      </c>
      <c r="Q6964">
        <v>7</v>
      </c>
      <c r="R6964" s="2" t="s">
        <v>214</v>
      </c>
      <c r="S6964" t="s">
        <v>15</v>
      </c>
      <c r="T6964">
        <v>3</v>
      </c>
      <c r="U6964">
        <v>7.53</v>
      </c>
      <c r="V6964">
        <v>2000</v>
      </c>
      <c r="W6964" t="s">
        <v>28</v>
      </c>
      <c r="X6964" s="3"/>
      <c r="Y6964" s="3"/>
    </row>
    <row r="6965" spans="1:25" x14ac:dyDescent="0.2">
      <c r="A6965" t="s">
        <v>801</v>
      </c>
      <c r="B6965">
        <v>2017</v>
      </c>
      <c r="C6965" t="s">
        <v>816</v>
      </c>
      <c r="D6965" t="s">
        <v>820</v>
      </c>
      <c r="E6965" t="s">
        <v>34</v>
      </c>
      <c r="F6965" t="s">
        <v>802</v>
      </c>
      <c r="G6965">
        <v>31.55</v>
      </c>
      <c r="H6965">
        <v>-116.4</v>
      </c>
      <c r="J6965" s="2" t="s">
        <v>7</v>
      </c>
      <c r="K6965" t="s">
        <v>95</v>
      </c>
      <c r="L6965" t="s">
        <v>143</v>
      </c>
      <c r="M6965" t="s">
        <v>172</v>
      </c>
      <c r="N6965" t="s">
        <v>86</v>
      </c>
      <c r="O6965" t="s">
        <v>62</v>
      </c>
      <c r="P6965" t="s">
        <v>78</v>
      </c>
      <c r="Q6965">
        <v>14</v>
      </c>
      <c r="R6965" s="2" t="s">
        <v>214</v>
      </c>
      <c r="S6965" t="s">
        <v>7</v>
      </c>
      <c r="T6965">
        <v>3</v>
      </c>
      <c r="U6965">
        <v>8.1999999999999993</v>
      </c>
      <c r="V6965">
        <v>400</v>
      </c>
      <c r="W6965" t="s">
        <v>28</v>
      </c>
      <c r="X6965" s="3"/>
      <c r="Y6965" s="3"/>
    </row>
    <row r="6966" spans="1:25" x14ac:dyDescent="0.2">
      <c r="A6966" t="s">
        <v>801</v>
      </c>
      <c r="B6966">
        <v>2017</v>
      </c>
      <c r="C6966" t="s">
        <v>816</v>
      </c>
      <c r="D6966" t="s">
        <v>820</v>
      </c>
      <c r="E6966" t="s">
        <v>34</v>
      </c>
      <c r="F6966" t="s">
        <v>802</v>
      </c>
      <c r="G6966">
        <v>31.55</v>
      </c>
      <c r="H6966">
        <v>-116.4</v>
      </c>
      <c r="J6966" s="2" t="s">
        <v>5</v>
      </c>
      <c r="K6966" t="s">
        <v>95</v>
      </c>
      <c r="L6966" t="s">
        <v>143</v>
      </c>
      <c r="M6966" t="s">
        <v>172</v>
      </c>
      <c r="N6966" t="s">
        <v>86</v>
      </c>
      <c r="O6966" t="s">
        <v>62</v>
      </c>
      <c r="P6966" t="s">
        <v>78</v>
      </c>
      <c r="Q6966">
        <v>14</v>
      </c>
      <c r="R6966" s="2" t="s">
        <v>214</v>
      </c>
      <c r="S6966" t="s">
        <v>9</v>
      </c>
      <c r="T6966">
        <v>3</v>
      </c>
      <c r="U6966">
        <v>7.98</v>
      </c>
      <c r="V6966">
        <v>700</v>
      </c>
      <c r="W6966" t="s">
        <v>28</v>
      </c>
      <c r="X6966" s="3"/>
      <c r="Y6966" s="3"/>
    </row>
    <row r="6967" spans="1:25" x14ac:dyDescent="0.2">
      <c r="A6967" t="s">
        <v>801</v>
      </c>
      <c r="B6967">
        <v>2017</v>
      </c>
      <c r="C6967" t="s">
        <v>816</v>
      </c>
      <c r="D6967" t="s">
        <v>820</v>
      </c>
      <c r="E6967" t="s">
        <v>34</v>
      </c>
      <c r="F6967" t="s">
        <v>802</v>
      </c>
      <c r="G6967">
        <v>31.55</v>
      </c>
      <c r="H6967">
        <v>-116.4</v>
      </c>
      <c r="J6967" s="2" t="s">
        <v>5</v>
      </c>
      <c r="K6967" t="s">
        <v>95</v>
      </c>
      <c r="L6967" t="s">
        <v>143</v>
      </c>
      <c r="M6967" t="s">
        <v>172</v>
      </c>
      <c r="N6967" t="s">
        <v>86</v>
      </c>
      <c r="O6967" t="s">
        <v>62</v>
      </c>
      <c r="P6967" t="s">
        <v>78</v>
      </c>
      <c r="Q6967">
        <v>14</v>
      </c>
      <c r="R6967" s="2" t="s">
        <v>214</v>
      </c>
      <c r="S6967" t="s">
        <v>27</v>
      </c>
      <c r="T6967">
        <v>3</v>
      </c>
      <c r="U6967">
        <v>7.86</v>
      </c>
      <c r="V6967">
        <v>1000</v>
      </c>
      <c r="W6967" t="s">
        <v>28</v>
      </c>
      <c r="X6967" s="3"/>
      <c r="Y6967" s="3"/>
    </row>
    <row r="6968" spans="1:25" x14ac:dyDescent="0.2">
      <c r="A6968" t="s">
        <v>801</v>
      </c>
      <c r="B6968">
        <v>2017</v>
      </c>
      <c r="C6968" t="s">
        <v>816</v>
      </c>
      <c r="D6968" t="s">
        <v>820</v>
      </c>
      <c r="E6968" t="s">
        <v>34</v>
      </c>
      <c r="F6968" t="s">
        <v>802</v>
      </c>
      <c r="G6968">
        <v>31.55</v>
      </c>
      <c r="H6968">
        <v>-116.4</v>
      </c>
      <c r="J6968" s="2" t="s">
        <v>5</v>
      </c>
      <c r="K6968" t="s">
        <v>95</v>
      </c>
      <c r="L6968" t="s">
        <v>143</v>
      </c>
      <c r="M6968" t="s">
        <v>172</v>
      </c>
      <c r="N6968" t="s">
        <v>86</v>
      </c>
      <c r="O6968" t="s">
        <v>62</v>
      </c>
      <c r="P6968" t="s">
        <v>78</v>
      </c>
      <c r="Q6968">
        <v>14</v>
      </c>
      <c r="R6968" s="2" t="s">
        <v>214</v>
      </c>
      <c r="S6968" t="s">
        <v>13</v>
      </c>
      <c r="T6968">
        <v>3</v>
      </c>
      <c r="U6968">
        <v>7.68</v>
      </c>
      <c r="V6968">
        <v>1500</v>
      </c>
      <c r="W6968" t="s">
        <v>28</v>
      </c>
      <c r="X6968" s="3">
        <v>1.5752999999999997</v>
      </c>
      <c r="Y6968" s="3">
        <v>6.8500000000000005E-2</v>
      </c>
    </row>
    <row r="6969" spans="1:25" x14ac:dyDescent="0.2">
      <c r="A6969" t="s">
        <v>801</v>
      </c>
      <c r="B6969">
        <v>2017</v>
      </c>
      <c r="C6969" t="s">
        <v>816</v>
      </c>
      <c r="D6969" t="s">
        <v>820</v>
      </c>
      <c r="E6969" t="s">
        <v>34</v>
      </c>
      <c r="F6969" t="s">
        <v>802</v>
      </c>
      <c r="G6969">
        <v>31.55</v>
      </c>
      <c r="H6969">
        <v>-116.4</v>
      </c>
      <c r="J6969" s="2" t="s">
        <v>5</v>
      </c>
      <c r="K6969" t="s">
        <v>95</v>
      </c>
      <c r="L6969" t="s">
        <v>143</v>
      </c>
      <c r="M6969" t="s">
        <v>172</v>
      </c>
      <c r="N6969" t="s">
        <v>86</v>
      </c>
      <c r="O6969" t="s">
        <v>62</v>
      </c>
      <c r="P6969" t="s">
        <v>78</v>
      </c>
      <c r="Q6969">
        <v>14</v>
      </c>
      <c r="R6969" s="2" t="s">
        <v>214</v>
      </c>
      <c r="S6969" t="s">
        <v>15</v>
      </c>
      <c r="T6969">
        <v>3</v>
      </c>
      <c r="U6969">
        <v>7.53</v>
      </c>
      <c r="V6969">
        <v>2000</v>
      </c>
      <c r="W6969" t="s">
        <v>28</v>
      </c>
      <c r="X6969" s="3"/>
      <c r="Y6969" s="3"/>
    </row>
    <row r="6970" spans="1:25" x14ac:dyDescent="0.2">
      <c r="A6970" t="s">
        <v>801</v>
      </c>
      <c r="B6970">
        <v>2017</v>
      </c>
      <c r="C6970" t="s">
        <v>816</v>
      </c>
      <c r="D6970" t="s">
        <v>820</v>
      </c>
      <c r="E6970" t="s">
        <v>34</v>
      </c>
      <c r="F6970" t="s">
        <v>802</v>
      </c>
      <c r="G6970">
        <v>31.55</v>
      </c>
      <c r="H6970">
        <v>-116.4</v>
      </c>
      <c r="J6970" s="2" t="s">
        <v>7</v>
      </c>
      <c r="K6970" t="s">
        <v>95</v>
      </c>
      <c r="L6970" t="s">
        <v>143</v>
      </c>
      <c r="M6970" t="s">
        <v>172</v>
      </c>
      <c r="N6970" t="s">
        <v>86</v>
      </c>
      <c r="O6970" t="s">
        <v>62</v>
      </c>
      <c r="P6970" t="s">
        <v>78</v>
      </c>
      <c r="Q6970">
        <v>21</v>
      </c>
      <c r="R6970" s="2" t="s">
        <v>214</v>
      </c>
      <c r="S6970" t="s">
        <v>7</v>
      </c>
      <c r="T6970">
        <v>3</v>
      </c>
      <c r="U6970">
        <v>8.1999999999999993</v>
      </c>
      <c r="V6970">
        <v>400</v>
      </c>
      <c r="W6970" t="s">
        <v>28</v>
      </c>
      <c r="X6970" s="3">
        <v>1.6044999999999998</v>
      </c>
      <c r="Y6970" s="3">
        <v>0.24050690218786044</v>
      </c>
    </row>
    <row r="6971" spans="1:25" x14ac:dyDescent="0.2">
      <c r="A6971" t="s">
        <v>801</v>
      </c>
      <c r="B6971">
        <v>2017</v>
      </c>
      <c r="C6971" t="s">
        <v>816</v>
      </c>
      <c r="D6971" t="s">
        <v>820</v>
      </c>
      <c r="E6971" t="s">
        <v>34</v>
      </c>
      <c r="F6971" t="s">
        <v>802</v>
      </c>
      <c r="G6971">
        <v>31.55</v>
      </c>
      <c r="H6971">
        <v>-116.4</v>
      </c>
      <c r="J6971" s="2" t="s">
        <v>5</v>
      </c>
      <c r="K6971" t="s">
        <v>95</v>
      </c>
      <c r="L6971" t="s">
        <v>143</v>
      </c>
      <c r="M6971" t="s">
        <v>172</v>
      </c>
      <c r="N6971" t="s">
        <v>86</v>
      </c>
      <c r="O6971" t="s">
        <v>62</v>
      </c>
      <c r="P6971" t="s">
        <v>78</v>
      </c>
      <c r="Q6971">
        <v>21</v>
      </c>
      <c r="R6971" s="2" t="s">
        <v>214</v>
      </c>
      <c r="S6971" t="s">
        <v>9</v>
      </c>
      <c r="T6971">
        <v>3</v>
      </c>
      <c r="U6971">
        <v>7.98</v>
      </c>
      <c r="V6971">
        <v>700</v>
      </c>
      <c r="W6971" t="s">
        <v>28</v>
      </c>
      <c r="X6971" s="3">
        <v>2.5989</v>
      </c>
      <c r="Y6971" s="3">
        <v>0.30384185031032168</v>
      </c>
    </row>
    <row r="6972" spans="1:25" x14ac:dyDescent="0.2">
      <c r="A6972" t="s">
        <v>801</v>
      </c>
      <c r="B6972">
        <v>2017</v>
      </c>
      <c r="C6972" t="s">
        <v>816</v>
      </c>
      <c r="D6972" t="s">
        <v>820</v>
      </c>
      <c r="E6972" t="s">
        <v>34</v>
      </c>
      <c r="F6972" t="s">
        <v>802</v>
      </c>
      <c r="G6972">
        <v>31.55</v>
      </c>
      <c r="H6972">
        <v>-116.4</v>
      </c>
      <c r="J6972" s="2" t="s">
        <v>5</v>
      </c>
      <c r="K6972" t="s">
        <v>95</v>
      </c>
      <c r="L6972" t="s">
        <v>143</v>
      </c>
      <c r="M6972" t="s">
        <v>172</v>
      </c>
      <c r="N6972" t="s">
        <v>86</v>
      </c>
      <c r="O6972" t="s">
        <v>62</v>
      </c>
      <c r="P6972" t="s">
        <v>78</v>
      </c>
      <c r="Q6972">
        <v>21</v>
      </c>
      <c r="R6972" s="2" t="s">
        <v>214</v>
      </c>
      <c r="S6972" t="s">
        <v>27</v>
      </c>
      <c r="T6972">
        <v>3</v>
      </c>
      <c r="U6972">
        <v>7.86</v>
      </c>
      <c r="V6972">
        <v>1000</v>
      </c>
      <c r="W6972" t="s">
        <v>28</v>
      </c>
      <c r="X6972" s="3">
        <v>1.8418000000000001</v>
      </c>
      <c r="Y6972" s="3">
        <v>1.9572174125528335E-2</v>
      </c>
    </row>
    <row r="6973" spans="1:25" x14ac:dyDescent="0.2">
      <c r="A6973" t="s">
        <v>801</v>
      </c>
      <c r="B6973">
        <v>2017</v>
      </c>
      <c r="C6973" t="s">
        <v>816</v>
      </c>
      <c r="D6973" t="s">
        <v>820</v>
      </c>
      <c r="E6973" t="s">
        <v>34</v>
      </c>
      <c r="F6973" t="s">
        <v>802</v>
      </c>
      <c r="G6973">
        <v>31.55</v>
      </c>
      <c r="H6973">
        <v>-116.4</v>
      </c>
      <c r="J6973" s="2" t="s">
        <v>5</v>
      </c>
      <c r="K6973" t="s">
        <v>95</v>
      </c>
      <c r="L6973" t="s">
        <v>143</v>
      </c>
      <c r="M6973" t="s">
        <v>172</v>
      </c>
      <c r="N6973" t="s">
        <v>86</v>
      </c>
      <c r="O6973" t="s">
        <v>62</v>
      </c>
      <c r="P6973" t="s">
        <v>78</v>
      </c>
      <c r="Q6973">
        <v>21</v>
      </c>
      <c r="R6973" s="2" t="s">
        <v>214</v>
      </c>
      <c r="S6973" t="s">
        <v>13</v>
      </c>
      <c r="T6973">
        <v>3</v>
      </c>
      <c r="U6973">
        <v>7.68</v>
      </c>
      <c r="V6973">
        <v>1500</v>
      </c>
      <c r="W6973" t="s">
        <v>28</v>
      </c>
      <c r="X6973" s="3"/>
      <c r="Y6973" s="3"/>
    </row>
    <row r="6974" spans="1:25" x14ac:dyDescent="0.2">
      <c r="A6974" t="s">
        <v>801</v>
      </c>
      <c r="B6974">
        <v>2017</v>
      </c>
      <c r="C6974" t="s">
        <v>816</v>
      </c>
      <c r="D6974" t="s">
        <v>820</v>
      </c>
      <c r="E6974" t="s">
        <v>34</v>
      </c>
      <c r="F6974" t="s">
        <v>802</v>
      </c>
      <c r="G6974">
        <v>31.55</v>
      </c>
      <c r="H6974">
        <v>-116.4</v>
      </c>
      <c r="J6974" s="2" t="s">
        <v>5</v>
      </c>
      <c r="K6974" t="s">
        <v>95</v>
      </c>
      <c r="L6974" t="s">
        <v>143</v>
      </c>
      <c r="M6974" t="s">
        <v>172</v>
      </c>
      <c r="N6974" t="s">
        <v>86</v>
      </c>
      <c r="O6974" t="s">
        <v>62</v>
      </c>
      <c r="P6974" t="s">
        <v>78</v>
      </c>
      <c r="Q6974">
        <v>21</v>
      </c>
      <c r="R6974" s="2" t="s">
        <v>214</v>
      </c>
      <c r="S6974" t="s">
        <v>15</v>
      </c>
      <c r="T6974">
        <v>3</v>
      </c>
      <c r="U6974">
        <v>7.53</v>
      </c>
      <c r="V6974">
        <v>2000</v>
      </c>
      <c r="W6974" t="s">
        <v>28</v>
      </c>
      <c r="X6974" s="3">
        <v>1.0508</v>
      </c>
      <c r="Y6974" s="3">
        <v>0</v>
      </c>
    </row>
    <row r="6975" spans="1:25" x14ac:dyDescent="0.2">
      <c r="A6975" t="s">
        <v>801</v>
      </c>
      <c r="B6975">
        <v>2017</v>
      </c>
      <c r="C6975" t="s">
        <v>816</v>
      </c>
      <c r="D6975" t="s">
        <v>820</v>
      </c>
      <c r="E6975" t="s">
        <v>34</v>
      </c>
      <c r="F6975" t="s">
        <v>802</v>
      </c>
      <c r="G6975">
        <v>31.55</v>
      </c>
      <c r="H6975">
        <v>-116.4</v>
      </c>
      <c r="J6975" s="2" t="s">
        <v>7</v>
      </c>
      <c r="K6975" t="s">
        <v>95</v>
      </c>
      <c r="L6975" t="s">
        <v>143</v>
      </c>
      <c r="M6975" t="s">
        <v>172</v>
      </c>
      <c r="N6975" t="s">
        <v>86</v>
      </c>
      <c r="O6975" t="s">
        <v>62</v>
      </c>
      <c r="P6975" t="s">
        <v>78</v>
      </c>
      <c r="Q6975">
        <v>28</v>
      </c>
      <c r="R6975" s="2" t="s">
        <v>213</v>
      </c>
      <c r="S6975" t="s">
        <v>7</v>
      </c>
      <c r="T6975">
        <v>3</v>
      </c>
      <c r="U6975">
        <v>8.1999999999999993</v>
      </c>
      <c r="V6975">
        <v>400</v>
      </c>
      <c r="W6975" t="s">
        <v>28</v>
      </c>
      <c r="X6975" s="3"/>
      <c r="Y6975" s="3"/>
    </row>
    <row r="6976" spans="1:25" x14ac:dyDescent="0.2">
      <c r="A6976" t="s">
        <v>801</v>
      </c>
      <c r="B6976">
        <v>2017</v>
      </c>
      <c r="C6976" t="s">
        <v>816</v>
      </c>
      <c r="D6976" t="s">
        <v>820</v>
      </c>
      <c r="E6976" t="s">
        <v>34</v>
      </c>
      <c r="F6976" t="s">
        <v>802</v>
      </c>
      <c r="G6976">
        <v>31.55</v>
      </c>
      <c r="H6976">
        <v>-116.4</v>
      </c>
      <c r="J6976" s="2" t="s">
        <v>5</v>
      </c>
      <c r="K6976" t="s">
        <v>95</v>
      </c>
      <c r="L6976" t="s">
        <v>143</v>
      </c>
      <c r="M6976" t="s">
        <v>172</v>
      </c>
      <c r="N6976" t="s">
        <v>86</v>
      </c>
      <c r="O6976" t="s">
        <v>62</v>
      </c>
      <c r="P6976" t="s">
        <v>78</v>
      </c>
      <c r="Q6976">
        <v>28</v>
      </c>
      <c r="R6976" s="2" t="s">
        <v>213</v>
      </c>
      <c r="S6976" t="s">
        <v>9</v>
      </c>
      <c r="T6976">
        <v>3</v>
      </c>
      <c r="U6976">
        <v>7.98</v>
      </c>
      <c r="V6976">
        <v>700</v>
      </c>
      <c r="W6976" t="s">
        <v>28</v>
      </c>
      <c r="X6976" s="3">
        <v>1.7401</v>
      </c>
      <c r="Y6976" s="3">
        <v>7.0568477381901862E-2</v>
      </c>
    </row>
    <row r="6977" spans="1:25" x14ac:dyDescent="0.2">
      <c r="A6977" t="s">
        <v>801</v>
      </c>
      <c r="B6977">
        <v>2017</v>
      </c>
      <c r="C6977" t="s">
        <v>816</v>
      </c>
      <c r="D6977" t="s">
        <v>820</v>
      </c>
      <c r="E6977" t="s">
        <v>34</v>
      </c>
      <c r="F6977" t="s">
        <v>802</v>
      </c>
      <c r="G6977">
        <v>31.55</v>
      </c>
      <c r="H6977">
        <v>-116.4</v>
      </c>
      <c r="J6977" s="2" t="s">
        <v>5</v>
      </c>
      <c r="K6977" t="s">
        <v>95</v>
      </c>
      <c r="L6977" t="s">
        <v>143</v>
      </c>
      <c r="M6977" t="s">
        <v>172</v>
      </c>
      <c r="N6977" t="s">
        <v>86</v>
      </c>
      <c r="O6977" t="s">
        <v>62</v>
      </c>
      <c r="P6977" t="s">
        <v>78</v>
      </c>
      <c r="Q6977">
        <v>28</v>
      </c>
      <c r="R6977" s="2" t="s">
        <v>213</v>
      </c>
      <c r="S6977" t="s">
        <v>27</v>
      </c>
      <c r="T6977">
        <v>3</v>
      </c>
      <c r="U6977">
        <v>7.86</v>
      </c>
      <c r="V6977">
        <v>1000</v>
      </c>
      <c r="W6977" t="s">
        <v>28</v>
      </c>
      <c r="X6977" s="3"/>
      <c r="Y6977" s="3"/>
    </row>
    <row r="6978" spans="1:25" x14ac:dyDescent="0.2">
      <c r="A6978" t="s">
        <v>801</v>
      </c>
      <c r="B6978">
        <v>2017</v>
      </c>
      <c r="C6978" t="s">
        <v>816</v>
      </c>
      <c r="D6978" t="s">
        <v>820</v>
      </c>
      <c r="E6978" t="s">
        <v>34</v>
      </c>
      <c r="F6978" t="s">
        <v>802</v>
      </c>
      <c r="G6978">
        <v>31.55</v>
      </c>
      <c r="H6978">
        <v>-116.4</v>
      </c>
      <c r="J6978" s="2" t="s">
        <v>5</v>
      </c>
      <c r="K6978" t="s">
        <v>95</v>
      </c>
      <c r="L6978" t="s">
        <v>143</v>
      </c>
      <c r="M6978" t="s">
        <v>172</v>
      </c>
      <c r="N6978" t="s">
        <v>86</v>
      </c>
      <c r="O6978" t="s">
        <v>62</v>
      </c>
      <c r="P6978" t="s">
        <v>78</v>
      </c>
      <c r="Q6978">
        <v>28</v>
      </c>
      <c r="R6978" s="2" t="s">
        <v>213</v>
      </c>
      <c r="S6978" t="s">
        <v>13</v>
      </c>
      <c r="T6978">
        <v>3</v>
      </c>
      <c r="U6978">
        <v>7.68</v>
      </c>
      <c r="V6978">
        <v>1500</v>
      </c>
      <c r="W6978" t="s">
        <v>28</v>
      </c>
      <c r="X6978" s="3">
        <v>1.6722999999999999</v>
      </c>
      <c r="Y6978" s="3">
        <v>7.0568477381901903E-2</v>
      </c>
    </row>
    <row r="6979" spans="1:25" x14ac:dyDescent="0.2">
      <c r="A6979" t="s">
        <v>801</v>
      </c>
      <c r="B6979">
        <v>2017</v>
      </c>
      <c r="C6979" t="s">
        <v>816</v>
      </c>
      <c r="D6979" t="s">
        <v>820</v>
      </c>
      <c r="E6979" t="s">
        <v>34</v>
      </c>
      <c r="F6979" t="s">
        <v>802</v>
      </c>
      <c r="G6979">
        <v>31.55</v>
      </c>
      <c r="H6979">
        <v>-116.4</v>
      </c>
      <c r="J6979" s="2" t="s">
        <v>5</v>
      </c>
      <c r="K6979" t="s">
        <v>95</v>
      </c>
      <c r="L6979" t="s">
        <v>143</v>
      </c>
      <c r="M6979" t="s">
        <v>172</v>
      </c>
      <c r="N6979" t="s">
        <v>86</v>
      </c>
      <c r="O6979" t="s">
        <v>62</v>
      </c>
      <c r="P6979" t="s">
        <v>78</v>
      </c>
      <c r="Q6979">
        <v>28</v>
      </c>
      <c r="R6979" s="2" t="s">
        <v>213</v>
      </c>
      <c r="S6979" t="s">
        <v>15</v>
      </c>
      <c r="T6979">
        <v>3</v>
      </c>
      <c r="U6979">
        <v>7.53</v>
      </c>
      <c r="V6979">
        <v>2000</v>
      </c>
      <c r="W6979" t="s">
        <v>28</v>
      </c>
      <c r="X6979" s="3"/>
      <c r="Y6979" s="3"/>
    </row>
    <row r="6980" spans="1:25" x14ac:dyDescent="0.2">
      <c r="A6980" t="s">
        <v>801</v>
      </c>
      <c r="B6980">
        <v>2017</v>
      </c>
      <c r="C6980" t="s">
        <v>826</v>
      </c>
      <c r="D6980" t="s">
        <v>824</v>
      </c>
      <c r="E6980" t="s">
        <v>114</v>
      </c>
      <c r="F6980" t="s">
        <v>679</v>
      </c>
      <c r="G6980">
        <v>37.1</v>
      </c>
      <c r="H6980">
        <v>122.55</v>
      </c>
      <c r="J6980" s="2" t="s">
        <v>7</v>
      </c>
      <c r="K6980" t="s">
        <v>144</v>
      </c>
      <c r="L6980" t="s">
        <v>144</v>
      </c>
      <c r="M6980" t="s">
        <v>172</v>
      </c>
      <c r="N6980" t="s">
        <v>86</v>
      </c>
      <c r="O6980" t="s">
        <v>62</v>
      </c>
      <c r="P6980" t="s">
        <v>78</v>
      </c>
      <c r="Q6980">
        <v>7</v>
      </c>
      <c r="R6980" s="2" t="s">
        <v>214</v>
      </c>
      <c r="S6980" t="s">
        <v>7</v>
      </c>
      <c r="T6980">
        <v>3</v>
      </c>
      <c r="U6980">
        <v>8.1999999999999993</v>
      </c>
      <c r="V6980">
        <v>400</v>
      </c>
      <c r="W6980" t="s">
        <v>28</v>
      </c>
      <c r="X6980" s="3"/>
      <c r="Y6980" s="3"/>
    </row>
    <row r="6981" spans="1:25" x14ac:dyDescent="0.2">
      <c r="A6981" t="s">
        <v>801</v>
      </c>
      <c r="B6981">
        <v>2017</v>
      </c>
      <c r="C6981" t="s">
        <v>826</v>
      </c>
      <c r="D6981" t="s">
        <v>824</v>
      </c>
      <c r="E6981" t="s">
        <v>114</v>
      </c>
      <c r="F6981" t="s">
        <v>679</v>
      </c>
      <c r="G6981">
        <v>37.1</v>
      </c>
      <c r="H6981">
        <v>122.55</v>
      </c>
      <c r="J6981" s="2" t="s">
        <v>5</v>
      </c>
      <c r="K6981" t="s">
        <v>144</v>
      </c>
      <c r="L6981" t="s">
        <v>144</v>
      </c>
      <c r="M6981" t="s">
        <v>172</v>
      </c>
      <c r="N6981" t="s">
        <v>86</v>
      </c>
      <c r="O6981" t="s">
        <v>62</v>
      </c>
      <c r="P6981" t="s">
        <v>78</v>
      </c>
      <c r="Q6981">
        <v>7</v>
      </c>
      <c r="R6981" s="2" t="s">
        <v>214</v>
      </c>
      <c r="S6981" t="s">
        <v>9</v>
      </c>
      <c r="T6981">
        <v>3</v>
      </c>
      <c r="U6981">
        <v>7.98</v>
      </c>
      <c r="V6981">
        <v>700</v>
      </c>
      <c r="W6981" t="s">
        <v>28</v>
      </c>
      <c r="X6981" s="3">
        <v>3.1967999999999996</v>
      </c>
      <c r="Y6981" s="3">
        <v>0.2584299518244742</v>
      </c>
    </row>
    <row r="6982" spans="1:25" x14ac:dyDescent="0.2">
      <c r="A6982" t="s">
        <v>801</v>
      </c>
      <c r="B6982">
        <v>2017</v>
      </c>
      <c r="C6982" t="s">
        <v>826</v>
      </c>
      <c r="D6982" t="s">
        <v>824</v>
      </c>
      <c r="E6982" t="s">
        <v>114</v>
      </c>
      <c r="F6982" t="s">
        <v>679</v>
      </c>
      <c r="G6982">
        <v>37.1</v>
      </c>
      <c r="H6982">
        <v>122.55</v>
      </c>
      <c r="J6982" s="2" t="s">
        <v>5</v>
      </c>
      <c r="K6982" t="s">
        <v>144</v>
      </c>
      <c r="L6982" t="s">
        <v>144</v>
      </c>
      <c r="M6982" t="s">
        <v>172</v>
      </c>
      <c r="N6982" t="s">
        <v>86</v>
      </c>
      <c r="O6982" t="s">
        <v>62</v>
      </c>
      <c r="P6982" t="s">
        <v>78</v>
      </c>
      <c r="Q6982">
        <v>7</v>
      </c>
      <c r="R6982" s="2" t="s">
        <v>214</v>
      </c>
      <c r="S6982" t="s">
        <v>27</v>
      </c>
      <c r="T6982">
        <v>3</v>
      </c>
      <c r="U6982">
        <v>7.86</v>
      </c>
      <c r="V6982">
        <v>1000</v>
      </c>
      <c r="W6982" t="s">
        <v>28</v>
      </c>
      <c r="X6982" s="3"/>
      <c r="Y6982" s="3"/>
    </row>
    <row r="6983" spans="1:25" x14ac:dyDescent="0.2">
      <c r="A6983" t="s">
        <v>801</v>
      </c>
      <c r="B6983">
        <v>2017</v>
      </c>
      <c r="C6983" t="s">
        <v>826</v>
      </c>
      <c r="D6983" t="s">
        <v>824</v>
      </c>
      <c r="E6983" t="s">
        <v>114</v>
      </c>
      <c r="F6983" t="s">
        <v>679</v>
      </c>
      <c r="G6983">
        <v>37.1</v>
      </c>
      <c r="H6983">
        <v>122.55</v>
      </c>
      <c r="J6983" s="2" t="s">
        <v>5</v>
      </c>
      <c r="K6983" t="s">
        <v>144</v>
      </c>
      <c r="L6983" t="s">
        <v>144</v>
      </c>
      <c r="M6983" t="s">
        <v>172</v>
      </c>
      <c r="N6983" t="s">
        <v>86</v>
      </c>
      <c r="O6983" t="s">
        <v>62</v>
      </c>
      <c r="P6983" t="s">
        <v>78</v>
      </c>
      <c r="Q6983">
        <v>7</v>
      </c>
      <c r="R6983" s="2" t="s">
        <v>214</v>
      </c>
      <c r="S6983" t="s">
        <v>13</v>
      </c>
      <c r="T6983">
        <v>3</v>
      </c>
      <c r="U6983">
        <v>7.68</v>
      </c>
      <c r="V6983">
        <v>1500</v>
      </c>
      <c r="W6983" t="s">
        <v>28</v>
      </c>
      <c r="X6983" s="3"/>
      <c r="Y6983" s="3"/>
    </row>
    <row r="6984" spans="1:25" x14ac:dyDescent="0.2">
      <c r="A6984" t="s">
        <v>801</v>
      </c>
      <c r="B6984">
        <v>2017</v>
      </c>
      <c r="C6984" t="s">
        <v>826</v>
      </c>
      <c r="D6984" t="s">
        <v>824</v>
      </c>
      <c r="E6984" t="s">
        <v>114</v>
      </c>
      <c r="F6984" t="s">
        <v>679</v>
      </c>
      <c r="G6984">
        <v>37.1</v>
      </c>
      <c r="H6984">
        <v>122.55</v>
      </c>
      <c r="J6984" s="2" t="s">
        <v>5</v>
      </c>
      <c r="K6984" t="s">
        <v>144</v>
      </c>
      <c r="L6984" t="s">
        <v>144</v>
      </c>
      <c r="M6984" t="s">
        <v>172</v>
      </c>
      <c r="N6984" t="s">
        <v>86</v>
      </c>
      <c r="O6984" t="s">
        <v>62</v>
      </c>
      <c r="P6984" t="s">
        <v>78</v>
      </c>
      <c r="Q6984">
        <v>7</v>
      </c>
      <c r="R6984" s="2" t="s">
        <v>214</v>
      </c>
      <c r="S6984" t="s">
        <v>15</v>
      </c>
      <c r="T6984">
        <v>3</v>
      </c>
      <c r="U6984">
        <v>7.53</v>
      </c>
      <c r="V6984">
        <v>2000</v>
      </c>
      <c r="W6984" t="s">
        <v>28</v>
      </c>
      <c r="X6984" s="3"/>
      <c r="Y6984" s="3"/>
    </row>
    <row r="6985" spans="1:25" x14ac:dyDescent="0.2">
      <c r="A6985" t="s">
        <v>801</v>
      </c>
      <c r="B6985">
        <v>2017</v>
      </c>
      <c r="C6985" t="s">
        <v>826</v>
      </c>
      <c r="D6985" t="s">
        <v>824</v>
      </c>
      <c r="E6985" t="s">
        <v>114</v>
      </c>
      <c r="F6985" t="s">
        <v>679</v>
      </c>
      <c r="G6985">
        <v>37.1</v>
      </c>
      <c r="H6985">
        <v>122.55</v>
      </c>
      <c r="J6985" s="2" t="s">
        <v>7</v>
      </c>
      <c r="K6985" t="s">
        <v>144</v>
      </c>
      <c r="L6985" t="s">
        <v>144</v>
      </c>
      <c r="M6985" t="s">
        <v>172</v>
      </c>
      <c r="N6985" t="s">
        <v>86</v>
      </c>
      <c r="O6985" t="s">
        <v>62</v>
      </c>
      <c r="P6985" t="s">
        <v>78</v>
      </c>
      <c r="Q6985">
        <v>14</v>
      </c>
      <c r="R6985" s="2" t="s">
        <v>214</v>
      </c>
      <c r="S6985" t="s">
        <v>7</v>
      </c>
      <c r="T6985">
        <v>3</v>
      </c>
      <c r="U6985">
        <v>8.1999999999999993</v>
      </c>
      <c r="V6985">
        <v>400</v>
      </c>
      <c r="W6985" t="s">
        <v>28</v>
      </c>
      <c r="X6985" s="3"/>
      <c r="Y6985" s="3"/>
    </row>
    <row r="6986" spans="1:25" x14ac:dyDescent="0.2">
      <c r="A6986" t="s">
        <v>801</v>
      </c>
      <c r="B6986">
        <v>2017</v>
      </c>
      <c r="C6986" t="s">
        <v>826</v>
      </c>
      <c r="D6986" t="s">
        <v>824</v>
      </c>
      <c r="E6986" t="s">
        <v>114</v>
      </c>
      <c r="F6986" t="s">
        <v>679</v>
      </c>
      <c r="G6986">
        <v>37.1</v>
      </c>
      <c r="H6986">
        <v>122.55</v>
      </c>
      <c r="J6986" s="2" t="s">
        <v>5</v>
      </c>
      <c r="K6986" t="s">
        <v>144</v>
      </c>
      <c r="L6986" t="s">
        <v>144</v>
      </c>
      <c r="M6986" t="s">
        <v>172</v>
      </c>
      <c r="N6986" t="s">
        <v>86</v>
      </c>
      <c r="O6986" t="s">
        <v>62</v>
      </c>
      <c r="P6986" t="s">
        <v>78</v>
      </c>
      <c r="Q6986">
        <v>14</v>
      </c>
      <c r="R6986" s="2" t="s">
        <v>214</v>
      </c>
      <c r="S6986" t="s">
        <v>9</v>
      </c>
      <c r="T6986">
        <v>3</v>
      </c>
      <c r="U6986">
        <v>7.98</v>
      </c>
      <c r="V6986">
        <v>700</v>
      </c>
      <c r="W6986" t="s">
        <v>28</v>
      </c>
      <c r="X6986" s="3">
        <v>3.4817333333333331</v>
      </c>
      <c r="Y6986" s="3">
        <v>0.47491078460415626</v>
      </c>
    </row>
    <row r="6987" spans="1:25" x14ac:dyDescent="0.2">
      <c r="A6987" t="s">
        <v>801</v>
      </c>
      <c r="B6987">
        <v>2017</v>
      </c>
      <c r="C6987" t="s">
        <v>826</v>
      </c>
      <c r="D6987" t="s">
        <v>824</v>
      </c>
      <c r="E6987" t="s">
        <v>114</v>
      </c>
      <c r="F6987" t="s">
        <v>679</v>
      </c>
      <c r="G6987">
        <v>37.1</v>
      </c>
      <c r="H6987">
        <v>122.55</v>
      </c>
      <c r="J6987" s="2" t="s">
        <v>5</v>
      </c>
      <c r="K6987" t="s">
        <v>144</v>
      </c>
      <c r="L6987" t="s">
        <v>144</v>
      </c>
      <c r="M6987" t="s">
        <v>172</v>
      </c>
      <c r="N6987" t="s">
        <v>86</v>
      </c>
      <c r="O6987" t="s">
        <v>62</v>
      </c>
      <c r="P6987" t="s">
        <v>78</v>
      </c>
      <c r="Q6987">
        <v>14</v>
      </c>
      <c r="R6987" s="2" t="s">
        <v>214</v>
      </c>
      <c r="S6987" t="s">
        <v>27</v>
      </c>
      <c r="T6987">
        <v>3</v>
      </c>
      <c r="U6987">
        <v>7.86</v>
      </c>
      <c r="V6987">
        <v>1000</v>
      </c>
      <c r="W6987" t="s">
        <v>28</v>
      </c>
      <c r="X6987" s="3">
        <v>3.7785333333333333</v>
      </c>
      <c r="Y6987" s="3">
        <v>0.4990153738446686</v>
      </c>
    </row>
    <row r="6988" spans="1:25" x14ac:dyDescent="0.2">
      <c r="A6988" t="s">
        <v>801</v>
      </c>
      <c r="B6988">
        <v>2017</v>
      </c>
      <c r="C6988" t="s">
        <v>826</v>
      </c>
      <c r="D6988" t="s">
        <v>824</v>
      </c>
      <c r="E6988" t="s">
        <v>114</v>
      </c>
      <c r="F6988" t="s">
        <v>679</v>
      </c>
      <c r="G6988">
        <v>37.1</v>
      </c>
      <c r="H6988">
        <v>122.55</v>
      </c>
      <c r="J6988" s="2" t="s">
        <v>5</v>
      </c>
      <c r="K6988" t="s">
        <v>144</v>
      </c>
      <c r="L6988" t="s">
        <v>144</v>
      </c>
      <c r="M6988" t="s">
        <v>172</v>
      </c>
      <c r="N6988" t="s">
        <v>86</v>
      </c>
      <c r="O6988" t="s">
        <v>62</v>
      </c>
      <c r="P6988" t="s">
        <v>78</v>
      </c>
      <c r="Q6988">
        <v>14</v>
      </c>
      <c r="R6988" s="2" t="s">
        <v>214</v>
      </c>
      <c r="S6988" t="s">
        <v>13</v>
      </c>
      <c r="T6988">
        <v>3</v>
      </c>
      <c r="U6988">
        <v>7.68</v>
      </c>
      <c r="V6988">
        <v>1500</v>
      </c>
      <c r="W6988" t="s">
        <v>28</v>
      </c>
      <c r="X6988" s="3">
        <v>3.2762666666666669</v>
      </c>
      <c r="Y6988" s="3">
        <v>1.9803114233204161E-2</v>
      </c>
    </row>
    <row r="6989" spans="1:25" x14ac:dyDescent="0.2">
      <c r="A6989" t="s">
        <v>801</v>
      </c>
      <c r="B6989">
        <v>2017</v>
      </c>
      <c r="C6989" t="s">
        <v>826</v>
      </c>
      <c r="D6989" t="s">
        <v>824</v>
      </c>
      <c r="E6989" t="s">
        <v>114</v>
      </c>
      <c r="F6989" t="s">
        <v>679</v>
      </c>
      <c r="G6989">
        <v>37.1</v>
      </c>
      <c r="H6989">
        <v>122.55</v>
      </c>
      <c r="J6989" s="2" t="s">
        <v>5</v>
      </c>
      <c r="K6989" t="s">
        <v>144</v>
      </c>
      <c r="L6989" t="s">
        <v>144</v>
      </c>
      <c r="M6989" t="s">
        <v>172</v>
      </c>
      <c r="N6989" t="s">
        <v>86</v>
      </c>
      <c r="O6989" t="s">
        <v>62</v>
      </c>
      <c r="P6989" t="s">
        <v>78</v>
      </c>
      <c r="Q6989">
        <v>14</v>
      </c>
      <c r="R6989" s="2" t="s">
        <v>214</v>
      </c>
      <c r="S6989" t="s">
        <v>15</v>
      </c>
      <c r="T6989">
        <v>3</v>
      </c>
      <c r="U6989">
        <v>7.53</v>
      </c>
      <c r="V6989">
        <v>2000</v>
      </c>
      <c r="W6989" t="s">
        <v>28</v>
      </c>
      <c r="X6989" s="3">
        <v>3.2078000000000002</v>
      </c>
      <c r="Y6989" s="3">
        <v>0.26600738711547095</v>
      </c>
    </row>
    <row r="6990" spans="1:25" x14ac:dyDescent="0.2">
      <c r="A6990" t="s">
        <v>801</v>
      </c>
      <c r="B6990">
        <v>2017</v>
      </c>
      <c r="C6990" t="s">
        <v>826</v>
      </c>
      <c r="D6990" t="s">
        <v>824</v>
      </c>
      <c r="E6990" t="s">
        <v>114</v>
      </c>
      <c r="F6990" t="s">
        <v>679</v>
      </c>
      <c r="G6990">
        <v>37.1</v>
      </c>
      <c r="H6990">
        <v>122.55</v>
      </c>
      <c r="J6990" s="2" t="s">
        <v>7</v>
      </c>
      <c r="K6990" t="s">
        <v>144</v>
      </c>
      <c r="L6990" t="s">
        <v>144</v>
      </c>
      <c r="M6990" t="s">
        <v>172</v>
      </c>
      <c r="N6990" t="s">
        <v>86</v>
      </c>
      <c r="O6990" t="s">
        <v>62</v>
      </c>
      <c r="P6990" t="s">
        <v>78</v>
      </c>
      <c r="Q6990">
        <v>21</v>
      </c>
      <c r="R6990" s="2" t="s">
        <v>214</v>
      </c>
      <c r="S6990" t="s">
        <v>7</v>
      </c>
      <c r="T6990">
        <v>3</v>
      </c>
      <c r="U6990">
        <v>8.1999999999999993</v>
      </c>
      <c r="V6990">
        <v>400</v>
      </c>
      <c r="W6990" t="s">
        <v>28</v>
      </c>
      <c r="X6990" s="3"/>
      <c r="Y6990" s="3"/>
    </row>
    <row r="6991" spans="1:25" x14ac:dyDescent="0.2">
      <c r="A6991" t="s">
        <v>801</v>
      </c>
      <c r="B6991">
        <v>2017</v>
      </c>
      <c r="C6991" t="s">
        <v>826</v>
      </c>
      <c r="D6991" t="s">
        <v>824</v>
      </c>
      <c r="E6991" t="s">
        <v>114</v>
      </c>
      <c r="F6991" t="s">
        <v>679</v>
      </c>
      <c r="G6991">
        <v>37.1</v>
      </c>
      <c r="H6991">
        <v>122.55</v>
      </c>
      <c r="J6991" s="2" t="s">
        <v>5</v>
      </c>
      <c r="K6991" t="s">
        <v>144</v>
      </c>
      <c r="L6991" t="s">
        <v>144</v>
      </c>
      <c r="M6991" t="s">
        <v>172</v>
      </c>
      <c r="N6991" t="s">
        <v>86</v>
      </c>
      <c r="O6991" t="s">
        <v>62</v>
      </c>
      <c r="P6991" t="s">
        <v>78</v>
      </c>
      <c r="Q6991">
        <v>21</v>
      </c>
      <c r="R6991" s="2" t="s">
        <v>214</v>
      </c>
      <c r="S6991" t="s">
        <v>9</v>
      </c>
      <c r="T6991">
        <v>3</v>
      </c>
      <c r="U6991">
        <v>7.98</v>
      </c>
      <c r="V6991">
        <v>700</v>
      </c>
      <c r="W6991" t="s">
        <v>28</v>
      </c>
      <c r="X6991" s="3"/>
      <c r="Y6991" s="3"/>
    </row>
    <row r="6992" spans="1:25" x14ac:dyDescent="0.2">
      <c r="A6992" t="s">
        <v>801</v>
      </c>
      <c r="B6992">
        <v>2017</v>
      </c>
      <c r="C6992" t="s">
        <v>826</v>
      </c>
      <c r="D6992" t="s">
        <v>824</v>
      </c>
      <c r="E6992" t="s">
        <v>114</v>
      </c>
      <c r="F6992" t="s">
        <v>679</v>
      </c>
      <c r="G6992">
        <v>37.1</v>
      </c>
      <c r="H6992">
        <v>122.55</v>
      </c>
      <c r="J6992" s="2" t="s">
        <v>5</v>
      </c>
      <c r="K6992" t="s">
        <v>144</v>
      </c>
      <c r="L6992" t="s">
        <v>144</v>
      </c>
      <c r="M6992" t="s">
        <v>172</v>
      </c>
      <c r="N6992" t="s">
        <v>86</v>
      </c>
      <c r="O6992" t="s">
        <v>62</v>
      </c>
      <c r="P6992" t="s">
        <v>78</v>
      </c>
      <c r="Q6992">
        <v>21</v>
      </c>
      <c r="R6992" s="2" t="s">
        <v>214</v>
      </c>
      <c r="S6992" t="s">
        <v>27</v>
      </c>
      <c r="T6992">
        <v>3</v>
      </c>
      <c r="U6992">
        <v>7.86</v>
      </c>
      <c r="V6992">
        <v>1000</v>
      </c>
      <c r="W6992" t="s">
        <v>28</v>
      </c>
      <c r="X6992" s="3"/>
      <c r="Y6992" s="3"/>
    </row>
    <row r="6993" spans="1:25" x14ac:dyDescent="0.2">
      <c r="A6993" t="s">
        <v>801</v>
      </c>
      <c r="B6993">
        <v>2017</v>
      </c>
      <c r="C6993" t="s">
        <v>826</v>
      </c>
      <c r="D6993" t="s">
        <v>824</v>
      </c>
      <c r="E6993" t="s">
        <v>114</v>
      </c>
      <c r="F6993" t="s">
        <v>679</v>
      </c>
      <c r="G6993">
        <v>37.1</v>
      </c>
      <c r="H6993">
        <v>122.55</v>
      </c>
      <c r="J6993" s="2" t="s">
        <v>5</v>
      </c>
      <c r="K6993" t="s">
        <v>144</v>
      </c>
      <c r="L6993" t="s">
        <v>144</v>
      </c>
      <c r="M6993" t="s">
        <v>172</v>
      </c>
      <c r="N6993" t="s">
        <v>86</v>
      </c>
      <c r="O6993" t="s">
        <v>62</v>
      </c>
      <c r="P6993" t="s">
        <v>78</v>
      </c>
      <c r="Q6993">
        <v>21</v>
      </c>
      <c r="R6993" s="2" t="s">
        <v>214</v>
      </c>
      <c r="S6993" t="s">
        <v>13</v>
      </c>
      <c r="T6993">
        <v>3</v>
      </c>
      <c r="U6993">
        <v>7.68</v>
      </c>
      <c r="V6993">
        <v>1500</v>
      </c>
      <c r="W6993" t="s">
        <v>28</v>
      </c>
      <c r="X6993" s="3"/>
      <c r="Y6993" s="3"/>
    </row>
    <row r="6994" spans="1:25" x14ac:dyDescent="0.2">
      <c r="A6994" t="s">
        <v>801</v>
      </c>
      <c r="B6994">
        <v>2017</v>
      </c>
      <c r="C6994" t="s">
        <v>826</v>
      </c>
      <c r="D6994" t="s">
        <v>824</v>
      </c>
      <c r="E6994" t="s">
        <v>114</v>
      </c>
      <c r="F6994" t="s">
        <v>679</v>
      </c>
      <c r="G6994">
        <v>37.1</v>
      </c>
      <c r="H6994">
        <v>122.55</v>
      </c>
      <c r="J6994" s="2" t="s">
        <v>5</v>
      </c>
      <c r="K6994" t="s">
        <v>144</v>
      </c>
      <c r="L6994" t="s">
        <v>144</v>
      </c>
      <c r="M6994" t="s">
        <v>172</v>
      </c>
      <c r="N6994" t="s">
        <v>86</v>
      </c>
      <c r="O6994" t="s">
        <v>62</v>
      </c>
      <c r="P6994" t="s">
        <v>78</v>
      </c>
      <c r="Q6994">
        <v>21</v>
      </c>
      <c r="R6994" s="2" t="s">
        <v>214</v>
      </c>
      <c r="S6994" t="s">
        <v>15</v>
      </c>
      <c r="T6994">
        <v>3</v>
      </c>
      <c r="U6994">
        <v>7.53</v>
      </c>
      <c r="V6994">
        <v>2000</v>
      </c>
      <c r="W6994" t="s">
        <v>28</v>
      </c>
      <c r="X6994" s="3"/>
      <c r="Y6994" s="3"/>
    </row>
    <row r="6995" spans="1:25" x14ac:dyDescent="0.2">
      <c r="A6995" t="s">
        <v>801</v>
      </c>
      <c r="B6995">
        <v>2017</v>
      </c>
      <c r="C6995" t="s">
        <v>826</v>
      </c>
      <c r="D6995" t="s">
        <v>824</v>
      </c>
      <c r="E6995" t="s">
        <v>114</v>
      </c>
      <c r="F6995" t="s">
        <v>679</v>
      </c>
      <c r="G6995">
        <v>37.1</v>
      </c>
      <c r="H6995">
        <v>122.55</v>
      </c>
      <c r="J6995" s="2" t="s">
        <v>7</v>
      </c>
      <c r="K6995" t="s">
        <v>144</v>
      </c>
      <c r="L6995" t="s">
        <v>144</v>
      </c>
      <c r="M6995" t="s">
        <v>172</v>
      </c>
      <c r="N6995" t="s">
        <v>86</v>
      </c>
      <c r="O6995" t="s">
        <v>62</v>
      </c>
      <c r="P6995" t="s">
        <v>78</v>
      </c>
      <c r="Q6995">
        <v>28</v>
      </c>
      <c r="R6995" s="2" t="s">
        <v>213</v>
      </c>
      <c r="S6995" t="s">
        <v>7</v>
      </c>
      <c r="T6995">
        <v>3</v>
      </c>
      <c r="U6995">
        <v>8.1999999999999993</v>
      </c>
      <c r="V6995">
        <v>400</v>
      </c>
      <c r="W6995" t="s">
        <v>28</v>
      </c>
      <c r="X6995" s="3">
        <v>2.7910000000000004</v>
      </c>
      <c r="Y6995" s="3">
        <v>0.14113695476380372</v>
      </c>
    </row>
    <row r="6996" spans="1:25" x14ac:dyDescent="0.2">
      <c r="A6996" t="s">
        <v>801</v>
      </c>
      <c r="B6996">
        <v>2017</v>
      </c>
      <c r="C6996" t="s">
        <v>826</v>
      </c>
      <c r="D6996" t="s">
        <v>824</v>
      </c>
      <c r="E6996" t="s">
        <v>114</v>
      </c>
      <c r="F6996" t="s">
        <v>679</v>
      </c>
      <c r="G6996">
        <v>37.1</v>
      </c>
      <c r="H6996">
        <v>122.55</v>
      </c>
      <c r="J6996" s="2" t="s">
        <v>5</v>
      </c>
      <c r="K6996" t="s">
        <v>144</v>
      </c>
      <c r="L6996" t="s">
        <v>144</v>
      </c>
      <c r="M6996" t="s">
        <v>172</v>
      </c>
      <c r="N6996" t="s">
        <v>86</v>
      </c>
      <c r="O6996" t="s">
        <v>62</v>
      </c>
      <c r="P6996" t="s">
        <v>78</v>
      </c>
      <c r="Q6996">
        <v>28</v>
      </c>
      <c r="R6996" s="2" t="s">
        <v>213</v>
      </c>
      <c r="S6996" t="s">
        <v>9</v>
      </c>
      <c r="T6996">
        <v>3</v>
      </c>
      <c r="U6996">
        <v>7.98</v>
      </c>
      <c r="V6996">
        <v>700</v>
      </c>
      <c r="W6996" t="s">
        <v>28</v>
      </c>
      <c r="X6996" s="3"/>
      <c r="Y6996" s="3"/>
    </row>
    <row r="6997" spans="1:25" x14ac:dyDescent="0.2">
      <c r="A6997" t="s">
        <v>801</v>
      </c>
      <c r="B6997">
        <v>2017</v>
      </c>
      <c r="C6997" t="s">
        <v>826</v>
      </c>
      <c r="D6997" t="s">
        <v>824</v>
      </c>
      <c r="E6997" t="s">
        <v>114</v>
      </c>
      <c r="F6997" t="s">
        <v>679</v>
      </c>
      <c r="G6997">
        <v>37.1</v>
      </c>
      <c r="H6997">
        <v>122.55</v>
      </c>
      <c r="J6997" s="2" t="s">
        <v>5</v>
      </c>
      <c r="K6997" t="s">
        <v>144</v>
      </c>
      <c r="L6997" t="s">
        <v>144</v>
      </c>
      <c r="M6997" t="s">
        <v>172</v>
      </c>
      <c r="N6997" t="s">
        <v>86</v>
      </c>
      <c r="O6997" t="s">
        <v>62</v>
      </c>
      <c r="P6997" t="s">
        <v>78</v>
      </c>
      <c r="Q6997">
        <v>28</v>
      </c>
      <c r="R6997" s="2" t="s">
        <v>213</v>
      </c>
      <c r="S6997" t="s">
        <v>27</v>
      </c>
      <c r="T6997">
        <v>3</v>
      </c>
      <c r="U6997">
        <v>7.86</v>
      </c>
      <c r="V6997">
        <v>1000</v>
      </c>
      <c r="W6997" t="s">
        <v>28</v>
      </c>
      <c r="X6997" s="3"/>
      <c r="Y6997" s="3"/>
    </row>
    <row r="6998" spans="1:25" x14ac:dyDescent="0.2">
      <c r="A6998" t="s">
        <v>801</v>
      </c>
      <c r="B6998">
        <v>2017</v>
      </c>
      <c r="C6998" t="s">
        <v>826</v>
      </c>
      <c r="D6998" t="s">
        <v>824</v>
      </c>
      <c r="E6998" t="s">
        <v>114</v>
      </c>
      <c r="F6998" t="s">
        <v>679</v>
      </c>
      <c r="G6998">
        <v>37.1</v>
      </c>
      <c r="H6998">
        <v>122.55</v>
      </c>
      <c r="J6998" s="2" t="s">
        <v>5</v>
      </c>
      <c r="K6998" t="s">
        <v>144</v>
      </c>
      <c r="L6998" t="s">
        <v>144</v>
      </c>
      <c r="M6998" t="s">
        <v>172</v>
      </c>
      <c r="N6998" t="s">
        <v>86</v>
      </c>
      <c r="O6998" t="s">
        <v>62</v>
      </c>
      <c r="P6998" t="s">
        <v>78</v>
      </c>
      <c r="Q6998">
        <v>28</v>
      </c>
      <c r="R6998" s="2" t="s">
        <v>213</v>
      </c>
      <c r="S6998" t="s">
        <v>13</v>
      </c>
      <c r="T6998">
        <v>3</v>
      </c>
      <c r="U6998">
        <v>7.68</v>
      </c>
      <c r="V6998">
        <v>1500</v>
      </c>
      <c r="W6998" t="s">
        <v>28</v>
      </c>
      <c r="X6998" s="3"/>
      <c r="Y6998" s="3"/>
    </row>
    <row r="6999" spans="1:25" x14ac:dyDescent="0.2">
      <c r="A6999" t="s">
        <v>801</v>
      </c>
      <c r="B6999">
        <v>2017</v>
      </c>
      <c r="C6999" t="s">
        <v>826</v>
      </c>
      <c r="D6999" t="s">
        <v>824</v>
      </c>
      <c r="E6999" t="s">
        <v>114</v>
      </c>
      <c r="F6999" t="s">
        <v>679</v>
      </c>
      <c r="G6999">
        <v>37.1</v>
      </c>
      <c r="H6999">
        <v>122.55</v>
      </c>
      <c r="J6999" s="2" t="s">
        <v>5</v>
      </c>
      <c r="K6999" t="s">
        <v>144</v>
      </c>
      <c r="L6999" t="s">
        <v>144</v>
      </c>
      <c r="M6999" t="s">
        <v>172</v>
      </c>
      <c r="N6999" t="s">
        <v>86</v>
      </c>
      <c r="O6999" t="s">
        <v>62</v>
      </c>
      <c r="P6999" t="s">
        <v>78</v>
      </c>
      <c r="Q6999">
        <v>28</v>
      </c>
      <c r="R6999" s="2" t="s">
        <v>213</v>
      </c>
      <c r="S6999" t="s">
        <v>15</v>
      </c>
      <c r="T6999">
        <v>3</v>
      </c>
      <c r="U6999">
        <v>7.53</v>
      </c>
      <c r="V6999">
        <v>2000</v>
      </c>
      <c r="W6999" t="s">
        <v>28</v>
      </c>
      <c r="X6999" s="3"/>
      <c r="Y6999" s="3"/>
    </row>
    <row r="7000" spans="1:25" x14ac:dyDescent="0.2">
      <c r="A7000" t="s">
        <v>801</v>
      </c>
      <c r="B7000">
        <v>2017</v>
      </c>
      <c r="C7000" t="s">
        <v>807</v>
      </c>
      <c r="D7000" t="s">
        <v>825</v>
      </c>
      <c r="E7000" t="s">
        <v>35</v>
      </c>
      <c r="F7000" t="s">
        <v>679</v>
      </c>
      <c r="G7000">
        <v>37.1</v>
      </c>
      <c r="H7000">
        <v>122.55</v>
      </c>
      <c r="J7000" s="2" t="s">
        <v>7</v>
      </c>
      <c r="K7000" t="s">
        <v>144</v>
      </c>
      <c r="L7000" t="s">
        <v>144</v>
      </c>
      <c r="M7000" t="s">
        <v>172</v>
      </c>
      <c r="N7000" t="s">
        <v>86</v>
      </c>
      <c r="O7000" t="s">
        <v>62</v>
      </c>
      <c r="P7000" t="s">
        <v>78</v>
      </c>
      <c r="Q7000">
        <v>7</v>
      </c>
      <c r="R7000" s="2" t="s">
        <v>214</v>
      </c>
      <c r="S7000" t="s">
        <v>7</v>
      </c>
      <c r="T7000">
        <v>3</v>
      </c>
      <c r="U7000">
        <v>8.1999999999999993</v>
      </c>
      <c r="V7000">
        <v>400</v>
      </c>
      <c r="W7000" t="s">
        <v>28</v>
      </c>
      <c r="X7000" s="3">
        <v>2.1501999999999999</v>
      </c>
      <c r="Y7000" s="3">
        <v>0.82757387585640996</v>
      </c>
    </row>
    <row r="7001" spans="1:25" x14ac:dyDescent="0.2">
      <c r="A7001" t="s">
        <v>801</v>
      </c>
      <c r="B7001">
        <v>2017</v>
      </c>
      <c r="C7001" t="s">
        <v>807</v>
      </c>
      <c r="D7001" t="s">
        <v>825</v>
      </c>
      <c r="E7001" t="s">
        <v>35</v>
      </c>
      <c r="F7001" t="s">
        <v>679</v>
      </c>
      <c r="G7001">
        <v>37.1</v>
      </c>
      <c r="H7001">
        <v>122.55</v>
      </c>
      <c r="J7001" s="2" t="s">
        <v>5</v>
      </c>
      <c r="K7001" t="s">
        <v>144</v>
      </c>
      <c r="L7001" t="s">
        <v>144</v>
      </c>
      <c r="M7001" t="s">
        <v>172</v>
      </c>
      <c r="N7001" t="s">
        <v>86</v>
      </c>
      <c r="O7001" t="s">
        <v>62</v>
      </c>
      <c r="P7001" t="s">
        <v>78</v>
      </c>
      <c r="Q7001">
        <v>7</v>
      </c>
      <c r="R7001" s="2" t="s">
        <v>214</v>
      </c>
      <c r="S7001" t="s">
        <v>9</v>
      </c>
      <c r="T7001">
        <v>3</v>
      </c>
      <c r="U7001">
        <v>7.98</v>
      </c>
      <c r="V7001">
        <v>700</v>
      </c>
      <c r="W7001" t="s">
        <v>28</v>
      </c>
      <c r="X7001" s="3"/>
      <c r="Y7001" s="3"/>
    </row>
    <row r="7002" spans="1:25" x14ac:dyDescent="0.2">
      <c r="A7002" t="s">
        <v>801</v>
      </c>
      <c r="B7002">
        <v>2017</v>
      </c>
      <c r="C7002" t="s">
        <v>807</v>
      </c>
      <c r="D7002" t="s">
        <v>825</v>
      </c>
      <c r="E7002" t="s">
        <v>35</v>
      </c>
      <c r="F7002" t="s">
        <v>679</v>
      </c>
      <c r="G7002">
        <v>37.1</v>
      </c>
      <c r="H7002">
        <v>122.55</v>
      </c>
      <c r="J7002" s="2" t="s">
        <v>5</v>
      </c>
      <c r="K7002" t="s">
        <v>144</v>
      </c>
      <c r="L7002" t="s">
        <v>144</v>
      </c>
      <c r="M7002" t="s">
        <v>172</v>
      </c>
      <c r="N7002" t="s">
        <v>86</v>
      </c>
      <c r="O7002" t="s">
        <v>62</v>
      </c>
      <c r="P7002" t="s">
        <v>78</v>
      </c>
      <c r="Q7002">
        <v>7</v>
      </c>
      <c r="R7002" s="2" t="s">
        <v>214</v>
      </c>
      <c r="S7002" t="s">
        <v>27</v>
      </c>
      <c r="T7002">
        <v>3</v>
      </c>
      <c r="U7002">
        <v>7.86</v>
      </c>
      <c r="V7002">
        <v>1000</v>
      </c>
      <c r="W7002" t="s">
        <v>28</v>
      </c>
      <c r="X7002" s="3"/>
      <c r="Y7002" s="3"/>
    </row>
    <row r="7003" spans="1:25" x14ac:dyDescent="0.2">
      <c r="A7003" t="s">
        <v>801</v>
      </c>
      <c r="B7003">
        <v>2017</v>
      </c>
      <c r="C7003" t="s">
        <v>807</v>
      </c>
      <c r="D7003" t="s">
        <v>825</v>
      </c>
      <c r="E7003" t="s">
        <v>35</v>
      </c>
      <c r="F7003" t="s">
        <v>679</v>
      </c>
      <c r="G7003">
        <v>37.1</v>
      </c>
      <c r="H7003">
        <v>122.55</v>
      </c>
      <c r="J7003" s="2" t="s">
        <v>5</v>
      </c>
      <c r="K7003" t="s">
        <v>144</v>
      </c>
      <c r="L7003" t="s">
        <v>144</v>
      </c>
      <c r="M7003" t="s">
        <v>172</v>
      </c>
      <c r="N7003" t="s">
        <v>86</v>
      </c>
      <c r="O7003" t="s">
        <v>62</v>
      </c>
      <c r="P7003" t="s">
        <v>78</v>
      </c>
      <c r="Q7003">
        <v>7</v>
      </c>
      <c r="R7003" s="2" t="s">
        <v>214</v>
      </c>
      <c r="S7003" t="s">
        <v>13</v>
      </c>
      <c r="T7003">
        <v>3</v>
      </c>
      <c r="U7003">
        <v>7.68</v>
      </c>
      <c r="V7003">
        <v>1500</v>
      </c>
      <c r="W7003" t="s">
        <v>28</v>
      </c>
      <c r="X7003" s="3"/>
      <c r="Y7003" s="3"/>
    </row>
    <row r="7004" spans="1:25" x14ac:dyDescent="0.2">
      <c r="A7004" t="s">
        <v>801</v>
      </c>
      <c r="B7004">
        <v>2017</v>
      </c>
      <c r="C7004" t="s">
        <v>807</v>
      </c>
      <c r="D7004" t="s">
        <v>825</v>
      </c>
      <c r="E7004" t="s">
        <v>35</v>
      </c>
      <c r="F7004" t="s">
        <v>679</v>
      </c>
      <c r="G7004">
        <v>37.1</v>
      </c>
      <c r="H7004">
        <v>122.55</v>
      </c>
      <c r="J7004" s="2" t="s">
        <v>5</v>
      </c>
      <c r="K7004" t="s">
        <v>144</v>
      </c>
      <c r="L7004" t="s">
        <v>144</v>
      </c>
      <c r="M7004" t="s">
        <v>172</v>
      </c>
      <c r="N7004" t="s">
        <v>86</v>
      </c>
      <c r="O7004" t="s">
        <v>62</v>
      </c>
      <c r="P7004" t="s">
        <v>78</v>
      </c>
      <c r="Q7004">
        <v>7</v>
      </c>
      <c r="R7004" s="2" t="s">
        <v>214</v>
      </c>
      <c r="S7004" t="s">
        <v>15</v>
      </c>
      <c r="T7004">
        <v>3</v>
      </c>
      <c r="U7004">
        <v>7.53</v>
      </c>
      <c r="V7004">
        <v>2000</v>
      </c>
      <c r="W7004" t="s">
        <v>28</v>
      </c>
      <c r="X7004" s="3">
        <v>1.6951000000000001</v>
      </c>
      <c r="Y7004" s="3">
        <v>0.17177860751560417</v>
      </c>
    </row>
    <row r="7005" spans="1:25" x14ac:dyDescent="0.2">
      <c r="A7005" t="s">
        <v>801</v>
      </c>
      <c r="B7005">
        <v>2017</v>
      </c>
      <c r="C7005" t="s">
        <v>807</v>
      </c>
      <c r="D7005" t="s">
        <v>825</v>
      </c>
      <c r="E7005" t="s">
        <v>35</v>
      </c>
      <c r="F7005" t="s">
        <v>679</v>
      </c>
      <c r="G7005">
        <v>37.1</v>
      </c>
      <c r="H7005">
        <v>122.55</v>
      </c>
      <c r="J7005" s="2" t="s">
        <v>7</v>
      </c>
      <c r="K7005" t="s">
        <v>144</v>
      </c>
      <c r="L7005" t="s">
        <v>144</v>
      </c>
      <c r="M7005" t="s">
        <v>172</v>
      </c>
      <c r="N7005" t="s">
        <v>86</v>
      </c>
      <c r="O7005" t="s">
        <v>62</v>
      </c>
      <c r="P7005" t="s">
        <v>78</v>
      </c>
      <c r="Q7005">
        <v>14</v>
      </c>
      <c r="R7005" s="2" t="s">
        <v>214</v>
      </c>
      <c r="S7005" t="s">
        <v>7</v>
      </c>
      <c r="T7005">
        <v>3</v>
      </c>
      <c r="U7005">
        <v>8.1999999999999993</v>
      </c>
      <c r="V7005">
        <v>400</v>
      </c>
      <c r="W7005" t="s">
        <v>28</v>
      </c>
      <c r="X7005" s="3"/>
      <c r="Y7005" s="3"/>
    </row>
    <row r="7006" spans="1:25" x14ac:dyDescent="0.2">
      <c r="A7006" t="s">
        <v>801</v>
      </c>
      <c r="B7006">
        <v>2017</v>
      </c>
      <c r="C7006" t="s">
        <v>807</v>
      </c>
      <c r="D7006" t="s">
        <v>825</v>
      </c>
      <c r="E7006" t="s">
        <v>35</v>
      </c>
      <c r="F7006" t="s">
        <v>679</v>
      </c>
      <c r="G7006">
        <v>37.1</v>
      </c>
      <c r="H7006">
        <v>122.55</v>
      </c>
      <c r="J7006" s="2" t="s">
        <v>5</v>
      </c>
      <c r="K7006" t="s">
        <v>144</v>
      </c>
      <c r="L7006" t="s">
        <v>144</v>
      </c>
      <c r="M7006" t="s">
        <v>172</v>
      </c>
      <c r="N7006" t="s">
        <v>86</v>
      </c>
      <c r="O7006" t="s">
        <v>62</v>
      </c>
      <c r="P7006" t="s">
        <v>78</v>
      </c>
      <c r="Q7006">
        <v>14</v>
      </c>
      <c r="R7006" s="2" t="s">
        <v>214</v>
      </c>
      <c r="S7006" t="s">
        <v>9</v>
      </c>
      <c r="T7006">
        <v>3</v>
      </c>
      <c r="U7006">
        <v>7.98</v>
      </c>
      <c r="V7006">
        <v>700</v>
      </c>
      <c r="W7006" t="s">
        <v>28</v>
      </c>
      <c r="X7006" s="3"/>
      <c r="Y7006" s="3"/>
    </row>
    <row r="7007" spans="1:25" x14ac:dyDescent="0.2">
      <c r="A7007" t="s">
        <v>801</v>
      </c>
      <c r="B7007">
        <v>2017</v>
      </c>
      <c r="C7007" t="s">
        <v>807</v>
      </c>
      <c r="D7007" t="s">
        <v>825</v>
      </c>
      <c r="E7007" t="s">
        <v>35</v>
      </c>
      <c r="F7007" t="s">
        <v>679</v>
      </c>
      <c r="G7007">
        <v>37.1</v>
      </c>
      <c r="H7007">
        <v>122.55</v>
      </c>
      <c r="J7007" s="2" t="s">
        <v>5</v>
      </c>
      <c r="K7007" t="s">
        <v>144</v>
      </c>
      <c r="L7007" t="s">
        <v>144</v>
      </c>
      <c r="M7007" t="s">
        <v>172</v>
      </c>
      <c r="N7007" t="s">
        <v>86</v>
      </c>
      <c r="O7007" t="s">
        <v>62</v>
      </c>
      <c r="P7007" t="s">
        <v>78</v>
      </c>
      <c r="Q7007">
        <v>14</v>
      </c>
      <c r="R7007" s="2" t="s">
        <v>214</v>
      </c>
      <c r="S7007" t="s">
        <v>27</v>
      </c>
      <c r="T7007">
        <v>3</v>
      </c>
      <c r="U7007">
        <v>7.86</v>
      </c>
      <c r="V7007">
        <v>1000</v>
      </c>
      <c r="W7007" t="s">
        <v>28</v>
      </c>
      <c r="X7007" s="3">
        <v>1.8835666666666668</v>
      </c>
      <c r="Y7007" s="3">
        <v>0.20545000202806848</v>
      </c>
    </row>
    <row r="7008" spans="1:25" x14ac:dyDescent="0.2">
      <c r="A7008" t="s">
        <v>801</v>
      </c>
      <c r="B7008">
        <v>2017</v>
      </c>
      <c r="C7008" t="s">
        <v>807</v>
      </c>
      <c r="D7008" t="s">
        <v>825</v>
      </c>
      <c r="E7008" t="s">
        <v>35</v>
      </c>
      <c r="F7008" t="s">
        <v>679</v>
      </c>
      <c r="G7008">
        <v>37.1</v>
      </c>
      <c r="H7008">
        <v>122.55</v>
      </c>
      <c r="J7008" s="2" t="s">
        <v>5</v>
      </c>
      <c r="K7008" t="s">
        <v>144</v>
      </c>
      <c r="L7008" t="s">
        <v>144</v>
      </c>
      <c r="M7008" t="s">
        <v>172</v>
      </c>
      <c r="N7008" t="s">
        <v>86</v>
      </c>
      <c r="O7008" t="s">
        <v>62</v>
      </c>
      <c r="P7008" t="s">
        <v>78</v>
      </c>
      <c r="Q7008">
        <v>14</v>
      </c>
      <c r="R7008" s="2" t="s">
        <v>214</v>
      </c>
      <c r="S7008" t="s">
        <v>13</v>
      </c>
      <c r="T7008">
        <v>3</v>
      </c>
      <c r="U7008">
        <v>7.68</v>
      </c>
      <c r="V7008">
        <v>1500</v>
      </c>
      <c r="W7008" t="s">
        <v>28</v>
      </c>
      <c r="X7008" s="3"/>
      <c r="Y7008" s="3"/>
    </row>
    <row r="7009" spans="1:25" x14ac:dyDescent="0.2">
      <c r="A7009" t="s">
        <v>801</v>
      </c>
      <c r="B7009">
        <v>2017</v>
      </c>
      <c r="C7009" t="s">
        <v>807</v>
      </c>
      <c r="D7009" t="s">
        <v>825</v>
      </c>
      <c r="E7009" t="s">
        <v>35</v>
      </c>
      <c r="F7009" t="s">
        <v>679</v>
      </c>
      <c r="G7009">
        <v>37.1</v>
      </c>
      <c r="H7009">
        <v>122.55</v>
      </c>
      <c r="J7009" s="2" t="s">
        <v>5</v>
      </c>
      <c r="K7009" t="s">
        <v>144</v>
      </c>
      <c r="L7009" t="s">
        <v>144</v>
      </c>
      <c r="M7009" t="s">
        <v>172</v>
      </c>
      <c r="N7009" t="s">
        <v>86</v>
      </c>
      <c r="O7009" t="s">
        <v>62</v>
      </c>
      <c r="P7009" t="s">
        <v>78</v>
      </c>
      <c r="Q7009">
        <v>14</v>
      </c>
      <c r="R7009" s="2" t="s">
        <v>214</v>
      </c>
      <c r="S7009" t="s">
        <v>15</v>
      </c>
      <c r="T7009">
        <v>3</v>
      </c>
      <c r="U7009">
        <v>7.53</v>
      </c>
      <c r="V7009">
        <v>2000</v>
      </c>
      <c r="W7009" t="s">
        <v>28</v>
      </c>
      <c r="X7009" s="3">
        <v>1.2785666666666666</v>
      </c>
      <c r="Y7009" s="3">
        <v>0.10463547836815823</v>
      </c>
    </row>
    <row r="7010" spans="1:25" x14ac:dyDescent="0.2">
      <c r="A7010" t="s">
        <v>801</v>
      </c>
      <c r="B7010">
        <v>2017</v>
      </c>
      <c r="C7010" t="s">
        <v>807</v>
      </c>
      <c r="D7010" t="s">
        <v>825</v>
      </c>
      <c r="E7010" t="s">
        <v>35</v>
      </c>
      <c r="F7010" t="s">
        <v>679</v>
      </c>
      <c r="G7010">
        <v>37.1</v>
      </c>
      <c r="H7010">
        <v>122.55</v>
      </c>
      <c r="J7010" s="2" t="s">
        <v>7</v>
      </c>
      <c r="K7010" t="s">
        <v>144</v>
      </c>
      <c r="L7010" t="s">
        <v>144</v>
      </c>
      <c r="M7010" t="s">
        <v>172</v>
      </c>
      <c r="N7010" t="s">
        <v>86</v>
      </c>
      <c r="O7010" t="s">
        <v>62</v>
      </c>
      <c r="P7010" t="s">
        <v>78</v>
      </c>
      <c r="Q7010">
        <v>21</v>
      </c>
      <c r="R7010" s="2" t="s">
        <v>214</v>
      </c>
      <c r="S7010" t="s">
        <v>7</v>
      </c>
      <c r="T7010">
        <v>3</v>
      </c>
      <c r="U7010">
        <v>8.1999999999999993</v>
      </c>
      <c r="V7010">
        <v>400</v>
      </c>
      <c r="W7010" t="s">
        <v>28</v>
      </c>
      <c r="X7010" s="3"/>
      <c r="Y7010" s="3"/>
    </row>
    <row r="7011" spans="1:25" x14ac:dyDescent="0.2">
      <c r="A7011" t="s">
        <v>801</v>
      </c>
      <c r="B7011">
        <v>2017</v>
      </c>
      <c r="C7011" t="s">
        <v>807</v>
      </c>
      <c r="D7011" t="s">
        <v>825</v>
      </c>
      <c r="E7011" t="s">
        <v>35</v>
      </c>
      <c r="F7011" t="s">
        <v>679</v>
      </c>
      <c r="G7011">
        <v>37.1</v>
      </c>
      <c r="H7011">
        <v>122.55</v>
      </c>
      <c r="J7011" s="2" t="s">
        <v>5</v>
      </c>
      <c r="K7011" t="s">
        <v>144</v>
      </c>
      <c r="L7011" t="s">
        <v>144</v>
      </c>
      <c r="M7011" t="s">
        <v>172</v>
      </c>
      <c r="N7011" t="s">
        <v>86</v>
      </c>
      <c r="O7011" t="s">
        <v>62</v>
      </c>
      <c r="P7011" t="s">
        <v>78</v>
      </c>
      <c r="Q7011">
        <v>21</v>
      </c>
      <c r="R7011" s="2" t="s">
        <v>214</v>
      </c>
      <c r="S7011" t="s">
        <v>9</v>
      </c>
      <c r="T7011">
        <v>3</v>
      </c>
      <c r="U7011">
        <v>7.98</v>
      </c>
      <c r="V7011">
        <v>700</v>
      </c>
      <c r="W7011" t="s">
        <v>28</v>
      </c>
      <c r="X7011" s="3"/>
      <c r="Y7011" s="3"/>
    </row>
    <row r="7012" spans="1:25" x14ac:dyDescent="0.2">
      <c r="A7012" t="s">
        <v>801</v>
      </c>
      <c r="B7012">
        <v>2017</v>
      </c>
      <c r="C7012" t="s">
        <v>807</v>
      </c>
      <c r="D7012" t="s">
        <v>825</v>
      </c>
      <c r="E7012" t="s">
        <v>35</v>
      </c>
      <c r="F7012" t="s">
        <v>679</v>
      </c>
      <c r="G7012">
        <v>37.1</v>
      </c>
      <c r="H7012">
        <v>122.55</v>
      </c>
      <c r="J7012" s="2" t="s">
        <v>5</v>
      </c>
      <c r="K7012" t="s">
        <v>144</v>
      </c>
      <c r="L7012" t="s">
        <v>144</v>
      </c>
      <c r="M7012" t="s">
        <v>172</v>
      </c>
      <c r="N7012" t="s">
        <v>86</v>
      </c>
      <c r="O7012" t="s">
        <v>62</v>
      </c>
      <c r="P7012" t="s">
        <v>78</v>
      </c>
      <c r="Q7012">
        <v>21</v>
      </c>
      <c r="R7012" s="2" t="s">
        <v>214</v>
      </c>
      <c r="S7012" t="s">
        <v>27</v>
      </c>
      <c r="T7012">
        <v>3</v>
      </c>
      <c r="U7012">
        <v>7.86</v>
      </c>
      <c r="V7012">
        <v>1000</v>
      </c>
      <c r="W7012" t="s">
        <v>28</v>
      </c>
      <c r="X7012" s="3">
        <v>3.7852999999999994</v>
      </c>
      <c r="Y7012" s="3">
        <v>0.1957217412552831</v>
      </c>
    </row>
    <row r="7013" spans="1:25" x14ac:dyDescent="0.2">
      <c r="A7013" t="s">
        <v>801</v>
      </c>
      <c r="B7013">
        <v>2017</v>
      </c>
      <c r="C7013" t="s">
        <v>807</v>
      </c>
      <c r="D7013" t="s">
        <v>825</v>
      </c>
      <c r="E7013" t="s">
        <v>35</v>
      </c>
      <c r="F7013" t="s">
        <v>679</v>
      </c>
      <c r="G7013">
        <v>37.1</v>
      </c>
      <c r="H7013">
        <v>122.55</v>
      </c>
      <c r="J7013" s="2" t="s">
        <v>5</v>
      </c>
      <c r="K7013" t="s">
        <v>144</v>
      </c>
      <c r="L7013" t="s">
        <v>144</v>
      </c>
      <c r="M7013" t="s">
        <v>172</v>
      </c>
      <c r="N7013" t="s">
        <v>86</v>
      </c>
      <c r="O7013" t="s">
        <v>62</v>
      </c>
      <c r="P7013" t="s">
        <v>78</v>
      </c>
      <c r="Q7013">
        <v>21</v>
      </c>
      <c r="R7013" s="2" t="s">
        <v>214</v>
      </c>
      <c r="S7013" t="s">
        <v>13</v>
      </c>
      <c r="T7013">
        <v>3</v>
      </c>
      <c r="U7013">
        <v>7.68</v>
      </c>
      <c r="V7013">
        <v>1500</v>
      </c>
      <c r="W7013" t="s">
        <v>28</v>
      </c>
      <c r="X7013" s="3">
        <v>3.0169333333333337</v>
      </c>
      <c r="Y7013" s="3">
        <v>5.8658787349666182E-2</v>
      </c>
    </row>
    <row r="7014" spans="1:25" x14ac:dyDescent="0.2">
      <c r="A7014" t="s">
        <v>801</v>
      </c>
      <c r="B7014">
        <v>2017</v>
      </c>
      <c r="C7014" t="s">
        <v>807</v>
      </c>
      <c r="D7014" t="s">
        <v>825</v>
      </c>
      <c r="E7014" t="s">
        <v>35</v>
      </c>
      <c r="F7014" t="s">
        <v>679</v>
      </c>
      <c r="G7014">
        <v>37.1</v>
      </c>
      <c r="H7014">
        <v>122.55</v>
      </c>
      <c r="J7014" s="2" t="s">
        <v>5</v>
      </c>
      <c r="K7014" t="s">
        <v>144</v>
      </c>
      <c r="L7014" t="s">
        <v>144</v>
      </c>
      <c r="M7014" t="s">
        <v>172</v>
      </c>
      <c r="N7014" t="s">
        <v>86</v>
      </c>
      <c r="O7014" t="s">
        <v>62</v>
      </c>
      <c r="P7014" t="s">
        <v>78</v>
      </c>
      <c r="Q7014">
        <v>21</v>
      </c>
      <c r="R7014" s="2" t="s">
        <v>214</v>
      </c>
      <c r="S7014" t="s">
        <v>15</v>
      </c>
      <c r="T7014">
        <v>3</v>
      </c>
      <c r="U7014">
        <v>7.53</v>
      </c>
      <c r="V7014">
        <v>2000</v>
      </c>
      <c r="W7014" t="s">
        <v>28</v>
      </c>
      <c r="X7014" s="3">
        <v>2.6779999999999995</v>
      </c>
      <c r="Y7014" s="3">
        <v>6.7800000000000082E-2</v>
      </c>
    </row>
    <row r="7015" spans="1:25" x14ac:dyDescent="0.2">
      <c r="A7015" t="s">
        <v>801</v>
      </c>
      <c r="B7015">
        <v>2017</v>
      </c>
      <c r="C7015" t="s">
        <v>807</v>
      </c>
      <c r="D7015" t="s">
        <v>825</v>
      </c>
      <c r="E7015" t="s">
        <v>35</v>
      </c>
      <c r="F7015" t="s">
        <v>679</v>
      </c>
      <c r="G7015">
        <v>37.1</v>
      </c>
      <c r="H7015">
        <v>122.55</v>
      </c>
      <c r="J7015" s="2" t="s">
        <v>7</v>
      </c>
      <c r="K7015" t="s">
        <v>144</v>
      </c>
      <c r="L7015" t="s">
        <v>144</v>
      </c>
      <c r="M7015" t="s">
        <v>172</v>
      </c>
      <c r="N7015" t="s">
        <v>86</v>
      </c>
      <c r="O7015" t="s">
        <v>62</v>
      </c>
      <c r="P7015" t="s">
        <v>78</v>
      </c>
      <c r="Q7015">
        <v>28</v>
      </c>
      <c r="R7015" s="2" t="s">
        <v>213</v>
      </c>
      <c r="S7015" t="s">
        <v>7</v>
      </c>
      <c r="T7015">
        <v>3</v>
      </c>
      <c r="U7015">
        <v>8.1999999999999993</v>
      </c>
      <c r="V7015">
        <v>400</v>
      </c>
      <c r="W7015" t="s">
        <v>28</v>
      </c>
      <c r="X7015" s="3"/>
      <c r="Y7015" s="3"/>
    </row>
    <row r="7016" spans="1:25" x14ac:dyDescent="0.2">
      <c r="A7016" t="s">
        <v>801</v>
      </c>
      <c r="B7016">
        <v>2017</v>
      </c>
      <c r="C7016" t="s">
        <v>807</v>
      </c>
      <c r="D7016" t="s">
        <v>825</v>
      </c>
      <c r="E7016" t="s">
        <v>35</v>
      </c>
      <c r="F7016" t="s">
        <v>679</v>
      </c>
      <c r="G7016">
        <v>37.1</v>
      </c>
      <c r="H7016">
        <v>122.55</v>
      </c>
      <c r="J7016" s="2" t="s">
        <v>5</v>
      </c>
      <c r="K7016" t="s">
        <v>144</v>
      </c>
      <c r="L7016" t="s">
        <v>144</v>
      </c>
      <c r="M7016" t="s">
        <v>172</v>
      </c>
      <c r="N7016" t="s">
        <v>86</v>
      </c>
      <c r="O7016" t="s">
        <v>62</v>
      </c>
      <c r="P7016" t="s">
        <v>78</v>
      </c>
      <c r="Q7016">
        <v>28</v>
      </c>
      <c r="R7016" s="2" t="s">
        <v>213</v>
      </c>
      <c r="S7016" t="s">
        <v>9</v>
      </c>
      <c r="T7016">
        <v>3</v>
      </c>
      <c r="U7016">
        <v>7.98</v>
      </c>
      <c r="V7016">
        <v>700</v>
      </c>
      <c r="W7016" t="s">
        <v>28</v>
      </c>
      <c r="X7016" s="3">
        <v>2.3050999999999999</v>
      </c>
      <c r="Y7016" s="3">
        <v>8.9690969445089724E-2</v>
      </c>
    </row>
    <row r="7017" spans="1:25" x14ac:dyDescent="0.2">
      <c r="A7017" t="s">
        <v>801</v>
      </c>
      <c r="B7017">
        <v>2017</v>
      </c>
      <c r="C7017" t="s">
        <v>807</v>
      </c>
      <c r="D7017" t="s">
        <v>825</v>
      </c>
      <c r="E7017" t="s">
        <v>35</v>
      </c>
      <c r="F7017" t="s">
        <v>679</v>
      </c>
      <c r="G7017">
        <v>37.1</v>
      </c>
      <c r="H7017">
        <v>122.55</v>
      </c>
      <c r="J7017" s="2" t="s">
        <v>5</v>
      </c>
      <c r="K7017" t="s">
        <v>144</v>
      </c>
      <c r="L7017" t="s">
        <v>144</v>
      </c>
      <c r="M7017" t="s">
        <v>172</v>
      </c>
      <c r="N7017" t="s">
        <v>86</v>
      </c>
      <c r="O7017" t="s">
        <v>62</v>
      </c>
      <c r="P7017" t="s">
        <v>78</v>
      </c>
      <c r="Q7017">
        <v>28</v>
      </c>
      <c r="R7017" s="2" t="s">
        <v>213</v>
      </c>
      <c r="S7017" t="s">
        <v>27</v>
      </c>
      <c r="T7017">
        <v>3</v>
      </c>
      <c r="U7017">
        <v>7.86</v>
      </c>
      <c r="V7017">
        <v>1000</v>
      </c>
      <c r="W7017" t="s">
        <v>28</v>
      </c>
      <c r="X7017" s="3">
        <v>2.2033999999999998</v>
      </c>
      <c r="Y7017" s="3">
        <v>0.13559999999999994</v>
      </c>
    </row>
    <row r="7018" spans="1:25" x14ac:dyDescent="0.2">
      <c r="A7018" t="s">
        <v>801</v>
      </c>
      <c r="B7018">
        <v>2017</v>
      </c>
      <c r="C7018" t="s">
        <v>807</v>
      </c>
      <c r="D7018" t="s">
        <v>825</v>
      </c>
      <c r="E7018" t="s">
        <v>35</v>
      </c>
      <c r="F7018" t="s">
        <v>679</v>
      </c>
      <c r="G7018">
        <v>37.1</v>
      </c>
      <c r="H7018">
        <v>122.55</v>
      </c>
      <c r="J7018" s="2" t="s">
        <v>5</v>
      </c>
      <c r="K7018" t="s">
        <v>144</v>
      </c>
      <c r="L7018" t="s">
        <v>144</v>
      </c>
      <c r="M7018" t="s">
        <v>172</v>
      </c>
      <c r="N7018" t="s">
        <v>86</v>
      </c>
      <c r="O7018" t="s">
        <v>62</v>
      </c>
      <c r="P7018" t="s">
        <v>78</v>
      </c>
      <c r="Q7018">
        <v>28</v>
      </c>
      <c r="R7018" s="2" t="s">
        <v>213</v>
      </c>
      <c r="S7018" t="s">
        <v>13</v>
      </c>
      <c r="T7018">
        <v>3</v>
      </c>
      <c r="U7018">
        <v>7.68</v>
      </c>
      <c r="V7018">
        <v>1500</v>
      </c>
      <c r="W7018" t="s">
        <v>28</v>
      </c>
      <c r="X7018" s="3"/>
      <c r="Y7018" s="3"/>
    </row>
    <row r="7019" spans="1:25" x14ac:dyDescent="0.2">
      <c r="A7019" t="s">
        <v>801</v>
      </c>
      <c r="B7019">
        <v>2017</v>
      </c>
      <c r="C7019" t="s">
        <v>807</v>
      </c>
      <c r="D7019" t="s">
        <v>825</v>
      </c>
      <c r="E7019" t="s">
        <v>35</v>
      </c>
      <c r="F7019" t="s">
        <v>679</v>
      </c>
      <c r="G7019">
        <v>37.1</v>
      </c>
      <c r="H7019">
        <v>122.55</v>
      </c>
      <c r="J7019" s="2" t="s">
        <v>5</v>
      </c>
      <c r="K7019" t="s">
        <v>144</v>
      </c>
      <c r="L7019" t="s">
        <v>144</v>
      </c>
      <c r="M7019" t="s">
        <v>172</v>
      </c>
      <c r="N7019" t="s">
        <v>86</v>
      </c>
      <c r="O7019" t="s">
        <v>62</v>
      </c>
      <c r="P7019" t="s">
        <v>78</v>
      </c>
      <c r="Q7019">
        <v>28</v>
      </c>
      <c r="R7019" s="2" t="s">
        <v>213</v>
      </c>
      <c r="S7019" t="s">
        <v>15</v>
      </c>
      <c r="T7019">
        <v>3</v>
      </c>
      <c r="U7019">
        <v>7.53</v>
      </c>
      <c r="V7019">
        <v>2000</v>
      </c>
      <c r="W7019" t="s">
        <v>28</v>
      </c>
      <c r="X7019" s="3"/>
      <c r="Y7019" s="3"/>
    </row>
    <row r="7020" spans="1:25" x14ac:dyDescent="0.2">
      <c r="A7020" t="s">
        <v>674</v>
      </c>
      <c r="B7020">
        <v>2021</v>
      </c>
      <c r="C7020" t="s">
        <v>816</v>
      </c>
      <c r="D7020" t="s">
        <v>817</v>
      </c>
      <c r="E7020" t="s">
        <v>31</v>
      </c>
      <c r="F7020" t="s">
        <v>424</v>
      </c>
      <c r="G7020">
        <v>78.966667000000001</v>
      </c>
      <c r="H7020">
        <v>11.5</v>
      </c>
      <c r="J7020" s="2" t="s">
        <v>7</v>
      </c>
      <c r="K7020" t="s">
        <v>95</v>
      </c>
      <c r="L7020" t="s">
        <v>143</v>
      </c>
      <c r="M7020" t="s">
        <v>638</v>
      </c>
      <c r="N7020" t="s">
        <v>86</v>
      </c>
      <c r="O7020" t="s">
        <v>272</v>
      </c>
      <c r="P7020" t="s">
        <v>604</v>
      </c>
      <c r="Q7020">
        <v>14</v>
      </c>
      <c r="R7020" s="2" t="s">
        <v>213</v>
      </c>
      <c r="S7020" t="s">
        <v>7</v>
      </c>
      <c r="T7020">
        <v>5</v>
      </c>
      <c r="U7020" t="s">
        <v>28</v>
      </c>
      <c r="V7020" t="s">
        <v>28</v>
      </c>
      <c r="W7020" s="22">
        <v>10</v>
      </c>
      <c r="X7020">
        <v>24.874102396615591</v>
      </c>
      <c r="Y7020">
        <v>1.2892957587214373</v>
      </c>
    </row>
    <row r="7021" spans="1:25" x14ac:dyDescent="0.2">
      <c r="A7021" t="s">
        <v>674</v>
      </c>
      <c r="B7021">
        <v>2021</v>
      </c>
      <c r="C7021" t="s">
        <v>816</v>
      </c>
      <c r="D7021" t="s">
        <v>817</v>
      </c>
      <c r="E7021" t="s">
        <v>31</v>
      </c>
      <c r="F7021" t="s">
        <v>424</v>
      </c>
      <c r="G7021">
        <v>78.966667000000001</v>
      </c>
      <c r="H7021">
        <v>11.5</v>
      </c>
      <c r="J7021" s="2" t="s">
        <v>14</v>
      </c>
      <c r="K7021" t="s">
        <v>95</v>
      </c>
      <c r="L7021" t="s">
        <v>143</v>
      </c>
      <c r="M7021" t="s">
        <v>638</v>
      </c>
      <c r="N7021" t="s">
        <v>86</v>
      </c>
      <c r="O7021" t="s">
        <v>272</v>
      </c>
      <c r="P7021" t="s">
        <v>604</v>
      </c>
      <c r="Q7021">
        <v>14</v>
      </c>
      <c r="R7021" s="2" t="s">
        <v>213</v>
      </c>
      <c r="S7021" t="s">
        <v>9</v>
      </c>
      <c r="T7021">
        <v>5</v>
      </c>
      <c r="U7021" t="s">
        <v>28</v>
      </c>
      <c r="V7021" t="s">
        <v>28</v>
      </c>
      <c r="W7021" s="22">
        <v>15</v>
      </c>
      <c r="X7021">
        <v>21.660879929192639</v>
      </c>
      <c r="Y7021">
        <v>1.4171288572145972</v>
      </c>
    </row>
    <row r="7022" spans="1:25" x14ac:dyDescent="0.2">
      <c r="A7022" t="s">
        <v>674</v>
      </c>
      <c r="B7022">
        <v>2021</v>
      </c>
      <c r="C7022" t="s">
        <v>816</v>
      </c>
      <c r="D7022" t="s">
        <v>817</v>
      </c>
      <c r="E7022" t="s">
        <v>31</v>
      </c>
      <c r="F7022" t="s">
        <v>424</v>
      </c>
      <c r="G7022">
        <v>78.966667000000001</v>
      </c>
      <c r="H7022">
        <v>11.5</v>
      </c>
      <c r="J7022" s="2" t="s">
        <v>14</v>
      </c>
      <c r="K7022" t="s">
        <v>95</v>
      </c>
      <c r="L7022" t="s">
        <v>143</v>
      </c>
      <c r="M7022" t="s">
        <v>638</v>
      </c>
      <c r="N7022" t="s">
        <v>86</v>
      </c>
      <c r="O7022" t="s">
        <v>272</v>
      </c>
      <c r="P7022" t="s">
        <v>604</v>
      </c>
      <c r="Q7022">
        <v>14</v>
      </c>
      <c r="R7022" s="2" t="s">
        <v>213</v>
      </c>
      <c r="S7022" t="s">
        <v>15</v>
      </c>
      <c r="T7022">
        <v>5</v>
      </c>
      <c r="U7022" t="s">
        <v>28</v>
      </c>
      <c r="V7022" t="s">
        <v>28</v>
      </c>
      <c r="W7022" s="22">
        <v>18</v>
      </c>
      <c r="X7022">
        <v>22.874827683565446</v>
      </c>
      <c r="Y7022">
        <v>0.78874776450011386</v>
      </c>
    </row>
    <row r="7023" spans="1:25" x14ac:dyDescent="0.2">
      <c r="A7023" t="s">
        <v>674</v>
      </c>
      <c r="B7023">
        <v>2021</v>
      </c>
      <c r="C7023" t="s">
        <v>816</v>
      </c>
      <c r="D7023" t="s">
        <v>817</v>
      </c>
      <c r="E7023" t="s">
        <v>31</v>
      </c>
      <c r="F7023" t="s">
        <v>424</v>
      </c>
      <c r="G7023">
        <v>78.966667000000001</v>
      </c>
      <c r="H7023">
        <v>11.5</v>
      </c>
      <c r="J7023" s="2" t="s">
        <v>14</v>
      </c>
      <c r="K7023" t="s">
        <v>95</v>
      </c>
      <c r="L7023" t="s">
        <v>143</v>
      </c>
      <c r="M7023" t="s">
        <v>638</v>
      </c>
      <c r="N7023" t="s">
        <v>86</v>
      </c>
      <c r="O7023" t="s">
        <v>272</v>
      </c>
      <c r="P7023" t="s">
        <v>604</v>
      </c>
      <c r="Q7023">
        <v>14</v>
      </c>
      <c r="R7023" s="2" t="s">
        <v>213</v>
      </c>
      <c r="S7023" t="s">
        <v>37</v>
      </c>
      <c r="T7023">
        <v>5</v>
      </c>
      <c r="U7023" t="s">
        <v>28</v>
      </c>
      <c r="V7023" t="s">
        <v>28</v>
      </c>
      <c r="W7023" s="22">
        <v>19</v>
      </c>
      <c r="X7023">
        <v>23.694275396367718</v>
      </c>
      <c r="Y7023">
        <v>0.87474408010952254</v>
      </c>
    </row>
    <row r="7024" spans="1:25" x14ac:dyDescent="0.2">
      <c r="A7024" t="s">
        <v>674</v>
      </c>
      <c r="B7024">
        <v>2021</v>
      </c>
      <c r="C7024" t="s">
        <v>816</v>
      </c>
      <c r="D7024" t="s">
        <v>817</v>
      </c>
      <c r="E7024" t="s">
        <v>31</v>
      </c>
      <c r="F7024" t="s">
        <v>424</v>
      </c>
      <c r="G7024">
        <v>78.966667000000001</v>
      </c>
      <c r="H7024">
        <v>11.5</v>
      </c>
      <c r="J7024" s="2" t="s">
        <v>14</v>
      </c>
      <c r="K7024" t="s">
        <v>95</v>
      </c>
      <c r="L7024" t="s">
        <v>143</v>
      </c>
      <c r="M7024" t="s">
        <v>638</v>
      </c>
      <c r="N7024" t="s">
        <v>86</v>
      </c>
      <c r="O7024" t="s">
        <v>272</v>
      </c>
      <c r="P7024" t="s">
        <v>604</v>
      </c>
      <c r="Q7024">
        <v>14</v>
      </c>
      <c r="R7024" s="2" t="s">
        <v>213</v>
      </c>
      <c r="S7024" t="s">
        <v>116</v>
      </c>
      <c r="T7024">
        <v>5</v>
      </c>
      <c r="U7024" t="s">
        <v>28</v>
      </c>
      <c r="V7024" t="s">
        <v>28</v>
      </c>
      <c r="W7024" s="22">
        <v>20</v>
      </c>
      <c r="X7024">
        <v>24.32009530647737</v>
      </c>
      <c r="Y7024">
        <v>1.1209744626653981</v>
      </c>
    </row>
    <row r="7025" spans="1:25" x14ac:dyDescent="0.2">
      <c r="A7025" t="s">
        <v>674</v>
      </c>
      <c r="B7025">
        <v>2021</v>
      </c>
      <c r="C7025" t="s">
        <v>816</v>
      </c>
      <c r="D7025" t="s">
        <v>817</v>
      </c>
      <c r="E7025" t="s">
        <v>31</v>
      </c>
      <c r="F7025" t="s">
        <v>424</v>
      </c>
      <c r="G7025">
        <v>78.966667000000001</v>
      </c>
      <c r="H7025">
        <v>11.5</v>
      </c>
      <c r="J7025" s="2" t="s">
        <v>14</v>
      </c>
      <c r="K7025" t="s">
        <v>95</v>
      </c>
      <c r="L7025" t="s">
        <v>143</v>
      </c>
      <c r="M7025" t="s">
        <v>638</v>
      </c>
      <c r="N7025" t="s">
        <v>86</v>
      </c>
      <c r="O7025" t="s">
        <v>272</v>
      </c>
      <c r="P7025" t="s">
        <v>604</v>
      </c>
      <c r="Q7025">
        <v>14</v>
      </c>
      <c r="R7025" s="2" t="s">
        <v>213</v>
      </c>
      <c r="S7025" t="s">
        <v>117</v>
      </c>
      <c r="T7025">
        <v>5</v>
      </c>
      <c r="U7025" t="s">
        <v>28</v>
      </c>
      <c r="V7025" t="s">
        <v>28</v>
      </c>
      <c r="W7025" s="22">
        <v>21</v>
      </c>
      <c r="X7025">
        <v>22.525643326688488</v>
      </c>
      <c r="Y7025">
        <v>2.0943555830223164</v>
      </c>
    </row>
    <row r="7026" spans="1:25" x14ac:dyDescent="0.2">
      <c r="A7026" t="s">
        <v>674</v>
      </c>
      <c r="B7026">
        <v>2021</v>
      </c>
      <c r="C7026" t="s">
        <v>816</v>
      </c>
      <c r="D7026" t="s">
        <v>817</v>
      </c>
      <c r="E7026" t="s">
        <v>31</v>
      </c>
      <c r="F7026" t="s">
        <v>424</v>
      </c>
      <c r="G7026">
        <v>78.966667000000001</v>
      </c>
      <c r="H7026">
        <v>11.5</v>
      </c>
      <c r="J7026" s="2" t="s">
        <v>14</v>
      </c>
      <c r="K7026" t="s">
        <v>95</v>
      </c>
      <c r="L7026" t="s">
        <v>143</v>
      </c>
      <c r="M7026" t="s">
        <v>638</v>
      </c>
      <c r="N7026" t="s">
        <v>86</v>
      </c>
      <c r="O7026" t="s">
        <v>272</v>
      </c>
      <c r="P7026" t="s">
        <v>604</v>
      </c>
      <c r="Q7026">
        <v>14</v>
      </c>
      <c r="R7026" s="2" t="s">
        <v>213</v>
      </c>
      <c r="S7026" t="s">
        <v>118</v>
      </c>
      <c r="T7026">
        <v>5</v>
      </c>
      <c r="U7026" t="s">
        <v>28</v>
      </c>
      <c r="V7026" t="s">
        <v>28</v>
      </c>
      <c r="W7026" s="22">
        <v>22</v>
      </c>
      <c r="X7026">
        <v>19.184265607400768</v>
      </c>
      <c r="Y7026">
        <v>0.87834630975275707</v>
      </c>
    </row>
    <row r="7027" spans="1:25" x14ac:dyDescent="0.2">
      <c r="A7027" t="s">
        <v>674</v>
      </c>
      <c r="B7027">
        <v>2021</v>
      </c>
      <c r="C7027" t="s">
        <v>816</v>
      </c>
      <c r="D7027" t="s">
        <v>827</v>
      </c>
      <c r="E7027" t="s">
        <v>675</v>
      </c>
      <c r="F7027" t="s">
        <v>424</v>
      </c>
      <c r="G7027">
        <v>78.966667000000001</v>
      </c>
      <c r="H7027">
        <v>11.5</v>
      </c>
      <c r="J7027" s="2" t="s">
        <v>7</v>
      </c>
      <c r="K7027" t="s">
        <v>95</v>
      </c>
      <c r="L7027" t="s">
        <v>143</v>
      </c>
      <c r="M7027" t="s">
        <v>638</v>
      </c>
      <c r="N7027" t="s">
        <v>86</v>
      </c>
      <c r="O7027" t="s">
        <v>272</v>
      </c>
      <c r="P7027" t="s">
        <v>604</v>
      </c>
      <c r="Q7027">
        <v>14</v>
      </c>
      <c r="R7027" s="2" t="s">
        <v>213</v>
      </c>
      <c r="S7027" t="s">
        <v>7</v>
      </c>
      <c r="T7027">
        <v>5</v>
      </c>
      <c r="U7027" t="s">
        <v>28</v>
      </c>
      <c r="V7027" t="s">
        <v>28</v>
      </c>
      <c r="W7027">
        <v>10</v>
      </c>
      <c r="X7027">
        <v>13.448114772759999</v>
      </c>
      <c r="Y7027">
        <v>1.1599498426963704</v>
      </c>
    </row>
    <row r="7028" spans="1:25" x14ac:dyDescent="0.2">
      <c r="A7028" t="s">
        <v>674</v>
      </c>
      <c r="B7028">
        <v>2021</v>
      </c>
      <c r="C7028" t="s">
        <v>816</v>
      </c>
      <c r="D7028" t="s">
        <v>827</v>
      </c>
      <c r="E7028" t="s">
        <v>675</v>
      </c>
      <c r="F7028" t="s">
        <v>424</v>
      </c>
      <c r="G7028">
        <v>78.966667000000001</v>
      </c>
      <c r="H7028">
        <v>11.5</v>
      </c>
      <c r="J7028" s="2" t="s">
        <v>14</v>
      </c>
      <c r="K7028" t="s">
        <v>95</v>
      </c>
      <c r="L7028" t="s">
        <v>143</v>
      </c>
      <c r="M7028" t="s">
        <v>638</v>
      </c>
      <c r="N7028" t="s">
        <v>86</v>
      </c>
      <c r="O7028" t="s">
        <v>272</v>
      </c>
      <c r="P7028" t="s">
        <v>604</v>
      </c>
      <c r="Q7028">
        <v>14</v>
      </c>
      <c r="R7028" s="2" t="s">
        <v>213</v>
      </c>
      <c r="S7028" t="s">
        <v>9</v>
      </c>
      <c r="T7028">
        <v>5</v>
      </c>
      <c r="U7028" t="s">
        <v>28</v>
      </c>
      <c r="V7028" t="s">
        <v>28</v>
      </c>
      <c r="W7028">
        <v>15</v>
      </c>
      <c r="X7028">
        <v>13.846687011784388</v>
      </c>
      <c r="Y7028">
        <v>0.81838343027430793</v>
      </c>
    </row>
    <row r="7029" spans="1:25" x14ac:dyDescent="0.2">
      <c r="A7029" t="s">
        <v>674</v>
      </c>
      <c r="B7029">
        <v>2021</v>
      </c>
      <c r="C7029" t="s">
        <v>816</v>
      </c>
      <c r="D7029" t="s">
        <v>827</v>
      </c>
      <c r="E7029" t="s">
        <v>675</v>
      </c>
      <c r="F7029" t="s">
        <v>424</v>
      </c>
      <c r="G7029">
        <v>78.966667000000001</v>
      </c>
      <c r="H7029">
        <v>11.5</v>
      </c>
      <c r="J7029" s="2" t="s">
        <v>14</v>
      </c>
      <c r="K7029" t="s">
        <v>95</v>
      </c>
      <c r="L7029" t="s">
        <v>143</v>
      </c>
      <c r="M7029" t="s">
        <v>638</v>
      </c>
      <c r="N7029" t="s">
        <v>86</v>
      </c>
      <c r="O7029" t="s">
        <v>272</v>
      </c>
      <c r="P7029" t="s">
        <v>604</v>
      </c>
      <c r="Q7029">
        <v>14</v>
      </c>
      <c r="R7029" s="2" t="s">
        <v>213</v>
      </c>
      <c r="S7029" t="s">
        <v>27</v>
      </c>
      <c r="T7029">
        <v>5</v>
      </c>
      <c r="U7029" t="s">
        <v>28</v>
      </c>
      <c r="V7029" t="s">
        <v>28</v>
      </c>
      <c r="W7029">
        <v>16</v>
      </c>
      <c r="X7029">
        <v>13.312853412632776</v>
      </c>
      <c r="Y7029">
        <v>0.76355013356573842</v>
      </c>
    </row>
    <row r="7030" spans="1:25" x14ac:dyDescent="0.2">
      <c r="A7030" t="s">
        <v>674</v>
      </c>
      <c r="B7030">
        <v>2021</v>
      </c>
      <c r="C7030" t="s">
        <v>816</v>
      </c>
      <c r="D7030" t="s">
        <v>827</v>
      </c>
      <c r="E7030" t="s">
        <v>675</v>
      </c>
      <c r="F7030" t="s">
        <v>424</v>
      </c>
      <c r="G7030">
        <v>78.966667000000001</v>
      </c>
      <c r="H7030">
        <v>11.5</v>
      </c>
      <c r="J7030" s="2" t="s">
        <v>14</v>
      </c>
      <c r="K7030" t="s">
        <v>95</v>
      </c>
      <c r="L7030" t="s">
        <v>143</v>
      </c>
      <c r="M7030" t="s">
        <v>638</v>
      </c>
      <c r="N7030" t="s">
        <v>86</v>
      </c>
      <c r="O7030" t="s">
        <v>272</v>
      </c>
      <c r="P7030" t="s">
        <v>604</v>
      </c>
      <c r="Q7030">
        <v>14</v>
      </c>
      <c r="R7030" s="2" t="s">
        <v>213</v>
      </c>
      <c r="S7030" t="s">
        <v>13</v>
      </c>
      <c r="T7030">
        <v>5</v>
      </c>
      <c r="U7030" t="s">
        <v>28</v>
      </c>
      <c r="V7030" t="s">
        <v>28</v>
      </c>
      <c r="W7030">
        <v>17</v>
      </c>
      <c r="X7030">
        <v>13.28267027126833</v>
      </c>
      <c r="Y7030">
        <v>0.39843757661625429</v>
      </c>
    </row>
    <row r="7031" spans="1:25" x14ac:dyDescent="0.2">
      <c r="A7031" t="s">
        <v>674</v>
      </c>
      <c r="B7031">
        <v>2021</v>
      </c>
      <c r="C7031" t="s">
        <v>816</v>
      </c>
      <c r="D7031" t="s">
        <v>827</v>
      </c>
      <c r="E7031" t="s">
        <v>675</v>
      </c>
      <c r="F7031" t="s">
        <v>424</v>
      </c>
      <c r="G7031">
        <v>78.966667000000001</v>
      </c>
      <c r="H7031">
        <v>11.5</v>
      </c>
      <c r="J7031" s="2" t="s">
        <v>14</v>
      </c>
      <c r="K7031" t="s">
        <v>95</v>
      </c>
      <c r="L7031" t="s">
        <v>143</v>
      </c>
      <c r="M7031" t="s">
        <v>638</v>
      </c>
      <c r="N7031" t="s">
        <v>86</v>
      </c>
      <c r="O7031" t="s">
        <v>272</v>
      </c>
      <c r="P7031" t="s">
        <v>604</v>
      </c>
      <c r="Q7031">
        <v>14</v>
      </c>
      <c r="R7031" s="2" t="s">
        <v>213</v>
      </c>
      <c r="S7031" t="s">
        <v>15</v>
      </c>
      <c r="T7031">
        <v>5</v>
      </c>
      <c r="U7031" t="s">
        <v>28</v>
      </c>
      <c r="V7031" t="s">
        <v>28</v>
      </c>
      <c r="W7031">
        <v>18</v>
      </c>
      <c r="X7031">
        <v>13.613653172189402</v>
      </c>
      <c r="Y7031">
        <v>0.48677185794044653</v>
      </c>
    </row>
    <row r="7032" spans="1:25" x14ac:dyDescent="0.2">
      <c r="A7032" t="s">
        <v>674</v>
      </c>
      <c r="B7032">
        <v>2021</v>
      </c>
      <c r="C7032" t="s">
        <v>816</v>
      </c>
      <c r="D7032" t="s">
        <v>827</v>
      </c>
      <c r="E7032" t="s">
        <v>675</v>
      </c>
      <c r="F7032" t="s">
        <v>424</v>
      </c>
      <c r="G7032">
        <v>78.966667000000001</v>
      </c>
      <c r="H7032">
        <v>11.5</v>
      </c>
      <c r="J7032" s="2" t="s">
        <v>14</v>
      </c>
      <c r="K7032" t="s">
        <v>95</v>
      </c>
      <c r="L7032" t="s">
        <v>143</v>
      </c>
      <c r="M7032" t="s">
        <v>638</v>
      </c>
      <c r="N7032" t="s">
        <v>86</v>
      </c>
      <c r="O7032" t="s">
        <v>272</v>
      </c>
      <c r="P7032" t="s">
        <v>604</v>
      </c>
      <c r="Q7032">
        <v>14</v>
      </c>
      <c r="R7032" s="2" t="s">
        <v>213</v>
      </c>
      <c r="S7032" t="s">
        <v>37</v>
      </c>
      <c r="T7032">
        <v>5</v>
      </c>
      <c r="U7032" t="s">
        <v>28</v>
      </c>
      <c r="V7032" t="s">
        <v>28</v>
      </c>
      <c r="W7032">
        <v>19</v>
      </c>
      <c r="X7032">
        <v>14.648065363484974</v>
      </c>
      <c r="Y7032">
        <v>0.24830722116263451</v>
      </c>
    </row>
    <row r="7033" spans="1:25" x14ac:dyDescent="0.2">
      <c r="A7033" t="s">
        <v>674</v>
      </c>
      <c r="B7033">
        <v>2021</v>
      </c>
      <c r="C7033" t="s">
        <v>816</v>
      </c>
      <c r="D7033" t="s">
        <v>827</v>
      </c>
      <c r="E7033" t="s">
        <v>675</v>
      </c>
      <c r="F7033" t="s">
        <v>424</v>
      </c>
      <c r="G7033">
        <v>78.966667000000001</v>
      </c>
      <c r="H7033">
        <v>11.5</v>
      </c>
      <c r="J7033" s="2" t="s">
        <v>14</v>
      </c>
      <c r="K7033" t="s">
        <v>95</v>
      </c>
      <c r="L7033" t="s">
        <v>143</v>
      </c>
      <c r="M7033" t="s">
        <v>638</v>
      </c>
      <c r="N7033" t="s">
        <v>86</v>
      </c>
      <c r="O7033" t="s">
        <v>272</v>
      </c>
      <c r="P7033" t="s">
        <v>604</v>
      </c>
      <c r="Q7033">
        <v>14</v>
      </c>
      <c r="R7033" s="2" t="s">
        <v>213</v>
      </c>
      <c r="S7033" t="s">
        <v>116</v>
      </c>
      <c r="T7033">
        <v>5</v>
      </c>
      <c r="U7033" t="s">
        <v>28</v>
      </c>
      <c r="V7033" t="s">
        <v>28</v>
      </c>
      <c r="W7033">
        <v>20</v>
      </c>
      <c r="X7033">
        <v>15.185063548739929</v>
      </c>
      <c r="Y7033">
        <v>0.5000924708317469</v>
      </c>
    </row>
    <row r="7034" spans="1:25" x14ac:dyDescent="0.2">
      <c r="A7034" t="s">
        <v>674</v>
      </c>
      <c r="B7034">
        <v>2021</v>
      </c>
      <c r="C7034" t="s">
        <v>816</v>
      </c>
      <c r="D7034" t="s">
        <v>817</v>
      </c>
      <c r="E7034" t="s">
        <v>31</v>
      </c>
      <c r="F7034" t="s">
        <v>424</v>
      </c>
      <c r="G7034">
        <v>78.966667000000001</v>
      </c>
      <c r="H7034">
        <v>11.5</v>
      </c>
      <c r="J7034" s="2" t="s">
        <v>7</v>
      </c>
      <c r="K7034" t="s">
        <v>95</v>
      </c>
      <c r="L7034" t="s">
        <v>143</v>
      </c>
      <c r="M7034" t="s">
        <v>638</v>
      </c>
      <c r="N7034" t="s">
        <v>85</v>
      </c>
      <c r="O7034" t="s">
        <v>221</v>
      </c>
      <c r="P7034" t="s">
        <v>126</v>
      </c>
      <c r="Q7034">
        <v>14</v>
      </c>
      <c r="R7034" s="2" t="s">
        <v>213</v>
      </c>
      <c r="S7034" t="s">
        <v>7</v>
      </c>
      <c r="T7034">
        <v>5</v>
      </c>
      <c r="U7034" t="s">
        <v>28</v>
      </c>
      <c r="V7034" t="s">
        <v>28</v>
      </c>
      <c r="W7034" s="22">
        <v>10</v>
      </c>
      <c r="X7034">
        <v>35.714986722315331</v>
      </c>
      <c r="Y7034">
        <v>0.43526357926296028</v>
      </c>
    </row>
    <row r="7035" spans="1:25" x14ac:dyDescent="0.2">
      <c r="A7035" t="s">
        <v>674</v>
      </c>
      <c r="B7035">
        <v>2021</v>
      </c>
      <c r="C7035" t="s">
        <v>816</v>
      </c>
      <c r="D7035" t="s">
        <v>817</v>
      </c>
      <c r="E7035" t="s">
        <v>31</v>
      </c>
      <c r="F7035" t="s">
        <v>424</v>
      </c>
      <c r="G7035">
        <v>78.966667000000001</v>
      </c>
      <c r="H7035">
        <v>11.5</v>
      </c>
      <c r="J7035" s="2" t="s">
        <v>14</v>
      </c>
      <c r="K7035" t="s">
        <v>95</v>
      </c>
      <c r="L7035" t="s">
        <v>143</v>
      </c>
      <c r="M7035" t="s">
        <v>638</v>
      </c>
      <c r="N7035" t="s">
        <v>85</v>
      </c>
      <c r="O7035" t="s">
        <v>221</v>
      </c>
      <c r="P7035" t="s">
        <v>126</v>
      </c>
      <c r="Q7035">
        <v>14</v>
      </c>
      <c r="R7035" s="2" t="s">
        <v>213</v>
      </c>
      <c r="S7035" t="s">
        <v>9</v>
      </c>
      <c r="T7035">
        <v>5</v>
      </c>
      <c r="U7035" t="s">
        <v>28</v>
      </c>
      <c r="V7035" t="s">
        <v>28</v>
      </c>
      <c r="W7035" s="22">
        <v>15</v>
      </c>
      <c r="X7035">
        <v>34.350986382641203</v>
      </c>
      <c r="Y7035">
        <v>0.61532994803224972</v>
      </c>
    </row>
    <row r="7036" spans="1:25" x14ac:dyDescent="0.2">
      <c r="A7036" t="s">
        <v>674</v>
      </c>
      <c r="B7036">
        <v>2021</v>
      </c>
      <c r="C7036" t="s">
        <v>816</v>
      </c>
      <c r="D7036" t="s">
        <v>817</v>
      </c>
      <c r="E7036" t="s">
        <v>31</v>
      </c>
      <c r="F7036" t="s">
        <v>424</v>
      </c>
      <c r="G7036">
        <v>78.966667000000001</v>
      </c>
      <c r="H7036">
        <v>11.5</v>
      </c>
      <c r="J7036" s="2" t="s">
        <v>14</v>
      </c>
      <c r="K7036" t="s">
        <v>95</v>
      </c>
      <c r="L7036" t="s">
        <v>143</v>
      </c>
      <c r="M7036" t="s">
        <v>638</v>
      </c>
      <c r="N7036" t="s">
        <v>85</v>
      </c>
      <c r="O7036" t="s">
        <v>221</v>
      </c>
      <c r="P7036" t="s">
        <v>126</v>
      </c>
      <c r="Q7036">
        <v>14</v>
      </c>
      <c r="R7036" s="2" t="s">
        <v>213</v>
      </c>
      <c r="S7036" t="s">
        <v>15</v>
      </c>
      <c r="T7036">
        <v>5</v>
      </c>
      <c r="U7036" t="s">
        <v>28</v>
      </c>
      <c r="V7036" t="s">
        <v>28</v>
      </c>
      <c r="W7036" s="22">
        <v>18</v>
      </c>
      <c r="X7036">
        <v>35.454829523246374</v>
      </c>
      <c r="Y7036">
        <v>0.4642722253483238</v>
      </c>
    </row>
    <row r="7037" spans="1:25" x14ac:dyDescent="0.2">
      <c r="A7037" t="s">
        <v>674</v>
      </c>
      <c r="B7037">
        <v>2021</v>
      </c>
      <c r="C7037" t="s">
        <v>816</v>
      </c>
      <c r="D7037" t="s">
        <v>817</v>
      </c>
      <c r="E7037" t="s">
        <v>31</v>
      </c>
      <c r="F7037" t="s">
        <v>424</v>
      </c>
      <c r="G7037">
        <v>78.966667000000001</v>
      </c>
      <c r="H7037">
        <v>11.5</v>
      </c>
      <c r="J7037" s="2" t="s">
        <v>14</v>
      </c>
      <c r="K7037" t="s">
        <v>95</v>
      </c>
      <c r="L7037" t="s">
        <v>143</v>
      </c>
      <c r="M7037" t="s">
        <v>638</v>
      </c>
      <c r="N7037" t="s">
        <v>85</v>
      </c>
      <c r="O7037" t="s">
        <v>221</v>
      </c>
      <c r="P7037" t="s">
        <v>126</v>
      </c>
      <c r="Q7037">
        <v>14</v>
      </c>
      <c r="R7037" s="2" t="s">
        <v>213</v>
      </c>
      <c r="S7037" t="s">
        <v>37</v>
      </c>
      <c r="T7037">
        <v>5</v>
      </c>
      <c r="U7037" t="s">
        <v>28</v>
      </c>
      <c r="V7037" t="s">
        <v>28</v>
      </c>
      <c r="W7037" s="22">
        <v>19</v>
      </c>
      <c r="X7037">
        <v>35.898980293515798</v>
      </c>
      <c r="Y7037">
        <v>0.58894242128447616</v>
      </c>
    </row>
    <row r="7038" spans="1:25" x14ac:dyDescent="0.2">
      <c r="A7038" t="s">
        <v>674</v>
      </c>
      <c r="B7038">
        <v>2021</v>
      </c>
      <c r="C7038" t="s">
        <v>816</v>
      </c>
      <c r="D7038" t="s">
        <v>817</v>
      </c>
      <c r="E7038" t="s">
        <v>31</v>
      </c>
      <c r="F7038" t="s">
        <v>424</v>
      </c>
      <c r="G7038">
        <v>78.966667000000001</v>
      </c>
      <c r="H7038">
        <v>11.5</v>
      </c>
      <c r="J7038" s="2" t="s">
        <v>14</v>
      </c>
      <c r="K7038" t="s">
        <v>95</v>
      </c>
      <c r="L7038" t="s">
        <v>143</v>
      </c>
      <c r="M7038" t="s">
        <v>638</v>
      </c>
      <c r="N7038" t="s">
        <v>85</v>
      </c>
      <c r="O7038" t="s">
        <v>221</v>
      </c>
      <c r="P7038" t="s">
        <v>126</v>
      </c>
      <c r="Q7038">
        <v>14</v>
      </c>
      <c r="R7038" s="2" t="s">
        <v>213</v>
      </c>
      <c r="S7038" t="s">
        <v>116</v>
      </c>
      <c r="T7038">
        <v>5</v>
      </c>
      <c r="U7038" t="s">
        <v>28</v>
      </c>
      <c r="V7038" t="s">
        <v>28</v>
      </c>
      <c r="W7038" s="22">
        <v>20</v>
      </c>
      <c r="X7038">
        <v>37.262747987218681</v>
      </c>
      <c r="Y7038">
        <v>1.581479497205867</v>
      </c>
    </row>
    <row r="7039" spans="1:25" x14ac:dyDescent="0.2">
      <c r="A7039" t="s">
        <v>674</v>
      </c>
      <c r="B7039">
        <v>2021</v>
      </c>
      <c r="C7039" t="s">
        <v>816</v>
      </c>
      <c r="D7039" t="s">
        <v>817</v>
      </c>
      <c r="E7039" t="s">
        <v>31</v>
      </c>
      <c r="F7039" t="s">
        <v>424</v>
      </c>
      <c r="G7039">
        <v>78.966667000000001</v>
      </c>
      <c r="H7039">
        <v>11.5</v>
      </c>
      <c r="J7039" s="2" t="s">
        <v>14</v>
      </c>
      <c r="K7039" t="s">
        <v>95</v>
      </c>
      <c r="L7039" t="s">
        <v>143</v>
      </c>
      <c r="M7039" t="s">
        <v>638</v>
      </c>
      <c r="N7039" t="s">
        <v>85</v>
      </c>
      <c r="O7039" t="s">
        <v>221</v>
      </c>
      <c r="P7039" t="s">
        <v>126</v>
      </c>
      <c r="Q7039">
        <v>14</v>
      </c>
      <c r="R7039" s="2" t="s">
        <v>213</v>
      </c>
      <c r="S7039" t="s">
        <v>117</v>
      </c>
      <c r="T7039">
        <v>5</v>
      </c>
      <c r="U7039" t="s">
        <v>28</v>
      </c>
      <c r="V7039" t="s">
        <v>28</v>
      </c>
      <c r="W7039" s="22">
        <v>21</v>
      </c>
      <c r="X7039">
        <v>36.507573067106257</v>
      </c>
      <c r="Y7039">
        <v>7.1042406885233405</v>
      </c>
    </row>
    <row r="7040" spans="1:25" x14ac:dyDescent="0.2">
      <c r="A7040" t="s">
        <v>674</v>
      </c>
      <c r="B7040">
        <v>2021</v>
      </c>
      <c r="C7040" t="s">
        <v>816</v>
      </c>
      <c r="D7040" t="s">
        <v>817</v>
      </c>
      <c r="E7040" t="s">
        <v>31</v>
      </c>
      <c r="F7040" t="s">
        <v>424</v>
      </c>
      <c r="G7040">
        <v>78.966667000000001</v>
      </c>
      <c r="H7040">
        <v>11.5</v>
      </c>
      <c r="J7040" s="2" t="s">
        <v>14</v>
      </c>
      <c r="K7040" t="s">
        <v>95</v>
      </c>
      <c r="L7040" t="s">
        <v>143</v>
      </c>
      <c r="M7040" t="s">
        <v>638</v>
      </c>
      <c r="N7040" t="s">
        <v>85</v>
      </c>
      <c r="O7040" t="s">
        <v>221</v>
      </c>
      <c r="P7040" t="s">
        <v>126</v>
      </c>
      <c r="Q7040">
        <v>14</v>
      </c>
      <c r="R7040" s="2" t="s">
        <v>213</v>
      </c>
      <c r="S7040" t="s">
        <v>118</v>
      </c>
      <c r="T7040">
        <v>5</v>
      </c>
      <c r="U7040" t="s">
        <v>28</v>
      </c>
      <c r="V7040" t="s">
        <v>28</v>
      </c>
      <c r="W7040" s="22">
        <v>22</v>
      </c>
      <c r="X7040">
        <v>34.234666902375039</v>
      </c>
      <c r="Y7040">
        <v>1.0335457533783048</v>
      </c>
    </row>
    <row r="7041" spans="1:25" x14ac:dyDescent="0.2">
      <c r="A7041" t="s">
        <v>674</v>
      </c>
      <c r="B7041">
        <v>2021</v>
      </c>
      <c r="C7041" t="s">
        <v>816</v>
      </c>
      <c r="D7041" t="s">
        <v>827</v>
      </c>
      <c r="E7041" t="s">
        <v>675</v>
      </c>
      <c r="F7041" t="s">
        <v>424</v>
      </c>
      <c r="G7041">
        <v>78.966667000000001</v>
      </c>
      <c r="H7041">
        <v>11.5</v>
      </c>
      <c r="J7041" s="2" t="s">
        <v>7</v>
      </c>
      <c r="K7041" t="s">
        <v>95</v>
      </c>
      <c r="L7041" t="s">
        <v>143</v>
      </c>
      <c r="M7041" t="s">
        <v>638</v>
      </c>
      <c r="N7041" t="s">
        <v>85</v>
      </c>
      <c r="O7041" t="s">
        <v>221</v>
      </c>
      <c r="P7041" t="s">
        <v>126</v>
      </c>
      <c r="Q7041">
        <v>14</v>
      </c>
      <c r="R7041" s="2" t="s">
        <v>213</v>
      </c>
      <c r="S7041" t="s">
        <v>7</v>
      </c>
      <c r="T7041">
        <v>5</v>
      </c>
      <c r="U7041" t="s">
        <v>28</v>
      </c>
      <c r="V7041" t="s">
        <v>28</v>
      </c>
      <c r="W7041">
        <v>10</v>
      </c>
      <c r="X7041">
        <v>34.192663510645573</v>
      </c>
      <c r="Y7041">
        <v>6.0689038033878191</v>
      </c>
    </row>
    <row r="7042" spans="1:25" x14ac:dyDescent="0.2">
      <c r="A7042" t="s">
        <v>674</v>
      </c>
      <c r="B7042">
        <v>2021</v>
      </c>
      <c r="C7042" t="s">
        <v>816</v>
      </c>
      <c r="D7042" t="s">
        <v>827</v>
      </c>
      <c r="E7042" t="s">
        <v>675</v>
      </c>
      <c r="F7042" t="s">
        <v>424</v>
      </c>
      <c r="G7042">
        <v>78.966667000000001</v>
      </c>
      <c r="H7042">
        <v>11.5</v>
      </c>
      <c r="J7042" s="2" t="s">
        <v>14</v>
      </c>
      <c r="K7042" t="s">
        <v>95</v>
      </c>
      <c r="L7042" t="s">
        <v>143</v>
      </c>
      <c r="M7042" t="s">
        <v>638</v>
      </c>
      <c r="N7042" t="s">
        <v>85</v>
      </c>
      <c r="O7042" t="s">
        <v>221</v>
      </c>
      <c r="P7042" t="s">
        <v>126</v>
      </c>
      <c r="Q7042">
        <v>14</v>
      </c>
      <c r="R7042" s="2" t="s">
        <v>213</v>
      </c>
      <c r="S7042" t="s">
        <v>9</v>
      </c>
      <c r="T7042">
        <v>5</v>
      </c>
      <c r="U7042" t="s">
        <v>28</v>
      </c>
      <c r="V7042" t="s">
        <v>28</v>
      </c>
      <c r="W7042">
        <v>15</v>
      </c>
      <c r="X7042">
        <v>35.373202025815644</v>
      </c>
      <c r="Y7042">
        <v>10.890429789518114</v>
      </c>
    </row>
    <row r="7043" spans="1:25" x14ac:dyDescent="0.2">
      <c r="A7043" t="s">
        <v>674</v>
      </c>
      <c r="B7043">
        <v>2021</v>
      </c>
      <c r="C7043" t="s">
        <v>816</v>
      </c>
      <c r="D7043" t="s">
        <v>827</v>
      </c>
      <c r="E7043" t="s">
        <v>675</v>
      </c>
      <c r="F7043" t="s">
        <v>424</v>
      </c>
      <c r="G7043">
        <v>78.966667000000001</v>
      </c>
      <c r="H7043">
        <v>11.5</v>
      </c>
      <c r="J7043" s="2" t="s">
        <v>14</v>
      </c>
      <c r="K7043" t="s">
        <v>95</v>
      </c>
      <c r="L7043" t="s">
        <v>143</v>
      </c>
      <c r="M7043" t="s">
        <v>638</v>
      </c>
      <c r="N7043" t="s">
        <v>85</v>
      </c>
      <c r="O7043" t="s">
        <v>221</v>
      </c>
      <c r="P7043" t="s">
        <v>126</v>
      </c>
      <c r="Q7043">
        <v>14</v>
      </c>
      <c r="R7043" s="2" t="s">
        <v>213</v>
      </c>
      <c r="S7043" t="s">
        <v>27</v>
      </c>
      <c r="T7043">
        <v>5</v>
      </c>
      <c r="U7043" t="s">
        <v>28</v>
      </c>
      <c r="V7043" t="s">
        <v>28</v>
      </c>
      <c r="W7043">
        <v>16</v>
      </c>
      <c r="X7043">
        <v>37.290369828071306</v>
      </c>
      <c r="Y7043">
        <v>10.387687849795979</v>
      </c>
    </row>
    <row r="7044" spans="1:25" x14ac:dyDescent="0.2">
      <c r="A7044" t="s">
        <v>674</v>
      </c>
      <c r="B7044">
        <v>2021</v>
      </c>
      <c r="C7044" t="s">
        <v>816</v>
      </c>
      <c r="D7044" t="s">
        <v>827</v>
      </c>
      <c r="E7044" t="s">
        <v>675</v>
      </c>
      <c r="F7044" t="s">
        <v>424</v>
      </c>
      <c r="G7044">
        <v>78.966667000000001</v>
      </c>
      <c r="H7044">
        <v>11.5</v>
      </c>
      <c r="J7044" s="2" t="s">
        <v>14</v>
      </c>
      <c r="K7044" t="s">
        <v>95</v>
      </c>
      <c r="L7044" t="s">
        <v>143</v>
      </c>
      <c r="M7044" t="s">
        <v>638</v>
      </c>
      <c r="N7044" t="s">
        <v>85</v>
      </c>
      <c r="O7044" t="s">
        <v>221</v>
      </c>
      <c r="P7044" t="s">
        <v>126</v>
      </c>
      <c r="Q7044">
        <v>14</v>
      </c>
      <c r="R7044" s="2" t="s">
        <v>213</v>
      </c>
      <c r="S7044" t="s">
        <v>13</v>
      </c>
      <c r="T7044">
        <v>5</v>
      </c>
      <c r="U7044" t="s">
        <v>28</v>
      </c>
      <c r="V7044" t="s">
        <v>28</v>
      </c>
      <c r="W7044">
        <v>17</v>
      </c>
      <c r="X7044">
        <v>35.321312374585617</v>
      </c>
      <c r="Y7044">
        <v>6.796465532733575</v>
      </c>
    </row>
    <row r="7045" spans="1:25" x14ac:dyDescent="0.2">
      <c r="A7045" t="s">
        <v>674</v>
      </c>
      <c r="B7045">
        <v>2021</v>
      </c>
      <c r="C7045" t="s">
        <v>816</v>
      </c>
      <c r="D7045" t="s">
        <v>827</v>
      </c>
      <c r="E7045" t="s">
        <v>675</v>
      </c>
      <c r="F7045" t="s">
        <v>424</v>
      </c>
      <c r="G7045">
        <v>78.966667000000001</v>
      </c>
      <c r="H7045">
        <v>11.5</v>
      </c>
      <c r="J7045" s="2" t="s">
        <v>14</v>
      </c>
      <c r="K7045" t="s">
        <v>95</v>
      </c>
      <c r="L7045" t="s">
        <v>143</v>
      </c>
      <c r="M7045" t="s">
        <v>638</v>
      </c>
      <c r="N7045" t="s">
        <v>85</v>
      </c>
      <c r="O7045" t="s">
        <v>221</v>
      </c>
      <c r="P7045" t="s">
        <v>126</v>
      </c>
      <c r="Q7045">
        <v>14</v>
      </c>
      <c r="R7045" s="2" t="s">
        <v>213</v>
      </c>
      <c r="S7045" t="s">
        <v>15</v>
      </c>
      <c r="T7045">
        <v>5</v>
      </c>
      <c r="U7045" t="s">
        <v>28</v>
      </c>
      <c r="V7045" t="s">
        <v>28</v>
      </c>
      <c r="W7045">
        <v>18</v>
      </c>
      <c r="X7045">
        <v>31.839394775402447</v>
      </c>
      <c r="Y7045">
        <v>4.8182588803967663</v>
      </c>
    </row>
    <row r="7046" spans="1:25" x14ac:dyDescent="0.2">
      <c r="A7046" t="s">
        <v>674</v>
      </c>
      <c r="B7046">
        <v>2021</v>
      </c>
      <c r="C7046" t="s">
        <v>816</v>
      </c>
      <c r="D7046" t="s">
        <v>827</v>
      </c>
      <c r="E7046" t="s">
        <v>675</v>
      </c>
      <c r="F7046" t="s">
        <v>424</v>
      </c>
      <c r="G7046">
        <v>78.966667000000001</v>
      </c>
      <c r="H7046">
        <v>11.5</v>
      </c>
      <c r="J7046" s="2" t="s">
        <v>14</v>
      </c>
      <c r="K7046" t="s">
        <v>95</v>
      </c>
      <c r="L7046" t="s">
        <v>143</v>
      </c>
      <c r="M7046" t="s">
        <v>638</v>
      </c>
      <c r="N7046" t="s">
        <v>85</v>
      </c>
      <c r="O7046" t="s">
        <v>221</v>
      </c>
      <c r="P7046" t="s">
        <v>126</v>
      </c>
      <c r="Q7046">
        <v>14</v>
      </c>
      <c r="R7046" s="2" t="s">
        <v>213</v>
      </c>
      <c r="S7046" t="s">
        <v>37</v>
      </c>
      <c r="T7046">
        <v>5</v>
      </c>
      <c r="U7046" t="s">
        <v>28</v>
      </c>
      <c r="V7046" t="s">
        <v>28</v>
      </c>
      <c r="W7046">
        <v>19</v>
      </c>
      <c r="X7046">
        <v>31.321888486788254</v>
      </c>
      <c r="Y7046">
        <v>9.5525237559186174</v>
      </c>
    </row>
    <row r="7047" spans="1:25" x14ac:dyDescent="0.2">
      <c r="A7047" t="s">
        <v>674</v>
      </c>
      <c r="B7047">
        <v>2021</v>
      </c>
      <c r="C7047" t="s">
        <v>816</v>
      </c>
      <c r="D7047" t="s">
        <v>827</v>
      </c>
      <c r="E7047" t="s">
        <v>675</v>
      </c>
      <c r="F7047" t="s">
        <v>424</v>
      </c>
      <c r="G7047">
        <v>78.966667000000001</v>
      </c>
      <c r="H7047">
        <v>11.5</v>
      </c>
      <c r="J7047" s="2" t="s">
        <v>14</v>
      </c>
      <c r="K7047" t="s">
        <v>95</v>
      </c>
      <c r="L7047" t="s">
        <v>143</v>
      </c>
      <c r="M7047" t="s">
        <v>638</v>
      </c>
      <c r="N7047" t="s">
        <v>85</v>
      </c>
      <c r="O7047" t="s">
        <v>221</v>
      </c>
      <c r="P7047" t="s">
        <v>126</v>
      </c>
      <c r="Q7047">
        <v>14</v>
      </c>
      <c r="R7047" s="2" t="s">
        <v>213</v>
      </c>
      <c r="S7047" t="s">
        <v>116</v>
      </c>
      <c r="T7047">
        <v>5</v>
      </c>
      <c r="U7047" t="s">
        <v>28</v>
      </c>
      <c r="V7047" t="s">
        <v>28</v>
      </c>
      <c r="W7047">
        <v>20</v>
      </c>
      <c r="X7047">
        <v>28.862988775900789</v>
      </c>
      <c r="Y7047">
        <v>4.7495518668886554</v>
      </c>
    </row>
    <row r="7048" spans="1:25" x14ac:dyDescent="0.2">
      <c r="A7048" t="s">
        <v>674</v>
      </c>
      <c r="B7048">
        <v>2021</v>
      </c>
      <c r="C7048" t="s">
        <v>816</v>
      </c>
      <c r="D7048" t="s">
        <v>817</v>
      </c>
      <c r="E7048" t="s">
        <v>31</v>
      </c>
      <c r="F7048" t="s">
        <v>424</v>
      </c>
      <c r="G7048">
        <v>78.966667000000001</v>
      </c>
      <c r="H7048">
        <v>11.5</v>
      </c>
      <c r="J7048" s="2" t="s">
        <v>7</v>
      </c>
      <c r="K7048" t="s">
        <v>95</v>
      </c>
      <c r="L7048" t="s">
        <v>143</v>
      </c>
      <c r="M7048" t="s">
        <v>638</v>
      </c>
      <c r="N7048" t="s">
        <v>85</v>
      </c>
      <c r="O7048" t="s">
        <v>107</v>
      </c>
      <c r="P7048" t="s">
        <v>126</v>
      </c>
      <c r="Q7048">
        <v>14</v>
      </c>
      <c r="R7048" s="2" t="s">
        <v>213</v>
      </c>
      <c r="S7048" t="s">
        <v>7</v>
      </c>
      <c r="T7048">
        <v>5</v>
      </c>
      <c r="U7048" t="s">
        <v>28</v>
      </c>
      <c r="V7048" t="s">
        <v>28</v>
      </c>
      <c r="W7048" s="22">
        <v>10</v>
      </c>
      <c r="X7048">
        <v>1.6778356518892887</v>
      </c>
      <c r="Y7048">
        <v>6.5747871922792731E-2</v>
      </c>
    </row>
    <row r="7049" spans="1:25" x14ac:dyDescent="0.2">
      <c r="A7049" t="s">
        <v>674</v>
      </c>
      <c r="B7049">
        <v>2021</v>
      </c>
      <c r="C7049" t="s">
        <v>816</v>
      </c>
      <c r="D7049" t="s">
        <v>817</v>
      </c>
      <c r="E7049" t="s">
        <v>31</v>
      </c>
      <c r="F7049" t="s">
        <v>424</v>
      </c>
      <c r="G7049">
        <v>78.966667000000001</v>
      </c>
      <c r="H7049">
        <v>11.5</v>
      </c>
      <c r="J7049" s="2" t="s">
        <v>14</v>
      </c>
      <c r="K7049" t="s">
        <v>95</v>
      </c>
      <c r="L7049" t="s">
        <v>143</v>
      </c>
      <c r="M7049" t="s">
        <v>638</v>
      </c>
      <c r="N7049" t="s">
        <v>85</v>
      </c>
      <c r="O7049" t="s">
        <v>107</v>
      </c>
      <c r="P7049" t="s">
        <v>126</v>
      </c>
      <c r="Q7049">
        <v>14</v>
      </c>
      <c r="R7049" s="2" t="s">
        <v>213</v>
      </c>
      <c r="S7049" t="s">
        <v>9</v>
      </c>
      <c r="T7049">
        <v>5</v>
      </c>
      <c r="U7049" t="s">
        <v>28</v>
      </c>
      <c r="V7049" t="s">
        <v>28</v>
      </c>
      <c r="W7049" s="22">
        <v>15</v>
      </c>
      <c r="X7049">
        <v>1.8558384706433351</v>
      </c>
      <c r="Y7049">
        <v>0.11218414879565773</v>
      </c>
    </row>
    <row r="7050" spans="1:25" x14ac:dyDescent="0.2">
      <c r="A7050" t="s">
        <v>674</v>
      </c>
      <c r="B7050">
        <v>2021</v>
      </c>
      <c r="C7050" t="s">
        <v>816</v>
      </c>
      <c r="D7050" t="s">
        <v>817</v>
      </c>
      <c r="E7050" t="s">
        <v>31</v>
      </c>
      <c r="F7050" t="s">
        <v>424</v>
      </c>
      <c r="G7050">
        <v>78.966667000000001</v>
      </c>
      <c r="H7050">
        <v>11.5</v>
      </c>
      <c r="J7050" s="2" t="s">
        <v>14</v>
      </c>
      <c r="K7050" t="s">
        <v>95</v>
      </c>
      <c r="L7050" t="s">
        <v>143</v>
      </c>
      <c r="M7050" t="s">
        <v>638</v>
      </c>
      <c r="N7050" t="s">
        <v>85</v>
      </c>
      <c r="O7050" t="s">
        <v>107</v>
      </c>
      <c r="P7050" t="s">
        <v>126</v>
      </c>
      <c r="Q7050">
        <v>14</v>
      </c>
      <c r="R7050" s="2" t="s">
        <v>213</v>
      </c>
      <c r="S7050" t="s">
        <v>15</v>
      </c>
      <c r="T7050">
        <v>5</v>
      </c>
      <c r="U7050" t="s">
        <v>28</v>
      </c>
      <c r="V7050" t="s">
        <v>28</v>
      </c>
      <c r="W7050" s="22">
        <v>18</v>
      </c>
      <c r="X7050">
        <v>1.8097465634148171</v>
      </c>
      <c r="Y7050">
        <v>5.7398867517902831E-2</v>
      </c>
    </row>
    <row r="7051" spans="1:25" x14ac:dyDescent="0.2">
      <c r="A7051" t="s">
        <v>674</v>
      </c>
      <c r="B7051">
        <v>2021</v>
      </c>
      <c r="C7051" t="s">
        <v>816</v>
      </c>
      <c r="D7051" t="s">
        <v>817</v>
      </c>
      <c r="E7051" t="s">
        <v>31</v>
      </c>
      <c r="F7051" t="s">
        <v>424</v>
      </c>
      <c r="G7051">
        <v>78.966667000000001</v>
      </c>
      <c r="H7051">
        <v>11.5</v>
      </c>
      <c r="J7051" s="2" t="s">
        <v>14</v>
      </c>
      <c r="K7051" t="s">
        <v>95</v>
      </c>
      <c r="L7051" t="s">
        <v>143</v>
      </c>
      <c r="M7051" t="s">
        <v>638</v>
      </c>
      <c r="N7051" t="s">
        <v>85</v>
      </c>
      <c r="O7051" t="s">
        <v>107</v>
      </c>
      <c r="P7051" t="s">
        <v>126</v>
      </c>
      <c r="Q7051">
        <v>14</v>
      </c>
      <c r="R7051" s="2" t="s">
        <v>213</v>
      </c>
      <c r="S7051" t="s">
        <v>37</v>
      </c>
      <c r="T7051">
        <v>5</v>
      </c>
      <c r="U7051" t="s">
        <v>28</v>
      </c>
      <c r="V7051" t="s">
        <v>28</v>
      </c>
      <c r="W7051" s="22">
        <v>19</v>
      </c>
      <c r="X7051">
        <v>1.7691306465455932</v>
      </c>
      <c r="Y7051">
        <v>5.8068860722780606E-2</v>
      </c>
    </row>
    <row r="7052" spans="1:25" x14ac:dyDescent="0.2">
      <c r="A7052" t="s">
        <v>674</v>
      </c>
      <c r="B7052">
        <v>2021</v>
      </c>
      <c r="C7052" t="s">
        <v>816</v>
      </c>
      <c r="D7052" t="s">
        <v>817</v>
      </c>
      <c r="E7052" t="s">
        <v>31</v>
      </c>
      <c r="F7052" t="s">
        <v>424</v>
      </c>
      <c r="G7052">
        <v>78.966667000000001</v>
      </c>
      <c r="H7052">
        <v>11.5</v>
      </c>
      <c r="J7052" s="2" t="s">
        <v>14</v>
      </c>
      <c r="K7052" t="s">
        <v>95</v>
      </c>
      <c r="L7052" t="s">
        <v>143</v>
      </c>
      <c r="M7052" t="s">
        <v>638</v>
      </c>
      <c r="N7052" t="s">
        <v>85</v>
      </c>
      <c r="O7052" t="s">
        <v>107</v>
      </c>
      <c r="P7052" t="s">
        <v>126</v>
      </c>
      <c r="Q7052">
        <v>14</v>
      </c>
      <c r="R7052" s="2" t="s">
        <v>213</v>
      </c>
      <c r="S7052" t="s">
        <v>116</v>
      </c>
      <c r="T7052">
        <v>5</v>
      </c>
      <c r="U7052" t="s">
        <v>28</v>
      </c>
      <c r="V7052" t="s">
        <v>28</v>
      </c>
      <c r="W7052" s="22">
        <v>20</v>
      </c>
      <c r="X7052">
        <v>1.7901324012688051</v>
      </c>
      <c r="Y7052">
        <v>0.10190712496011591</v>
      </c>
    </row>
    <row r="7053" spans="1:25" x14ac:dyDescent="0.2">
      <c r="A7053" t="s">
        <v>674</v>
      </c>
      <c r="B7053">
        <v>2021</v>
      </c>
      <c r="C7053" t="s">
        <v>816</v>
      </c>
      <c r="D7053" t="s">
        <v>817</v>
      </c>
      <c r="E7053" t="s">
        <v>31</v>
      </c>
      <c r="F7053" t="s">
        <v>424</v>
      </c>
      <c r="G7053">
        <v>78.966667000000001</v>
      </c>
      <c r="H7053">
        <v>11.5</v>
      </c>
      <c r="J7053" s="2" t="s">
        <v>14</v>
      </c>
      <c r="K7053" t="s">
        <v>95</v>
      </c>
      <c r="L7053" t="s">
        <v>143</v>
      </c>
      <c r="M7053" t="s">
        <v>638</v>
      </c>
      <c r="N7053" t="s">
        <v>85</v>
      </c>
      <c r="O7053" t="s">
        <v>107</v>
      </c>
      <c r="P7053" t="s">
        <v>126</v>
      </c>
      <c r="Q7053">
        <v>14</v>
      </c>
      <c r="R7053" s="2" t="s">
        <v>213</v>
      </c>
      <c r="S7053" t="s">
        <v>117</v>
      </c>
      <c r="T7053">
        <v>5</v>
      </c>
      <c r="U7053" t="s">
        <v>28</v>
      </c>
      <c r="V7053" t="s">
        <v>28</v>
      </c>
      <c r="W7053" s="22">
        <v>21</v>
      </c>
      <c r="X7053">
        <v>1.8924041559859883</v>
      </c>
      <c r="Y7053">
        <v>0.32770744767582344</v>
      </c>
    </row>
    <row r="7054" spans="1:25" x14ac:dyDescent="0.2">
      <c r="A7054" t="s">
        <v>674</v>
      </c>
      <c r="B7054">
        <v>2021</v>
      </c>
      <c r="C7054" t="s">
        <v>816</v>
      </c>
      <c r="D7054" t="s">
        <v>817</v>
      </c>
      <c r="E7054" t="s">
        <v>31</v>
      </c>
      <c r="F7054" t="s">
        <v>424</v>
      </c>
      <c r="G7054">
        <v>78.966667000000001</v>
      </c>
      <c r="H7054">
        <v>11.5</v>
      </c>
      <c r="J7054" s="2" t="s">
        <v>14</v>
      </c>
      <c r="K7054" t="s">
        <v>95</v>
      </c>
      <c r="L7054" t="s">
        <v>143</v>
      </c>
      <c r="M7054" t="s">
        <v>638</v>
      </c>
      <c r="N7054" t="s">
        <v>85</v>
      </c>
      <c r="O7054" t="s">
        <v>107</v>
      </c>
      <c r="P7054" t="s">
        <v>126</v>
      </c>
      <c r="Q7054">
        <v>14</v>
      </c>
      <c r="R7054" s="2" t="s">
        <v>213</v>
      </c>
      <c r="S7054" t="s">
        <v>118</v>
      </c>
      <c r="T7054">
        <v>5</v>
      </c>
      <c r="U7054" t="s">
        <v>28</v>
      </c>
      <c r="V7054" t="s">
        <v>28</v>
      </c>
      <c r="W7054" s="22">
        <v>22</v>
      </c>
      <c r="X7054">
        <v>2.0832716825521111</v>
      </c>
      <c r="Y7054">
        <v>4.2493750071655768E-2</v>
      </c>
    </row>
    <row r="7055" spans="1:25" x14ac:dyDescent="0.2">
      <c r="A7055" t="s">
        <v>674</v>
      </c>
      <c r="B7055">
        <v>2021</v>
      </c>
      <c r="C7055" t="s">
        <v>816</v>
      </c>
      <c r="D7055" t="s">
        <v>827</v>
      </c>
      <c r="E7055" t="s">
        <v>675</v>
      </c>
      <c r="F7055" t="s">
        <v>424</v>
      </c>
      <c r="G7055">
        <v>78.966667000000001</v>
      </c>
      <c r="H7055">
        <v>11.5</v>
      </c>
      <c r="J7055" s="2" t="s">
        <v>7</v>
      </c>
      <c r="K7055" t="s">
        <v>95</v>
      </c>
      <c r="L7055" t="s">
        <v>143</v>
      </c>
      <c r="M7055" t="s">
        <v>638</v>
      </c>
      <c r="N7055" t="s">
        <v>85</v>
      </c>
      <c r="O7055" t="s">
        <v>107</v>
      </c>
      <c r="P7055" t="s">
        <v>126</v>
      </c>
      <c r="Q7055">
        <v>14</v>
      </c>
      <c r="R7055" s="2" t="s">
        <v>213</v>
      </c>
      <c r="S7055" t="s">
        <v>7</v>
      </c>
      <c r="T7055">
        <v>5</v>
      </c>
      <c r="U7055" t="s">
        <v>28</v>
      </c>
      <c r="V7055" t="s">
        <v>28</v>
      </c>
      <c r="W7055">
        <v>10</v>
      </c>
      <c r="X7055">
        <v>2.9609038353937556</v>
      </c>
      <c r="Y7055">
        <v>0.41395078451461398</v>
      </c>
    </row>
    <row r="7056" spans="1:25" x14ac:dyDescent="0.2">
      <c r="A7056" t="s">
        <v>674</v>
      </c>
      <c r="B7056">
        <v>2021</v>
      </c>
      <c r="C7056" t="s">
        <v>816</v>
      </c>
      <c r="D7056" t="s">
        <v>827</v>
      </c>
      <c r="E7056" t="s">
        <v>675</v>
      </c>
      <c r="F7056" t="s">
        <v>424</v>
      </c>
      <c r="G7056">
        <v>78.966667000000001</v>
      </c>
      <c r="H7056">
        <v>11.5</v>
      </c>
      <c r="J7056" s="2" t="s">
        <v>14</v>
      </c>
      <c r="K7056" t="s">
        <v>95</v>
      </c>
      <c r="L7056" t="s">
        <v>143</v>
      </c>
      <c r="M7056" t="s">
        <v>638</v>
      </c>
      <c r="N7056" t="s">
        <v>85</v>
      </c>
      <c r="O7056" t="s">
        <v>107</v>
      </c>
      <c r="P7056" t="s">
        <v>126</v>
      </c>
      <c r="Q7056">
        <v>14</v>
      </c>
      <c r="R7056" s="2" t="s">
        <v>213</v>
      </c>
      <c r="S7056" t="s">
        <v>9</v>
      </c>
      <c r="T7056">
        <v>5</v>
      </c>
      <c r="U7056" t="s">
        <v>28</v>
      </c>
      <c r="V7056" t="s">
        <v>28</v>
      </c>
      <c r="W7056">
        <v>15</v>
      </c>
      <c r="X7056">
        <v>2.9721613358486709</v>
      </c>
      <c r="Y7056">
        <v>0.85592009874362907</v>
      </c>
    </row>
    <row r="7057" spans="1:26" x14ac:dyDescent="0.2">
      <c r="A7057" t="s">
        <v>674</v>
      </c>
      <c r="B7057">
        <v>2021</v>
      </c>
      <c r="C7057" t="s">
        <v>816</v>
      </c>
      <c r="D7057" t="s">
        <v>827</v>
      </c>
      <c r="E7057" t="s">
        <v>675</v>
      </c>
      <c r="F7057" t="s">
        <v>424</v>
      </c>
      <c r="G7057">
        <v>78.966667000000001</v>
      </c>
      <c r="H7057">
        <v>11.5</v>
      </c>
      <c r="J7057" s="2" t="s">
        <v>14</v>
      </c>
      <c r="K7057" t="s">
        <v>95</v>
      </c>
      <c r="L7057" t="s">
        <v>143</v>
      </c>
      <c r="M7057" t="s">
        <v>638</v>
      </c>
      <c r="N7057" t="s">
        <v>85</v>
      </c>
      <c r="O7057" t="s">
        <v>107</v>
      </c>
      <c r="P7057" t="s">
        <v>126</v>
      </c>
      <c r="Q7057">
        <v>14</v>
      </c>
      <c r="R7057" s="2" t="s">
        <v>213</v>
      </c>
      <c r="S7057" t="s">
        <v>27</v>
      </c>
      <c r="T7057">
        <v>5</v>
      </c>
      <c r="U7057" t="s">
        <v>28</v>
      </c>
      <c r="V7057" t="s">
        <v>28</v>
      </c>
      <c r="W7057">
        <v>16</v>
      </c>
      <c r="X7057">
        <v>3.3146498433910261</v>
      </c>
      <c r="Y7057">
        <v>1.0916959917765494</v>
      </c>
    </row>
    <row r="7058" spans="1:26" x14ac:dyDescent="0.2">
      <c r="A7058" t="s">
        <v>674</v>
      </c>
      <c r="B7058">
        <v>2021</v>
      </c>
      <c r="C7058" t="s">
        <v>816</v>
      </c>
      <c r="D7058" t="s">
        <v>827</v>
      </c>
      <c r="E7058" t="s">
        <v>675</v>
      </c>
      <c r="F7058" t="s">
        <v>424</v>
      </c>
      <c r="G7058">
        <v>78.966667000000001</v>
      </c>
      <c r="H7058">
        <v>11.5</v>
      </c>
      <c r="J7058" s="2" t="s">
        <v>14</v>
      </c>
      <c r="K7058" t="s">
        <v>95</v>
      </c>
      <c r="L7058" t="s">
        <v>143</v>
      </c>
      <c r="M7058" t="s">
        <v>638</v>
      </c>
      <c r="N7058" t="s">
        <v>85</v>
      </c>
      <c r="O7058" t="s">
        <v>107</v>
      </c>
      <c r="P7058" t="s">
        <v>126</v>
      </c>
      <c r="Q7058">
        <v>14</v>
      </c>
      <c r="R7058" s="2" t="s">
        <v>213</v>
      </c>
      <c r="S7058" t="s">
        <v>13</v>
      </c>
      <c r="T7058">
        <v>5</v>
      </c>
      <c r="U7058" t="s">
        <v>28</v>
      </c>
      <c r="V7058" t="s">
        <v>28</v>
      </c>
      <c r="W7058">
        <v>17</v>
      </c>
      <c r="X7058">
        <v>3.0982161850480625</v>
      </c>
      <c r="Y7058">
        <v>0.57409051211282236</v>
      </c>
    </row>
    <row r="7059" spans="1:26" x14ac:dyDescent="0.2">
      <c r="A7059" t="s">
        <v>674</v>
      </c>
      <c r="B7059">
        <v>2021</v>
      </c>
      <c r="C7059" t="s">
        <v>816</v>
      </c>
      <c r="D7059" t="s">
        <v>827</v>
      </c>
      <c r="E7059" t="s">
        <v>675</v>
      </c>
      <c r="F7059" t="s">
        <v>424</v>
      </c>
      <c r="G7059">
        <v>78.966667000000001</v>
      </c>
      <c r="H7059">
        <v>11.5</v>
      </c>
      <c r="J7059" s="2" t="s">
        <v>14</v>
      </c>
      <c r="K7059" t="s">
        <v>95</v>
      </c>
      <c r="L7059" t="s">
        <v>143</v>
      </c>
      <c r="M7059" t="s">
        <v>638</v>
      </c>
      <c r="N7059" t="s">
        <v>85</v>
      </c>
      <c r="O7059" t="s">
        <v>107</v>
      </c>
      <c r="P7059" t="s">
        <v>126</v>
      </c>
      <c r="Q7059">
        <v>14</v>
      </c>
      <c r="R7059" s="2" t="s">
        <v>213</v>
      </c>
      <c r="S7059" t="s">
        <v>15</v>
      </c>
      <c r="T7059">
        <v>5</v>
      </c>
      <c r="U7059" t="s">
        <v>28</v>
      </c>
      <c r="V7059" t="s">
        <v>28</v>
      </c>
      <c r="W7059">
        <v>18</v>
      </c>
      <c r="X7059">
        <v>2.7278536369930295</v>
      </c>
      <c r="Y7059">
        <v>0.39487809792152351</v>
      </c>
    </row>
    <row r="7060" spans="1:26" x14ac:dyDescent="0.2">
      <c r="A7060" t="s">
        <v>674</v>
      </c>
      <c r="B7060">
        <v>2021</v>
      </c>
      <c r="C7060" t="s">
        <v>816</v>
      </c>
      <c r="D7060" t="s">
        <v>827</v>
      </c>
      <c r="E7060" t="s">
        <v>675</v>
      </c>
      <c r="F7060" t="s">
        <v>424</v>
      </c>
      <c r="G7060">
        <v>78.966667000000001</v>
      </c>
      <c r="H7060">
        <v>11.5</v>
      </c>
      <c r="J7060" s="2" t="s">
        <v>14</v>
      </c>
      <c r="K7060" t="s">
        <v>95</v>
      </c>
      <c r="L7060" t="s">
        <v>143</v>
      </c>
      <c r="M7060" t="s">
        <v>638</v>
      </c>
      <c r="N7060" t="s">
        <v>85</v>
      </c>
      <c r="O7060" t="s">
        <v>107</v>
      </c>
      <c r="P7060" t="s">
        <v>126</v>
      </c>
      <c r="Q7060">
        <v>14</v>
      </c>
      <c r="R7060" s="2" t="s">
        <v>213</v>
      </c>
      <c r="S7060" t="s">
        <v>37</v>
      </c>
      <c r="T7060">
        <v>5</v>
      </c>
      <c r="U7060" t="s">
        <v>28</v>
      </c>
      <c r="V7060" t="s">
        <v>28</v>
      </c>
      <c r="W7060">
        <v>19</v>
      </c>
      <c r="X7060">
        <v>2.4940034526464787</v>
      </c>
      <c r="Y7060">
        <v>0.74830796648848352</v>
      </c>
    </row>
    <row r="7061" spans="1:26" x14ac:dyDescent="0.2">
      <c r="A7061" t="s">
        <v>674</v>
      </c>
      <c r="B7061">
        <v>2021</v>
      </c>
      <c r="C7061" t="s">
        <v>816</v>
      </c>
      <c r="D7061" t="s">
        <v>827</v>
      </c>
      <c r="E7061" t="s">
        <v>675</v>
      </c>
      <c r="F7061" t="s">
        <v>424</v>
      </c>
      <c r="G7061">
        <v>78.966667000000001</v>
      </c>
      <c r="H7061">
        <v>11.5</v>
      </c>
      <c r="J7061" s="2" t="s">
        <v>14</v>
      </c>
      <c r="K7061" t="s">
        <v>95</v>
      </c>
      <c r="L7061" t="s">
        <v>143</v>
      </c>
      <c r="M7061" t="s">
        <v>638</v>
      </c>
      <c r="N7061" t="s">
        <v>85</v>
      </c>
      <c r="O7061" t="s">
        <v>107</v>
      </c>
      <c r="P7061" t="s">
        <v>126</v>
      </c>
      <c r="Q7061">
        <v>14</v>
      </c>
      <c r="R7061" s="2" t="s">
        <v>213</v>
      </c>
      <c r="S7061" t="s">
        <v>116</v>
      </c>
      <c r="T7061">
        <v>5</v>
      </c>
      <c r="U7061" t="s">
        <v>28</v>
      </c>
      <c r="V7061" t="s">
        <v>28</v>
      </c>
      <c r="W7061">
        <v>20</v>
      </c>
      <c r="X7061">
        <v>2.2224233428498912</v>
      </c>
      <c r="Y7061">
        <v>0.39933592930149292</v>
      </c>
    </row>
    <row r="7062" spans="1:26" x14ac:dyDescent="0.2">
      <c r="A7062" t="s">
        <v>828</v>
      </c>
      <c r="B7062">
        <v>2019</v>
      </c>
      <c r="C7062" t="s">
        <v>811</v>
      </c>
      <c r="D7062" t="s">
        <v>814</v>
      </c>
      <c r="E7062" t="s">
        <v>357</v>
      </c>
      <c r="F7062" t="s">
        <v>829</v>
      </c>
      <c r="G7062">
        <v>37.537407000000002</v>
      </c>
      <c r="H7062">
        <v>130.924385</v>
      </c>
      <c r="I7062" t="s">
        <v>768</v>
      </c>
      <c r="J7062" s="2" t="s">
        <v>7</v>
      </c>
      <c r="K7062" t="s">
        <v>41</v>
      </c>
      <c r="L7062" t="s">
        <v>3</v>
      </c>
      <c r="M7062" t="s">
        <v>26</v>
      </c>
      <c r="N7062" t="s">
        <v>85</v>
      </c>
      <c r="O7062" t="s">
        <v>462</v>
      </c>
      <c r="P7062" t="s">
        <v>72</v>
      </c>
      <c r="Q7062">
        <v>10</v>
      </c>
      <c r="R7062" s="2" t="s">
        <v>213</v>
      </c>
      <c r="S7062" t="s">
        <v>7</v>
      </c>
      <c r="T7062">
        <v>3</v>
      </c>
      <c r="U7062" t="s">
        <v>28</v>
      </c>
      <c r="V7062" t="s">
        <v>28</v>
      </c>
      <c r="W7062">
        <v>20</v>
      </c>
      <c r="X7062">
        <v>6.66</v>
      </c>
      <c r="Y7062" s="6">
        <f t="shared" ref="Y7062:Y7067" si="116">Z7062*SQRT(T7062)</f>
        <v>0.10392304845413196</v>
      </c>
      <c r="Z7062">
        <f>6.72-X7062</f>
        <v>5.9999999999999609E-2</v>
      </c>
    </row>
    <row r="7063" spans="1:26" x14ac:dyDescent="0.2">
      <c r="A7063" t="s">
        <v>828</v>
      </c>
      <c r="B7063">
        <v>2019</v>
      </c>
      <c r="C7063" t="s">
        <v>811</v>
      </c>
      <c r="D7063" t="s">
        <v>814</v>
      </c>
      <c r="E7063" t="s">
        <v>357</v>
      </c>
      <c r="F7063" t="s">
        <v>829</v>
      </c>
      <c r="G7063">
        <v>37.537407000000002</v>
      </c>
      <c r="H7063">
        <v>130.924385</v>
      </c>
      <c r="I7063" t="s">
        <v>768</v>
      </c>
      <c r="J7063" s="2" t="s">
        <v>14</v>
      </c>
      <c r="K7063" t="s">
        <v>41</v>
      </c>
      <c r="L7063" t="s">
        <v>3</v>
      </c>
      <c r="M7063" t="s">
        <v>26</v>
      </c>
      <c r="N7063" t="s">
        <v>85</v>
      </c>
      <c r="O7063" t="s">
        <v>462</v>
      </c>
      <c r="P7063" t="s">
        <v>72</v>
      </c>
      <c r="Q7063">
        <v>10</v>
      </c>
      <c r="R7063" s="2" t="s">
        <v>213</v>
      </c>
      <c r="S7063" t="s">
        <v>9</v>
      </c>
      <c r="T7063">
        <v>3</v>
      </c>
      <c r="U7063" t="s">
        <v>28</v>
      </c>
      <c r="V7063" t="s">
        <v>28</v>
      </c>
      <c r="W7063">
        <v>25</v>
      </c>
      <c r="X7063">
        <v>4.55</v>
      </c>
      <c r="Y7063" s="6">
        <f t="shared" si="116"/>
        <v>0.22516660498395386</v>
      </c>
      <c r="Z7063">
        <f>4.68-X7063</f>
        <v>0.12999999999999989</v>
      </c>
    </row>
    <row r="7064" spans="1:26" x14ac:dyDescent="0.2">
      <c r="A7064" t="s">
        <v>828</v>
      </c>
      <c r="B7064">
        <v>2019</v>
      </c>
      <c r="C7064" t="s">
        <v>826</v>
      </c>
      <c r="D7064" t="s">
        <v>812</v>
      </c>
      <c r="E7064" t="s">
        <v>103</v>
      </c>
      <c r="F7064" t="s">
        <v>830</v>
      </c>
      <c r="G7064">
        <v>34.616667</v>
      </c>
      <c r="H7064">
        <v>126.766667</v>
      </c>
      <c r="I7064" t="s">
        <v>761</v>
      </c>
      <c r="J7064" s="2" t="s">
        <v>7</v>
      </c>
      <c r="K7064" t="s">
        <v>41</v>
      </c>
      <c r="L7064" t="s">
        <v>3</v>
      </c>
      <c r="M7064" t="s">
        <v>26</v>
      </c>
      <c r="N7064" t="s">
        <v>85</v>
      </c>
      <c r="O7064" t="s">
        <v>462</v>
      </c>
      <c r="P7064" t="s">
        <v>72</v>
      </c>
      <c r="Q7064">
        <v>10</v>
      </c>
      <c r="R7064" s="2" t="s">
        <v>213</v>
      </c>
      <c r="S7064" t="s">
        <v>7</v>
      </c>
      <c r="T7064">
        <v>3</v>
      </c>
      <c r="U7064" t="s">
        <v>28</v>
      </c>
      <c r="V7064" t="s">
        <v>28</v>
      </c>
      <c r="W7064">
        <v>20</v>
      </c>
      <c r="X7064">
        <v>9.48</v>
      </c>
      <c r="Y7064" s="6">
        <f t="shared" si="116"/>
        <v>0.88334591186012701</v>
      </c>
      <c r="Z7064">
        <f>9.99-X7064</f>
        <v>0.50999999999999979</v>
      </c>
    </row>
    <row r="7065" spans="1:26" x14ac:dyDescent="0.2">
      <c r="A7065" t="s">
        <v>828</v>
      </c>
      <c r="B7065">
        <v>2019</v>
      </c>
      <c r="C7065" t="s">
        <v>826</v>
      </c>
      <c r="D7065" t="s">
        <v>812</v>
      </c>
      <c r="E7065" t="s">
        <v>103</v>
      </c>
      <c r="F7065" t="s">
        <v>830</v>
      </c>
      <c r="G7065">
        <v>34.616667</v>
      </c>
      <c r="H7065">
        <v>126.766667</v>
      </c>
      <c r="I7065" t="s">
        <v>761</v>
      </c>
      <c r="J7065" s="2" t="s">
        <v>14</v>
      </c>
      <c r="K7065" t="s">
        <v>41</v>
      </c>
      <c r="L7065" t="s">
        <v>3</v>
      </c>
      <c r="M7065" t="s">
        <v>26</v>
      </c>
      <c r="N7065" t="s">
        <v>85</v>
      </c>
      <c r="O7065" t="s">
        <v>462</v>
      </c>
      <c r="P7065" t="s">
        <v>72</v>
      </c>
      <c r="Q7065">
        <v>10</v>
      </c>
      <c r="R7065" s="2" t="s">
        <v>213</v>
      </c>
      <c r="S7065" t="s">
        <v>9</v>
      </c>
      <c r="T7065">
        <v>3</v>
      </c>
      <c r="U7065" t="s">
        <v>28</v>
      </c>
      <c r="V7065" t="s">
        <v>28</v>
      </c>
      <c r="W7065">
        <v>25</v>
      </c>
      <c r="X7065">
        <v>10.9</v>
      </c>
      <c r="Y7065" s="6">
        <f t="shared" si="116"/>
        <v>1.2297560733739012</v>
      </c>
      <c r="Z7065">
        <f>11.61-X7065</f>
        <v>0.70999999999999908</v>
      </c>
    </row>
    <row r="7066" spans="1:26" x14ac:dyDescent="0.2">
      <c r="A7066" t="s">
        <v>828</v>
      </c>
      <c r="B7066">
        <v>2019</v>
      </c>
      <c r="C7066" t="s">
        <v>826</v>
      </c>
      <c r="D7066" t="s">
        <v>812</v>
      </c>
      <c r="E7066" t="s">
        <v>103</v>
      </c>
      <c r="F7066" t="s">
        <v>830</v>
      </c>
      <c r="G7066">
        <v>34.616667</v>
      </c>
      <c r="H7066">
        <v>126.766667</v>
      </c>
      <c r="I7066" t="s">
        <v>763</v>
      </c>
      <c r="J7066" s="2" t="s">
        <v>7</v>
      </c>
      <c r="K7066" t="s">
        <v>41</v>
      </c>
      <c r="L7066" t="s">
        <v>3</v>
      </c>
      <c r="M7066" t="s">
        <v>26</v>
      </c>
      <c r="N7066" t="s">
        <v>85</v>
      </c>
      <c r="O7066" t="s">
        <v>462</v>
      </c>
      <c r="P7066" t="s">
        <v>72</v>
      </c>
      <c r="Q7066">
        <v>10</v>
      </c>
      <c r="R7066" s="2" t="s">
        <v>213</v>
      </c>
      <c r="S7066" t="s">
        <v>7</v>
      </c>
      <c r="T7066">
        <v>3</v>
      </c>
      <c r="U7066" t="s">
        <v>28</v>
      </c>
      <c r="V7066" t="s">
        <v>28</v>
      </c>
      <c r="W7066">
        <v>20</v>
      </c>
      <c r="X7066">
        <v>11.04</v>
      </c>
      <c r="Y7066" s="6">
        <f t="shared" si="116"/>
        <v>0.32908965343808888</v>
      </c>
      <c r="Z7066">
        <f>11.23-X7066</f>
        <v>0.19000000000000128</v>
      </c>
    </row>
    <row r="7067" spans="1:26" x14ac:dyDescent="0.2">
      <c r="A7067" t="s">
        <v>828</v>
      </c>
      <c r="B7067">
        <v>2019</v>
      </c>
      <c r="C7067" t="s">
        <v>826</v>
      </c>
      <c r="D7067" t="s">
        <v>812</v>
      </c>
      <c r="E7067" t="s">
        <v>103</v>
      </c>
      <c r="F7067" t="s">
        <v>830</v>
      </c>
      <c r="G7067">
        <v>34.616667</v>
      </c>
      <c r="H7067">
        <v>126.766667</v>
      </c>
      <c r="I7067" t="s">
        <v>763</v>
      </c>
      <c r="J7067" s="2" t="s">
        <v>14</v>
      </c>
      <c r="K7067" t="s">
        <v>41</v>
      </c>
      <c r="L7067" t="s">
        <v>3</v>
      </c>
      <c r="M7067" t="s">
        <v>26</v>
      </c>
      <c r="N7067" t="s">
        <v>85</v>
      </c>
      <c r="O7067" t="s">
        <v>462</v>
      </c>
      <c r="P7067" t="s">
        <v>72</v>
      </c>
      <c r="Q7067">
        <v>10</v>
      </c>
      <c r="R7067" s="2" t="s">
        <v>213</v>
      </c>
      <c r="S7067" t="s">
        <v>9</v>
      </c>
      <c r="T7067">
        <v>3</v>
      </c>
      <c r="U7067" t="s">
        <v>28</v>
      </c>
      <c r="V7067" t="s">
        <v>28</v>
      </c>
      <c r="W7067">
        <v>25</v>
      </c>
      <c r="X7067">
        <v>12.72</v>
      </c>
      <c r="Y7067" s="6">
        <f t="shared" si="116"/>
        <v>0.24248711305964071</v>
      </c>
      <c r="Z7067">
        <f>12.86-X7067</f>
        <v>0.13999999999999879</v>
      </c>
    </row>
    <row r="7068" spans="1:26" x14ac:dyDescent="0.2">
      <c r="A7068" t="s">
        <v>833</v>
      </c>
      <c r="B7068">
        <v>2019</v>
      </c>
      <c r="C7068" t="s">
        <v>826</v>
      </c>
      <c r="D7068" t="s">
        <v>824</v>
      </c>
      <c r="E7068" t="s">
        <v>114</v>
      </c>
      <c r="F7068" t="s">
        <v>724</v>
      </c>
      <c r="G7068">
        <v>36.116667</v>
      </c>
      <c r="H7068">
        <v>120.316667</v>
      </c>
      <c r="J7068" s="2" t="s">
        <v>14</v>
      </c>
      <c r="K7068" t="s">
        <v>831</v>
      </c>
      <c r="L7068" t="s">
        <v>143</v>
      </c>
      <c r="M7068" t="s">
        <v>637</v>
      </c>
      <c r="N7068" t="s">
        <v>86</v>
      </c>
      <c r="O7068" s="6" t="s">
        <v>495</v>
      </c>
      <c r="P7068" t="s">
        <v>496</v>
      </c>
      <c r="Q7068">
        <f>3/24</f>
        <v>0.125</v>
      </c>
      <c r="R7068" s="2" t="s">
        <v>214</v>
      </c>
      <c r="S7068" t="s">
        <v>9</v>
      </c>
      <c r="T7068">
        <v>3</v>
      </c>
      <c r="U7068" t="s">
        <v>28</v>
      </c>
      <c r="V7068" t="s">
        <v>28</v>
      </c>
      <c r="W7068">
        <v>20</v>
      </c>
      <c r="X7068">
        <v>89.93</v>
      </c>
      <c r="Y7068">
        <f>93.37-X7068</f>
        <v>3.4399999999999977</v>
      </c>
    </row>
    <row r="7069" spans="1:26" x14ac:dyDescent="0.2">
      <c r="A7069" t="s">
        <v>833</v>
      </c>
      <c r="B7069">
        <v>2019</v>
      </c>
      <c r="C7069" t="s">
        <v>826</v>
      </c>
      <c r="D7069" t="s">
        <v>824</v>
      </c>
      <c r="E7069" t="s">
        <v>114</v>
      </c>
      <c r="F7069" t="s">
        <v>724</v>
      </c>
      <c r="G7069">
        <v>36.116667</v>
      </c>
      <c r="H7069">
        <v>120.316667</v>
      </c>
      <c r="J7069" s="2" t="s">
        <v>7</v>
      </c>
      <c r="K7069" t="s">
        <v>831</v>
      </c>
      <c r="L7069" t="s">
        <v>143</v>
      </c>
      <c r="M7069" t="s">
        <v>637</v>
      </c>
      <c r="N7069" t="s">
        <v>86</v>
      </c>
      <c r="O7069" s="6" t="s">
        <v>495</v>
      </c>
      <c r="P7069" t="s">
        <v>496</v>
      </c>
      <c r="Q7069">
        <f>3/24</f>
        <v>0.125</v>
      </c>
      <c r="R7069" s="2" t="s">
        <v>214</v>
      </c>
      <c r="S7069" t="s">
        <v>7</v>
      </c>
      <c r="T7069">
        <v>3</v>
      </c>
      <c r="U7069" t="s">
        <v>28</v>
      </c>
      <c r="V7069" t="s">
        <v>28</v>
      </c>
      <c r="W7069">
        <v>10</v>
      </c>
      <c r="X7069">
        <v>62.93</v>
      </c>
      <c r="Y7069">
        <f>65.22-X7069</f>
        <v>2.2899999999999991</v>
      </c>
    </row>
    <row r="7070" spans="1:26" x14ac:dyDescent="0.2">
      <c r="A7070" t="s">
        <v>833</v>
      </c>
      <c r="B7070">
        <v>2019</v>
      </c>
      <c r="C7070" t="s">
        <v>826</v>
      </c>
      <c r="D7070" t="s">
        <v>824</v>
      </c>
      <c r="E7070" t="s">
        <v>114</v>
      </c>
      <c r="F7070" t="s">
        <v>724</v>
      </c>
      <c r="G7070">
        <v>36.116667</v>
      </c>
      <c r="H7070">
        <v>120.316667</v>
      </c>
      <c r="J7070" s="2" t="s">
        <v>14</v>
      </c>
      <c r="K7070" t="s">
        <v>831</v>
      </c>
      <c r="L7070" t="s">
        <v>143</v>
      </c>
      <c r="M7070" t="s">
        <v>637</v>
      </c>
      <c r="N7070" t="s">
        <v>86</v>
      </c>
      <c r="O7070" s="6" t="s">
        <v>495</v>
      </c>
      <c r="P7070" t="s">
        <v>496</v>
      </c>
      <c r="Q7070">
        <f>6/24</f>
        <v>0.25</v>
      </c>
      <c r="R7070" s="2" t="s">
        <v>214</v>
      </c>
      <c r="S7070" t="s">
        <v>9</v>
      </c>
      <c r="T7070">
        <v>3</v>
      </c>
      <c r="U7070" t="s">
        <v>28</v>
      </c>
      <c r="V7070" t="s">
        <v>28</v>
      </c>
      <c r="W7070">
        <v>20</v>
      </c>
      <c r="X7070">
        <v>94.91</v>
      </c>
      <c r="Y7070">
        <f>98.97-X7070</f>
        <v>4.0600000000000023</v>
      </c>
    </row>
    <row r="7071" spans="1:26" x14ac:dyDescent="0.2">
      <c r="A7071" t="s">
        <v>833</v>
      </c>
      <c r="B7071">
        <v>2019</v>
      </c>
      <c r="C7071" t="s">
        <v>826</v>
      </c>
      <c r="D7071" t="s">
        <v>824</v>
      </c>
      <c r="E7071" t="s">
        <v>114</v>
      </c>
      <c r="F7071" t="s">
        <v>724</v>
      </c>
      <c r="G7071">
        <v>36.116667</v>
      </c>
      <c r="H7071">
        <v>120.316667</v>
      </c>
      <c r="J7071" s="2" t="s">
        <v>7</v>
      </c>
      <c r="K7071" t="s">
        <v>831</v>
      </c>
      <c r="L7071" t="s">
        <v>143</v>
      </c>
      <c r="M7071" t="s">
        <v>637</v>
      </c>
      <c r="N7071" t="s">
        <v>86</v>
      </c>
      <c r="O7071" s="6" t="s">
        <v>495</v>
      </c>
      <c r="P7071" t="s">
        <v>496</v>
      </c>
      <c r="Q7071">
        <f>6/24</f>
        <v>0.25</v>
      </c>
      <c r="R7071" s="2" t="s">
        <v>214</v>
      </c>
      <c r="S7071" t="s">
        <v>7</v>
      </c>
      <c r="T7071">
        <v>3</v>
      </c>
      <c r="U7071" t="s">
        <v>28</v>
      </c>
      <c r="V7071" t="s">
        <v>28</v>
      </c>
      <c r="W7071">
        <v>10</v>
      </c>
      <c r="X7071">
        <v>69.98</v>
      </c>
      <c r="Y7071">
        <f>72.79-X7071</f>
        <v>2.8100000000000023</v>
      </c>
    </row>
    <row r="7072" spans="1:26" x14ac:dyDescent="0.2">
      <c r="A7072" t="s">
        <v>833</v>
      </c>
      <c r="B7072">
        <v>2019</v>
      </c>
      <c r="C7072" t="s">
        <v>826</v>
      </c>
      <c r="D7072" t="s">
        <v>824</v>
      </c>
      <c r="E7072" t="s">
        <v>114</v>
      </c>
      <c r="F7072" t="s">
        <v>724</v>
      </c>
      <c r="G7072">
        <v>36.116667</v>
      </c>
      <c r="H7072">
        <v>120.316667</v>
      </c>
      <c r="J7072" s="2" t="s">
        <v>14</v>
      </c>
      <c r="K7072" t="s">
        <v>831</v>
      </c>
      <c r="L7072" t="s">
        <v>143</v>
      </c>
      <c r="M7072" t="s">
        <v>637</v>
      </c>
      <c r="N7072" t="s">
        <v>86</v>
      </c>
      <c r="O7072" s="6" t="s">
        <v>495</v>
      </c>
      <c r="P7072" t="s">
        <v>496</v>
      </c>
      <c r="Q7072">
        <v>0.5</v>
      </c>
      <c r="R7072" s="2" t="s">
        <v>214</v>
      </c>
      <c r="S7072" t="s">
        <v>9</v>
      </c>
      <c r="T7072">
        <v>3</v>
      </c>
      <c r="U7072" t="s">
        <v>28</v>
      </c>
      <c r="V7072" t="s">
        <v>28</v>
      </c>
      <c r="W7072">
        <v>20</v>
      </c>
      <c r="X7072">
        <v>85.97</v>
      </c>
      <c r="Y7072">
        <f>88.52-X7072</f>
        <v>2.5499999999999972</v>
      </c>
    </row>
    <row r="7073" spans="1:25" x14ac:dyDescent="0.2">
      <c r="A7073" t="s">
        <v>833</v>
      </c>
      <c r="B7073">
        <v>2019</v>
      </c>
      <c r="C7073" t="s">
        <v>826</v>
      </c>
      <c r="D7073" t="s">
        <v>824</v>
      </c>
      <c r="E7073" t="s">
        <v>114</v>
      </c>
      <c r="F7073" t="s">
        <v>724</v>
      </c>
      <c r="G7073">
        <v>36.116667</v>
      </c>
      <c r="H7073">
        <v>120.316667</v>
      </c>
      <c r="J7073" s="2" t="s">
        <v>7</v>
      </c>
      <c r="K7073" t="s">
        <v>831</v>
      </c>
      <c r="L7073" t="s">
        <v>143</v>
      </c>
      <c r="M7073" t="s">
        <v>637</v>
      </c>
      <c r="N7073" t="s">
        <v>86</v>
      </c>
      <c r="O7073" s="6" t="s">
        <v>495</v>
      </c>
      <c r="P7073" t="s">
        <v>496</v>
      </c>
      <c r="Q7073">
        <v>0.5</v>
      </c>
      <c r="R7073" s="2" t="s">
        <v>214</v>
      </c>
      <c r="S7073" t="s">
        <v>7</v>
      </c>
      <c r="T7073">
        <v>3</v>
      </c>
      <c r="U7073" t="s">
        <v>28</v>
      </c>
      <c r="V7073" t="s">
        <v>28</v>
      </c>
      <c r="W7073">
        <v>10</v>
      </c>
      <c r="X7073">
        <v>65.87</v>
      </c>
      <c r="Y7073">
        <f>69-X7073</f>
        <v>3.1299999999999955</v>
      </c>
    </row>
    <row r="7074" spans="1:25" x14ac:dyDescent="0.2">
      <c r="A7074" t="s">
        <v>833</v>
      </c>
      <c r="B7074">
        <v>2019</v>
      </c>
      <c r="C7074" t="s">
        <v>826</v>
      </c>
      <c r="D7074" t="s">
        <v>824</v>
      </c>
      <c r="E7074" t="s">
        <v>114</v>
      </c>
      <c r="F7074" t="s">
        <v>724</v>
      </c>
      <c r="G7074">
        <v>36.116667</v>
      </c>
      <c r="H7074">
        <v>120.316667</v>
      </c>
      <c r="J7074" s="2" t="s">
        <v>14</v>
      </c>
      <c r="K7074" t="s">
        <v>831</v>
      </c>
      <c r="L7074" t="s">
        <v>143</v>
      </c>
      <c r="M7074" t="s">
        <v>637</v>
      </c>
      <c r="N7074" t="s">
        <v>86</v>
      </c>
      <c r="O7074" s="6" t="s">
        <v>495</v>
      </c>
      <c r="P7074" t="s">
        <v>496</v>
      </c>
      <c r="Q7074">
        <v>1</v>
      </c>
      <c r="R7074" s="2" t="s">
        <v>214</v>
      </c>
      <c r="S7074" t="s">
        <v>9</v>
      </c>
      <c r="T7074">
        <v>3</v>
      </c>
      <c r="U7074" t="s">
        <v>28</v>
      </c>
      <c r="V7074" t="s">
        <v>28</v>
      </c>
      <c r="W7074">
        <v>20</v>
      </c>
      <c r="X7074">
        <v>49.88</v>
      </c>
      <c r="Y7074">
        <f>52.81-X7074</f>
        <v>2.9299999999999997</v>
      </c>
    </row>
    <row r="7075" spans="1:25" x14ac:dyDescent="0.2">
      <c r="A7075" t="s">
        <v>833</v>
      </c>
      <c r="B7075">
        <v>2019</v>
      </c>
      <c r="C7075" t="s">
        <v>826</v>
      </c>
      <c r="D7075" t="s">
        <v>824</v>
      </c>
      <c r="E7075" t="s">
        <v>114</v>
      </c>
      <c r="F7075" t="s">
        <v>724</v>
      </c>
      <c r="G7075">
        <v>36.116667</v>
      </c>
      <c r="H7075">
        <v>120.316667</v>
      </c>
      <c r="J7075" s="2" t="s">
        <v>7</v>
      </c>
      <c r="K7075" t="s">
        <v>831</v>
      </c>
      <c r="L7075" t="s">
        <v>143</v>
      </c>
      <c r="M7075" t="s">
        <v>637</v>
      </c>
      <c r="N7075" t="s">
        <v>86</v>
      </c>
      <c r="O7075" s="6" t="s">
        <v>495</v>
      </c>
      <c r="P7075" t="s">
        <v>496</v>
      </c>
      <c r="Q7075">
        <v>1</v>
      </c>
      <c r="R7075" s="2" t="s">
        <v>214</v>
      </c>
      <c r="S7075" t="s">
        <v>7</v>
      </c>
      <c r="T7075">
        <v>3</v>
      </c>
      <c r="U7075" t="s">
        <v>28</v>
      </c>
      <c r="V7075" t="s">
        <v>28</v>
      </c>
      <c r="W7075">
        <v>10</v>
      </c>
      <c r="X7075">
        <v>66.89</v>
      </c>
      <c r="Y7075">
        <f>69.16-X7075</f>
        <v>2.269999999999996</v>
      </c>
    </row>
    <row r="7076" spans="1:25" x14ac:dyDescent="0.2">
      <c r="A7076" t="s">
        <v>833</v>
      </c>
      <c r="B7076">
        <v>2019</v>
      </c>
      <c r="C7076" t="s">
        <v>826</v>
      </c>
      <c r="D7076" t="s">
        <v>824</v>
      </c>
      <c r="E7076" t="s">
        <v>114</v>
      </c>
      <c r="F7076" t="s">
        <v>724</v>
      </c>
      <c r="G7076">
        <v>36.116667</v>
      </c>
      <c r="H7076">
        <v>120.316667</v>
      </c>
      <c r="J7076" s="2" t="s">
        <v>14</v>
      </c>
      <c r="K7076" t="s">
        <v>831</v>
      </c>
      <c r="L7076" t="s">
        <v>143</v>
      </c>
      <c r="M7076" t="s">
        <v>637</v>
      </c>
      <c r="N7076" t="s">
        <v>86</v>
      </c>
      <c r="O7076" s="6" t="s">
        <v>495</v>
      </c>
      <c r="P7076" t="s">
        <v>496</v>
      </c>
      <c r="Q7076">
        <v>2</v>
      </c>
      <c r="R7076" s="2" t="s">
        <v>213</v>
      </c>
      <c r="S7076" t="s">
        <v>9</v>
      </c>
      <c r="T7076">
        <v>3</v>
      </c>
      <c r="U7076" t="s">
        <v>28</v>
      </c>
      <c r="V7076" t="s">
        <v>28</v>
      </c>
      <c r="W7076">
        <v>20</v>
      </c>
      <c r="X7076">
        <v>14.96</v>
      </c>
      <c r="Y7076">
        <f>18.01-X7076</f>
        <v>3.0500000000000007</v>
      </c>
    </row>
    <row r="7077" spans="1:25" x14ac:dyDescent="0.2">
      <c r="A7077" t="s">
        <v>833</v>
      </c>
      <c r="B7077">
        <v>2019</v>
      </c>
      <c r="C7077" t="s">
        <v>826</v>
      </c>
      <c r="D7077" t="s">
        <v>824</v>
      </c>
      <c r="E7077" t="s">
        <v>114</v>
      </c>
      <c r="F7077" t="s">
        <v>724</v>
      </c>
      <c r="G7077">
        <v>36.116667</v>
      </c>
      <c r="H7077">
        <v>120.316667</v>
      </c>
      <c r="J7077" s="2" t="s">
        <v>7</v>
      </c>
      <c r="K7077" t="s">
        <v>831</v>
      </c>
      <c r="L7077" t="s">
        <v>143</v>
      </c>
      <c r="M7077" t="s">
        <v>637</v>
      </c>
      <c r="N7077" t="s">
        <v>86</v>
      </c>
      <c r="O7077" s="6" t="s">
        <v>495</v>
      </c>
      <c r="P7077" t="s">
        <v>496</v>
      </c>
      <c r="Q7077">
        <v>2</v>
      </c>
      <c r="R7077" s="2" t="s">
        <v>213</v>
      </c>
      <c r="S7077" t="s">
        <v>7</v>
      </c>
      <c r="T7077">
        <v>3</v>
      </c>
      <c r="U7077" t="s">
        <v>28</v>
      </c>
      <c r="V7077" t="s">
        <v>28</v>
      </c>
      <c r="W7077">
        <v>10</v>
      </c>
      <c r="X7077">
        <v>64.989999999999995</v>
      </c>
      <c r="Y7077">
        <f>68.4-X7077</f>
        <v>3.4100000000000108</v>
      </c>
    </row>
    <row r="7078" spans="1:25" x14ac:dyDescent="0.2">
      <c r="A7078" t="s">
        <v>833</v>
      </c>
      <c r="B7078">
        <v>2019</v>
      </c>
      <c r="C7078" t="s">
        <v>826</v>
      </c>
      <c r="D7078" t="s">
        <v>824</v>
      </c>
      <c r="E7078" t="s">
        <v>114</v>
      </c>
      <c r="F7078" t="s">
        <v>724</v>
      </c>
      <c r="G7078">
        <v>36.116667</v>
      </c>
      <c r="H7078">
        <v>120.316667</v>
      </c>
      <c r="J7078" s="2" t="s">
        <v>14</v>
      </c>
      <c r="K7078" t="s">
        <v>831</v>
      </c>
      <c r="L7078" t="s">
        <v>143</v>
      </c>
      <c r="M7078" t="s">
        <v>664</v>
      </c>
      <c r="N7078" t="s">
        <v>86</v>
      </c>
      <c r="O7078" s="6" t="s">
        <v>498</v>
      </c>
      <c r="P7078" t="s">
        <v>832</v>
      </c>
      <c r="Q7078">
        <f>3/24</f>
        <v>0.125</v>
      </c>
      <c r="R7078" s="2" t="s">
        <v>214</v>
      </c>
      <c r="S7078" t="s">
        <v>9</v>
      </c>
      <c r="T7078">
        <v>3</v>
      </c>
      <c r="U7078" t="s">
        <v>28</v>
      </c>
      <c r="V7078" t="s">
        <v>28</v>
      </c>
      <c r="W7078">
        <v>20</v>
      </c>
      <c r="X7078">
        <v>318.60000000000002</v>
      </c>
      <c r="Y7078">
        <f>329-X7078</f>
        <v>10.399999999999977</v>
      </c>
    </row>
    <row r="7079" spans="1:25" x14ac:dyDescent="0.2">
      <c r="A7079" t="s">
        <v>833</v>
      </c>
      <c r="B7079">
        <v>2019</v>
      </c>
      <c r="C7079" t="s">
        <v>826</v>
      </c>
      <c r="D7079" t="s">
        <v>824</v>
      </c>
      <c r="E7079" t="s">
        <v>114</v>
      </c>
      <c r="F7079" t="s">
        <v>724</v>
      </c>
      <c r="G7079">
        <v>36.116667</v>
      </c>
      <c r="H7079">
        <v>120.316667</v>
      </c>
      <c r="J7079" s="2" t="s">
        <v>7</v>
      </c>
      <c r="K7079" t="s">
        <v>831</v>
      </c>
      <c r="L7079" t="s">
        <v>143</v>
      </c>
      <c r="M7079" t="s">
        <v>664</v>
      </c>
      <c r="N7079" t="s">
        <v>86</v>
      </c>
      <c r="O7079" s="6" t="s">
        <v>498</v>
      </c>
      <c r="P7079" t="s">
        <v>832</v>
      </c>
      <c r="Q7079">
        <f>3/24</f>
        <v>0.125</v>
      </c>
      <c r="R7079" s="2" t="s">
        <v>214</v>
      </c>
      <c r="S7079" t="s">
        <v>7</v>
      </c>
      <c r="T7079">
        <v>3</v>
      </c>
      <c r="U7079" t="s">
        <v>28</v>
      </c>
      <c r="V7079" t="s">
        <v>28</v>
      </c>
      <c r="W7079">
        <v>10</v>
      </c>
      <c r="X7079">
        <v>204.9</v>
      </c>
      <c r="Y7079">
        <f>215-X7079</f>
        <v>10.099999999999994</v>
      </c>
    </row>
    <row r="7080" spans="1:25" x14ac:dyDescent="0.2">
      <c r="A7080" t="s">
        <v>833</v>
      </c>
      <c r="B7080">
        <v>2019</v>
      </c>
      <c r="C7080" t="s">
        <v>826</v>
      </c>
      <c r="D7080" t="s">
        <v>824</v>
      </c>
      <c r="E7080" t="s">
        <v>114</v>
      </c>
      <c r="F7080" t="s">
        <v>724</v>
      </c>
      <c r="G7080">
        <v>36.116667</v>
      </c>
      <c r="H7080">
        <v>120.316667</v>
      </c>
      <c r="J7080" s="2" t="s">
        <v>14</v>
      </c>
      <c r="K7080" t="s">
        <v>831</v>
      </c>
      <c r="L7080" t="s">
        <v>143</v>
      </c>
      <c r="M7080" t="s">
        <v>664</v>
      </c>
      <c r="N7080" t="s">
        <v>86</v>
      </c>
      <c r="O7080" s="6" t="s">
        <v>498</v>
      </c>
      <c r="P7080" t="s">
        <v>832</v>
      </c>
      <c r="Q7080">
        <f>6/24</f>
        <v>0.25</v>
      </c>
      <c r="R7080" s="2" t="s">
        <v>214</v>
      </c>
      <c r="S7080" t="s">
        <v>9</v>
      </c>
      <c r="T7080">
        <v>3</v>
      </c>
      <c r="U7080" t="s">
        <v>28</v>
      </c>
      <c r="V7080" t="s">
        <v>28</v>
      </c>
      <c r="W7080">
        <v>20</v>
      </c>
      <c r="X7080">
        <v>349.9</v>
      </c>
      <c r="Y7080">
        <f>358.9-X7080</f>
        <v>9</v>
      </c>
    </row>
    <row r="7081" spans="1:25" x14ac:dyDescent="0.2">
      <c r="A7081" t="s">
        <v>833</v>
      </c>
      <c r="B7081">
        <v>2019</v>
      </c>
      <c r="C7081" t="s">
        <v>826</v>
      </c>
      <c r="D7081" t="s">
        <v>824</v>
      </c>
      <c r="E7081" t="s">
        <v>114</v>
      </c>
      <c r="F7081" t="s">
        <v>724</v>
      </c>
      <c r="G7081">
        <v>36.116667</v>
      </c>
      <c r="H7081">
        <v>120.316667</v>
      </c>
      <c r="J7081" s="2" t="s">
        <v>7</v>
      </c>
      <c r="K7081" t="s">
        <v>831</v>
      </c>
      <c r="L7081" t="s">
        <v>143</v>
      </c>
      <c r="M7081" t="s">
        <v>664</v>
      </c>
      <c r="N7081" t="s">
        <v>86</v>
      </c>
      <c r="O7081" s="6" t="s">
        <v>498</v>
      </c>
      <c r="P7081" t="s">
        <v>832</v>
      </c>
      <c r="Q7081">
        <f>6/24</f>
        <v>0.25</v>
      </c>
      <c r="R7081" s="2" t="s">
        <v>214</v>
      </c>
      <c r="S7081" t="s">
        <v>7</v>
      </c>
      <c r="T7081">
        <v>3</v>
      </c>
      <c r="U7081" t="s">
        <v>28</v>
      </c>
      <c r="V7081" t="s">
        <v>28</v>
      </c>
      <c r="W7081">
        <v>10</v>
      </c>
      <c r="X7081">
        <v>198.7</v>
      </c>
      <c r="Y7081">
        <f>207.2-X7081</f>
        <v>8.5</v>
      </c>
    </row>
    <row r="7082" spans="1:25" x14ac:dyDescent="0.2">
      <c r="A7082" t="s">
        <v>833</v>
      </c>
      <c r="B7082">
        <v>2019</v>
      </c>
      <c r="C7082" t="s">
        <v>826</v>
      </c>
      <c r="D7082" t="s">
        <v>824</v>
      </c>
      <c r="E7082" t="s">
        <v>114</v>
      </c>
      <c r="F7082" t="s">
        <v>724</v>
      </c>
      <c r="G7082">
        <v>36.116667</v>
      </c>
      <c r="H7082">
        <v>120.316667</v>
      </c>
      <c r="J7082" s="2" t="s">
        <v>14</v>
      </c>
      <c r="K7082" t="s">
        <v>831</v>
      </c>
      <c r="L7082" t="s">
        <v>143</v>
      </c>
      <c r="M7082" t="s">
        <v>664</v>
      </c>
      <c r="N7082" t="s">
        <v>86</v>
      </c>
      <c r="O7082" s="6" t="s">
        <v>498</v>
      </c>
      <c r="P7082" t="s">
        <v>832</v>
      </c>
      <c r="Q7082">
        <v>0.5</v>
      </c>
      <c r="R7082" s="2" t="s">
        <v>214</v>
      </c>
      <c r="S7082" t="s">
        <v>9</v>
      </c>
      <c r="T7082">
        <v>3</v>
      </c>
      <c r="U7082" t="s">
        <v>28</v>
      </c>
      <c r="V7082" t="s">
        <v>28</v>
      </c>
      <c r="W7082">
        <v>20</v>
      </c>
      <c r="X7082">
        <v>339.6</v>
      </c>
      <c r="Y7082">
        <f>349.3-X7082</f>
        <v>9.6999999999999886</v>
      </c>
    </row>
    <row r="7083" spans="1:25" x14ac:dyDescent="0.2">
      <c r="A7083" t="s">
        <v>833</v>
      </c>
      <c r="B7083">
        <v>2019</v>
      </c>
      <c r="C7083" t="s">
        <v>826</v>
      </c>
      <c r="D7083" t="s">
        <v>824</v>
      </c>
      <c r="E7083" t="s">
        <v>114</v>
      </c>
      <c r="F7083" t="s">
        <v>724</v>
      </c>
      <c r="G7083">
        <v>36.116667</v>
      </c>
      <c r="H7083">
        <v>120.316667</v>
      </c>
      <c r="J7083" s="2" t="s">
        <v>7</v>
      </c>
      <c r="K7083" t="s">
        <v>831</v>
      </c>
      <c r="L7083" t="s">
        <v>143</v>
      </c>
      <c r="M7083" t="s">
        <v>664</v>
      </c>
      <c r="N7083" t="s">
        <v>86</v>
      </c>
      <c r="O7083" s="6" t="s">
        <v>498</v>
      </c>
      <c r="P7083" t="s">
        <v>832</v>
      </c>
      <c r="Q7083">
        <v>0.5</v>
      </c>
      <c r="R7083" s="2" t="s">
        <v>214</v>
      </c>
      <c r="S7083" t="s">
        <v>7</v>
      </c>
      <c r="T7083">
        <v>3</v>
      </c>
      <c r="U7083" t="s">
        <v>28</v>
      </c>
      <c r="V7083" t="s">
        <v>28</v>
      </c>
      <c r="W7083">
        <v>10</v>
      </c>
      <c r="X7083">
        <v>209.4</v>
      </c>
      <c r="Y7083">
        <f>219.1-X7083</f>
        <v>9.6999999999999886</v>
      </c>
    </row>
    <row r="7084" spans="1:25" x14ac:dyDescent="0.2">
      <c r="A7084" t="s">
        <v>833</v>
      </c>
      <c r="B7084">
        <v>2019</v>
      </c>
      <c r="C7084" t="s">
        <v>826</v>
      </c>
      <c r="D7084" t="s">
        <v>824</v>
      </c>
      <c r="E7084" t="s">
        <v>114</v>
      </c>
      <c r="F7084" t="s">
        <v>724</v>
      </c>
      <c r="G7084">
        <v>36.116667</v>
      </c>
      <c r="H7084">
        <v>120.316667</v>
      </c>
      <c r="J7084" s="2" t="s">
        <v>14</v>
      </c>
      <c r="K7084" t="s">
        <v>831</v>
      </c>
      <c r="L7084" t="s">
        <v>143</v>
      </c>
      <c r="M7084" t="s">
        <v>664</v>
      </c>
      <c r="N7084" t="s">
        <v>86</v>
      </c>
      <c r="O7084" s="6" t="s">
        <v>498</v>
      </c>
      <c r="P7084" t="s">
        <v>832</v>
      </c>
      <c r="Q7084">
        <v>1</v>
      </c>
      <c r="R7084" s="2" t="s">
        <v>214</v>
      </c>
      <c r="S7084" t="s">
        <v>9</v>
      </c>
      <c r="T7084">
        <v>3</v>
      </c>
      <c r="U7084" t="s">
        <v>28</v>
      </c>
      <c r="V7084" t="s">
        <v>28</v>
      </c>
      <c r="W7084">
        <v>20</v>
      </c>
      <c r="X7084">
        <v>149.4</v>
      </c>
      <c r="Y7084">
        <f>162.9-X7084</f>
        <v>13.5</v>
      </c>
    </row>
    <row r="7085" spans="1:25" x14ac:dyDescent="0.2">
      <c r="A7085" t="s">
        <v>833</v>
      </c>
      <c r="B7085">
        <v>2019</v>
      </c>
      <c r="C7085" t="s">
        <v>826</v>
      </c>
      <c r="D7085" t="s">
        <v>824</v>
      </c>
      <c r="E7085" t="s">
        <v>114</v>
      </c>
      <c r="F7085" t="s">
        <v>724</v>
      </c>
      <c r="G7085">
        <v>36.116667</v>
      </c>
      <c r="H7085">
        <v>120.316667</v>
      </c>
      <c r="J7085" s="2" t="s">
        <v>7</v>
      </c>
      <c r="K7085" t="s">
        <v>831</v>
      </c>
      <c r="L7085" t="s">
        <v>143</v>
      </c>
      <c r="M7085" t="s">
        <v>664</v>
      </c>
      <c r="N7085" t="s">
        <v>86</v>
      </c>
      <c r="O7085" s="6" t="s">
        <v>498</v>
      </c>
      <c r="P7085" t="s">
        <v>832</v>
      </c>
      <c r="Q7085">
        <v>1</v>
      </c>
      <c r="R7085" s="2" t="s">
        <v>214</v>
      </c>
      <c r="S7085" t="s">
        <v>7</v>
      </c>
      <c r="T7085">
        <v>3</v>
      </c>
      <c r="U7085" t="s">
        <v>28</v>
      </c>
      <c r="V7085" t="s">
        <v>28</v>
      </c>
      <c r="W7085">
        <v>10</v>
      </c>
      <c r="X7085">
        <v>200.4</v>
      </c>
      <c r="Y7085">
        <f>209.9-X7085</f>
        <v>9.5</v>
      </c>
    </row>
    <row r="7086" spans="1:25" x14ac:dyDescent="0.2">
      <c r="A7086" t="s">
        <v>833</v>
      </c>
      <c r="B7086">
        <v>2019</v>
      </c>
      <c r="C7086" t="s">
        <v>826</v>
      </c>
      <c r="D7086" t="s">
        <v>824</v>
      </c>
      <c r="E7086" t="s">
        <v>114</v>
      </c>
      <c r="F7086" t="s">
        <v>724</v>
      </c>
      <c r="G7086">
        <v>36.116667</v>
      </c>
      <c r="H7086">
        <v>120.316667</v>
      </c>
      <c r="J7086" s="2" t="s">
        <v>14</v>
      </c>
      <c r="K7086" t="s">
        <v>831</v>
      </c>
      <c r="L7086" t="s">
        <v>143</v>
      </c>
      <c r="M7086" t="s">
        <v>664</v>
      </c>
      <c r="N7086" t="s">
        <v>86</v>
      </c>
      <c r="O7086" s="6" t="s">
        <v>498</v>
      </c>
      <c r="P7086" t="s">
        <v>832</v>
      </c>
      <c r="Q7086">
        <v>2</v>
      </c>
      <c r="R7086" s="2" t="s">
        <v>213</v>
      </c>
      <c r="S7086" t="s">
        <v>9</v>
      </c>
      <c r="T7086">
        <v>3</v>
      </c>
      <c r="U7086" t="s">
        <v>28</v>
      </c>
      <c r="V7086" t="s">
        <v>28</v>
      </c>
      <c r="W7086">
        <v>20</v>
      </c>
      <c r="X7086">
        <v>49.2</v>
      </c>
      <c r="Y7086">
        <f>62.3-X7086</f>
        <v>13.099999999999994</v>
      </c>
    </row>
    <row r="7087" spans="1:25" x14ac:dyDescent="0.2">
      <c r="A7087" t="s">
        <v>833</v>
      </c>
      <c r="B7087">
        <v>2019</v>
      </c>
      <c r="C7087" t="s">
        <v>826</v>
      </c>
      <c r="D7087" t="s">
        <v>824</v>
      </c>
      <c r="E7087" t="s">
        <v>114</v>
      </c>
      <c r="F7087" t="s">
        <v>724</v>
      </c>
      <c r="G7087">
        <v>36.116667</v>
      </c>
      <c r="H7087">
        <v>120.316667</v>
      </c>
      <c r="J7087" s="2" t="s">
        <v>7</v>
      </c>
      <c r="K7087" t="s">
        <v>831</v>
      </c>
      <c r="L7087" t="s">
        <v>143</v>
      </c>
      <c r="M7087" t="s">
        <v>664</v>
      </c>
      <c r="N7087" t="s">
        <v>86</v>
      </c>
      <c r="O7087" s="6" t="s">
        <v>498</v>
      </c>
      <c r="P7087" t="s">
        <v>832</v>
      </c>
      <c r="Q7087">
        <v>2</v>
      </c>
      <c r="R7087" s="2" t="s">
        <v>213</v>
      </c>
      <c r="S7087" t="s">
        <v>7</v>
      </c>
      <c r="T7087">
        <v>3</v>
      </c>
      <c r="U7087" t="s">
        <v>28</v>
      </c>
      <c r="V7087" t="s">
        <v>28</v>
      </c>
      <c r="W7087">
        <v>10</v>
      </c>
      <c r="X7087">
        <v>208.5</v>
      </c>
      <c r="Y7087">
        <f>221-X7087</f>
        <v>12.5</v>
      </c>
    </row>
    <row r="7088" spans="1:25" x14ac:dyDescent="0.2">
      <c r="A7088" t="s">
        <v>833</v>
      </c>
      <c r="B7088">
        <v>2019</v>
      </c>
      <c r="C7088" t="s">
        <v>826</v>
      </c>
      <c r="D7088" t="s">
        <v>824</v>
      </c>
      <c r="E7088" t="s">
        <v>114</v>
      </c>
      <c r="F7088" t="s">
        <v>724</v>
      </c>
      <c r="G7088">
        <v>36.116667</v>
      </c>
      <c r="H7088">
        <v>120.316667</v>
      </c>
      <c r="J7088" s="2" t="s">
        <v>14</v>
      </c>
      <c r="K7088" t="s">
        <v>831</v>
      </c>
      <c r="L7088" t="s">
        <v>143</v>
      </c>
      <c r="M7088" t="s">
        <v>637</v>
      </c>
      <c r="N7088" t="s">
        <v>86</v>
      </c>
      <c r="O7088" s="6" t="s">
        <v>497</v>
      </c>
      <c r="P7088" t="s">
        <v>832</v>
      </c>
      <c r="Q7088">
        <f>3/24</f>
        <v>0.125</v>
      </c>
      <c r="R7088" s="2" t="s">
        <v>214</v>
      </c>
      <c r="S7088" t="s">
        <v>9</v>
      </c>
      <c r="T7088">
        <v>3</v>
      </c>
      <c r="U7088" t="s">
        <v>28</v>
      </c>
      <c r="V7088" t="s">
        <v>28</v>
      </c>
      <c r="W7088">
        <v>20</v>
      </c>
      <c r="X7088">
        <v>29.97</v>
      </c>
      <c r="Y7088">
        <f>31.48-X7088</f>
        <v>1.5100000000000016</v>
      </c>
    </row>
    <row r="7089" spans="1:25" x14ac:dyDescent="0.2">
      <c r="A7089" t="s">
        <v>833</v>
      </c>
      <c r="B7089">
        <v>2019</v>
      </c>
      <c r="C7089" t="s">
        <v>826</v>
      </c>
      <c r="D7089" t="s">
        <v>824</v>
      </c>
      <c r="E7089" t="s">
        <v>114</v>
      </c>
      <c r="F7089" t="s">
        <v>724</v>
      </c>
      <c r="G7089">
        <v>36.116667</v>
      </c>
      <c r="H7089">
        <v>120.316667</v>
      </c>
      <c r="J7089" s="2" t="s">
        <v>7</v>
      </c>
      <c r="K7089" t="s">
        <v>831</v>
      </c>
      <c r="L7089" t="s">
        <v>143</v>
      </c>
      <c r="M7089" t="s">
        <v>637</v>
      </c>
      <c r="N7089" t="s">
        <v>86</v>
      </c>
      <c r="O7089" s="6" t="s">
        <v>497</v>
      </c>
      <c r="P7089" t="s">
        <v>832</v>
      </c>
      <c r="Q7089">
        <f>3/24</f>
        <v>0.125</v>
      </c>
      <c r="R7089" s="2" t="s">
        <v>214</v>
      </c>
      <c r="S7089" t="s">
        <v>7</v>
      </c>
      <c r="T7089">
        <v>3</v>
      </c>
      <c r="U7089" t="s">
        <v>28</v>
      </c>
      <c r="V7089" t="s">
        <v>28</v>
      </c>
      <c r="W7089">
        <v>10</v>
      </c>
      <c r="X7089">
        <v>10.99</v>
      </c>
      <c r="Y7089">
        <f>12.19-X7089</f>
        <v>1.1999999999999993</v>
      </c>
    </row>
    <row r="7090" spans="1:25" x14ac:dyDescent="0.2">
      <c r="A7090" t="s">
        <v>833</v>
      </c>
      <c r="B7090">
        <v>2019</v>
      </c>
      <c r="C7090" t="s">
        <v>826</v>
      </c>
      <c r="D7090" t="s">
        <v>824</v>
      </c>
      <c r="E7090" t="s">
        <v>114</v>
      </c>
      <c r="F7090" t="s">
        <v>724</v>
      </c>
      <c r="G7090">
        <v>36.116667</v>
      </c>
      <c r="H7090">
        <v>120.316667</v>
      </c>
      <c r="J7090" s="2" t="s">
        <v>14</v>
      </c>
      <c r="K7090" t="s">
        <v>831</v>
      </c>
      <c r="L7090" t="s">
        <v>143</v>
      </c>
      <c r="M7090" t="s">
        <v>637</v>
      </c>
      <c r="N7090" t="s">
        <v>86</v>
      </c>
      <c r="O7090" s="6" t="s">
        <v>497</v>
      </c>
      <c r="P7090" t="s">
        <v>832</v>
      </c>
      <c r="Q7090">
        <f>6/24</f>
        <v>0.25</v>
      </c>
      <c r="R7090" s="2" t="s">
        <v>214</v>
      </c>
      <c r="S7090" t="s">
        <v>9</v>
      </c>
      <c r="T7090">
        <v>3</v>
      </c>
      <c r="U7090" t="s">
        <v>28</v>
      </c>
      <c r="V7090" t="s">
        <v>28</v>
      </c>
      <c r="W7090">
        <v>20</v>
      </c>
      <c r="X7090">
        <v>35.04</v>
      </c>
      <c r="Y7090">
        <f>35.99-X7090</f>
        <v>0.95000000000000284</v>
      </c>
    </row>
    <row r="7091" spans="1:25" x14ac:dyDescent="0.2">
      <c r="A7091" t="s">
        <v>833</v>
      </c>
      <c r="B7091">
        <v>2019</v>
      </c>
      <c r="C7091" t="s">
        <v>826</v>
      </c>
      <c r="D7091" t="s">
        <v>824</v>
      </c>
      <c r="E7091" t="s">
        <v>114</v>
      </c>
      <c r="F7091" t="s">
        <v>724</v>
      </c>
      <c r="G7091">
        <v>36.116667</v>
      </c>
      <c r="H7091">
        <v>120.316667</v>
      </c>
      <c r="J7091" s="2" t="s">
        <v>7</v>
      </c>
      <c r="K7091" t="s">
        <v>831</v>
      </c>
      <c r="L7091" t="s">
        <v>143</v>
      </c>
      <c r="M7091" t="s">
        <v>637</v>
      </c>
      <c r="N7091" t="s">
        <v>86</v>
      </c>
      <c r="O7091" s="6" t="s">
        <v>497</v>
      </c>
      <c r="P7091" t="s">
        <v>832</v>
      </c>
      <c r="Q7091">
        <f>6/24</f>
        <v>0.25</v>
      </c>
      <c r="R7091" s="2" t="s">
        <v>214</v>
      </c>
      <c r="S7091" t="s">
        <v>7</v>
      </c>
      <c r="T7091">
        <v>3</v>
      </c>
      <c r="U7091" t="s">
        <v>28</v>
      </c>
      <c r="V7091" t="s">
        <v>28</v>
      </c>
      <c r="W7091">
        <v>10</v>
      </c>
      <c r="X7091">
        <v>12</v>
      </c>
      <c r="Y7091">
        <f>13.48-X7091</f>
        <v>1.4800000000000004</v>
      </c>
    </row>
    <row r="7092" spans="1:25" x14ac:dyDescent="0.2">
      <c r="A7092" t="s">
        <v>833</v>
      </c>
      <c r="B7092">
        <v>2019</v>
      </c>
      <c r="C7092" t="s">
        <v>826</v>
      </c>
      <c r="D7092" t="s">
        <v>824</v>
      </c>
      <c r="E7092" t="s">
        <v>114</v>
      </c>
      <c r="F7092" t="s">
        <v>724</v>
      </c>
      <c r="G7092">
        <v>36.116667</v>
      </c>
      <c r="H7092">
        <v>120.316667</v>
      </c>
      <c r="J7092" s="2" t="s">
        <v>14</v>
      </c>
      <c r="K7092" t="s">
        <v>831</v>
      </c>
      <c r="L7092" t="s">
        <v>143</v>
      </c>
      <c r="M7092" t="s">
        <v>637</v>
      </c>
      <c r="N7092" t="s">
        <v>86</v>
      </c>
      <c r="O7092" s="6" t="s">
        <v>497</v>
      </c>
      <c r="P7092" t="s">
        <v>832</v>
      </c>
      <c r="Q7092">
        <v>0.5</v>
      </c>
      <c r="R7092" s="2" t="s">
        <v>214</v>
      </c>
      <c r="S7092" t="s">
        <v>9</v>
      </c>
      <c r="T7092">
        <v>3</v>
      </c>
      <c r="U7092" t="s">
        <v>28</v>
      </c>
      <c r="V7092" t="s">
        <v>28</v>
      </c>
      <c r="W7092">
        <v>20</v>
      </c>
      <c r="X7092">
        <v>9.9700000000000006</v>
      </c>
      <c r="Y7092">
        <f>11.17-X7092</f>
        <v>1.1999999999999993</v>
      </c>
    </row>
    <row r="7093" spans="1:25" x14ac:dyDescent="0.2">
      <c r="A7093" t="s">
        <v>833</v>
      </c>
      <c r="B7093">
        <v>2019</v>
      </c>
      <c r="C7093" t="s">
        <v>826</v>
      </c>
      <c r="D7093" t="s">
        <v>824</v>
      </c>
      <c r="E7093" t="s">
        <v>114</v>
      </c>
      <c r="F7093" t="s">
        <v>724</v>
      </c>
      <c r="G7093">
        <v>36.116667</v>
      </c>
      <c r="H7093">
        <v>120.316667</v>
      </c>
      <c r="J7093" s="2" t="s">
        <v>7</v>
      </c>
      <c r="K7093" t="s">
        <v>831</v>
      </c>
      <c r="L7093" t="s">
        <v>143</v>
      </c>
      <c r="M7093" t="s">
        <v>637</v>
      </c>
      <c r="N7093" t="s">
        <v>86</v>
      </c>
      <c r="O7093" s="6" t="s">
        <v>497</v>
      </c>
      <c r="P7093" t="s">
        <v>832</v>
      </c>
      <c r="Q7093">
        <v>0.5</v>
      </c>
      <c r="R7093" s="2" t="s">
        <v>214</v>
      </c>
      <c r="S7093" t="s">
        <v>7</v>
      </c>
      <c r="T7093">
        <v>3</v>
      </c>
      <c r="U7093" t="s">
        <v>28</v>
      </c>
      <c r="V7093" t="s">
        <v>28</v>
      </c>
      <c r="W7093">
        <v>10</v>
      </c>
      <c r="X7093">
        <v>11.94</v>
      </c>
      <c r="Y7093">
        <f>13.03-X7093</f>
        <v>1.0899999999999999</v>
      </c>
    </row>
    <row r="7094" spans="1:25" x14ac:dyDescent="0.2">
      <c r="A7094" t="s">
        <v>833</v>
      </c>
      <c r="B7094">
        <v>2019</v>
      </c>
      <c r="C7094" t="s">
        <v>826</v>
      </c>
      <c r="D7094" t="s">
        <v>824</v>
      </c>
      <c r="E7094" t="s">
        <v>114</v>
      </c>
      <c r="F7094" t="s">
        <v>724</v>
      </c>
      <c r="G7094">
        <v>36.116667</v>
      </c>
      <c r="H7094">
        <v>120.316667</v>
      </c>
      <c r="J7094" s="2" t="s">
        <v>14</v>
      </c>
      <c r="K7094" t="s">
        <v>831</v>
      </c>
      <c r="L7094" t="s">
        <v>143</v>
      </c>
      <c r="M7094" t="s">
        <v>637</v>
      </c>
      <c r="N7094" t="s">
        <v>86</v>
      </c>
      <c r="O7094" s="6" t="s">
        <v>497</v>
      </c>
      <c r="P7094" t="s">
        <v>832</v>
      </c>
      <c r="Q7094">
        <v>1</v>
      </c>
      <c r="R7094" s="2" t="s">
        <v>214</v>
      </c>
      <c r="S7094" t="s">
        <v>9</v>
      </c>
      <c r="T7094">
        <v>3</v>
      </c>
      <c r="U7094" t="s">
        <v>28</v>
      </c>
      <c r="V7094" t="s">
        <v>28</v>
      </c>
      <c r="W7094">
        <v>20</v>
      </c>
      <c r="X7094">
        <v>5.97</v>
      </c>
      <c r="Y7094">
        <f>6.88-X7094</f>
        <v>0.91000000000000014</v>
      </c>
    </row>
    <row r="7095" spans="1:25" x14ac:dyDescent="0.2">
      <c r="A7095" t="s">
        <v>833</v>
      </c>
      <c r="B7095">
        <v>2019</v>
      </c>
      <c r="C7095" t="s">
        <v>826</v>
      </c>
      <c r="D7095" t="s">
        <v>824</v>
      </c>
      <c r="E7095" t="s">
        <v>114</v>
      </c>
      <c r="F7095" t="s">
        <v>724</v>
      </c>
      <c r="G7095">
        <v>36.116667</v>
      </c>
      <c r="H7095">
        <v>120.316667</v>
      </c>
      <c r="J7095" s="2" t="s">
        <v>7</v>
      </c>
      <c r="K7095" t="s">
        <v>831</v>
      </c>
      <c r="L7095" t="s">
        <v>143</v>
      </c>
      <c r="M7095" t="s">
        <v>637</v>
      </c>
      <c r="N7095" t="s">
        <v>86</v>
      </c>
      <c r="O7095" s="6" t="s">
        <v>497</v>
      </c>
      <c r="P7095" t="s">
        <v>832</v>
      </c>
      <c r="Q7095">
        <v>1</v>
      </c>
      <c r="R7095" s="2" t="s">
        <v>214</v>
      </c>
      <c r="S7095" t="s">
        <v>7</v>
      </c>
      <c r="T7095">
        <v>3</v>
      </c>
      <c r="U7095" t="s">
        <v>28</v>
      </c>
      <c r="V7095" t="s">
        <v>28</v>
      </c>
      <c r="W7095">
        <v>10</v>
      </c>
      <c r="X7095">
        <v>14.03</v>
      </c>
      <c r="Y7095">
        <f>15.12-X7095</f>
        <v>1.0899999999999999</v>
      </c>
    </row>
    <row r="7096" spans="1:25" x14ac:dyDescent="0.2">
      <c r="A7096" t="s">
        <v>833</v>
      </c>
      <c r="B7096">
        <v>2019</v>
      </c>
      <c r="C7096" t="s">
        <v>826</v>
      </c>
      <c r="D7096" t="s">
        <v>824</v>
      </c>
      <c r="E7096" t="s">
        <v>114</v>
      </c>
      <c r="F7096" t="s">
        <v>724</v>
      </c>
      <c r="G7096">
        <v>36.116667</v>
      </c>
      <c r="H7096">
        <v>120.316667</v>
      </c>
      <c r="J7096" s="2" t="s">
        <v>14</v>
      </c>
      <c r="K7096" t="s">
        <v>831</v>
      </c>
      <c r="L7096" t="s">
        <v>143</v>
      </c>
      <c r="M7096" t="s">
        <v>637</v>
      </c>
      <c r="N7096" t="s">
        <v>86</v>
      </c>
      <c r="O7096" s="6" t="s">
        <v>497</v>
      </c>
      <c r="P7096" t="s">
        <v>832</v>
      </c>
      <c r="Q7096">
        <v>2</v>
      </c>
      <c r="R7096" s="2" t="s">
        <v>213</v>
      </c>
      <c r="S7096" t="s">
        <v>9</v>
      </c>
      <c r="T7096">
        <v>3</v>
      </c>
      <c r="U7096" t="s">
        <v>28</v>
      </c>
      <c r="V7096" t="s">
        <v>28</v>
      </c>
      <c r="W7096">
        <v>20</v>
      </c>
      <c r="X7096">
        <v>2.93</v>
      </c>
      <c r="Y7096">
        <f>4.51-X7096</f>
        <v>1.5799999999999996</v>
      </c>
    </row>
    <row r="7097" spans="1:25" x14ac:dyDescent="0.2">
      <c r="A7097" t="s">
        <v>833</v>
      </c>
      <c r="B7097">
        <v>2019</v>
      </c>
      <c r="C7097" t="s">
        <v>826</v>
      </c>
      <c r="D7097" t="s">
        <v>824</v>
      </c>
      <c r="E7097" t="s">
        <v>114</v>
      </c>
      <c r="F7097" t="s">
        <v>724</v>
      </c>
      <c r="G7097">
        <v>36.116667</v>
      </c>
      <c r="H7097">
        <v>120.316667</v>
      </c>
      <c r="J7097" s="2" t="s">
        <v>7</v>
      </c>
      <c r="K7097" t="s">
        <v>831</v>
      </c>
      <c r="L7097" t="s">
        <v>143</v>
      </c>
      <c r="M7097" t="s">
        <v>637</v>
      </c>
      <c r="N7097" t="s">
        <v>86</v>
      </c>
      <c r="O7097" s="6" t="s">
        <v>497</v>
      </c>
      <c r="P7097" t="s">
        <v>832</v>
      </c>
      <c r="Q7097">
        <v>2</v>
      </c>
      <c r="R7097" s="2" t="s">
        <v>213</v>
      </c>
      <c r="S7097" t="s">
        <v>7</v>
      </c>
      <c r="T7097">
        <v>3</v>
      </c>
      <c r="U7097" t="s">
        <v>28</v>
      </c>
      <c r="V7097" t="s">
        <v>28</v>
      </c>
      <c r="W7097">
        <v>10</v>
      </c>
      <c r="X7097">
        <v>12.96</v>
      </c>
      <c r="Y7097">
        <f>14.5-X7097</f>
        <v>1.5399999999999991</v>
      </c>
    </row>
  </sheetData>
  <autoFilter ref="A1:AC7097" xr:uid="{7312E7E7-960E-E147-A8D8-D3213253C841}"/>
  <phoneticPr fontId="7" type="noConversion"/>
  <pageMargins left="0.7" right="0.7" top="0.75" bottom="0.75" header="0.3" footer="0.3"/>
  <pageSetup orientation="portrait" horizontalDpi="0" verticalDpi="0"/>
  <ignoredErrors>
    <ignoredError sqref="V4860:V4864 V4859 Y65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Roethler</dc:creator>
  <cp:lastModifiedBy>mroeth</cp:lastModifiedBy>
  <dcterms:created xsi:type="dcterms:W3CDTF">2020-04-24T21:50:30Z</dcterms:created>
  <dcterms:modified xsi:type="dcterms:W3CDTF">2024-04-09T21:31:22Z</dcterms:modified>
</cp:coreProperties>
</file>